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showInkAnnotation="0" codeName="ThisWorkbook"/>
  <mc:AlternateContent xmlns:mc="http://schemas.openxmlformats.org/markup-compatibility/2006">
    <mc:Choice Requires="x15">
      <x15ac:absPath xmlns:x15ac="http://schemas.microsoft.com/office/spreadsheetml/2010/11/ac" url="/Users/carlo.veo/Documents/GitHub/wmt/wmt-worker/app/templates/"/>
    </mc:Choice>
  </mc:AlternateContent>
  <xr:revisionPtr revIDLastSave="0" documentId="8_{528CB7FF-3786-3A4F-BD22-8F0FCB97AB20}" xr6:coauthVersionLast="47" xr6:coauthVersionMax="47" xr10:uidLastSave="{00000000-0000-0000-0000-000000000000}"/>
  <bookViews>
    <workbookView showSheetTabs="0" xWindow="0" yWindow="500" windowWidth="35600" windowHeight="21640" xr2:uid="{00000000-000D-0000-FFFF-FFFF00000000}"/>
  </bookViews>
  <sheets>
    <sheet name="home" sheetId="11" r:id="rId1"/>
    <sheet name="PDUs" sheetId="78" r:id="rId2"/>
    <sheet name="capacity data" sheetId="79" r:id="rId3"/>
    <sheet name="caseload data" sheetId="99" r:id="rId4"/>
    <sheet name="reductions data" sheetId="85" r:id="rId5"/>
    <sheet name="reductions workings" sheetId="106" r:id="rId6"/>
    <sheet name="FAQs" sheetId="112" r:id="rId7"/>
    <sheet name="divisional &amp; regional overview" sheetId="101" r:id="rId8"/>
    <sheet name="HMIP caseload divisional" sheetId="115" r:id="rId9"/>
    <sheet name="HMIP caseload cluster" sheetId="117" r:id="rId10"/>
    <sheet name="cluster overview" sheetId="98" r:id="rId11"/>
    <sheet name="team overview" sheetId="114" r:id="rId12"/>
    <sheet name="national caseload" sheetId="100" r:id="rId13"/>
    <sheet name="national tier ratios" sheetId="111" r:id="rId14"/>
    <sheet name="divisional &amp; regional caseload" sheetId="102" r:id="rId15"/>
    <sheet name="divisional &amp; regional caseload%" sheetId="105" r:id="rId16"/>
    <sheet name="cluster capacity, unallocateds" sheetId="81" r:id="rId17"/>
    <sheet name="custody caseload" sheetId="107" r:id="rId18"/>
    <sheet name="custody %" sheetId="109" r:id="rId19"/>
    <sheet name="community caseload" sheetId="108" r:id="rId20"/>
    <sheet name="community %" sheetId="110" r:id="rId21"/>
    <sheet name="divisional &amp; regional capacity" sheetId="80" r:id="rId22"/>
    <sheet name="cluster officer capacity ranks" sheetId="82" r:id="rId23"/>
    <sheet name="div &amp; regional over-capacities" sheetId="95" r:id="rId24"/>
    <sheet name="unallocated cases" sheetId="84" r:id="rId25"/>
    <sheet name="reasons for reduction division" sheetId="87" r:id="rId26"/>
    <sheet name="cluster reductions" sheetId="89" r:id="rId27"/>
    <sheet name="div &amp; regional reduction hours" sheetId="88" r:id="rId28"/>
    <sheet name="Caseload Buttons" sheetId="93" r:id="rId29"/>
    <sheet name="Capacity Buttons" sheetId="91" r:id="rId30"/>
    <sheet name="Reductions Buttons" sheetId="92" r:id="rId31"/>
  </sheets>
  <externalReferences>
    <externalReference r:id="rId32"/>
    <externalReference r:id="rId33"/>
    <externalReference r:id="rId34"/>
  </externalReferences>
  <definedNames>
    <definedName name="_xlnm._FilterDatabase" localSheetId="2" hidden="1">'capacity data'!$A$1:$U$7544</definedName>
    <definedName name="_xlnm._FilterDatabase" localSheetId="3" hidden="1">'caseload data'!$A$1:$X$1630</definedName>
    <definedName name="_xlnm._FilterDatabase" localSheetId="4" hidden="1">'reductions data'!$A$1:$L$4656</definedName>
    <definedName name="Against_National_Average">'[1]Rating Lookup'!$C$2:$F$2</definedName>
    <definedName name="Against_Target">'[1]Rating Lookup'!$B$3:$B$6</definedName>
    <definedName name="Aggregation" localSheetId="29">#REF!</definedName>
    <definedName name="Aggregation" localSheetId="2">#REF!</definedName>
    <definedName name="Aggregation" localSheetId="28">#REF!</definedName>
    <definedName name="Aggregation" localSheetId="16">#REF!</definedName>
    <definedName name="Aggregation" localSheetId="22">#REF!</definedName>
    <definedName name="Aggregation" localSheetId="26">#REF!</definedName>
    <definedName name="Aggregation" localSheetId="20">#REF!</definedName>
    <definedName name="Aggregation" localSheetId="19">#REF!</definedName>
    <definedName name="Aggregation" localSheetId="18">#REF!</definedName>
    <definedName name="Aggregation" localSheetId="17">#REF!</definedName>
    <definedName name="Aggregation" localSheetId="27">#REF!</definedName>
    <definedName name="Aggregation" localSheetId="21">#REF!</definedName>
    <definedName name="Aggregation" localSheetId="15">#REF!</definedName>
    <definedName name="Aggregation" localSheetId="7">#REF!</definedName>
    <definedName name="Aggregation" localSheetId="8">#REF!</definedName>
    <definedName name="Aggregation" localSheetId="1">#REF!</definedName>
    <definedName name="Aggregation" localSheetId="25">#REF!</definedName>
    <definedName name="Aggregation" localSheetId="30">#REF!</definedName>
    <definedName name="Aggregation" localSheetId="4">#REF!</definedName>
    <definedName name="Aggregation" localSheetId="11">#REF!</definedName>
    <definedName name="Aggregation" localSheetId="24">#REF!</definedName>
    <definedName name="Aggregation">#REF!</definedName>
    <definedName name="AmberRating" localSheetId="29">#REF!</definedName>
    <definedName name="AmberRating" localSheetId="2">#REF!</definedName>
    <definedName name="AmberRating" localSheetId="28">#REF!</definedName>
    <definedName name="AmberRating" localSheetId="16">#REF!</definedName>
    <definedName name="AmberRating" localSheetId="22">#REF!</definedName>
    <definedName name="AmberRating" localSheetId="26">#REF!</definedName>
    <definedName name="AmberRating" localSheetId="20">#REF!</definedName>
    <definedName name="AmberRating" localSheetId="19">#REF!</definedName>
    <definedName name="AmberRating" localSheetId="18">#REF!</definedName>
    <definedName name="AmberRating" localSheetId="17">#REF!</definedName>
    <definedName name="AmberRating" localSheetId="27">#REF!</definedName>
    <definedName name="AmberRating" localSheetId="21">#REF!</definedName>
    <definedName name="AmberRating" localSheetId="15">#REF!</definedName>
    <definedName name="AmberRating" localSheetId="7">#REF!</definedName>
    <definedName name="AmberRating" localSheetId="8">#REF!</definedName>
    <definedName name="AmberRating" localSheetId="1">#REF!</definedName>
    <definedName name="AmberRating" localSheetId="25">#REF!</definedName>
    <definedName name="AmberRating" localSheetId="30">#REF!</definedName>
    <definedName name="AmberRating" localSheetId="4">#REF!</definedName>
    <definedName name="AmberRating" localSheetId="11">#REF!</definedName>
    <definedName name="AmberRating" localSheetId="24">#REF!</definedName>
    <definedName name="AmberRating">#REF!</definedName>
    <definedName name="Anchor_Cell">PDUs!$A$1</definedName>
    <definedName name="CurMonth" localSheetId="29">#REF!</definedName>
    <definedName name="CurMonth" localSheetId="2">#REF!</definedName>
    <definedName name="CurMonth" localSheetId="28">#REF!</definedName>
    <definedName name="CurMonth" localSheetId="16">#REF!</definedName>
    <definedName name="CurMonth" localSheetId="22">#REF!</definedName>
    <definedName name="CurMonth" localSheetId="26">#REF!</definedName>
    <definedName name="CurMonth" localSheetId="20">#REF!</definedName>
    <definedName name="CurMonth" localSheetId="19">#REF!</definedName>
    <definedName name="CurMonth" localSheetId="18">#REF!</definedName>
    <definedName name="CurMonth" localSheetId="17">#REF!</definedName>
    <definedName name="CurMonth" localSheetId="27">#REF!</definedName>
    <definedName name="CurMonth" localSheetId="21">#REF!</definedName>
    <definedName name="CurMonth" localSheetId="15">#REF!</definedName>
    <definedName name="CurMonth" localSheetId="7">#REF!</definedName>
    <definedName name="CurMonth" localSheetId="8">#REF!</definedName>
    <definedName name="CurMonth" localSheetId="1">#REF!</definedName>
    <definedName name="CurMonth" localSheetId="25">#REF!</definedName>
    <definedName name="CurMonth" localSheetId="30">#REF!</definedName>
    <definedName name="CurMonth" localSheetId="4">#REF!</definedName>
    <definedName name="CurMonth" localSheetId="11">#REF!</definedName>
    <definedName name="CurMonth" localSheetId="24">#REF!</definedName>
    <definedName name="CurMonth">#REF!</definedName>
    <definedName name="CurQuarter" localSheetId="29">#REF!</definedName>
    <definedName name="CurQuarter" localSheetId="2">#REF!</definedName>
    <definedName name="CurQuarter" localSheetId="28">#REF!</definedName>
    <definedName name="CurQuarter" localSheetId="16">#REF!</definedName>
    <definedName name="CurQuarter" localSheetId="22">#REF!</definedName>
    <definedName name="CurQuarter" localSheetId="26">#REF!</definedName>
    <definedName name="CurQuarter" localSheetId="20">#REF!</definedName>
    <definedName name="CurQuarter" localSheetId="19">#REF!</definedName>
    <definedName name="CurQuarter" localSheetId="18">#REF!</definedName>
    <definedName name="CurQuarter" localSheetId="17">#REF!</definedName>
    <definedName name="CurQuarter" localSheetId="27">#REF!</definedName>
    <definedName name="CurQuarter" localSheetId="21">#REF!</definedName>
    <definedName name="CurQuarter" localSheetId="15">#REF!</definedName>
    <definedName name="CurQuarter" localSheetId="7">#REF!</definedName>
    <definedName name="CurQuarter" localSheetId="8">#REF!</definedName>
    <definedName name="CurQuarter" localSheetId="1">#REF!</definedName>
    <definedName name="CurQuarter" localSheetId="25">#REF!</definedName>
    <definedName name="CurQuarter" localSheetId="30">#REF!</definedName>
    <definedName name="CurQuarter" localSheetId="4">#REF!</definedName>
    <definedName name="CurQuarter" localSheetId="11">#REF!</definedName>
    <definedName name="CurQuarter" localSheetId="24">#REF!</definedName>
    <definedName name="CurQuarter">#REF!</definedName>
    <definedName name="DateRange" localSheetId="29">#REF!</definedName>
    <definedName name="DateRange" localSheetId="2">#REF!</definedName>
    <definedName name="DateRange" localSheetId="28">#REF!</definedName>
    <definedName name="DateRange" localSheetId="16">#REF!</definedName>
    <definedName name="DateRange" localSheetId="22">#REF!</definedName>
    <definedName name="DateRange" localSheetId="26">#REF!</definedName>
    <definedName name="DateRange" localSheetId="20">#REF!</definedName>
    <definedName name="DateRange" localSheetId="19">#REF!</definedName>
    <definedName name="DateRange" localSheetId="18">#REF!</definedName>
    <definedName name="DateRange" localSheetId="17">#REF!</definedName>
    <definedName name="DateRange" localSheetId="27">#REF!</definedName>
    <definedName name="DateRange" localSheetId="21">#REF!</definedName>
    <definedName name="DateRange" localSheetId="15">#REF!</definedName>
    <definedName name="DateRange" localSheetId="7">#REF!</definedName>
    <definedName name="DateRange" localSheetId="8">#REF!</definedName>
    <definedName name="DateRange" localSheetId="1">#REF!</definedName>
    <definedName name="DateRange" localSheetId="25">#REF!</definedName>
    <definedName name="DateRange" localSheetId="30">#REF!</definedName>
    <definedName name="DateRange" localSheetId="4">#REF!</definedName>
    <definedName name="DateRange" localSheetId="11">#REF!</definedName>
    <definedName name="DateRange" localSheetId="24">#REF!</definedName>
    <definedName name="DateRange">#REF!</definedName>
    <definedName name="EMR">'national caseload'!$B$11</definedName>
    <definedName name="EoE">'national caseload'!$B$15</definedName>
    <definedName name="ForecastDate" localSheetId="29">#REF!</definedName>
    <definedName name="ForecastDate" localSheetId="2">#REF!</definedName>
    <definedName name="ForecastDate" localSheetId="28">#REF!</definedName>
    <definedName name="ForecastDate" localSheetId="16">#REF!</definedName>
    <definedName name="ForecastDate" localSheetId="22">#REF!</definedName>
    <definedName name="ForecastDate" localSheetId="26">#REF!</definedName>
    <definedName name="ForecastDate" localSheetId="20">#REF!</definedName>
    <definedName name="ForecastDate" localSheetId="19">#REF!</definedName>
    <definedName name="ForecastDate" localSheetId="18">#REF!</definedName>
    <definedName name="ForecastDate" localSheetId="17">#REF!</definedName>
    <definedName name="ForecastDate" localSheetId="27">#REF!</definedName>
    <definedName name="ForecastDate" localSheetId="21">#REF!</definedName>
    <definedName name="ForecastDate" localSheetId="15">#REF!</definedName>
    <definedName name="ForecastDate" localSheetId="7">#REF!</definedName>
    <definedName name="ForecastDate" localSheetId="8">#REF!</definedName>
    <definedName name="ForecastDate" localSheetId="1">#REF!</definedName>
    <definedName name="ForecastDate" localSheetId="25">#REF!</definedName>
    <definedName name="ForecastDate" localSheetId="30">#REF!</definedName>
    <definedName name="ForecastDate" localSheetId="4">#REF!</definedName>
    <definedName name="ForecastDate" localSheetId="11">#REF!</definedName>
    <definedName name="ForecastDate" localSheetId="24">#REF!</definedName>
    <definedName name="ForecastDate">#REF!</definedName>
    <definedName name="GM">'national caseload'!$B$19</definedName>
    <definedName name="HubData" localSheetId="29">#REF!</definedName>
    <definedName name="HubData" localSheetId="2">#REF!</definedName>
    <definedName name="HubData" localSheetId="28">#REF!</definedName>
    <definedName name="HubData" localSheetId="16">#REF!</definedName>
    <definedName name="HubData" localSheetId="22">#REF!</definedName>
    <definedName name="HubData" localSheetId="26">#REF!</definedName>
    <definedName name="HubData" localSheetId="20">#REF!</definedName>
    <definedName name="HubData" localSheetId="19">#REF!</definedName>
    <definedName name="HubData" localSheetId="18">#REF!</definedName>
    <definedName name="HubData" localSheetId="17">#REF!</definedName>
    <definedName name="HubData" localSheetId="27">#REF!</definedName>
    <definedName name="HubData" localSheetId="21">#REF!</definedName>
    <definedName name="HubData" localSheetId="15">#REF!</definedName>
    <definedName name="HubData" localSheetId="7">#REF!</definedName>
    <definedName name="HubData" localSheetId="8">#REF!</definedName>
    <definedName name="HubData" localSheetId="1">#REF!</definedName>
    <definedName name="HubData" localSheetId="25">#REF!</definedName>
    <definedName name="HubData" localSheetId="30">#REF!</definedName>
    <definedName name="HubData" localSheetId="4">#REF!</definedName>
    <definedName name="HubData" localSheetId="11">#REF!</definedName>
    <definedName name="HubData" localSheetId="24">#REF!</definedName>
    <definedName name="HubData">#REF!</definedName>
    <definedName name="KSSR">'national caseload'!$B$23</definedName>
    <definedName name="L">'national caseload'!$B$27</definedName>
    <definedName name="LDU" localSheetId="29">#REF!</definedName>
    <definedName name="LDU" localSheetId="2">#REF!</definedName>
    <definedName name="LDU" localSheetId="28">#REF!</definedName>
    <definedName name="LDU" localSheetId="16">#REF!</definedName>
    <definedName name="LDU" localSheetId="22">#REF!</definedName>
    <definedName name="LDU" localSheetId="26">#REF!</definedName>
    <definedName name="LDU" localSheetId="20">#REF!</definedName>
    <definedName name="LDU" localSheetId="19">#REF!</definedName>
    <definedName name="LDU" localSheetId="18">#REF!</definedName>
    <definedName name="LDU" localSheetId="17">#REF!</definedName>
    <definedName name="LDU" localSheetId="27">#REF!</definedName>
    <definedName name="LDU" localSheetId="21">#REF!</definedName>
    <definedName name="LDU" localSheetId="15">#REF!</definedName>
    <definedName name="LDU" localSheetId="7">#REF!</definedName>
    <definedName name="LDU" localSheetId="8">#REF!</definedName>
    <definedName name="LDU" localSheetId="1">#REF!</definedName>
    <definedName name="LDU" localSheetId="25">#REF!</definedName>
    <definedName name="LDU" localSheetId="30">#REF!</definedName>
    <definedName name="LDU" localSheetId="4">#REF!</definedName>
    <definedName name="LDU" localSheetId="11">#REF!</definedName>
    <definedName name="LDU" localSheetId="24">#REF!</definedName>
    <definedName name="LDU">#REF!</definedName>
    <definedName name="LDUCluster" localSheetId="29">#REF!</definedName>
    <definedName name="LDUCluster" localSheetId="2">#REF!</definedName>
    <definedName name="LDUCluster" localSheetId="28">#REF!</definedName>
    <definedName name="LDUCluster" localSheetId="16">#REF!</definedName>
    <definedName name="LDUCluster" localSheetId="22">#REF!</definedName>
    <definedName name="LDUCluster" localSheetId="26">#REF!</definedName>
    <definedName name="LDUCluster" localSheetId="20">#REF!</definedName>
    <definedName name="LDUCluster" localSheetId="19">#REF!</definedName>
    <definedName name="LDUCluster" localSheetId="18">#REF!</definedName>
    <definedName name="LDUCluster" localSheetId="17">#REF!</definedName>
    <definedName name="LDUCluster" localSheetId="27">#REF!</definedName>
    <definedName name="LDUCluster" localSheetId="21">#REF!</definedName>
    <definedName name="LDUCluster" localSheetId="15">#REF!</definedName>
    <definedName name="LDUCluster" localSheetId="7">#REF!</definedName>
    <definedName name="LDUCluster" localSheetId="8">#REF!</definedName>
    <definedName name="LDUCluster" localSheetId="1">#REF!</definedName>
    <definedName name="LDUCluster" localSheetId="25">#REF!</definedName>
    <definedName name="LDUCluster" localSheetId="30">#REF!</definedName>
    <definedName name="LDUCluster" localSheetId="4">#REF!</definedName>
    <definedName name="LDUCluster" localSheetId="11">#REF!</definedName>
    <definedName name="LDUCluster" localSheetId="24">#REF!</definedName>
    <definedName name="LDUCluster">#REF!</definedName>
    <definedName name="MonthNo" localSheetId="29">#REF!</definedName>
    <definedName name="MonthNo" localSheetId="2">#REF!</definedName>
    <definedName name="MonthNo" localSheetId="28">#REF!</definedName>
    <definedName name="MonthNo" localSheetId="16">#REF!</definedName>
    <definedName name="MonthNo" localSheetId="22">#REF!</definedName>
    <definedName name="MonthNo" localSheetId="26">#REF!</definedName>
    <definedName name="MonthNo" localSheetId="20">#REF!</definedName>
    <definedName name="MonthNo" localSheetId="19">#REF!</definedName>
    <definedName name="MonthNo" localSheetId="18">#REF!</definedName>
    <definedName name="MonthNo" localSheetId="17">#REF!</definedName>
    <definedName name="MonthNo" localSheetId="27">#REF!</definedName>
    <definedName name="MonthNo" localSheetId="21">#REF!</definedName>
    <definedName name="MonthNo" localSheetId="15">#REF!</definedName>
    <definedName name="MonthNo" localSheetId="7">#REF!</definedName>
    <definedName name="MonthNo" localSheetId="8">#REF!</definedName>
    <definedName name="MonthNo" localSheetId="1">#REF!</definedName>
    <definedName name="MonthNo" localSheetId="25">#REF!</definedName>
    <definedName name="MonthNo" localSheetId="30">#REF!</definedName>
    <definedName name="MonthNo" localSheetId="4">#REF!</definedName>
    <definedName name="MonthNo" localSheetId="11">#REF!</definedName>
    <definedName name="MonthNo" localSheetId="24">#REF!</definedName>
    <definedName name="MonthNo">#REF!</definedName>
    <definedName name="MonthRemain" localSheetId="29">#REF!</definedName>
    <definedName name="MonthRemain" localSheetId="2">#REF!</definedName>
    <definedName name="MonthRemain" localSheetId="28">#REF!</definedName>
    <definedName name="MonthRemain" localSheetId="16">#REF!</definedName>
    <definedName name="MonthRemain" localSheetId="22">#REF!</definedName>
    <definedName name="MonthRemain" localSheetId="26">#REF!</definedName>
    <definedName name="MonthRemain" localSheetId="20">#REF!</definedName>
    <definedName name="MonthRemain" localSheetId="19">#REF!</definedName>
    <definedName name="MonthRemain" localSheetId="18">#REF!</definedName>
    <definedName name="MonthRemain" localSheetId="17">#REF!</definedName>
    <definedName name="MonthRemain" localSheetId="27">#REF!</definedName>
    <definedName name="MonthRemain" localSheetId="21">#REF!</definedName>
    <definedName name="MonthRemain" localSheetId="15">#REF!</definedName>
    <definedName name="MonthRemain" localSheetId="7">#REF!</definedName>
    <definedName name="MonthRemain" localSheetId="8">#REF!</definedName>
    <definedName name="MonthRemain" localSheetId="1">#REF!</definedName>
    <definedName name="MonthRemain" localSheetId="25">#REF!</definedName>
    <definedName name="MonthRemain" localSheetId="30">#REF!</definedName>
    <definedName name="MonthRemain" localSheetId="4">#REF!</definedName>
    <definedName name="MonthRemain" localSheetId="11">#REF!</definedName>
    <definedName name="MonthRemain" localSheetId="24">#REF!</definedName>
    <definedName name="MonthRemain">#REF!</definedName>
    <definedName name="NE001Month" localSheetId="29">#REF!</definedName>
    <definedName name="NE001Month" localSheetId="2">#REF!</definedName>
    <definedName name="NE001Month" localSheetId="28">#REF!</definedName>
    <definedName name="NE001Month" localSheetId="16">#REF!</definedName>
    <definedName name="NE001Month" localSheetId="22">#REF!</definedName>
    <definedName name="NE001Month" localSheetId="26">#REF!</definedName>
    <definedName name="NE001Month" localSheetId="20">#REF!</definedName>
    <definedName name="NE001Month" localSheetId="19">#REF!</definedName>
    <definedName name="NE001Month" localSheetId="18">#REF!</definedName>
    <definedName name="NE001Month" localSheetId="17">#REF!</definedName>
    <definedName name="NE001Month" localSheetId="27">#REF!</definedName>
    <definedName name="NE001Month" localSheetId="21">#REF!</definedName>
    <definedName name="NE001Month" localSheetId="15">#REF!</definedName>
    <definedName name="NE001Month" localSheetId="7">#REF!</definedName>
    <definedName name="NE001Month" localSheetId="8">#REF!</definedName>
    <definedName name="NE001Month" localSheetId="1">#REF!</definedName>
    <definedName name="NE001Month" localSheetId="25">#REF!</definedName>
    <definedName name="NE001Month" localSheetId="30">#REF!</definedName>
    <definedName name="NE001Month" localSheetId="4">#REF!</definedName>
    <definedName name="NE001Month" localSheetId="11">#REF!</definedName>
    <definedName name="NE001Month" localSheetId="24">#REF!</definedName>
    <definedName name="NE001Month">#REF!</definedName>
    <definedName name="NE002Month" localSheetId="29">#REF!</definedName>
    <definedName name="NE002Month" localSheetId="2">#REF!</definedName>
    <definedName name="NE002Month" localSheetId="28">#REF!</definedName>
    <definedName name="NE002Month" localSheetId="16">#REF!</definedName>
    <definedName name="NE002Month" localSheetId="22">#REF!</definedName>
    <definedName name="NE002Month" localSheetId="26">#REF!</definedName>
    <definedName name="NE002Month" localSheetId="20">#REF!</definedName>
    <definedName name="NE002Month" localSheetId="19">#REF!</definedName>
    <definedName name="NE002Month" localSheetId="18">#REF!</definedName>
    <definedName name="NE002Month" localSheetId="17">#REF!</definedName>
    <definedName name="NE002Month" localSheetId="27">#REF!</definedName>
    <definedName name="NE002Month" localSheetId="21">#REF!</definedName>
    <definedName name="NE002Month" localSheetId="15">#REF!</definedName>
    <definedName name="NE002Month" localSheetId="7">#REF!</definedName>
    <definedName name="NE002Month" localSheetId="8">#REF!</definedName>
    <definedName name="NE002Month" localSheetId="1">#REF!</definedName>
    <definedName name="NE002Month" localSheetId="25">#REF!</definedName>
    <definedName name="NE002Month" localSheetId="30">#REF!</definedName>
    <definedName name="NE002Month" localSheetId="4">#REF!</definedName>
    <definedName name="NE002Month" localSheetId="11">#REF!</definedName>
    <definedName name="NE002Month" localSheetId="24">#REF!</definedName>
    <definedName name="NE002Month">#REF!</definedName>
    <definedName name="NE003Month" localSheetId="29">#REF!</definedName>
    <definedName name="NE003Month" localSheetId="2">#REF!</definedName>
    <definedName name="NE003Month" localSheetId="28">#REF!</definedName>
    <definedName name="NE003Month" localSheetId="16">#REF!</definedName>
    <definedName name="NE003Month" localSheetId="22">#REF!</definedName>
    <definedName name="NE003Month" localSheetId="26">#REF!</definedName>
    <definedName name="NE003Month" localSheetId="20">#REF!</definedName>
    <definedName name="NE003Month" localSheetId="19">#REF!</definedName>
    <definedName name="NE003Month" localSheetId="18">#REF!</definedName>
    <definedName name="NE003Month" localSheetId="17">#REF!</definedName>
    <definedName name="NE003Month" localSheetId="27">#REF!</definedName>
    <definedName name="NE003Month" localSheetId="21">#REF!</definedName>
    <definedName name="NE003Month" localSheetId="15">#REF!</definedName>
    <definedName name="NE003Month" localSheetId="7">#REF!</definedName>
    <definedName name="NE003Month" localSheetId="8">#REF!</definedName>
    <definedName name="NE003Month" localSheetId="1">#REF!</definedName>
    <definedName name="NE003Month" localSheetId="25">#REF!</definedName>
    <definedName name="NE003Month" localSheetId="30">#REF!</definedName>
    <definedName name="NE003Month" localSheetId="4">#REF!</definedName>
    <definedName name="NE003Month" localSheetId="11">#REF!</definedName>
    <definedName name="NE003Month" localSheetId="24">#REF!</definedName>
    <definedName name="NE003Month">#REF!</definedName>
    <definedName name="NE004AFMonth" localSheetId="29">#REF!</definedName>
    <definedName name="NE004AFMonth" localSheetId="2">#REF!</definedName>
    <definedName name="NE004AFMonth" localSheetId="28">#REF!</definedName>
    <definedName name="NE004AFMonth" localSheetId="16">#REF!</definedName>
    <definedName name="NE004AFMonth" localSheetId="22">#REF!</definedName>
    <definedName name="NE004AFMonth" localSheetId="26">#REF!</definedName>
    <definedName name="NE004AFMonth" localSheetId="20">#REF!</definedName>
    <definedName name="NE004AFMonth" localSheetId="19">#REF!</definedName>
    <definedName name="NE004AFMonth" localSheetId="18">#REF!</definedName>
    <definedName name="NE004AFMonth" localSheetId="17">#REF!</definedName>
    <definedName name="NE004AFMonth" localSheetId="27">#REF!</definedName>
    <definedName name="NE004AFMonth" localSheetId="21">#REF!</definedName>
    <definedName name="NE004AFMonth" localSheetId="15">#REF!</definedName>
    <definedName name="NE004AFMonth" localSheetId="7">#REF!</definedName>
    <definedName name="NE004AFMonth" localSheetId="8">#REF!</definedName>
    <definedName name="NE004AFMonth" localSheetId="1">#REF!</definedName>
    <definedName name="NE004AFMonth" localSheetId="25">#REF!</definedName>
    <definedName name="NE004AFMonth" localSheetId="30">#REF!</definedName>
    <definedName name="NE004AFMonth" localSheetId="4">#REF!</definedName>
    <definedName name="NE004AFMonth" localSheetId="11">#REF!</definedName>
    <definedName name="NE004AFMonth" localSheetId="24">#REF!</definedName>
    <definedName name="NE004AFMonth">#REF!</definedName>
    <definedName name="NE004AFYTD" localSheetId="29">#REF!</definedName>
    <definedName name="NE004AFYTD" localSheetId="2">#REF!</definedName>
    <definedName name="NE004AFYTD" localSheetId="28">#REF!</definedName>
    <definedName name="NE004AFYTD" localSheetId="16">#REF!</definedName>
    <definedName name="NE004AFYTD" localSheetId="22">#REF!</definedName>
    <definedName name="NE004AFYTD" localSheetId="26">#REF!</definedName>
    <definedName name="NE004AFYTD" localSheetId="20">#REF!</definedName>
    <definedName name="NE004AFYTD" localSheetId="19">#REF!</definedName>
    <definedName name="NE004AFYTD" localSheetId="18">#REF!</definedName>
    <definedName name="NE004AFYTD" localSheetId="17">#REF!</definedName>
    <definedName name="NE004AFYTD" localSheetId="27">#REF!</definedName>
    <definedName name="NE004AFYTD" localSheetId="21">#REF!</definedName>
    <definedName name="NE004AFYTD" localSheetId="15">#REF!</definedName>
    <definedName name="NE004AFYTD" localSheetId="7">#REF!</definedName>
    <definedName name="NE004AFYTD" localSheetId="8">#REF!</definedName>
    <definedName name="NE004AFYTD" localSheetId="1">#REF!</definedName>
    <definedName name="NE004AFYTD" localSheetId="25">#REF!</definedName>
    <definedName name="NE004AFYTD" localSheetId="30">#REF!</definedName>
    <definedName name="NE004AFYTD" localSheetId="4">#REF!</definedName>
    <definedName name="NE004AFYTD" localSheetId="11">#REF!</definedName>
    <definedName name="NE004AFYTD" localSheetId="24">#REF!</definedName>
    <definedName name="NE004AFYTD">#REF!</definedName>
    <definedName name="NE004ASMonth" localSheetId="29">#REF!</definedName>
    <definedName name="NE004ASMonth" localSheetId="2">#REF!</definedName>
    <definedName name="NE004ASMonth" localSheetId="28">#REF!</definedName>
    <definedName name="NE004ASMonth" localSheetId="16">#REF!</definedName>
    <definedName name="NE004ASMonth" localSheetId="22">#REF!</definedName>
    <definedName name="NE004ASMonth" localSheetId="26">#REF!</definedName>
    <definedName name="NE004ASMonth" localSheetId="20">#REF!</definedName>
    <definedName name="NE004ASMonth" localSheetId="19">#REF!</definedName>
    <definedName name="NE004ASMonth" localSheetId="18">#REF!</definedName>
    <definedName name="NE004ASMonth" localSheetId="17">#REF!</definedName>
    <definedName name="NE004ASMonth" localSheetId="27">#REF!</definedName>
    <definedName name="NE004ASMonth" localSheetId="21">#REF!</definedName>
    <definedName name="NE004ASMonth" localSheetId="15">#REF!</definedName>
    <definedName name="NE004ASMonth" localSheetId="7">#REF!</definedName>
    <definedName name="NE004ASMonth" localSheetId="8">#REF!</definedName>
    <definedName name="NE004ASMonth" localSheetId="1">#REF!</definedName>
    <definedName name="NE004ASMonth" localSheetId="25">#REF!</definedName>
    <definedName name="NE004ASMonth" localSheetId="30">#REF!</definedName>
    <definedName name="NE004ASMonth" localSheetId="4">#REF!</definedName>
    <definedName name="NE004ASMonth" localSheetId="11">#REF!</definedName>
    <definedName name="NE004ASMonth" localSheetId="24">#REF!</definedName>
    <definedName name="NE004ASMonth">#REF!</definedName>
    <definedName name="NE004ASYTD" localSheetId="29">#REF!</definedName>
    <definedName name="NE004ASYTD" localSheetId="2">#REF!</definedName>
    <definedName name="NE004ASYTD" localSheetId="28">#REF!</definedName>
    <definedName name="NE004ASYTD" localSheetId="16">#REF!</definedName>
    <definedName name="NE004ASYTD" localSheetId="22">#REF!</definedName>
    <definedName name="NE004ASYTD" localSheetId="26">#REF!</definedName>
    <definedName name="NE004ASYTD" localSheetId="20">#REF!</definedName>
    <definedName name="NE004ASYTD" localSheetId="19">#REF!</definedName>
    <definedName name="NE004ASYTD" localSheetId="18">#REF!</definedName>
    <definedName name="NE004ASYTD" localSheetId="17">#REF!</definedName>
    <definedName name="NE004ASYTD" localSheetId="27">#REF!</definedName>
    <definedName name="NE004ASYTD" localSheetId="21">#REF!</definedName>
    <definedName name="NE004ASYTD" localSheetId="15">#REF!</definedName>
    <definedName name="NE004ASYTD" localSheetId="7">#REF!</definedName>
    <definedName name="NE004ASYTD" localSheetId="8">#REF!</definedName>
    <definedName name="NE004ASYTD" localSheetId="1">#REF!</definedName>
    <definedName name="NE004ASYTD" localSheetId="25">#REF!</definedName>
    <definedName name="NE004ASYTD" localSheetId="30">#REF!</definedName>
    <definedName name="NE004ASYTD" localSheetId="4">#REF!</definedName>
    <definedName name="NE004ASYTD" localSheetId="11">#REF!</definedName>
    <definedName name="NE004ASYTD" localSheetId="24">#REF!</definedName>
    <definedName name="NE004ASYTD">#REF!</definedName>
    <definedName name="NE004MText" localSheetId="29">#REF!</definedName>
    <definedName name="NE004MText" localSheetId="2">#REF!</definedName>
    <definedName name="NE004MText" localSheetId="28">#REF!</definedName>
    <definedName name="NE004MText" localSheetId="16">#REF!</definedName>
    <definedName name="NE004MText" localSheetId="22">#REF!</definedName>
    <definedName name="NE004MText" localSheetId="26">#REF!</definedName>
    <definedName name="NE004MText" localSheetId="20">#REF!</definedName>
    <definedName name="NE004MText" localSheetId="19">#REF!</definedName>
    <definedName name="NE004MText" localSheetId="18">#REF!</definedName>
    <definedName name="NE004MText" localSheetId="17">#REF!</definedName>
    <definedName name="NE004MText" localSheetId="27">#REF!</definedName>
    <definedName name="NE004MText" localSheetId="21">#REF!</definedName>
    <definedName name="NE004MText" localSheetId="15">#REF!</definedName>
    <definedName name="NE004MText" localSheetId="7">#REF!</definedName>
    <definedName name="NE004MText" localSheetId="8">#REF!</definedName>
    <definedName name="NE004MText" localSheetId="1">#REF!</definedName>
    <definedName name="NE004MText" localSheetId="25">#REF!</definedName>
    <definedName name="NE004MText" localSheetId="30">#REF!</definedName>
    <definedName name="NE004MText" localSheetId="4">#REF!</definedName>
    <definedName name="NE004MText" localSheetId="11">#REF!</definedName>
    <definedName name="NE004MText" localSheetId="24">#REF!</definedName>
    <definedName name="NE004MText">#REF!</definedName>
    <definedName name="NE004MTitle" localSheetId="29">#REF!</definedName>
    <definedName name="NE004MTitle" localSheetId="2">#REF!</definedName>
    <definedName name="NE004MTitle" localSheetId="28">#REF!</definedName>
    <definedName name="NE004MTitle" localSheetId="16">#REF!</definedName>
    <definedName name="NE004MTitle" localSheetId="22">#REF!</definedName>
    <definedName name="NE004MTitle" localSheetId="26">#REF!</definedName>
    <definedName name="NE004MTitle" localSheetId="20">#REF!</definedName>
    <definedName name="NE004MTitle" localSheetId="19">#REF!</definedName>
    <definedName name="NE004MTitle" localSheetId="18">#REF!</definedName>
    <definedName name="NE004MTitle" localSheetId="17">#REF!</definedName>
    <definedName name="NE004MTitle" localSheetId="27">#REF!</definedName>
    <definedName name="NE004MTitle" localSheetId="21">#REF!</definedName>
    <definedName name="NE004MTitle" localSheetId="15">#REF!</definedName>
    <definedName name="NE004MTitle" localSheetId="7">#REF!</definedName>
    <definedName name="NE004MTitle" localSheetId="8">#REF!</definedName>
    <definedName name="NE004MTitle" localSheetId="1">#REF!</definedName>
    <definedName name="NE004MTitle" localSheetId="25">#REF!</definedName>
    <definedName name="NE004MTitle" localSheetId="30">#REF!</definedName>
    <definedName name="NE004MTitle" localSheetId="4">#REF!</definedName>
    <definedName name="NE004MTitle" localSheetId="11">#REF!</definedName>
    <definedName name="NE004MTitle" localSheetId="24">#REF!</definedName>
    <definedName name="NE004MTitle">#REF!</definedName>
    <definedName name="NE004ODMonth" localSheetId="29">#REF!</definedName>
    <definedName name="NE004ODMonth" localSheetId="2">#REF!</definedName>
    <definedName name="NE004ODMonth" localSheetId="28">#REF!</definedName>
    <definedName name="NE004ODMonth" localSheetId="16">#REF!</definedName>
    <definedName name="NE004ODMonth" localSheetId="22">#REF!</definedName>
    <definedName name="NE004ODMonth" localSheetId="26">#REF!</definedName>
    <definedName name="NE004ODMonth" localSheetId="20">#REF!</definedName>
    <definedName name="NE004ODMonth" localSheetId="19">#REF!</definedName>
    <definedName name="NE004ODMonth" localSheetId="18">#REF!</definedName>
    <definedName name="NE004ODMonth" localSheetId="17">#REF!</definedName>
    <definedName name="NE004ODMonth" localSheetId="27">#REF!</definedName>
    <definedName name="NE004ODMonth" localSheetId="21">#REF!</definedName>
    <definedName name="NE004ODMonth" localSheetId="15">#REF!</definedName>
    <definedName name="NE004ODMonth" localSheetId="7">#REF!</definedName>
    <definedName name="NE004ODMonth" localSheetId="8">#REF!</definedName>
    <definedName name="NE004ODMonth" localSheetId="1">#REF!</definedName>
    <definedName name="NE004ODMonth" localSheetId="25">#REF!</definedName>
    <definedName name="NE004ODMonth" localSheetId="30">#REF!</definedName>
    <definedName name="NE004ODMonth" localSheetId="4">#REF!</definedName>
    <definedName name="NE004ODMonth" localSheetId="11">#REF!</definedName>
    <definedName name="NE004ODMonth" localSheetId="24">#REF!</definedName>
    <definedName name="NE004ODMonth">#REF!</definedName>
    <definedName name="NE004ODYTD" localSheetId="29">#REF!</definedName>
    <definedName name="NE004ODYTD" localSheetId="2">#REF!</definedName>
    <definedName name="NE004ODYTD" localSheetId="28">#REF!</definedName>
    <definedName name="NE004ODYTD" localSheetId="16">#REF!</definedName>
    <definedName name="NE004ODYTD" localSheetId="22">#REF!</definedName>
    <definedName name="NE004ODYTD" localSheetId="26">#REF!</definedName>
    <definedName name="NE004ODYTD" localSheetId="20">#REF!</definedName>
    <definedName name="NE004ODYTD" localSheetId="19">#REF!</definedName>
    <definedName name="NE004ODYTD" localSheetId="18">#REF!</definedName>
    <definedName name="NE004ODYTD" localSheetId="17">#REF!</definedName>
    <definedName name="NE004ODYTD" localSheetId="27">#REF!</definedName>
    <definedName name="NE004ODYTD" localSheetId="21">#REF!</definedName>
    <definedName name="NE004ODYTD" localSheetId="15">#REF!</definedName>
    <definedName name="NE004ODYTD" localSheetId="7">#REF!</definedName>
    <definedName name="NE004ODYTD" localSheetId="8">#REF!</definedName>
    <definedName name="NE004ODYTD" localSheetId="1">#REF!</definedName>
    <definedName name="NE004ODYTD" localSheetId="25">#REF!</definedName>
    <definedName name="NE004ODYTD" localSheetId="30">#REF!</definedName>
    <definedName name="NE004ODYTD" localSheetId="4">#REF!</definedName>
    <definedName name="NE004ODYTD" localSheetId="11">#REF!</definedName>
    <definedName name="NE004ODYTD" localSheetId="24">#REF!</definedName>
    <definedName name="NE004ODYTD">#REF!</definedName>
    <definedName name="NER">'national caseload'!$B$31</definedName>
    <definedName name="NWR">'national caseload'!$B$35</definedName>
    <definedName name="obbbbbj" localSheetId="29">'[2]List Data'!#REF!</definedName>
    <definedName name="obbbbbj" localSheetId="28">'[2]List Data'!#REF!</definedName>
    <definedName name="obbbbbj" localSheetId="20">'[2]List Data'!#REF!</definedName>
    <definedName name="obbbbbj" localSheetId="19">'[2]List Data'!#REF!</definedName>
    <definedName name="obbbbbj" localSheetId="18">'[2]List Data'!#REF!</definedName>
    <definedName name="obbbbbj" localSheetId="17">'[2]List Data'!#REF!</definedName>
    <definedName name="obbbbbj" localSheetId="15">'[2]List Data'!#REF!</definedName>
    <definedName name="obbbbbj" localSheetId="7">'[2]List Data'!#REF!</definedName>
    <definedName name="obbbbbj" localSheetId="8">'[2]List Data'!#REF!</definedName>
    <definedName name="obbbbbj" localSheetId="30">'[2]List Data'!#REF!</definedName>
    <definedName name="obbbbbj" localSheetId="11">'[2]List Data'!#REF!</definedName>
    <definedName name="obbbbbj">'[2]List Data'!#REF!</definedName>
    <definedName name="obbbjj" localSheetId="29">'[2]List Data'!#REF!</definedName>
    <definedName name="obbbjj" localSheetId="28">'[2]List Data'!#REF!</definedName>
    <definedName name="obbbjj" localSheetId="20">'[2]List Data'!#REF!</definedName>
    <definedName name="obbbjj" localSheetId="19">'[2]List Data'!#REF!</definedName>
    <definedName name="obbbjj" localSheetId="18">'[2]List Data'!#REF!</definedName>
    <definedName name="obbbjj" localSheetId="17">'[2]List Data'!#REF!</definedName>
    <definedName name="obbbjj" localSheetId="15">'[2]List Data'!#REF!</definedName>
    <definedName name="obbbjj" localSheetId="7">'[2]List Data'!#REF!</definedName>
    <definedName name="obbbjj" localSheetId="8">'[2]List Data'!#REF!</definedName>
    <definedName name="obbbjj" localSheetId="30">'[2]List Data'!#REF!</definedName>
    <definedName name="obbbjj" localSheetId="11">'[2]List Data'!#REF!</definedName>
    <definedName name="obbbjj">'[2]List Data'!#REF!</definedName>
    <definedName name="obbbjjj" localSheetId="29">'[2]List Data'!#REF!</definedName>
    <definedName name="obbbjjj" localSheetId="28">'[2]List Data'!#REF!</definedName>
    <definedName name="obbbjjj" localSheetId="20">'[2]List Data'!#REF!</definedName>
    <definedName name="obbbjjj" localSheetId="19">'[2]List Data'!#REF!</definedName>
    <definedName name="obbbjjj" localSheetId="18">'[2]List Data'!#REF!</definedName>
    <definedName name="obbbjjj" localSheetId="17">'[2]List Data'!#REF!</definedName>
    <definedName name="obbbjjj" localSheetId="15">'[2]List Data'!#REF!</definedName>
    <definedName name="obbbjjj" localSheetId="7">'[2]List Data'!#REF!</definedName>
    <definedName name="obbbjjj" localSheetId="8">'[2]List Data'!#REF!</definedName>
    <definedName name="obbbjjj" localSheetId="30">'[2]List Data'!#REF!</definedName>
    <definedName name="obbbjjj" localSheetId="11">'[2]List Data'!#REF!</definedName>
    <definedName name="obbbjjj">'[2]List Data'!#REF!</definedName>
    <definedName name="obbj" localSheetId="29">'[2]List Data'!#REF!</definedName>
    <definedName name="obbj" localSheetId="28">'[2]List Data'!#REF!</definedName>
    <definedName name="obbj" localSheetId="20">'[2]List Data'!#REF!</definedName>
    <definedName name="obbj" localSheetId="19">'[2]List Data'!#REF!</definedName>
    <definedName name="obbj" localSheetId="18">'[2]List Data'!#REF!</definedName>
    <definedName name="obbj" localSheetId="17">'[2]List Data'!#REF!</definedName>
    <definedName name="obbj" localSheetId="15">'[2]List Data'!#REF!</definedName>
    <definedName name="obbj" localSheetId="7">'[2]List Data'!#REF!</definedName>
    <definedName name="obbj" localSheetId="8">'[2]List Data'!#REF!</definedName>
    <definedName name="obbj" localSheetId="30">'[2]List Data'!#REF!</definedName>
    <definedName name="obbj" localSheetId="11">'[2]List Data'!#REF!</definedName>
    <definedName name="obbj">'[2]List Data'!#REF!</definedName>
    <definedName name="obbjj" localSheetId="29">'[2]List Data'!#REF!</definedName>
    <definedName name="obbjj" localSheetId="28">'[2]List Data'!#REF!</definedName>
    <definedName name="obbjj" localSheetId="20">'[2]List Data'!#REF!</definedName>
    <definedName name="obbjj" localSheetId="19">'[2]List Data'!#REF!</definedName>
    <definedName name="obbjj" localSheetId="18">'[2]List Data'!#REF!</definedName>
    <definedName name="obbjj" localSheetId="17">'[2]List Data'!#REF!</definedName>
    <definedName name="obbjj" localSheetId="15">'[2]List Data'!#REF!</definedName>
    <definedName name="obbjj" localSheetId="7">'[2]List Data'!#REF!</definedName>
    <definedName name="obbjj" localSheetId="8">'[2]List Data'!#REF!</definedName>
    <definedName name="obbjj" localSheetId="30">'[2]List Data'!#REF!</definedName>
    <definedName name="obbjj" localSheetId="11">'[2]List Data'!#REF!</definedName>
    <definedName name="obbjj">'[2]List Data'!#REF!</definedName>
    <definedName name="obj" localSheetId="29">'[2]List Data'!#REF!</definedName>
    <definedName name="obj" localSheetId="28">'[2]List Data'!#REF!</definedName>
    <definedName name="obj" localSheetId="20">'[2]List Data'!#REF!</definedName>
    <definedName name="obj" localSheetId="19">'[2]List Data'!#REF!</definedName>
    <definedName name="obj" localSheetId="18">'[2]List Data'!#REF!</definedName>
    <definedName name="obj" localSheetId="17">'[2]List Data'!#REF!</definedName>
    <definedName name="obj" localSheetId="15">'[2]List Data'!#REF!</definedName>
    <definedName name="obj" localSheetId="7">'[2]List Data'!#REF!</definedName>
    <definedName name="obj" localSheetId="8">'[2]List Data'!#REF!</definedName>
    <definedName name="obj" localSheetId="30">'[2]List Data'!#REF!</definedName>
    <definedName name="obj" localSheetId="11">'[2]List Data'!#REF!</definedName>
    <definedName name="obj">'[2]List Data'!#REF!</definedName>
    <definedName name="Objective" localSheetId="29">'[2]List Data'!#REF!</definedName>
    <definedName name="Objective" localSheetId="2">'[3]List Data'!#REF!</definedName>
    <definedName name="Objective" localSheetId="28">'[2]List Data'!#REF!</definedName>
    <definedName name="Objective" localSheetId="16">'[3]List Data'!#REF!</definedName>
    <definedName name="Objective" localSheetId="22">'[3]List Data'!#REF!</definedName>
    <definedName name="Objective" localSheetId="26">'[3]List Data'!#REF!</definedName>
    <definedName name="Objective" localSheetId="20">'[2]List Data'!#REF!</definedName>
    <definedName name="Objective" localSheetId="19">'[2]List Data'!#REF!</definedName>
    <definedName name="Objective" localSheetId="18">'[2]List Data'!#REF!</definedName>
    <definedName name="Objective" localSheetId="17">'[2]List Data'!#REF!</definedName>
    <definedName name="Objective" localSheetId="27">'[3]List Data'!#REF!</definedName>
    <definedName name="Objective" localSheetId="21">'[3]List Data'!#REF!</definedName>
    <definedName name="Objective" localSheetId="15">'[2]List Data'!#REF!</definedName>
    <definedName name="Objective" localSheetId="7">'[2]List Data'!#REF!</definedName>
    <definedName name="Objective" localSheetId="8">'[2]List Data'!#REF!</definedName>
    <definedName name="Objective" localSheetId="1">'[3]List Data'!#REF!</definedName>
    <definedName name="Objective" localSheetId="25">'[3]List Data'!#REF!</definedName>
    <definedName name="Objective" localSheetId="30">'[2]List Data'!#REF!</definedName>
    <definedName name="Objective" localSheetId="4">'[3]List Data'!#REF!</definedName>
    <definedName name="Objective" localSheetId="11">'[2]List Data'!#REF!</definedName>
    <definedName name="Objective" localSheetId="24">'[3]List Data'!#REF!</definedName>
    <definedName name="Objective">'[2]List Data'!#REF!</definedName>
    <definedName name="objj" localSheetId="29">'[2]List Data'!#REF!</definedName>
    <definedName name="objj" localSheetId="28">'[2]List Data'!#REF!</definedName>
    <definedName name="objj" localSheetId="20">'[2]List Data'!#REF!</definedName>
    <definedName name="objj" localSheetId="19">'[2]List Data'!#REF!</definedName>
    <definedName name="objj" localSheetId="18">'[2]List Data'!#REF!</definedName>
    <definedName name="objj" localSheetId="17">'[2]List Data'!#REF!</definedName>
    <definedName name="objj" localSheetId="15">'[2]List Data'!#REF!</definedName>
    <definedName name="objj" localSheetId="7">'[2]List Data'!#REF!</definedName>
    <definedName name="objj" localSheetId="8">'[2]List Data'!#REF!</definedName>
    <definedName name="objj" localSheetId="30">'[2]List Data'!#REF!</definedName>
    <definedName name="objj" localSheetId="11">'[2]List Data'!#REF!</definedName>
    <definedName name="objj">'[2]List Data'!#REF!</definedName>
    <definedName name="oobbbjjj" localSheetId="29">'[2]List Data'!#REF!</definedName>
    <definedName name="oobbbjjj" localSheetId="28">'[2]List Data'!#REF!</definedName>
    <definedName name="oobbbjjj" localSheetId="20">'[2]List Data'!#REF!</definedName>
    <definedName name="oobbbjjj" localSheetId="19">'[2]List Data'!#REF!</definedName>
    <definedName name="oobbbjjj" localSheetId="18">'[2]List Data'!#REF!</definedName>
    <definedName name="oobbbjjj" localSheetId="17">'[2]List Data'!#REF!</definedName>
    <definedName name="oobbbjjj" localSheetId="15">'[2]List Data'!#REF!</definedName>
    <definedName name="oobbbjjj" localSheetId="7">'[2]List Data'!#REF!</definedName>
    <definedName name="oobbbjjj" localSheetId="8">'[2]List Data'!#REF!</definedName>
    <definedName name="oobbbjjj" localSheetId="30">'[2]List Data'!#REF!</definedName>
    <definedName name="oobbbjjj" localSheetId="11">'[2]List Data'!#REF!</definedName>
    <definedName name="oobbbjjj">'[2]List Data'!#REF!</definedName>
    <definedName name="ooobbbbjjj" localSheetId="29">'[2]List Data'!#REF!</definedName>
    <definedName name="ooobbbbjjj" localSheetId="28">'[2]List Data'!#REF!</definedName>
    <definedName name="ooobbbbjjj" localSheetId="20">'[2]List Data'!#REF!</definedName>
    <definedName name="ooobbbbjjj" localSheetId="19">'[2]List Data'!#REF!</definedName>
    <definedName name="ooobbbbjjj" localSheetId="18">'[2]List Data'!#REF!</definedName>
    <definedName name="ooobbbbjjj" localSheetId="17">'[2]List Data'!#REF!</definedName>
    <definedName name="ooobbbbjjj" localSheetId="15">'[2]List Data'!#REF!</definedName>
    <definedName name="ooobbbbjjj" localSheetId="7">'[2]List Data'!#REF!</definedName>
    <definedName name="ooobbbbjjj" localSheetId="8">'[2]List Data'!#REF!</definedName>
    <definedName name="ooobbbbjjj" localSheetId="30">'[2]List Data'!#REF!</definedName>
    <definedName name="ooobbbbjjj" localSheetId="11">'[2]List Data'!#REF!</definedName>
    <definedName name="ooobbbbjjj">'[2]List Data'!#REF!</definedName>
    <definedName name="ooobbbjjj" localSheetId="29">'[2]List Data'!#REF!</definedName>
    <definedName name="ooobbbjjj" localSheetId="28">'[2]List Data'!#REF!</definedName>
    <definedName name="ooobbbjjj" localSheetId="20">'[2]List Data'!#REF!</definedName>
    <definedName name="ooobbbjjj" localSheetId="19">'[2]List Data'!#REF!</definedName>
    <definedName name="ooobbbjjj" localSheetId="18">'[2]List Data'!#REF!</definedName>
    <definedName name="ooobbbjjj" localSheetId="17">'[2]List Data'!#REF!</definedName>
    <definedName name="ooobbbjjj" localSheetId="15">'[2]List Data'!#REF!</definedName>
    <definedName name="ooobbbjjj" localSheetId="7">'[2]List Data'!#REF!</definedName>
    <definedName name="ooobbbjjj" localSheetId="8">'[2]List Data'!#REF!</definedName>
    <definedName name="ooobbbjjj" localSheetId="30">'[2]List Data'!#REF!</definedName>
    <definedName name="ooobbbjjj" localSheetId="11">'[2]List Data'!#REF!</definedName>
    <definedName name="ooobbbjjj">'[2]List Data'!#REF!</definedName>
    <definedName name="ooobbbjjjj" localSheetId="29">'[2]List Data'!#REF!</definedName>
    <definedName name="ooobbbjjjj" localSheetId="28">'[2]List Data'!#REF!</definedName>
    <definedName name="ooobbbjjjj" localSheetId="20">'[2]List Data'!#REF!</definedName>
    <definedName name="ooobbbjjjj" localSheetId="19">'[2]List Data'!#REF!</definedName>
    <definedName name="ooobbbjjjj" localSheetId="18">'[2]List Data'!#REF!</definedName>
    <definedName name="ooobbbjjjj" localSheetId="17">'[2]List Data'!#REF!</definedName>
    <definedName name="ooobbbjjjj" localSheetId="15">'[2]List Data'!#REF!</definedName>
    <definedName name="ooobbbjjjj" localSheetId="7">'[2]List Data'!#REF!</definedName>
    <definedName name="ooobbbjjjj" localSheetId="8">'[2]List Data'!#REF!</definedName>
    <definedName name="ooobbbjjjj" localSheetId="30">'[2]List Data'!#REF!</definedName>
    <definedName name="ooobbbjjjj" localSheetId="11">'[2]List Data'!#REF!</definedName>
    <definedName name="ooobbbjjjj">'[2]List Data'!#REF!</definedName>
    <definedName name="ooobbjjjjj" localSheetId="29">'[2]List Data'!#REF!</definedName>
    <definedName name="ooobbjjjjj" localSheetId="28">'[2]List Data'!#REF!</definedName>
    <definedName name="ooobbjjjjj" localSheetId="20">'[2]List Data'!#REF!</definedName>
    <definedName name="ooobbjjjjj" localSheetId="19">'[2]List Data'!#REF!</definedName>
    <definedName name="ooobbjjjjj" localSheetId="18">'[2]List Data'!#REF!</definedName>
    <definedName name="ooobbjjjjj" localSheetId="17">'[2]List Data'!#REF!</definedName>
    <definedName name="ooobbjjjjj" localSheetId="15">'[2]List Data'!#REF!</definedName>
    <definedName name="ooobbjjjjj" localSheetId="7">'[2]List Data'!#REF!</definedName>
    <definedName name="ooobbjjjjj" localSheetId="8">'[2]List Data'!#REF!</definedName>
    <definedName name="ooobbjjjjj" localSheetId="30">'[2]List Data'!#REF!</definedName>
    <definedName name="ooobbjjjjj" localSheetId="11">'[2]List Data'!#REF!</definedName>
    <definedName name="ooobbjjjjj">'[2]List Data'!#REF!</definedName>
    <definedName name="oooobbbjjj" localSheetId="29">'[2]List Data'!#REF!</definedName>
    <definedName name="oooobbbjjj" localSheetId="28">'[2]List Data'!#REF!</definedName>
    <definedName name="oooobbbjjj" localSheetId="20">'[2]List Data'!#REF!</definedName>
    <definedName name="oooobbbjjj" localSheetId="19">'[2]List Data'!#REF!</definedName>
    <definedName name="oooobbbjjj" localSheetId="18">'[2]List Data'!#REF!</definedName>
    <definedName name="oooobbbjjj" localSheetId="17">'[2]List Data'!#REF!</definedName>
    <definedName name="oooobbbjjj" localSheetId="15">'[2]List Data'!#REF!</definedName>
    <definedName name="oooobbbjjj" localSheetId="7">'[2]List Data'!#REF!</definedName>
    <definedName name="oooobbbjjj" localSheetId="8">'[2]List Data'!#REF!</definedName>
    <definedName name="oooobbbjjj" localSheetId="30">'[2]List Data'!#REF!</definedName>
    <definedName name="oooobbbjjj" localSheetId="11">'[2]List Data'!#REF!</definedName>
    <definedName name="oooobbbjjj">'[2]List Data'!#REF!</definedName>
    <definedName name="_xlnm.Print_Area" localSheetId="29">#REF!,'Capacity Buttons'!#REF!,'Capacity Buttons'!#REF!,'Capacity Buttons'!#REF!,'Capacity Buttons'!#REF!,'Capacity Buttons'!#REF!,'Capacity Buttons'!#REF!,'Capacity Buttons'!#REF!</definedName>
    <definedName name="_xlnm.Print_Area" localSheetId="28">#REF!,'Caseload Buttons'!#REF!,'Caseload Buttons'!#REF!,'Caseload Buttons'!#REF!,'Caseload Buttons'!#REF!,'Caseload Buttons'!#REF!,'Caseload Buttons'!#REF!,'Caseload Buttons'!#REF!</definedName>
    <definedName name="_xlnm.Print_Area" localSheetId="27">'div &amp; regional reduction hours'!$B$1:$N$18</definedName>
    <definedName name="_xlnm.Print_Area" localSheetId="21">'divisional &amp; regional capacity'!$B$1:$F$17</definedName>
    <definedName name="_xlnm.Print_Area" localSheetId="0">home!$A$1:$U$28</definedName>
    <definedName name="_xlnm.Print_Area" localSheetId="30">#REF!,'Reductions Buttons'!#REF!,'Reductions Buttons'!#REF!,'Reductions Buttons'!#REF!,'Reductions Buttons'!#REF!,'Reductions Buttons'!#REF!,'Reductions Buttons'!#REF!,'Reductions Buttons'!#REF!</definedName>
    <definedName name="QtrRange" localSheetId="29">#REF!</definedName>
    <definedName name="QtrRange" localSheetId="2">#REF!</definedName>
    <definedName name="QtrRange" localSheetId="28">#REF!</definedName>
    <definedName name="QtrRange" localSheetId="16">#REF!</definedName>
    <definedName name="QtrRange" localSheetId="22">#REF!</definedName>
    <definedName name="QtrRange" localSheetId="26">#REF!</definedName>
    <definedName name="QtrRange" localSheetId="20">#REF!</definedName>
    <definedName name="QtrRange" localSheetId="19">#REF!</definedName>
    <definedName name="QtrRange" localSheetId="18">#REF!</definedName>
    <definedName name="QtrRange" localSheetId="17">#REF!</definedName>
    <definedName name="QtrRange" localSheetId="27">#REF!</definedName>
    <definedName name="QtrRange" localSheetId="21">#REF!</definedName>
    <definedName name="QtrRange" localSheetId="15">#REF!</definedName>
    <definedName name="QtrRange" localSheetId="7">#REF!</definedName>
    <definedName name="QtrRange" localSheetId="8">#REF!</definedName>
    <definedName name="QtrRange" localSheetId="1">#REF!</definedName>
    <definedName name="QtrRange" localSheetId="25">#REF!</definedName>
    <definedName name="QtrRange" localSheetId="30">#REF!</definedName>
    <definedName name="QtrRange" localSheetId="4">#REF!</definedName>
    <definedName name="QtrRange" localSheetId="11">#REF!</definedName>
    <definedName name="QtrRange" localSheetId="24">#REF!</definedName>
    <definedName name="QtrRange">#REF!</definedName>
    <definedName name="Rank_Rating_Lookup">'[1]Rating Lookup'!$I$2:$J$36</definedName>
    <definedName name="Rating">'[1]Rating Lookup'!$C$3:$F$6</definedName>
    <definedName name="Region_Table">PDUs!$A$1:$L$30</definedName>
    <definedName name="Regions">PDUs!$A$1:$L$1</definedName>
    <definedName name="Second_Anchor">PDUs!$N$1</definedName>
    <definedName name="Selection_LDUCluster" localSheetId="29">#REF!</definedName>
    <definedName name="Selection_LDUCluster" localSheetId="2">#REF!</definedName>
    <definedName name="Selection_LDUCluster" localSheetId="28">#REF!</definedName>
    <definedName name="Selection_LDUCluster" localSheetId="16">#REF!</definedName>
    <definedName name="Selection_LDUCluster" localSheetId="22">#REF!</definedName>
    <definedName name="Selection_LDUCluster" localSheetId="26">#REF!</definedName>
    <definedName name="Selection_LDUCluster" localSheetId="20">#REF!</definedName>
    <definedName name="Selection_LDUCluster" localSheetId="19">#REF!</definedName>
    <definedName name="Selection_LDUCluster" localSheetId="18">#REF!</definedName>
    <definedName name="Selection_LDUCluster" localSheetId="17">#REF!</definedName>
    <definedName name="Selection_LDUCluster" localSheetId="27">#REF!</definedName>
    <definedName name="Selection_LDUCluster" localSheetId="21">#REF!</definedName>
    <definedName name="Selection_LDUCluster" localSheetId="15">#REF!</definedName>
    <definedName name="Selection_LDUCluster" localSheetId="7">#REF!</definedName>
    <definedName name="Selection_LDUCluster" localSheetId="8">#REF!</definedName>
    <definedName name="Selection_LDUCluster" localSheetId="1">#REF!</definedName>
    <definedName name="Selection_LDUCluster" localSheetId="25">#REF!</definedName>
    <definedName name="Selection_LDUCluster" localSheetId="30">#REF!</definedName>
    <definedName name="Selection_LDUCluster" localSheetId="4">#REF!</definedName>
    <definedName name="Selection_LDUCluster" localSheetId="11">#REF!</definedName>
    <definedName name="Selection_LDUCluster" localSheetId="24">#REF!</definedName>
    <definedName name="Selection_LDUCluster">#REF!</definedName>
    <definedName name="Selection_Metric" localSheetId="29">#REF!</definedName>
    <definedName name="Selection_Metric" localSheetId="2">#REF!</definedName>
    <definedName name="Selection_Metric" localSheetId="28">#REF!</definedName>
    <definedName name="Selection_Metric" localSheetId="16">#REF!</definedName>
    <definedName name="Selection_Metric" localSheetId="22">#REF!</definedName>
    <definedName name="Selection_Metric" localSheetId="26">#REF!</definedName>
    <definedName name="Selection_Metric" localSheetId="20">#REF!</definedName>
    <definedName name="Selection_Metric" localSheetId="19">#REF!</definedName>
    <definedName name="Selection_Metric" localSheetId="18">#REF!</definedName>
    <definedName name="Selection_Metric" localSheetId="17">#REF!</definedName>
    <definedName name="Selection_Metric" localSheetId="27">#REF!</definedName>
    <definedName name="Selection_Metric" localSheetId="21">#REF!</definedName>
    <definedName name="Selection_Metric" localSheetId="15">#REF!</definedName>
    <definedName name="Selection_Metric" localSheetId="7">#REF!</definedName>
    <definedName name="Selection_Metric" localSheetId="8">#REF!</definedName>
    <definedName name="Selection_Metric" localSheetId="1">#REF!</definedName>
    <definedName name="Selection_Metric" localSheetId="25">#REF!</definedName>
    <definedName name="Selection_Metric" localSheetId="30">#REF!</definedName>
    <definedName name="Selection_Metric" localSheetId="4">#REF!</definedName>
    <definedName name="Selection_Metric" localSheetId="11">#REF!</definedName>
    <definedName name="Selection_Metric" localSheetId="24">#REF!</definedName>
    <definedName name="Selection_Metric">#REF!</definedName>
    <definedName name="SL001Month" localSheetId="29">#REF!</definedName>
    <definedName name="SL001Month" localSheetId="2">#REF!</definedName>
    <definedName name="SL001Month" localSheetId="28">#REF!</definedName>
    <definedName name="SL001Month" localSheetId="16">#REF!</definedName>
    <definedName name="SL001Month" localSheetId="22">#REF!</definedName>
    <definedName name="SL001Month" localSheetId="26">#REF!</definedName>
    <definedName name="SL001Month" localSheetId="20">#REF!</definedName>
    <definedName name="SL001Month" localSheetId="19">#REF!</definedName>
    <definedName name="SL001Month" localSheetId="18">#REF!</definedName>
    <definedName name="SL001Month" localSheetId="17">#REF!</definedName>
    <definedName name="SL001Month" localSheetId="27">#REF!</definedName>
    <definedName name="SL001Month" localSheetId="21">#REF!</definedName>
    <definedName name="SL001Month" localSheetId="15">#REF!</definedName>
    <definedName name="SL001Month" localSheetId="7">#REF!</definedName>
    <definedName name="SL001Month" localSheetId="8">#REF!</definedName>
    <definedName name="SL001Month" localSheetId="1">#REF!</definedName>
    <definedName name="SL001Month" localSheetId="25">#REF!</definedName>
    <definedName name="SL001Month" localSheetId="30">#REF!</definedName>
    <definedName name="SL001Month" localSheetId="4">#REF!</definedName>
    <definedName name="SL001Month" localSheetId="11">#REF!</definedName>
    <definedName name="SL001Month" localSheetId="24">#REF!</definedName>
    <definedName name="SL001Month">#REF!</definedName>
    <definedName name="SL001Text" localSheetId="29">#REF!</definedName>
    <definedName name="SL001Text" localSheetId="2">#REF!</definedName>
    <definedName name="SL001Text" localSheetId="28">#REF!</definedName>
    <definedName name="SL001Text" localSheetId="16">#REF!</definedName>
    <definedName name="SL001Text" localSheetId="22">#REF!</definedName>
    <definedName name="SL001Text" localSheetId="26">#REF!</definedName>
    <definedName name="SL001Text" localSheetId="20">#REF!</definedName>
    <definedName name="SL001Text" localSheetId="19">#REF!</definedName>
    <definedName name="SL001Text" localSheetId="18">#REF!</definedName>
    <definedName name="SL001Text" localSheetId="17">#REF!</definedName>
    <definedName name="SL001Text" localSheetId="27">#REF!</definedName>
    <definedName name="SL001Text" localSheetId="21">#REF!</definedName>
    <definedName name="SL001Text" localSheetId="15">#REF!</definedName>
    <definedName name="SL001Text" localSheetId="7">#REF!</definedName>
    <definedName name="SL001Text" localSheetId="8">#REF!</definedName>
    <definedName name="SL001Text" localSheetId="1">#REF!</definedName>
    <definedName name="SL001Text" localSheetId="25">#REF!</definedName>
    <definedName name="SL001Text" localSheetId="30">#REF!</definedName>
    <definedName name="SL001Text" localSheetId="4">#REF!</definedName>
    <definedName name="SL001Text" localSheetId="11">#REF!</definedName>
    <definedName name="SL001Text" localSheetId="24">#REF!</definedName>
    <definedName name="SL001Text">#REF!</definedName>
    <definedName name="SL001Title" localSheetId="29">#REF!</definedName>
    <definedName name="SL001Title" localSheetId="2">#REF!</definedName>
    <definedName name="SL001Title" localSheetId="28">#REF!</definedName>
    <definedName name="SL001Title" localSheetId="16">#REF!</definedName>
    <definedName name="SL001Title" localSheetId="22">#REF!</definedName>
    <definedName name="SL001Title" localSheetId="26">#REF!</definedName>
    <definedName name="SL001Title" localSheetId="20">#REF!</definedName>
    <definedName name="SL001Title" localSheetId="19">#REF!</definedName>
    <definedName name="SL001Title" localSheetId="18">#REF!</definedName>
    <definedName name="SL001Title" localSheetId="17">#REF!</definedName>
    <definedName name="SL001Title" localSheetId="27">#REF!</definedName>
    <definedName name="SL001Title" localSheetId="21">#REF!</definedName>
    <definedName name="SL001Title" localSheetId="15">#REF!</definedName>
    <definedName name="SL001Title" localSheetId="7">#REF!</definedName>
    <definedName name="SL001Title" localSheetId="8">#REF!</definedName>
    <definedName name="SL001Title" localSheetId="1">#REF!</definedName>
    <definedName name="SL001Title" localSheetId="25">#REF!</definedName>
    <definedName name="SL001Title" localSheetId="30">#REF!</definedName>
    <definedName name="SL001Title" localSheetId="4">#REF!</definedName>
    <definedName name="SL001Title" localSheetId="11">#REF!</definedName>
    <definedName name="SL001Title" localSheetId="24">#REF!</definedName>
    <definedName name="SL001Title">#REF!</definedName>
    <definedName name="SL001YTD" localSheetId="29">#REF!</definedName>
    <definedName name="SL001YTD" localSheetId="2">#REF!</definedName>
    <definedName name="SL001YTD" localSheetId="28">#REF!</definedName>
    <definedName name="SL001YTD" localSheetId="16">#REF!</definedName>
    <definedName name="SL001YTD" localSheetId="22">#REF!</definedName>
    <definedName name="SL001YTD" localSheetId="26">#REF!</definedName>
    <definedName name="SL001YTD" localSheetId="20">#REF!</definedName>
    <definedName name="SL001YTD" localSheetId="19">#REF!</definedName>
    <definedName name="SL001YTD" localSheetId="18">#REF!</definedName>
    <definedName name="SL001YTD" localSheetId="17">#REF!</definedName>
    <definedName name="SL001YTD" localSheetId="27">#REF!</definedName>
    <definedName name="SL001YTD" localSheetId="21">#REF!</definedName>
    <definedName name="SL001YTD" localSheetId="15">#REF!</definedName>
    <definedName name="SL001YTD" localSheetId="7">#REF!</definedName>
    <definedName name="SL001YTD" localSheetId="8">#REF!</definedName>
    <definedName name="SL001YTD" localSheetId="1">#REF!</definedName>
    <definedName name="SL001YTD" localSheetId="25">#REF!</definedName>
    <definedName name="SL001YTD" localSheetId="30">#REF!</definedName>
    <definedName name="SL001YTD" localSheetId="4">#REF!</definedName>
    <definedName name="SL001YTD" localSheetId="11">#REF!</definedName>
    <definedName name="SL001YTD" localSheetId="24">#REF!</definedName>
    <definedName name="SL001YTD">#REF!</definedName>
    <definedName name="SL002AMonth" localSheetId="29">#REF!</definedName>
    <definedName name="SL002AMonth" localSheetId="2">#REF!</definedName>
    <definedName name="SL002AMonth" localSheetId="28">#REF!</definedName>
    <definedName name="SL002AMonth" localSheetId="16">#REF!</definedName>
    <definedName name="SL002AMonth" localSheetId="22">#REF!</definedName>
    <definedName name="SL002AMonth" localSheetId="26">#REF!</definedName>
    <definedName name="SL002AMonth" localSheetId="20">#REF!</definedName>
    <definedName name="SL002AMonth" localSheetId="19">#REF!</definedName>
    <definedName name="SL002AMonth" localSheetId="18">#REF!</definedName>
    <definedName name="SL002AMonth" localSheetId="17">#REF!</definedName>
    <definedName name="SL002AMonth" localSheetId="27">#REF!</definedName>
    <definedName name="SL002AMonth" localSheetId="21">#REF!</definedName>
    <definedName name="SL002AMonth" localSheetId="15">#REF!</definedName>
    <definedName name="SL002AMonth" localSheetId="7">#REF!</definedName>
    <definedName name="SL002AMonth" localSheetId="8">#REF!</definedName>
    <definedName name="SL002AMonth" localSheetId="1">#REF!</definedName>
    <definedName name="SL002AMonth" localSheetId="25">#REF!</definedName>
    <definedName name="SL002AMonth" localSheetId="30">#REF!</definedName>
    <definedName name="SL002AMonth" localSheetId="4">#REF!</definedName>
    <definedName name="SL002AMonth" localSheetId="11">#REF!</definedName>
    <definedName name="SL002AMonth" localSheetId="24">#REF!</definedName>
    <definedName name="SL002AMonth">#REF!</definedName>
    <definedName name="SL002AText" localSheetId="29">#REF!</definedName>
    <definedName name="SL002AText" localSheetId="2">#REF!</definedName>
    <definedName name="SL002AText" localSheetId="28">#REF!</definedName>
    <definedName name="SL002AText" localSheetId="16">#REF!</definedName>
    <definedName name="SL002AText" localSheetId="22">#REF!</definedName>
    <definedName name="SL002AText" localSheetId="26">#REF!</definedName>
    <definedName name="SL002AText" localSheetId="20">#REF!</definedName>
    <definedName name="SL002AText" localSheetId="19">#REF!</definedName>
    <definedName name="SL002AText" localSheetId="18">#REF!</definedName>
    <definedName name="SL002AText" localSheetId="17">#REF!</definedName>
    <definedName name="SL002AText" localSheetId="27">#REF!</definedName>
    <definedName name="SL002AText" localSheetId="21">#REF!</definedName>
    <definedName name="SL002AText" localSheetId="15">#REF!</definedName>
    <definedName name="SL002AText" localSheetId="7">#REF!</definedName>
    <definedName name="SL002AText" localSheetId="8">#REF!</definedName>
    <definedName name="SL002AText" localSheetId="1">#REF!</definedName>
    <definedName name="SL002AText" localSheetId="25">#REF!</definedName>
    <definedName name="SL002AText" localSheetId="30">#REF!</definedName>
    <definedName name="SL002AText" localSheetId="4">#REF!</definedName>
    <definedName name="SL002AText" localSheetId="11">#REF!</definedName>
    <definedName name="SL002AText" localSheetId="24">#REF!</definedName>
    <definedName name="SL002AText">#REF!</definedName>
    <definedName name="SL002ATitle" localSheetId="29">#REF!</definedName>
    <definedName name="SL002ATitle" localSheetId="2">#REF!</definedName>
    <definedName name="SL002ATitle" localSheetId="28">#REF!</definedName>
    <definedName name="SL002ATitle" localSheetId="16">#REF!</definedName>
    <definedName name="SL002ATitle" localSheetId="22">#REF!</definedName>
    <definedName name="SL002ATitle" localSheetId="26">#REF!</definedName>
    <definedName name="SL002ATitle" localSheetId="20">#REF!</definedName>
    <definedName name="SL002ATitle" localSheetId="19">#REF!</definedName>
    <definedName name="SL002ATitle" localSheetId="18">#REF!</definedName>
    <definedName name="SL002ATitle" localSheetId="17">#REF!</definedName>
    <definedName name="SL002ATitle" localSheetId="27">#REF!</definedName>
    <definedName name="SL002ATitle" localSheetId="21">#REF!</definedName>
    <definedName name="SL002ATitle" localSheetId="15">#REF!</definedName>
    <definedName name="SL002ATitle" localSheetId="7">#REF!</definedName>
    <definedName name="SL002ATitle" localSheetId="8">#REF!</definedName>
    <definedName name="SL002ATitle" localSheetId="1">#REF!</definedName>
    <definedName name="SL002ATitle" localSheetId="25">#REF!</definedName>
    <definedName name="SL002ATitle" localSheetId="30">#REF!</definedName>
    <definedName name="SL002ATitle" localSheetId="4">#REF!</definedName>
    <definedName name="SL002ATitle" localSheetId="11">#REF!</definedName>
    <definedName name="SL002ATitle" localSheetId="24">#REF!</definedName>
    <definedName name="SL002ATitle">#REF!</definedName>
    <definedName name="SL002AYTD" localSheetId="29">#REF!</definedName>
    <definedName name="SL002AYTD" localSheetId="2">#REF!</definedName>
    <definedName name="SL002AYTD" localSheetId="28">#REF!</definedName>
    <definedName name="SL002AYTD" localSheetId="16">#REF!</definedName>
    <definedName name="SL002AYTD" localSheetId="22">#REF!</definedName>
    <definedName name="SL002AYTD" localSheetId="26">#REF!</definedName>
    <definedName name="SL002AYTD" localSheetId="20">#REF!</definedName>
    <definedName name="SL002AYTD" localSheetId="19">#REF!</definedName>
    <definedName name="SL002AYTD" localSheetId="18">#REF!</definedName>
    <definedName name="SL002AYTD" localSheetId="17">#REF!</definedName>
    <definedName name="SL002AYTD" localSheetId="27">#REF!</definedName>
    <definedName name="SL002AYTD" localSheetId="21">#REF!</definedName>
    <definedName name="SL002AYTD" localSheetId="15">#REF!</definedName>
    <definedName name="SL002AYTD" localSheetId="7">#REF!</definedName>
    <definedName name="SL002AYTD" localSheetId="8">#REF!</definedName>
    <definedName name="SL002AYTD" localSheetId="1">#REF!</definedName>
    <definedName name="SL002AYTD" localSheetId="25">#REF!</definedName>
    <definedName name="SL002AYTD" localSheetId="30">#REF!</definedName>
    <definedName name="SL002AYTD" localSheetId="4">#REF!</definedName>
    <definedName name="SL002AYTD" localSheetId="11">#REF!</definedName>
    <definedName name="SL002AYTD" localSheetId="24">#REF!</definedName>
    <definedName name="SL002AYTD">#REF!</definedName>
    <definedName name="SL002BMonth" localSheetId="29">#REF!</definedName>
    <definedName name="SL002BMonth" localSheetId="2">#REF!</definedName>
    <definedName name="SL002BMonth" localSheetId="28">#REF!</definedName>
    <definedName name="SL002BMonth" localSheetId="16">#REF!</definedName>
    <definedName name="SL002BMonth" localSheetId="22">#REF!</definedName>
    <definedName name="SL002BMonth" localSheetId="26">#REF!</definedName>
    <definedName name="SL002BMonth" localSheetId="20">#REF!</definedName>
    <definedName name="SL002BMonth" localSheetId="19">#REF!</definedName>
    <definedName name="SL002BMonth" localSheetId="18">#REF!</definedName>
    <definedName name="SL002BMonth" localSheetId="17">#REF!</definedName>
    <definedName name="SL002BMonth" localSheetId="27">#REF!</definedName>
    <definedName name="SL002BMonth" localSheetId="21">#REF!</definedName>
    <definedName name="SL002BMonth" localSheetId="15">#REF!</definedName>
    <definedName name="SL002BMonth" localSheetId="7">#REF!</definedName>
    <definedName name="SL002BMonth" localSheetId="8">#REF!</definedName>
    <definedName name="SL002BMonth" localSheetId="1">#REF!</definedName>
    <definedName name="SL002BMonth" localSheetId="25">#REF!</definedName>
    <definedName name="SL002BMonth" localSheetId="30">#REF!</definedName>
    <definedName name="SL002BMonth" localSheetId="4">#REF!</definedName>
    <definedName name="SL002BMonth" localSheetId="11">#REF!</definedName>
    <definedName name="SL002BMonth" localSheetId="24">#REF!</definedName>
    <definedName name="SL002BMonth">#REF!</definedName>
    <definedName name="SL002BText" localSheetId="29">#REF!</definedName>
    <definedName name="SL002BText" localSheetId="2">#REF!</definedName>
    <definedName name="SL002BText" localSheetId="28">#REF!</definedName>
    <definedName name="SL002BText" localSheetId="16">#REF!</definedName>
    <definedName name="SL002BText" localSheetId="22">#REF!</definedName>
    <definedName name="SL002BText" localSheetId="26">#REF!</definedName>
    <definedName name="SL002BText" localSheetId="20">#REF!</definedName>
    <definedName name="SL002BText" localSheetId="19">#REF!</definedName>
    <definedName name="SL002BText" localSheetId="18">#REF!</definedName>
    <definedName name="SL002BText" localSheetId="17">#REF!</definedName>
    <definedName name="SL002BText" localSheetId="27">#REF!</definedName>
    <definedName name="SL002BText" localSheetId="21">#REF!</definedName>
    <definedName name="SL002BText" localSheetId="15">#REF!</definedName>
    <definedName name="SL002BText" localSheetId="7">#REF!</definedName>
    <definedName name="SL002BText" localSheetId="8">#REF!</definedName>
    <definedName name="SL002BText" localSheetId="1">#REF!</definedName>
    <definedName name="SL002BText" localSheetId="25">#REF!</definedName>
    <definedName name="SL002BText" localSheetId="30">#REF!</definedName>
    <definedName name="SL002BText" localSheetId="4">#REF!</definedName>
    <definedName name="SL002BText" localSheetId="11">#REF!</definedName>
    <definedName name="SL002BText" localSheetId="24">#REF!</definedName>
    <definedName name="SL002BText">#REF!</definedName>
    <definedName name="SL002BTitle" localSheetId="29">#REF!</definedName>
    <definedName name="SL002BTitle" localSheetId="2">#REF!</definedName>
    <definedName name="SL002BTitle" localSheetId="28">#REF!</definedName>
    <definedName name="SL002BTitle" localSheetId="16">#REF!</definedName>
    <definedName name="SL002BTitle" localSheetId="22">#REF!</definedName>
    <definedName name="SL002BTitle" localSheetId="26">#REF!</definedName>
    <definedName name="SL002BTitle" localSheetId="20">#REF!</definedName>
    <definedName name="SL002BTitle" localSheetId="19">#REF!</definedName>
    <definedName name="SL002BTitle" localSheetId="18">#REF!</definedName>
    <definedName name="SL002BTitle" localSheetId="17">#REF!</definedName>
    <definedName name="SL002BTitle" localSheetId="27">#REF!</definedName>
    <definedName name="SL002BTitle" localSheetId="21">#REF!</definedName>
    <definedName name="SL002BTitle" localSheetId="15">#REF!</definedName>
    <definedName name="SL002BTitle" localSheetId="7">#REF!</definedName>
    <definedName name="SL002BTitle" localSheetId="8">#REF!</definedName>
    <definedName name="SL002BTitle" localSheetId="1">#REF!</definedName>
    <definedName name="SL002BTitle" localSheetId="25">#REF!</definedName>
    <definedName name="SL002BTitle" localSheetId="30">#REF!</definedName>
    <definedName name="SL002BTitle" localSheetId="4">#REF!</definedName>
    <definedName name="SL002BTitle" localSheetId="11">#REF!</definedName>
    <definedName name="SL002BTitle" localSheetId="24">#REF!</definedName>
    <definedName name="SL002BTitle">#REF!</definedName>
    <definedName name="SL002BYTD" localSheetId="29">#REF!</definedName>
    <definedName name="SL002BYTD" localSheetId="2">#REF!</definedName>
    <definedName name="SL002BYTD" localSheetId="28">#REF!</definedName>
    <definedName name="SL002BYTD" localSheetId="16">#REF!</definedName>
    <definedName name="SL002BYTD" localSheetId="22">#REF!</definedName>
    <definedName name="SL002BYTD" localSheetId="26">#REF!</definedName>
    <definedName name="SL002BYTD" localSheetId="20">#REF!</definedName>
    <definedName name="SL002BYTD" localSheetId="19">#REF!</definedName>
    <definedName name="SL002BYTD" localSheetId="18">#REF!</definedName>
    <definedName name="SL002BYTD" localSheetId="17">#REF!</definedName>
    <definedName name="SL002BYTD" localSheetId="27">#REF!</definedName>
    <definedName name="SL002BYTD" localSheetId="21">#REF!</definedName>
    <definedName name="SL002BYTD" localSheetId="15">#REF!</definedName>
    <definedName name="SL002BYTD" localSheetId="7">#REF!</definedName>
    <definedName name="SL002BYTD" localSheetId="8">#REF!</definedName>
    <definedName name="SL002BYTD" localSheetId="1">#REF!</definedName>
    <definedName name="SL002BYTD" localSheetId="25">#REF!</definedName>
    <definedName name="SL002BYTD" localSheetId="30">#REF!</definedName>
    <definedName name="SL002BYTD" localSheetId="4">#REF!</definedName>
    <definedName name="SL002BYTD" localSheetId="11">#REF!</definedName>
    <definedName name="SL002BYTD" localSheetId="24">#REF!</definedName>
    <definedName name="SL002BYTD">#REF!</definedName>
    <definedName name="SL002Month" localSheetId="29">#REF!</definedName>
    <definedName name="SL002Month" localSheetId="2">#REF!</definedName>
    <definedName name="SL002Month" localSheetId="28">#REF!</definedName>
    <definedName name="SL002Month" localSheetId="16">#REF!</definedName>
    <definedName name="SL002Month" localSheetId="22">#REF!</definedName>
    <definedName name="SL002Month" localSheetId="26">#REF!</definedName>
    <definedName name="SL002Month" localSheetId="20">#REF!</definedName>
    <definedName name="SL002Month" localSheetId="19">#REF!</definedName>
    <definedName name="SL002Month" localSheetId="18">#REF!</definedName>
    <definedName name="SL002Month" localSheetId="17">#REF!</definedName>
    <definedName name="SL002Month" localSheetId="27">#REF!</definedName>
    <definedName name="SL002Month" localSheetId="21">#REF!</definedName>
    <definedName name="SL002Month" localSheetId="15">#REF!</definedName>
    <definedName name="SL002Month" localSheetId="7">#REF!</definedName>
    <definedName name="SL002Month" localSheetId="8">#REF!</definedName>
    <definedName name="SL002Month" localSheetId="1">#REF!</definedName>
    <definedName name="SL002Month" localSheetId="25">#REF!</definedName>
    <definedName name="SL002Month" localSheetId="30">#REF!</definedName>
    <definedName name="SL002Month" localSheetId="4">#REF!</definedName>
    <definedName name="SL002Month" localSheetId="11">#REF!</definedName>
    <definedName name="SL002Month" localSheetId="24">#REF!</definedName>
    <definedName name="SL002Month">#REF!</definedName>
    <definedName name="SL002Text" localSheetId="29">#REF!</definedName>
    <definedName name="SL002Text" localSheetId="2">#REF!</definedName>
    <definedName name="SL002Text" localSheetId="28">#REF!</definedName>
    <definedName name="SL002Text" localSheetId="16">#REF!</definedName>
    <definedName name="SL002Text" localSheetId="22">#REF!</definedName>
    <definedName name="SL002Text" localSheetId="26">#REF!</definedName>
    <definedName name="SL002Text" localSheetId="20">#REF!</definedName>
    <definedName name="SL002Text" localSheetId="19">#REF!</definedName>
    <definedName name="SL002Text" localSheetId="18">#REF!</definedName>
    <definedName name="SL002Text" localSheetId="17">#REF!</definedName>
    <definedName name="SL002Text" localSheetId="27">#REF!</definedName>
    <definedName name="SL002Text" localSheetId="21">#REF!</definedName>
    <definedName name="SL002Text" localSheetId="15">#REF!</definedName>
    <definedName name="SL002Text" localSheetId="7">#REF!</definedName>
    <definedName name="SL002Text" localSheetId="8">#REF!</definedName>
    <definedName name="SL002Text" localSheetId="1">#REF!</definedName>
    <definedName name="SL002Text" localSheetId="25">#REF!</definedName>
    <definedName name="SL002Text" localSheetId="30">#REF!</definedName>
    <definedName name="SL002Text" localSheetId="4">#REF!</definedName>
    <definedName name="SL002Text" localSheetId="11">#REF!</definedName>
    <definedName name="SL002Text" localSheetId="24">#REF!</definedName>
    <definedName name="SL002Text">#REF!</definedName>
    <definedName name="SL002Title" localSheetId="29">#REF!</definedName>
    <definedName name="SL002Title" localSheetId="2">#REF!</definedName>
    <definedName name="SL002Title" localSheetId="28">#REF!</definedName>
    <definedName name="SL002Title" localSheetId="16">#REF!</definedName>
    <definedName name="SL002Title" localSheetId="22">#REF!</definedName>
    <definedName name="SL002Title" localSheetId="26">#REF!</definedName>
    <definedName name="SL002Title" localSheetId="20">#REF!</definedName>
    <definedName name="SL002Title" localSheetId="19">#REF!</definedName>
    <definedName name="SL002Title" localSheetId="18">#REF!</definedName>
    <definedName name="SL002Title" localSheetId="17">#REF!</definedName>
    <definedName name="SL002Title" localSheetId="27">#REF!</definedName>
    <definedName name="SL002Title" localSheetId="21">#REF!</definedName>
    <definedName name="SL002Title" localSheetId="15">#REF!</definedName>
    <definedName name="SL002Title" localSheetId="7">#REF!</definedName>
    <definedName name="SL002Title" localSheetId="8">#REF!</definedName>
    <definedName name="SL002Title" localSheetId="1">#REF!</definedName>
    <definedName name="SL002Title" localSheetId="25">#REF!</definedName>
    <definedName name="SL002Title" localSheetId="30">#REF!</definedName>
    <definedName name="SL002Title" localSheetId="4">#REF!</definedName>
    <definedName name="SL002Title" localSheetId="11">#REF!</definedName>
    <definedName name="SL002Title" localSheetId="24">#REF!</definedName>
    <definedName name="SL002Title">#REF!</definedName>
    <definedName name="SL002YTD" localSheetId="29">#REF!</definedName>
    <definedName name="SL002YTD" localSheetId="2">#REF!</definedName>
    <definedName name="SL002YTD" localSheetId="28">#REF!</definedName>
    <definedName name="SL002YTD" localSheetId="16">#REF!</definedName>
    <definedName name="SL002YTD" localSheetId="22">#REF!</definedName>
    <definedName name="SL002YTD" localSheetId="26">#REF!</definedName>
    <definedName name="SL002YTD" localSheetId="20">#REF!</definedName>
    <definedName name="SL002YTD" localSheetId="19">#REF!</definedName>
    <definedName name="SL002YTD" localSheetId="18">#REF!</definedName>
    <definedName name="SL002YTD" localSheetId="17">#REF!</definedName>
    <definedName name="SL002YTD" localSheetId="27">#REF!</definedName>
    <definedName name="SL002YTD" localSheetId="21">#REF!</definedName>
    <definedName name="SL002YTD" localSheetId="15">#REF!</definedName>
    <definedName name="SL002YTD" localSheetId="7">#REF!</definedName>
    <definedName name="SL002YTD" localSheetId="8">#REF!</definedName>
    <definedName name="SL002YTD" localSheetId="1">#REF!</definedName>
    <definedName name="SL002YTD" localSheetId="25">#REF!</definedName>
    <definedName name="SL002YTD" localSheetId="30">#REF!</definedName>
    <definedName name="SL002YTD" localSheetId="4">#REF!</definedName>
    <definedName name="SL002YTD" localSheetId="11">#REF!</definedName>
    <definedName name="SL002YTD" localSheetId="24">#REF!</definedName>
    <definedName name="SL002YTD">#REF!</definedName>
    <definedName name="SL003Month" localSheetId="29">#REF!</definedName>
    <definedName name="SL003Month" localSheetId="2">#REF!</definedName>
    <definedName name="SL003Month" localSheetId="28">#REF!</definedName>
    <definedName name="SL003Month" localSheetId="16">#REF!</definedName>
    <definedName name="SL003Month" localSheetId="22">#REF!</definedName>
    <definedName name="SL003Month" localSheetId="26">#REF!</definedName>
    <definedName name="SL003Month" localSheetId="20">#REF!</definedName>
    <definedName name="SL003Month" localSheetId="19">#REF!</definedName>
    <definedName name="SL003Month" localSheetId="18">#REF!</definedName>
    <definedName name="SL003Month" localSheetId="17">#REF!</definedName>
    <definedName name="SL003Month" localSheetId="27">#REF!</definedName>
    <definedName name="SL003Month" localSheetId="21">#REF!</definedName>
    <definedName name="SL003Month" localSheetId="15">#REF!</definedName>
    <definedName name="SL003Month" localSheetId="7">#REF!</definedName>
    <definedName name="SL003Month" localSheetId="8">#REF!</definedName>
    <definedName name="SL003Month" localSheetId="1">#REF!</definedName>
    <definedName name="SL003Month" localSheetId="25">#REF!</definedName>
    <definedName name="SL003Month" localSheetId="30">#REF!</definedName>
    <definedName name="SL003Month" localSheetId="4">#REF!</definedName>
    <definedName name="SL003Month" localSheetId="11">#REF!</definedName>
    <definedName name="SL003Month" localSheetId="24">#REF!</definedName>
    <definedName name="SL003Month">#REF!</definedName>
    <definedName name="SL003Text" localSheetId="29">#REF!</definedName>
    <definedName name="SL003Text" localSheetId="2">#REF!</definedName>
    <definedName name="SL003Text" localSheetId="28">#REF!</definedName>
    <definedName name="SL003Text" localSheetId="16">#REF!</definedName>
    <definedName name="SL003Text" localSheetId="22">#REF!</definedName>
    <definedName name="SL003Text" localSheetId="26">#REF!</definedName>
    <definedName name="SL003Text" localSheetId="20">#REF!</definedName>
    <definedName name="SL003Text" localSheetId="19">#REF!</definedName>
    <definedName name="SL003Text" localSheetId="18">#REF!</definedName>
    <definedName name="SL003Text" localSheetId="17">#REF!</definedName>
    <definedName name="SL003Text" localSheetId="27">#REF!</definedName>
    <definedName name="SL003Text" localSheetId="21">#REF!</definedName>
    <definedName name="SL003Text" localSheetId="15">#REF!</definedName>
    <definedName name="SL003Text" localSheetId="7">#REF!</definedName>
    <definedName name="SL003Text" localSheetId="8">#REF!</definedName>
    <definedName name="SL003Text" localSheetId="1">#REF!</definedName>
    <definedName name="SL003Text" localSheetId="25">#REF!</definedName>
    <definedName name="SL003Text" localSheetId="30">#REF!</definedName>
    <definedName name="SL003Text" localSheetId="4">#REF!</definedName>
    <definedName name="SL003Text" localSheetId="11">#REF!</definedName>
    <definedName name="SL003Text" localSheetId="24">#REF!</definedName>
    <definedName name="SL003Text">#REF!</definedName>
    <definedName name="SL003Title" localSheetId="29">#REF!</definedName>
    <definedName name="SL003Title" localSheetId="2">#REF!</definedName>
    <definedName name="SL003Title" localSheetId="28">#REF!</definedName>
    <definedName name="SL003Title" localSheetId="16">#REF!</definedName>
    <definedName name="SL003Title" localSheetId="22">#REF!</definedName>
    <definedName name="SL003Title" localSheetId="26">#REF!</definedName>
    <definedName name="SL003Title" localSheetId="20">#REF!</definedName>
    <definedName name="SL003Title" localSheetId="19">#REF!</definedName>
    <definedName name="SL003Title" localSheetId="18">#REF!</definedName>
    <definedName name="SL003Title" localSheetId="17">#REF!</definedName>
    <definedName name="SL003Title" localSheetId="27">#REF!</definedName>
    <definedName name="SL003Title" localSheetId="21">#REF!</definedName>
    <definedName name="SL003Title" localSheetId="15">#REF!</definedName>
    <definedName name="SL003Title" localSheetId="7">#REF!</definedName>
    <definedName name="SL003Title" localSheetId="8">#REF!</definedName>
    <definedName name="SL003Title" localSheetId="1">#REF!</definedName>
    <definedName name="SL003Title" localSheetId="25">#REF!</definedName>
    <definedName name="SL003Title" localSheetId="30">#REF!</definedName>
    <definedName name="SL003Title" localSheetId="4">#REF!</definedName>
    <definedName name="SL003Title" localSheetId="11">#REF!</definedName>
    <definedName name="SL003Title" localSheetId="24">#REF!</definedName>
    <definedName name="SL003Title">#REF!</definedName>
    <definedName name="SL003YTD" localSheetId="29">#REF!</definedName>
    <definedName name="SL003YTD" localSheetId="2">#REF!</definedName>
    <definedName name="SL003YTD" localSheetId="28">#REF!</definedName>
    <definedName name="SL003YTD" localSheetId="16">#REF!</definedName>
    <definedName name="SL003YTD" localSheetId="22">#REF!</definedName>
    <definedName name="SL003YTD" localSheetId="26">#REF!</definedName>
    <definedName name="SL003YTD" localSheetId="20">#REF!</definedName>
    <definedName name="SL003YTD" localSheetId="19">#REF!</definedName>
    <definedName name="SL003YTD" localSheetId="18">#REF!</definedName>
    <definedName name="SL003YTD" localSheetId="17">#REF!</definedName>
    <definedName name="SL003YTD" localSheetId="27">#REF!</definedName>
    <definedName name="SL003YTD" localSheetId="21">#REF!</definedName>
    <definedName name="SL003YTD" localSheetId="15">#REF!</definedName>
    <definedName name="SL003YTD" localSheetId="7">#REF!</definedName>
    <definedName name="SL003YTD" localSheetId="8">#REF!</definedName>
    <definedName name="SL003YTD" localSheetId="1">#REF!</definedName>
    <definedName name="SL003YTD" localSheetId="25">#REF!</definedName>
    <definedName name="SL003YTD" localSheetId="30">#REF!</definedName>
    <definedName name="SL003YTD" localSheetId="4">#REF!</definedName>
    <definedName name="SL003YTD" localSheetId="11">#REF!</definedName>
    <definedName name="SL003YTD" localSheetId="24">#REF!</definedName>
    <definedName name="SL003YTD">#REF!</definedName>
    <definedName name="SL004Month" localSheetId="29">#REF!</definedName>
    <definedName name="SL004Month" localSheetId="2">#REF!</definedName>
    <definedName name="SL004Month" localSheetId="28">#REF!</definedName>
    <definedName name="SL004Month" localSheetId="16">#REF!</definedName>
    <definedName name="SL004Month" localSheetId="22">#REF!</definedName>
    <definedName name="SL004Month" localSheetId="26">#REF!</definedName>
    <definedName name="SL004Month" localSheetId="20">#REF!</definedName>
    <definedName name="SL004Month" localSheetId="19">#REF!</definedName>
    <definedName name="SL004Month" localSheetId="18">#REF!</definedName>
    <definedName name="SL004Month" localSheetId="17">#REF!</definedName>
    <definedName name="SL004Month" localSheetId="27">#REF!</definedName>
    <definedName name="SL004Month" localSheetId="21">#REF!</definedName>
    <definedName name="SL004Month" localSheetId="15">#REF!</definedName>
    <definedName name="SL004Month" localSheetId="7">#REF!</definedName>
    <definedName name="SL004Month" localSheetId="8">#REF!</definedName>
    <definedName name="SL004Month" localSheetId="1">#REF!</definedName>
    <definedName name="SL004Month" localSheetId="25">#REF!</definedName>
    <definedName name="SL004Month" localSheetId="30">#REF!</definedName>
    <definedName name="SL004Month" localSheetId="4">#REF!</definedName>
    <definedName name="SL004Month" localSheetId="11">#REF!</definedName>
    <definedName name="SL004Month" localSheetId="24">#REF!</definedName>
    <definedName name="SL004Month">#REF!</definedName>
    <definedName name="SL004Text" localSheetId="29">#REF!</definedName>
    <definedName name="SL004Text" localSheetId="2">#REF!</definedName>
    <definedName name="SL004Text" localSheetId="28">#REF!</definedName>
    <definedName name="SL004Text" localSheetId="16">#REF!</definedName>
    <definedName name="SL004Text" localSheetId="22">#REF!</definedName>
    <definedName name="SL004Text" localSheetId="26">#REF!</definedName>
    <definedName name="SL004Text" localSheetId="20">#REF!</definedName>
    <definedName name="SL004Text" localSheetId="19">#REF!</definedName>
    <definedName name="SL004Text" localSheetId="18">#REF!</definedName>
    <definedName name="SL004Text" localSheetId="17">#REF!</definedName>
    <definedName name="SL004Text" localSheetId="27">#REF!</definedName>
    <definedName name="SL004Text" localSheetId="21">#REF!</definedName>
    <definedName name="SL004Text" localSheetId="15">#REF!</definedName>
    <definedName name="SL004Text" localSheetId="7">#REF!</definedName>
    <definedName name="SL004Text" localSheetId="8">#REF!</definedName>
    <definedName name="SL004Text" localSheetId="1">#REF!</definedName>
    <definedName name="SL004Text" localSheetId="25">#REF!</definedName>
    <definedName name="SL004Text" localSheetId="30">#REF!</definedName>
    <definedName name="SL004Text" localSheetId="4">#REF!</definedName>
    <definedName name="SL004Text" localSheetId="11">#REF!</definedName>
    <definedName name="SL004Text" localSheetId="24">#REF!</definedName>
    <definedName name="SL004Text">#REF!</definedName>
    <definedName name="SL004Title" localSheetId="29">#REF!</definedName>
    <definedName name="SL004Title" localSheetId="2">#REF!</definedName>
    <definedName name="SL004Title" localSheetId="28">#REF!</definedName>
    <definedName name="SL004Title" localSheetId="16">#REF!</definedName>
    <definedName name="SL004Title" localSheetId="22">#REF!</definedName>
    <definedName name="SL004Title" localSheetId="26">#REF!</definedName>
    <definedName name="SL004Title" localSheetId="20">#REF!</definedName>
    <definedName name="SL004Title" localSheetId="19">#REF!</definedName>
    <definedName name="SL004Title" localSheetId="18">#REF!</definedName>
    <definedName name="SL004Title" localSheetId="17">#REF!</definedName>
    <definedName name="SL004Title" localSheetId="27">#REF!</definedName>
    <definedName name="SL004Title" localSheetId="21">#REF!</definedName>
    <definedName name="SL004Title" localSheetId="15">#REF!</definedName>
    <definedName name="SL004Title" localSheetId="7">#REF!</definedName>
    <definedName name="SL004Title" localSheetId="8">#REF!</definedName>
    <definedName name="SL004Title" localSheetId="1">#REF!</definedName>
    <definedName name="SL004Title" localSheetId="25">#REF!</definedName>
    <definedName name="SL004Title" localSheetId="30">#REF!</definedName>
    <definedName name="SL004Title" localSheetId="4">#REF!</definedName>
    <definedName name="SL004Title" localSheetId="11">#REF!</definedName>
    <definedName name="SL004Title" localSheetId="24">#REF!</definedName>
    <definedName name="SL004Title">#REF!</definedName>
    <definedName name="SL004YTD" localSheetId="29">#REF!</definedName>
    <definedName name="SL004YTD" localSheetId="2">#REF!</definedName>
    <definedName name="SL004YTD" localSheetId="28">#REF!</definedName>
    <definedName name="SL004YTD" localSheetId="16">#REF!</definedName>
    <definedName name="SL004YTD" localSheetId="22">#REF!</definedName>
    <definedName name="SL004YTD" localSheetId="26">#REF!</definedName>
    <definedName name="SL004YTD" localSheetId="20">#REF!</definedName>
    <definedName name="SL004YTD" localSheetId="19">#REF!</definedName>
    <definedName name="SL004YTD" localSheetId="18">#REF!</definedName>
    <definedName name="SL004YTD" localSheetId="17">#REF!</definedName>
    <definedName name="SL004YTD" localSheetId="27">#REF!</definedName>
    <definedName name="SL004YTD" localSheetId="21">#REF!</definedName>
    <definedName name="SL004YTD" localSheetId="15">#REF!</definedName>
    <definedName name="SL004YTD" localSheetId="7">#REF!</definedName>
    <definedName name="SL004YTD" localSheetId="8">#REF!</definedName>
    <definedName name="SL004YTD" localSheetId="1">#REF!</definedName>
    <definedName name="SL004YTD" localSheetId="25">#REF!</definedName>
    <definedName name="SL004YTD" localSheetId="30">#REF!</definedName>
    <definedName name="SL004YTD" localSheetId="4">#REF!</definedName>
    <definedName name="SL004YTD" localSheetId="11">#REF!</definedName>
    <definedName name="SL004YTD" localSheetId="24">#REF!</definedName>
    <definedName name="SL004YTD">#REF!</definedName>
    <definedName name="SL005Month" localSheetId="29">#REF!</definedName>
    <definedName name="SL005Month" localSheetId="2">#REF!</definedName>
    <definedName name="SL005Month" localSheetId="28">#REF!</definedName>
    <definedName name="SL005Month" localSheetId="16">#REF!</definedName>
    <definedName name="SL005Month" localSheetId="22">#REF!</definedName>
    <definedName name="SL005Month" localSheetId="26">#REF!</definedName>
    <definedName name="SL005Month" localSheetId="20">#REF!</definedName>
    <definedName name="SL005Month" localSheetId="19">#REF!</definedName>
    <definedName name="SL005Month" localSheetId="18">#REF!</definedName>
    <definedName name="SL005Month" localSheetId="17">#REF!</definedName>
    <definedName name="SL005Month" localSheetId="27">#REF!</definedName>
    <definedName name="SL005Month" localSheetId="21">#REF!</definedName>
    <definedName name="SL005Month" localSheetId="15">#REF!</definedName>
    <definedName name="SL005Month" localSheetId="7">#REF!</definedName>
    <definedName name="SL005Month" localSheetId="8">#REF!</definedName>
    <definedName name="SL005Month" localSheetId="1">#REF!</definedName>
    <definedName name="SL005Month" localSheetId="25">#REF!</definedName>
    <definedName name="SL005Month" localSheetId="30">#REF!</definedName>
    <definedName name="SL005Month" localSheetId="4">#REF!</definedName>
    <definedName name="SL005Month" localSheetId="11">#REF!</definedName>
    <definedName name="SL005Month" localSheetId="24">#REF!</definedName>
    <definedName name="SL005Month">#REF!</definedName>
    <definedName name="SL005Text" localSheetId="29">#REF!</definedName>
    <definedName name="SL005Text" localSheetId="2">#REF!</definedName>
    <definedName name="SL005Text" localSheetId="28">#REF!</definedName>
    <definedName name="SL005Text" localSheetId="16">#REF!</definedName>
    <definedName name="SL005Text" localSheetId="22">#REF!</definedName>
    <definedName name="SL005Text" localSheetId="26">#REF!</definedName>
    <definedName name="SL005Text" localSheetId="20">#REF!</definedName>
    <definedName name="SL005Text" localSheetId="19">#REF!</definedName>
    <definedName name="SL005Text" localSheetId="18">#REF!</definedName>
    <definedName name="SL005Text" localSheetId="17">#REF!</definedName>
    <definedName name="SL005Text" localSheetId="27">#REF!</definedName>
    <definedName name="SL005Text" localSheetId="21">#REF!</definedName>
    <definedName name="SL005Text" localSheetId="15">#REF!</definedName>
    <definedName name="SL005Text" localSheetId="7">#REF!</definedName>
    <definedName name="SL005Text" localSheetId="8">#REF!</definedName>
    <definedName name="SL005Text" localSheetId="1">#REF!</definedName>
    <definedName name="SL005Text" localSheetId="25">#REF!</definedName>
    <definedName name="SL005Text" localSheetId="30">#REF!</definedName>
    <definedName name="SL005Text" localSheetId="4">#REF!</definedName>
    <definedName name="SL005Text" localSheetId="11">#REF!</definedName>
    <definedName name="SL005Text" localSheetId="24">#REF!</definedName>
    <definedName name="SL005Text">#REF!</definedName>
    <definedName name="SL005Title" localSheetId="29">#REF!</definedName>
    <definedName name="SL005Title" localSheetId="2">#REF!</definedName>
    <definedName name="SL005Title" localSheetId="28">#REF!</definedName>
    <definedName name="SL005Title" localSheetId="16">#REF!</definedName>
    <definedName name="SL005Title" localSheetId="22">#REF!</definedName>
    <definedName name="SL005Title" localSheetId="26">#REF!</definedName>
    <definedName name="SL005Title" localSheetId="20">#REF!</definedName>
    <definedName name="SL005Title" localSheetId="19">#REF!</definedName>
    <definedName name="SL005Title" localSheetId="18">#REF!</definedName>
    <definedName name="SL005Title" localSheetId="17">#REF!</definedName>
    <definedName name="SL005Title" localSheetId="27">#REF!</definedName>
    <definedName name="SL005Title" localSheetId="21">#REF!</definedName>
    <definedName name="SL005Title" localSheetId="15">#REF!</definedName>
    <definedName name="SL005Title" localSheetId="7">#REF!</definedName>
    <definedName name="SL005Title" localSheetId="8">#REF!</definedName>
    <definedName name="SL005Title" localSheetId="1">#REF!</definedName>
    <definedName name="SL005Title" localSheetId="25">#REF!</definedName>
    <definedName name="SL005Title" localSheetId="30">#REF!</definedName>
    <definedName name="SL005Title" localSheetId="4">#REF!</definedName>
    <definedName name="SL005Title" localSheetId="11">#REF!</definedName>
    <definedName name="SL005Title" localSheetId="24">#REF!</definedName>
    <definedName name="SL005Title">#REF!</definedName>
    <definedName name="SL005YTD" localSheetId="29">#REF!</definedName>
    <definedName name="SL005YTD" localSheetId="2">#REF!</definedName>
    <definedName name="SL005YTD" localSheetId="28">#REF!</definedName>
    <definedName name="SL005YTD" localSheetId="16">#REF!</definedName>
    <definedName name="SL005YTD" localSheetId="22">#REF!</definedName>
    <definedName name="SL005YTD" localSheetId="26">#REF!</definedName>
    <definedName name="SL005YTD" localSheetId="20">#REF!</definedName>
    <definedName name="SL005YTD" localSheetId="19">#REF!</definedName>
    <definedName name="SL005YTD" localSheetId="18">#REF!</definedName>
    <definedName name="SL005YTD" localSheetId="17">#REF!</definedName>
    <definedName name="SL005YTD" localSheetId="27">#REF!</definedName>
    <definedName name="SL005YTD" localSheetId="21">#REF!</definedName>
    <definedName name="SL005YTD" localSheetId="15">#REF!</definedName>
    <definedName name="SL005YTD" localSheetId="7">#REF!</definedName>
    <definedName name="SL005YTD" localSheetId="8">#REF!</definedName>
    <definedName name="SL005YTD" localSheetId="1">#REF!</definedName>
    <definedName name="SL005YTD" localSheetId="25">#REF!</definedName>
    <definedName name="SL005YTD" localSheetId="30">#REF!</definedName>
    <definedName name="SL005YTD" localSheetId="4">#REF!</definedName>
    <definedName name="SL005YTD" localSheetId="11">#REF!</definedName>
    <definedName name="SL005YTD" localSheetId="24">#REF!</definedName>
    <definedName name="SL005YTD">#REF!</definedName>
    <definedName name="SL006Month" localSheetId="29">#REF!</definedName>
    <definedName name="SL006Month" localSheetId="2">#REF!</definedName>
    <definedName name="SL006Month" localSheetId="28">#REF!</definedName>
    <definedName name="SL006Month" localSheetId="16">#REF!</definedName>
    <definedName name="SL006Month" localSheetId="22">#REF!</definedName>
    <definedName name="SL006Month" localSheetId="26">#REF!</definedName>
    <definedName name="SL006Month" localSheetId="20">#REF!</definedName>
    <definedName name="SL006Month" localSheetId="19">#REF!</definedName>
    <definedName name="SL006Month" localSheetId="18">#REF!</definedName>
    <definedName name="SL006Month" localSheetId="17">#REF!</definedName>
    <definedName name="SL006Month" localSheetId="27">#REF!</definedName>
    <definedName name="SL006Month" localSheetId="21">#REF!</definedName>
    <definedName name="SL006Month" localSheetId="15">#REF!</definedName>
    <definedName name="SL006Month" localSheetId="7">#REF!</definedName>
    <definedName name="SL006Month" localSheetId="8">#REF!</definedName>
    <definedName name="SL006Month" localSheetId="1">#REF!</definedName>
    <definedName name="SL006Month" localSheetId="25">#REF!</definedName>
    <definedName name="SL006Month" localSheetId="30">#REF!</definedName>
    <definedName name="SL006Month" localSheetId="4">#REF!</definedName>
    <definedName name="SL006Month" localSheetId="11">#REF!</definedName>
    <definedName name="SL006Month" localSheetId="24">#REF!</definedName>
    <definedName name="SL006Month">#REF!</definedName>
    <definedName name="SL006Text" localSheetId="29">#REF!</definedName>
    <definedName name="SL006Text" localSheetId="2">#REF!</definedName>
    <definedName name="SL006Text" localSheetId="28">#REF!</definedName>
    <definedName name="SL006Text" localSheetId="16">#REF!</definedName>
    <definedName name="SL006Text" localSheetId="22">#REF!</definedName>
    <definedName name="SL006Text" localSheetId="26">#REF!</definedName>
    <definedName name="SL006Text" localSheetId="20">#REF!</definedName>
    <definedName name="SL006Text" localSheetId="19">#REF!</definedName>
    <definedName name="SL006Text" localSheetId="18">#REF!</definedName>
    <definedName name="SL006Text" localSheetId="17">#REF!</definedName>
    <definedName name="SL006Text" localSheetId="27">#REF!</definedName>
    <definedName name="SL006Text" localSheetId="21">#REF!</definedName>
    <definedName name="SL006Text" localSheetId="15">#REF!</definedName>
    <definedName name="SL006Text" localSheetId="7">#REF!</definedName>
    <definedName name="SL006Text" localSheetId="8">#REF!</definedName>
    <definedName name="SL006Text" localSheetId="1">#REF!</definedName>
    <definedName name="SL006Text" localSheetId="25">#REF!</definedName>
    <definedName name="SL006Text" localSheetId="30">#REF!</definedName>
    <definedName name="SL006Text" localSheetId="4">#REF!</definedName>
    <definedName name="SL006Text" localSheetId="11">#REF!</definedName>
    <definedName name="SL006Text" localSheetId="24">#REF!</definedName>
    <definedName name="SL006Text">#REF!</definedName>
    <definedName name="SL006Title" localSheetId="29">#REF!</definedName>
    <definedName name="SL006Title" localSheetId="2">#REF!</definedName>
    <definedName name="SL006Title" localSheetId="28">#REF!</definedName>
    <definedName name="SL006Title" localSheetId="16">#REF!</definedName>
    <definedName name="SL006Title" localSheetId="22">#REF!</definedName>
    <definedName name="SL006Title" localSheetId="26">#REF!</definedName>
    <definedName name="SL006Title" localSheetId="20">#REF!</definedName>
    <definedName name="SL006Title" localSheetId="19">#REF!</definedName>
    <definedName name="SL006Title" localSheetId="18">#REF!</definedName>
    <definedName name="SL006Title" localSheetId="17">#REF!</definedName>
    <definedName name="SL006Title" localSheetId="27">#REF!</definedName>
    <definedName name="SL006Title" localSheetId="21">#REF!</definedName>
    <definedName name="SL006Title" localSheetId="15">#REF!</definedName>
    <definedName name="SL006Title" localSheetId="7">#REF!</definedName>
    <definedName name="SL006Title" localSheetId="8">#REF!</definedName>
    <definedName name="SL006Title" localSheetId="1">#REF!</definedName>
    <definedName name="SL006Title" localSheetId="25">#REF!</definedName>
    <definedName name="SL006Title" localSheetId="30">#REF!</definedName>
    <definedName name="SL006Title" localSheetId="4">#REF!</definedName>
    <definedName name="SL006Title" localSheetId="11">#REF!</definedName>
    <definedName name="SL006Title" localSheetId="24">#REF!</definedName>
    <definedName name="SL006Title">#REF!</definedName>
    <definedName name="SL006YTD" localSheetId="29">#REF!</definedName>
    <definedName name="SL006YTD" localSheetId="2">#REF!</definedName>
    <definedName name="SL006YTD" localSheetId="28">#REF!</definedName>
    <definedName name="SL006YTD" localSheetId="16">#REF!</definedName>
    <definedName name="SL006YTD" localSheetId="22">#REF!</definedName>
    <definedName name="SL006YTD" localSheetId="26">#REF!</definedName>
    <definedName name="SL006YTD" localSheetId="20">#REF!</definedName>
    <definedName name="SL006YTD" localSheetId="19">#REF!</definedName>
    <definedName name="SL006YTD" localSheetId="18">#REF!</definedName>
    <definedName name="SL006YTD" localSheetId="17">#REF!</definedName>
    <definedName name="SL006YTD" localSheetId="27">#REF!</definedName>
    <definedName name="SL006YTD" localSheetId="21">#REF!</definedName>
    <definedName name="SL006YTD" localSheetId="15">#REF!</definedName>
    <definedName name="SL006YTD" localSheetId="7">#REF!</definedName>
    <definedName name="SL006YTD" localSheetId="8">#REF!</definedName>
    <definedName name="SL006YTD" localSheetId="1">#REF!</definedName>
    <definedName name="SL006YTD" localSheetId="25">#REF!</definedName>
    <definedName name="SL006YTD" localSheetId="30">#REF!</definedName>
    <definedName name="SL006YTD" localSheetId="4">#REF!</definedName>
    <definedName name="SL006YTD" localSheetId="11">#REF!</definedName>
    <definedName name="SL006YTD" localSheetId="24">#REF!</definedName>
    <definedName name="SL006YTD">#REF!</definedName>
    <definedName name="SL007Month" localSheetId="29">#REF!</definedName>
    <definedName name="SL007Month" localSheetId="2">#REF!</definedName>
    <definedName name="SL007Month" localSheetId="28">#REF!</definedName>
    <definedName name="SL007Month" localSheetId="16">#REF!</definedName>
    <definedName name="SL007Month" localSheetId="22">#REF!</definedName>
    <definedName name="SL007Month" localSheetId="26">#REF!</definedName>
    <definedName name="SL007Month" localSheetId="20">#REF!</definedName>
    <definedName name="SL007Month" localSheetId="19">#REF!</definedName>
    <definedName name="SL007Month" localSheetId="18">#REF!</definedName>
    <definedName name="SL007Month" localSheetId="17">#REF!</definedName>
    <definedName name="SL007Month" localSheetId="27">#REF!</definedName>
    <definedName name="SL007Month" localSheetId="21">#REF!</definedName>
    <definedName name="SL007Month" localSheetId="15">#REF!</definedName>
    <definedName name="SL007Month" localSheetId="7">#REF!</definedName>
    <definedName name="SL007Month" localSheetId="8">#REF!</definedName>
    <definedName name="SL007Month" localSheetId="1">#REF!</definedName>
    <definedName name="SL007Month" localSheetId="25">#REF!</definedName>
    <definedName name="SL007Month" localSheetId="30">#REF!</definedName>
    <definedName name="SL007Month" localSheetId="4">#REF!</definedName>
    <definedName name="SL007Month" localSheetId="11">#REF!</definedName>
    <definedName name="SL007Month" localSheetId="24">#REF!</definedName>
    <definedName name="SL007Month">#REF!</definedName>
    <definedName name="SL007Text" localSheetId="29">#REF!</definedName>
    <definedName name="SL007Text" localSheetId="2">#REF!</definedName>
    <definedName name="SL007Text" localSheetId="28">#REF!</definedName>
    <definedName name="SL007Text" localSheetId="16">#REF!</definedName>
    <definedName name="SL007Text" localSheetId="22">#REF!</definedName>
    <definedName name="SL007Text" localSheetId="26">#REF!</definedName>
    <definedName name="SL007Text" localSheetId="20">#REF!</definedName>
    <definedName name="SL007Text" localSheetId="19">#REF!</definedName>
    <definedName name="SL007Text" localSheetId="18">#REF!</definedName>
    <definedName name="SL007Text" localSheetId="17">#REF!</definedName>
    <definedName name="SL007Text" localSheetId="27">#REF!</definedName>
    <definedName name="SL007Text" localSheetId="21">#REF!</definedName>
    <definedName name="SL007Text" localSheetId="15">#REF!</definedName>
    <definedName name="SL007Text" localSheetId="7">#REF!</definedName>
    <definedName name="SL007Text" localSheetId="8">#REF!</definedName>
    <definedName name="SL007Text" localSheetId="1">#REF!</definedName>
    <definedName name="SL007Text" localSheetId="25">#REF!</definedName>
    <definedName name="SL007Text" localSheetId="30">#REF!</definedName>
    <definedName name="SL007Text" localSheetId="4">#REF!</definedName>
    <definedName name="SL007Text" localSheetId="11">#REF!</definedName>
    <definedName name="SL007Text" localSheetId="24">#REF!</definedName>
    <definedName name="SL007Text">#REF!</definedName>
    <definedName name="SL007Title" localSheetId="29">#REF!</definedName>
    <definedName name="SL007Title" localSheetId="2">#REF!</definedName>
    <definedName name="SL007Title" localSheetId="28">#REF!</definedName>
    <definedName name="SL007Title" localSheetId="16">#REF!</definedName>
    <definedName name="SL007Title" localSheetId="22">#REF!</definedName>
    <definedName name="SL007Title" localSheetId="26">#REF!</definedName>
    <definedName name="SL007Title" localSheetId="20">#REF!</definedName>
    <definedName name="SL007Title" localSheetId="19">#REF!</definedName>
    <definedName name="SL007Title" localSheetId="18">#REF!</definedName>
    <definedName name="SL007Title" localSheetId="17">#REF!</definedName>
    <definedName name="SL007Title" localSheetId="27">#REF!</definedName>
    <definedName name="SL007Title" localSheetId="21">#REF!</definedName>
    <definedName name="SL007Title" localSheetId="15">#REF!</definedName>
    <definedName name="SL007Title" localSheetId="7">#REF!</definedName>
    <definedName name="SL007Title" localSheetId="8">#REF!</definedName>
    <definedName name="SL007Title" localSheetId="1">#REF!</definedName>
    <definedName name="SL007Title" localSheetId="25">#REF!</definedName>
    <definedName name="SL007Title" localSheetId="30">#REF!</definedName>
    <definedName name="SL007Title" localSheetId="4">#REF!</definedName>
    <definedName name="SL007Title" localSheetId="11">#REF!</definedName>
    <definedName name="SL007Title" localSheetId="24">#REF!</definedName>
    <definedName name="SL007Title">#REF!</definedName>
    <definedName name="SL007YTD" localSheetId="29">#REF!</definedName>
    <definedName name="SL007YTD" localSheetId="2">#REF!</definedName>
    <definedName name="SL007YTD" localSheetId="28">#REF!</definedName>
    <definedName name="SL007YTD" localSheetId="16">#REF!</definedName>
    <definedName name="SL007YTD" localSheetId="22">#REF!</definedName>
    <definedName name="SL007YTD" localSheetId="26">#REF!</definedName>
    <definedName name="SL007YTD" localSheetId="20">#REF!</definedName>
    <definedName name="SL007YTD" localSheetId="19">#REF!</definedName>
    <definedName name="SL007YTD" localSheetId="18">#REF!</definedName>
    <definedName name="SL007YTD" localSheetId="17">#REF!</definedName>
    <definedName name="SL007YTD" localSheetId="27">#REF!</definedName>
    <definedName name="SL007YTD" localSheetId="21">#REF!</definedName>
    <definedName name="SL007YTD" localSheetId="15">#REF!</definedName>
    <definedName name="SL007YTD" localSheetId="7">#REF!</definedName>
    <definedName name="SL007YTD" localSheetId="8">#REF!</definedName>
    <definedName name="SL007YTD" localSheetId="1">#REF!</definedName>
    <definedName name="SL007YTD" localSheetId="25">#REF!</definedName>
    <definedName name="SL007YTD" localSheetId="30">#REF!</definedName>
    <definedName name="SL007YTD" localSheetId="4">#REF!</definedName>
    <definedName name="SL007YTD" localSheetId="11">#REF!</definedName>
    <definedName name="SL007YTD" localSheetId="24">#REF!</definedName>
    <definedName name="SL007YTD">#REF!</definedName>
    <definedName name="SL008Month" localSheetId="29">#REF!</definedName>
    <definedName name="SL008Month" localSheetId="2">#REF!</definedName>
    <definedName name="SL008Month" localSheetId="28">#REF!</definedName>
    <definedName name="SL008Month" localSheetId="16">#REF!</definedName>
    <definedName name="SL008Month" localSheetId="22">#REF!</definedName>
    <definedName name="SL008Month" localSheetId="26">#REF!</definedName>
    <definedName name="SL008Month" localSheetId="20">#REF!</definedName>
    <definedName name="SL008Month" localSheetId="19">#REF!</definedName>
    <definedName name="SL008Month" localSheetId="18">#REF!</definedName>
    <definedName name="SL008Month" localSheetId="17">#REF!</definedName>
    <definedName name="SL008Month" localSheetId="27">#REF!</definedName>
    <definedName name="SL008Month" localSheetId="21">#REF!</definedName>
    <definedName name="SL008Month" localSheetId="15">#REF!</definedName>
    <definedName name="SL008Month" localSheetId="7">#REF!</definedName>
    <definedName name="SL008Month" localSheetId="8">#REF!</definedName>
    <definedName name="SL008Month" localSheetId="1">#REF!</definedName>
    <definedName name="SL008Month" localSheetId="25">#REF!</definedName>
    <definedName name="SL008Month" localSheetId="30">#REF!</definedName>
    <definedName name="SL008Month" localSheetId="4">#REF!</definedName>
    <definedName name="SL008Month" localSheetId="11">#REF!</definedName>
    <definedName name="SL008Month" localSheetId="24">#REF!</definedName>
    <definedName name="SL008Month">#REF!</definedName>
    <definedName name="SL008Text" localSheetId="29">#REF!</definedName>
    <definedName name="SL008Text" localSheetId="2">#REF!</definedName>
    <definedName name="SL008Text" localSheetId="28">#REF!</definedName>
    <definedName name="SL008Text" localSheetId="16">#REF!</definedName>
    <definedName name="SL008Text" localSheetId="22">#REF!</definedName>
    <definedName name="SL008Text" localSheetId="26">#REF!</definedName>
    <definedName name="SL008Text" localSheetId="20">#REF!</definedName>
    <definedName name="SL008Text" localSheetId="19">#REF!</definedName>
    <definedName name="SL008Text" localSheetId="18">#REF!</definedName>
    <definedName name="SL008Text" localSheetId="17">#REF!</definedName>
    <definedName name="SL008Text" localSheetId="27">#REF!</definedName>
    <definedName name="SL008Text" localSheetId="21">#REF!</definedName>
    <definedName name="SL008Text" localSheetId="15">#REF!</definedName>
    <definedName name="SL008Text" localSheetId="7">#REF!</definedName>
    <definedName name="SL008Text" localSheetId="8">#REF!</definedName>
    <definedName name="SL008Text" localSheetId="1">#REF!</definedName>
    <definedName name="SL008Text" localSheetId="25">#REF!</definedName>
    <definedName name="SL008Text" localSheetId="30">#REF!</definedName>
    <definedName name="SL008Text" localSheetId="4">#REF!</definedName>
    <definedName name="SL008Text" localSheetId="11">#REF!</definedName>
    <definedName name="SL008Text" localSheetId="24">#REF!</definedName>
    <definedName name="SL008Text">#REF!</definedName>
    <definedName name="SL008Title" localSheetId="29">#REF!</definedName>
    <definedName name="SL008Title" localSheetId="2">#REF!</definedName>
    <definedName name="SL008Title" localSheetId="28">#REF!</definedName>
    <definedName name="SL008Title" localSheetId="16">#REF!</definedName>
    <definedName name="SL008Title" localSheetId="22">#REF!</definedName>
    <definedName name="SL008Title" localSheetId="26">#REF!</definedName>
    <definedName name="SL008Title" localSheetId="20">#REF!</definedName>
    <definedName name="SL008Title" localSheetId="19">#REF!</definedName>
    <definedName name="SL008Title" localSheetId="18">#REF!</definedName>
    <definedName name="SL008Title" localSheetId="17">#REF!</definedName>
    <definedName name="SL008Title" localSheetId="27">#REF!</definedName>
    <definedName name="SL008Title" localSheetId="21">#REF!</definedName>
    <definedName name="SL008Title" localSheetId="15">#REF!</definedName>
    <definedName name="SL008Title" localSheetId="7">#REF!</definedName>
    <definedName name="SL008Title" localSheetId="8">#REF!</definedName>
    <definedName name="SL008Title" localSheetId="1">#REF!</definedName>
    <definedName name="SL008Title" localSheetId="25">#REF!</definedName>
    <definedName name="SL008Title" localSheetId="30">#REF!</definedName>
    <definedName name="SL008Title" localSheetId="4">#REF!</definedName>
    <definedName name="SL008Title" localSheetId="11">#REF!</definedName>
    <definedName name="SL008Title" localSheetId="24">#REF!</definedName>
    <definedName name="SL008Title">#REF!</definedName>
    <definedName name="SL008YTD" localSheetId="29">#REF!</definedName>
    <definedName name="SL008YTD" localSheetId="2">#REF!</definedName>
    <definedName name="SL008YTD" localSheetId="28">#REF!</definedName>
    <definedName name="SL008YTD" localSheetId="16">#REF!</definedName>
    <definedName name="SL008YTD" localSheetId="22">#REF!</definedName>
    <definedName name="SL008YTD" localSheetId="26">#REF!</definedName>
    <definedName name="SL008YTD" localSheetId="20">#REF!</definedName>
    <definedName name="SL008YTD" localSheetId="19">#REF!</definedName>
    <definedName name="SL008YTD" localSheetId="18">#REF!</definedName>
    <definedName name="SL008YTD" localSheetId="17">#REF!</definedName>
    <definedName name="SL008YTD" localSheetId="27">#REF!</definedName>
    <definedName name="SL008YTD" localSheetId="21">#REF!</definedName>
    <definedName name="SL008YTD" localSheetId="15">#REF!</definedName>
    <definedName name="SL008YTD" localSheetId="7">#REF!</definedName>
    <definedName name="SL008YTD" localSheetId="8">#REF!</definedName>
    <definedName name="SL008YTD" localSheetId="1">#REF!</definedName>
    <definedName name="SL008YTD" localSheetId="25">#REF!</definedName>
    <definedName name="SL008YTD" localSheetId="30">#REF!</definedName>
    <definedName name="SL008YTD" localSheetId="4">#REF!</definedName>
    <definedName name="SL008YTD" localSheetId="11">#REF!</definedName>
    <definedName name="SL008YTD" localSheetId="24">#REF!</definedName>
    <definedName name="SL008YTD">#REF!</definedName>
    <definedName name="SL009Month" localSheetId="29">#REF!</definedName>
    <definedName name="SL009Month" localSheetId="2">#REF!</definedName>
    <definedName name="SL009Month" localSheetId="28">#REF!</definedName>
    <definedName name="SL009Month" localSheetId="16">#REF!</definedName>
    <definedName name="SL009Month" localSheetId="22">#REF!</definedName>
    <definedName name="SL009Month" localSheetId="26">#REF!</definedName>
    <definedName name="SL009Month" localSheetId="20">#REF!</definedName>
    <definedName name="SL009Month" localSheetId="19">#REF!</definedName>
    <definedName name="SL009Month" localSheetId="18">#REF!</definedName>
    <definedName name="SL009Month" localSheetId="17">#REF!</definedName>
    <definedName name="SL009Month" localSheetId="27">#REF!</definedName>
    <definedName name="SL009Month" localSheetId="21">#REF!</definedName>
    <definedName name="SL009Month" localSheetId="15">#REF!</definedName>
    <definedName name="SL009Month" localSheetId="7">#REF!</definedName>
    <definedName name="SL009Month" localSheetId="8">#REF!</definedName>
    <definedName name="SL009Month" localSheetId="1">#REF!</definedName>
    <definedName name="SL009Month" localSheetId="25">#REF!</definedName>
    <definedName name="SL009Month" localSheetId="30">#REF!</definedName>
    <definedName name="SL009Month" localSheetId="4">#REF!</definedName>
    <definedName name="SL009Month" localSheetId="11">#REF!</definedName>
    <definedName name="SL009Month" localSheetId="24">#REF!</definedName>
    <definedName name="SL009Month">#REF!</definedName>
    <definedName name="SL009Text" localSheetId="29">#REF!</definedName>
    <definedName name="SL009Text" localSheetId="2">#REF!</definedName>
    <definedName name="SL009Text" localSheetId="28">#REF!</definedName>
    <definedName name="SL009Text" localSheetId="16">#REF!</definedName>
    <definedName name="SL009Text" localSheetId="22">#REF!</definedName>
    <definedName name="SL009Text" localSheetId="26">#REF!</definedName>
    <definedName name="SL009Text" localSheetId="20">#REF!</definedName>
    <definedName name="SL009Text" localSheetId="19">#REF!</definedName>
    <definedName name="SL009Text" localSheetId="18">#REF!</definedName>
    <definedName name="SL009Text" localSheetId="17">#REF!</definedName>
    <definedName name="SL009Text" localSheetId="27">#REF!</definedName>
    <definedName name="SL009Text" localSheetId="21">#REF!</definedName>
    <definedName name="SL009Text" localSheetId="15">#REF!</definedName>
    <definedName name="SL009Text" localSheetId="7">#REF!</definedName>
    <definedName name="SL009Text" localSheetId="8">#REF!</definedName>
    <definedName name="SL009Text" localSheetId="1">#REF!</definedName>
    <definedName name="SL009Text" localSheetId="25">#REF!</definedName>
    <definedName name="SL009Text" localSheetId="30">#REF!</definedName>
    <definedName name="SL009Text" localSheetId="4">#REF!</definedName>
    <definedName name="SL009Text" localSheetId="11">#REF!</definedName>
    <definedName name="SL009Text" localSheetId="24">#REF!</definedName>
    <definedName name="SL009Text">#REF!</definedName>
    <definedName name="SL009Title" localSheetId="29">#REF!</definedName>
    <definedName name="SL009Title" localSheetId="2">#REF!</definedName>
    <definedName name="SL009Title" localSheetId="28">#REF!</definedName>
    <definedName name="SL009Title" localSheetId="16">#REF!</definedName>
    <definedName name="SL009Title" localSheetId="22">#REF!</definedName>
    <definedName name="SL009Title" localSheetId="26">#REF!</definedName>
    <definedName name="SL009Title" localSheetId="20">#REF!</definedName>
    <definedName name="SL009Title" localSheetId="19">#REF!</definedName>
    <definedName name="SL009Title" localSheetId="18">#REF!</definedName>
    <definedName name="SL009Title" localSheetId="17">#REF!</definedName>
    <definedName name="SL009Title" localSheetId="27">#REF!</definedName>
    <definedName name="SL009Title" localSheetId="21">#REF!</definedName>
    <definedName name="SL009Title" localSheetId="15">#REF!</definedName>
    <definedName name="SL009Title" localSheetId="7">#REF!</definedName>
    <definedName name="SL009Title" localSheetId="8">#REF!</definedName>
    <definedName name="SL009Title" localSheetId="1">#REF!</definedName>
    <definedName name="SL009Title" localSheetId="25">#REF!</definedName>
    <definedName name="SL009Title" localSheetId="30">#REF!</definedName>
    <definedName name="SL009Title" localSheetId="4">#REF!</definedName>
    <definedName name="SL009Title" localSheetId="11">#REF!</definedName>
    <definedName name="SL009Title" localSheetId="24">#REF!</definedName>
    <definedName name="SL009Title">#REF!</definedName>
    <definedName name="SL009YTD" localSheetId="29">#REF!</definedName>
    <definedName name="SL009YTD" localSheetId="2">#REF!</definedName>
    <definedName name="SL009YTD" localSheetId="28">#REF!</definedName>
    <definedName name="SL009YTD" localSheetId="16">#REF!</definedName>
    <definedName name="SL009YTD" localSheetId="22">#REF!</definedName>
    <definedName name="SL009YTD" localSheetId="26">#REF!</definedName>
    <definedName name="SL009YTD" localSheetId="20">#REF!</definedName>
    <definedName name="SL009YTD" localSheetId="19">#REF!</definedName>
    <definedName name="SL009YTD" localSheetId="18">#REF!</definedName>
    <definedName name="SL009YTD" localSheetId="17">#REF!</definedName>
    <definedName name="SL009YTD" localSheetId="27">#REF!</definedName>
    <definedName name="SL009YTD" localSheetId="21">#REF!</definedName>
    <definedName name="SL009YTD" localSheetId="15">#REF!</definedName>
    <definedName name="SL009YTD" localSheetId="7">#REF!</definedName>
    <definedName name="SL009YTD" localSheetId="8">#REF!</definedName>
    <definedName name="SL009YTD" localSheetId="1">#REF!</definedName>
    <definedName name="SL009YTD" localSheetId="25">#REF!</definedName>
    <definedName name="SL009YTD" localSheetId="30">#REF!</definedName>
    <definedName name="SL009YTD" localSheetId="4">#REF!</definedName>
    <definedName name="SL009YTD" localSheetId="11">#REF!</definedName>
    <definedName name="SL009YTD" localSheetId="24">#REF!</definedName>
    <definedName name="SL009YTD">#REF!</definedName>
    <definedName name="SL010Text" localSheetId="29">#REF!</definedName>
    <definedName name="SL010Text" localSheetId="2">#REF!</definedName>
    <definedName name="SL010Text" localSheetId="28">#REF!</definedName>
    <definedName name="SL010Text" localSheetId="16">#REF!</definedName>
    <definedName name="SL010Text" localSheetId="22">#REF!</definedName>
    <definedName name="SL010Text" localSheetId="26">#REF!</definedName>
    <definedName name="SL010Text" localSheetId="20">#REF!</definedName>
    <definedName name="SL010Text" localSheetId="19">#REF!</definedName>
    <definedName name="SL010Text" localSheetId="18">#REF!</definedName>
    <definedName name="SL010Text" localSheetId="17">#REF!</definedName>
    <definedName name="SL010Text" localSheetId="27">#REF!</definedName>
    <definedName name="SL010Text" localSheetId="21">#REF!</definedName>
    <definedName name="SL010Text" localSheetId="15">#REF!</definedName>
    <definedName name="SL010Text" localSheetId="7">#REF!</definedName>
    <definedName name="SL010Text" localSheetId="8">#REF!</definedName>
    <definedName name="SL010Text" localSheetId="1">#REF!</definedName>
    <definedName name="SL010Text" localSheetId="25">#REF!</definedName>
    <definedName name="SL010Text" localSheetId="30">#REF!</definedName>
    <definedName name="SL010Text" localSheetId="4">#REF!</definedName>
    <definedName name="SL010Text" localSheetId="11">#REF!</definedName>
    <definedName name="SL010Text" localSheetId="24">#REF!</definedName>
    <definedName name="SL010Text">#REF!</definedName>
    <definedName name="SL010Title" localSheetId="29">#REF!</definedName>
    <definedName name="SL010Title" localSheetId="2">#REF!</definedName>
    <definedName name="SL010Title" localSheetId="28">#REF!</definedName>
    <definedName name="SL010Title" localSheetId="16">#REF!</definedName>
    <definedName name="SL010Title" localSheetId="22">#REF!</definedName>
    <definedName name="SL010Title" localSheetId="26">#REF!</definedName>
    <definedName name="SL010Title" localSheetId="20">#REF!</definedName>
    <definedName name="SL010Title" localSheetId="19">#REF!</definedName>
    <definedName name="SL010Title" localSheetId="18">#REF!</definedName>
    <definedName name="SL010Title" localSheetId="17">#REF!</definedName>
    <definedName name="SL010Title" localSheetId="27">#REF!</definedName>
    <definedName name="SL010Title" localSheetId="21">#REF!</definedName>
    <definedName name="SL010Title" localSheetId="15">#REF!</definedName>
    <definedName name="SL010Title" localSheetId="7">#REF!</definedName>
    <definedName name="SL010Title" localSheetId="8">#REF!</definedName>
    <definedName name="SL010Title" localSheetId="1">#REF!</definedName>
    <definedName name="SL010Title" localSheetId="25">#REF!</definedName>
    <definedName name="SL010Title" localSheetId="30">#REF!</definedName>
    <definedName name="SL010Title" localSheetId="4">#REF!</definedName>
    <definedName name="SL010Title" localSheetId="11">#REF!</definedName>
    <definedName name="SL010Title" localSheetId="24">#REF!</definedName>
    <definedName name="SL010Title">#REF!</definedName>
    <definedName name="SL011Month" localSheetId="29">#REF!</definedName>
    <definedName name="SL011Month" localSheetId="2">#REF!</definedName>
    <definedName name="SL011Month" localSheetId="28">#REF!</definedName>
    <definedName name="SL011Month" localSheetId="16">#REF!</definedName>
    <definedName name="SL011Month" localSheetId="22">#REF!</definedName>
    <definedName name="SL011Month" localSheetId="26">#REF!</definedName>
    <definedName name="SL011Month" localSheetId="20">#REF!</definedName>
    <definedName name="SL011Month" localSheetId="19">#REF!</definedName>
    <definedName name="SL011Month" localSheetId="18">#REF!</definedName>
    <definedName name="SL011Month" localSheetId="17">#REF!</definedName>
    <definedName name="SL011Month" localSheetId="27">#REF!</definedName>
    <definedName name="SL011Month" localSheetId="21">#REF!</definedName>
    <definedName name="SL011Month" localSheetId="15">#REF!</definedName>
    <definedName name="SL011Month" localSheetId="7">#REF!</definedName>
    <definedName name="SL011Month" localSheetId="8">#REF!</definedName>
    <definedName name="SL011Month" localSheetId="1">#REF!</definedName>
    <definedName name="SL011Month" localSheetId="25">#REF!</definedName>
    <definedName name="SL011Month" localSheetId="30">#REF!</definedName>
    <definedName name="SL011Month" localSheetId="4">#REF!</definedName>
    <definedName name="SL011Month" localSheetId="11">#REF!</definedName>
    <definedName name="SL011Month" localSheetId="24">#REF!</definedName>
    <definedName name="SL011Month">#REF!</definedName>
    <definedName name="SL011Text" localSheetId="29">#REF!</definedName>
    <definedName name="SL011Text" localSheetId="2">#REF!</definedName>
    <definedName name="SL011Text" localSheetId="28">#REF!</definedName>
    <definedName name="SL011Text" localSheetId="16">#REF!</definedName>
    <definedName name="SL011Text" localSheetId="22">#REF!</definedName>
    <definedName name="SL011Text" localSheetId="26">#REF!</definedName>
    <definedName name="SL011Text" localSheetId="20">#REF!</definedName>
    <definedName name="SL011Text" localSheetId="19">#REF!</definedName>
    <definedName name="SL011Text" localSheetId="18">#REF!</definedName>
    <definedName name="SL011Text" localSheetId="17">#REF!</definedName>
    <definedName name="SL011Text" localSheetId="27">#REF!</definedName>
    <definedName name="SL011Text" localSheetId="21">#REF!</definedName>
    <definedName name="SL011Text" localSheetId="15">#REF!</definedName>
    <definedName name="SL011Text" localSheetId="7">#REF!</definedName>
    <definedName name="SL011Text" localSheetId="8">#REF!</definedName>
    <definedName name="SL011Text" localSheetId="1">#REF!</definedName>
    <definedName name="SL011Text" localSheetId="25">#REF!</definedName>
    <definedName name="SL011Text" localSheetId="30">#REF!</definedName>
    <definedName name="SL011Text" localSheetId="4">#REF!</definedName>
    <definedName name="SL011Text" localSheetId="11">#REF!</definedName>
    <definedName name="SL011Text" localSheetId="24">#REF!</definedName>
    <definedName name="SL011Text">#REF!</definedName>
    <definedName name="SL011Title" localSheetId="29">#REF!</definedName>
    <definedName name="SL011Title" localSheetId="2">#REF!</definedName>
    <definedName name="SL011Title" localSheetId="28">#REF!</definedName>
    <definedName name="SL011Title" localSheetId="16">#REF!</definedName>
    <definedName name="SL011Title" localSheetId="22">#REF!</definedName>
    <definedName name="SL011Title" localSheetId="26">#REF!</definedName>
    <definedName name="SL011Title" localSheetId="20">#REF!</definedName>
    <definedName name="SL011Title" localSheetId="19">#REF!</definedName>
    <definedName name="SL011Title" localSheetId="18">#REF!</definedName>
    <definedName name="SL011Title" localSheetId="17">#REF!</definedName>
    <definedName name="SL011Title" localSheetId="27">#REF!</definedName>
    <definedName name="SL011Title" localSheetId="21">#REF!</definedName>
    <definedName name="SL011Title" localSheetId="15">#REF!</definedName>
    <definedName name="SL011Title" localSheetId="7">#REF!</definedName>
    <definedName name="SL011Title" localSheetId="8">#REF!</definedName>
    <definedName name="SL011Title" localSheetId="1">#REF!</definedName>
    <definedName name="SL011Title" localSheetId="25">#REF!</definedName>
    <definedName name="SL011Title" localSheetId="30">#REF!</definedName>
    <definedName name="SL011Title" localSheetId="4">#REF!</definedName>
    <definedName name="SL011Title" localSheetId="11">#REF!</definedName>
    <definedName name="SL011Title" localSheetId="24">#REF!</definedName>
    <definedName name="SL011Title">#REF!</definedName>
    <definedName name="SL011YTD" localSheetId="29">#REF!</definedName>
    <definedName name="SL011YTD" localSheetId="2">#REF!</definedName>
    <definedName name="SL011YTD" localSheetId="28">#REF!</definedName>
    <definedName name="SL011YTD" localSheetId="16">#REF!</definedName>
    <definedName name="SL011YTD" localSheetId="22">#REF!</definedName>
    <definedName name="SL011YTD" localSheetId="26">#REF!</definedName>
    <definedName name="SL011YTD" localSheetId="20">#REF!</definedName>
    <definedName name="SL011YTD" localSheetId="19">#REF!</definedName>
    <definedName name="SL011YTD" localSheetId="18">#REF!</definedName>
    <definedName name="SL011YTD" localSheetId="17">#REF!</definedName>
    <definedName name="SL011YTD" localSheetId="27">#REF!</definedName>
    <definedName name="SL011YTD" localSheetId="21">#REF!</definedName>
    <definedName name="SL011YTD" localSheetId="15">#REF!</definedName>
    <definedName name="SL011YTD" localSheetId="7">#REF!</definedName>
    <definedName name="SL011YTD" localSheetId="8">#REF!</definedName>
    <definedName name="SL011YTD" localSheetId="1">#REF!</definedName>
    <definedName name="SL011YTD" localSheetId="25">#REF!</definedName>
    <definedName name="SL011YTD" localSheetId="30">#REF!</definedName>
    <definedName name="SL011YTD" localSheetId="4">#REF!</definedName>
    <definedName name="SL011YTD" localSheetId="11">#REF!</definedName>
    <definedName name="SL011YTD" localSheetId="24">#REF!</definedName>
    <definedName name="SL011YTD">#REF!</definedName>
    <definedName name="SL012Month" localSheetId="29">#REF!</definedName>
    <definedName name="SL012Month" localSheetId="2">#REF!</definedName>
    <definedName name="SL012Month" localSheetId="28">#REF!</definedName>
    <definedName name="SL012Month" localSheetId="16">#REF!</definedName>
    <definedName name="SL012Month" localSheetId="22">#REF!</definedName>
    <definedName name="SL012Month" localSheetId="26">#REF!</definedName>
    <definedName name="SL012Month" localSheetId="20">#REF!</definedName>
    <definedName name="SL012Month" localSheetId="19">#REF!</definedName>
    <definedName name="SL012Month" localSheetId="18">#REF!</definedName>
    <definedName name="SL012Month" localSheetId="17">#REF!</definedName>
    <definedName name="SL012Month" localSheetId="27">#REF!</definedName>
    <definedName name="SL012Month" localSheetId="21">#REF!</definedName>
    <definedName name="SL012Month" localSheetId="15">#REF!</definedName>
    <definedName name="SL012Month" localSheetId="7">#REF!</definedName>
    <definedName name="SL012Month" localSheetId="8">#REF!</definedName>
    <definedName name="SL012Month" localSheetId="1">#REF!</definedName>
    <definedName name="SL012Month" localSheetId="25">#REF!</definedName>
    <definedName name="SL012Month" localSheetId="30">#REF!</definedName>
    <definedName name="SL012Month" localSheetId="4">#REF!</definedName>
    <definedName name="SL012Month" localSheetId="11">#REF!</definedName>
    <definedName name="SL012Month" localSheetId="24">#REF!</definedName>
    <definedName name="SL012Month">#REF!</definedName>
    <definedName name="SL012Text" localSheetId="29">#REF!</definedName>
    <definedName name="SL012Text" localSheetId="2">#REF!</definedName>
    <definedName name="SL012Text" localSheetId="28">#REF!</definedName>
    <definedName name="SL012Text" localSheetId="16">#REF!</definedName>
    <definedName name="SL012Text" localSheetId="22">#REF!</definedName>
    <definedName name="SL012Text" localSheetId="26">#REF!</definedName>
    <definedName name="SL012Text" localSheetId="20">#REF!</definedName>
    <definedName name="SL012Text" localSheetId="19">#REF!</definedName>
    <definedName name="SL012Text" localSheetId="18">#REF!</definedName>
    <definedName name="SL012Text" localSheetId="17">#REF!</definedName>
    <definedName name="SL012Text" localSheetId="27">#REF!</definedName>
    <definedName name="SL012Text" localSheetId="21">#REF!</definedName>
    <definedName name="SL012Text" localSheetId="15">#REF!</definedName>
    <definedName name="SL012Text" localSheetId="7">#REF!</definedName>
    <definedName name="SL012Text" localSheetId="8">#REF!</definedName>
    <definedName name="SL012Text" localSheetId="1">#REF!</definedName>
    <definedName name="SL012Text" localSheetId="25">#REF!</definedName>
    <definedName name="SL012Text" localSheetId="30">#REF!</definedName>
    <definedName name="SL012Text" localSheetId="4">#REF!</definedName>
    <definedName name="SL012Text" localSheetId="11">#REF!</definedName>
    <definedName name="SL012Text" localSheetId="24">#REF!</definedName>
    <definedName name="SL012Text">#REF!</definedName>
    <definedName name="SL012Title" localSheetId="29">#REF!</definedName>
    <definedName name="SL012Title" localSheetId="2">#REF!</definedName>
    <definedName name="SL012Title" localSheetId="28">#REF!</definedName>
    <definedName name="SL012Title" localSheetId="16">#REF!</definedName>
    <definedName name="SL012Title" localSheetId="22">#REF!</definedName>
    <definedName name="SL012Title" localSheetId="26">#REF!</definedName>
    <definedName name="SL012Title" localSheetId="20">#REF!</definedName>
    <definedName name="SL012Title" localSheetId="19">#REF!</definedName>
    <definedName name="SL012Title" localSheetId="18">#REF!</definedName>
    <definedName name="SL012Title" localSheetId="17">#REF!</definedName>
    <definedName name="SL012Title" localSheetId="27">#REF!</definedName>
    <definedName name="SL012Title" localSheetId="21">#REF!</definedName>
    <definedName name="SL012Title" localSheetId="15">#REF!</definedName>
    <definedName name="SL012Title" localSheetId="7">#REF!</definedName>
    <definedName name="SL012Title" localSheetId="8">#REF!</definedName>
    <definedName name="SL012Title" localSheetId="1">#REF!</definedName>
    <definedName name="SL012Title" localSheetId="25">#REF!</definedName>
    <definedName name="SL012Title" localSheetId="30">#REF!</definedName>
    <definedName name="SL012Title" localSheetId="4">#REF!</definedName>
    <definedName name="SL012Title" localSheetId="11">#REF!</definedName>
    <definedName name="SL012Title" localSheetId="24">#REF!</definedName>
    <definedName name="SL012Title">#REF!</definedName>
    <definedName name="SL012YTD" localSheetId="29">#REF!</definedName>
    <definedName name="SL012YTD" localSheetId="2">#REF!</definedName>
    <definedName name="SL012YTD" localSheetId="28">#REF!</definedName>
    <definedName name="SL012YTD" localSheetId="16">#REF!</definedName>
    <definedName name="SL012YTD" localSheetId="22">#REF!</definedName>
    <definedName name="SL012YTD" localSheetId="26">#REF!</definedName>
    <definedName name="SL012YTD" localSheetId="20">#REF!</definedName>
    <definedName name="SL012YTD" localSheetId="19">#REF!</definedName>
    <definedName name="SL012YTD" localSheetId="18">#REF!</definedName>
    <definedName name="SL012YTD" localSheetId="17">#REF!</definedName>
    <definedName name="SL012YTD" localSheetId="27">#REF!</definedName>
    <definedName name="SL012YTD" localSheetId="21">#REF!</definedName>
    <definedName name="SL012YTD" localSheetId="15">#REF!</definedName>
    <definedName name="SL012YTD" localSheetId="7">#REF!</definedName>
    <definedName name="SL012YTD" localSheetId="8">#REF!</definedName>
    <definedName name="SL012YTD" localSheetId="1">#REF!</definedName>
    <definedName name="SL012YTD" localSheetId="25">#REF!</definedName>
    <definedName name="SL012YTD" localSheetId="30">#REF!</definedName>
    <definedName name="SL012YTD" localSheetId="4">#REF!</definedName>
    <definedName name="SL012YTD" localSheetId="11">#REF!</definedName>
    <definedName name="SL012YTD" localSheetId="24">#REF!</definedName>
    <definedName name="SL012YTD">#REF!</definedName>
    <definedName name="SL013Month" localSheetId="29">#REF!</definedName>
    <definedName name="SL013Month" localSheetId="2">#REF!</definedName>
    <definedName name="SL013Month" localSheetId="28">#REF!</definedName>
    <definedName name="SL013Month" localSheetId="16">#REF!</definedName>
    <definedName name="SL013Month" localSheetId="22">#REF!</definedName>
    <definedName name="SL013Month" localSheetId="26">#REF!</definedName>
    <definedName name="SL013Month" localSheetId="20">#REF!</definedName>
    <definedName name="SL013Month" localSheetId="19">#REF!</definedName>
    <definedName name="SL013Month" localSheetId="18">#REF!</definedName>
    <definedName name="SL013Month" localSheetId="17">#REF!</definedName>
    <definedName name="SL013Month" localSheetId="27">#REF!</definedName>
    <definedName name="SL013Month" localSheetId="21">#REF!</definedName>
    <definedName name="SL013Month" localSheetId="15">#REF!</definedName>
    <definedName name="SL013Month" localSheetId="7">#REF!</definedName>
    <definedName name="SL013Month" localSheetId="8">#REF!</definedName>
    <definedName name="SL013Month" localSheetId="1">#REF!</definedName>
    <definedName name="SL013Month" localSheetId="25">#REF!</definedName>
    <definedName name="SL013Month" localSheetId="30">#REF!</definedName>
    <definedName name="SL013Month" localSheetId="4">#REF!</definedName>
    <definedName name="SL013Month" localSheetId="11">#REF!</definedName>
    <definedName name="SL013Month" localSheetId="24">#REF!</definedName>
    <definedName name="SL013Month">#REF!</definedName>
    <definedName name="SL013Text" localSheetId="29">#REF!</definedName>
    <definedName name="SL013Text" localSheetId="2">#REF!</definedName>
    <definedName name="SL013Text" localSheetId="28">#REF!</definedName>
    <definedName name="SL013Text" localSheetId="16">#REF!</definedName>
    <definedName name="SL013Text" localSheetId="22">#REF!</definedName>
    <definedName name="SL013Text" localSheetId="26">#REF!</definedName>
    <definedName name="SL013Text" localSheetId="20">#REF!</definedName>
    <definedName name="SL013Text" localSheetId="19">#REF!</definedName>
    <definedName name="SL013Text" localSheetId="18">#REF!</definedName>
    <definedName name="SL013Text" localSheetId="17">#REF!</definedName>
    <definedName name="SL013Text" localSheetId="27">#REF!</definedName>
    <definedName name="SL013Text" localSheetId="21">#REF!</definedName>
    <definedName name="SL013Text" localSheetId="15">#REF!</definedName>
    <definedName name="SL013Text" localSheetId="7">#REF!</definedName>
    <definedName name="SL013Text" localSheetId="8">#REF!</definedName>
    <definedName name="SL013Text" localSheetId="1">#REF!</definedName>
    <definedName name="SL013Text" localSheetId="25">#REF!</definedName>
    <definedName name="SL013Text" localSheetId="30">#REF!</definedName>
    <definedName name="SL013Text" localSheetId="4">#REF!</definedName>
    <definedName name="SL013Text" localSheetId="11">#REF!</definedName>
    <definedName name="SL013Text" localSheetId="24">#REF!</definedName>
    <definedName name="SL013Text">#REF!</definedName>
    <definedName name="SL013Title" localSheetId="29">#REF!</definedName>
    <definedName name="SL013Title" localSheetId="2">#REF!</definedName>
    <definedName name="SL013Title" localSheetId="28">#REF!</definedName>
    <definedName name="SL013Title" localSheetId="16">#REF!</definedName>
    <definedName name="SL013Title" localSheetId="22">#REF!</definedName>
    <definedName name="SL013Title" localSheetId="26">#REF!</definedName>
    <definedName name="SL013Title" localSheetId="20">#REF!</definedName>
    <definedName name="SL013Title" localSheetId="19">#REF!</definedName>
    <definedName name="SL013Title" localSheetId="18">#REF!</definedName>
    <definedName name="SL013Title" localSheetId="17">#REF!</definedName>
    <definedName name="SL013Title" localSheetId="27">#REF!</definedName>
    <definedName name="SL013Title" localSheetId="21">#REF!</definedName>
    <definedName name="SL013Title" localSheetId="15">#REF!</definedName>
    <definedName name="SL013Title" localSheetId="7">#REF!</definedName>
    <definedName name="SL013Title" localSheetId="8">#REF!</definedName>
    <definedName name="SL013Title" localSheetId="1">#REF!</definedName>
    <definedName name="SL013Title" localSheetId="25">#REF!</definedName>
    <definedName name="SL013Title" localSheetId="30">#REF!</definedName>
    <definedName name="SL013Title" localSheetId="4">#REF!</definedName>
    <definedName name="SL013Title" localSheetId="11">#REF!</definedName>
    <definedName name="SL013Title" localSheetId="24">#REF!</definedName>
    <definedName name="SL013Title">#REF!</definedName>
    <definedName name="SL013YTD" localSheetId="29">#REF!</definedName>
    <definedName name="SL013YTD" localSheetId="2">#REF!</definedName>
    <definedName name="SL013YTD" localSheetId="28">#REF!</definedName>
    <definedName name="SL013YTD" localSheetId="16">#REF!</definedName>
    <definedName name="SL013YTD" localSheetId="22">#REF!</definedName>
    <definedName name="SL013YTD" localSheetId="26">#REF!</definedName>
    <definedName name="SL013YTD" localSheetId="20">#REF!</definedName>
    <definedName name="SL013YTD" localSheetId="19">#REF!</definedName>
    <definedName name="SL013YTD" localSheetId="18">#REF!</definedName>
    <definedName name="SL013YTD" localSheetId="17">#REF!</definedName>
    <definedName name="SL013YTD" localSheetId="27">#REF!</definedName>
    <definedName name="SL013YTD" localSheetId="21">#REF!</definedName>
    <definedName name="SL013YTD" localSheetId="15">#REF!</definedName>
    <definedName name="SL013YTD" localSheetId="7">#REF!</definedName>
    <definedName name="SL013YTD" localSheetId="8">#REF!</definedName>
    <definedName name="SL013YTD" localSheetId="1">#REF!</definedName>
    <definedName name="SL013YTD" localSheetId="25">#REF!</definedName>
    <definedName name="SL013YTD" localSheetId="30">#REF!</definedName>
    <definedName name="SL013YTD" localSheetId="4">#REF!</definedName>
    <definedName name="SL013YTD" localSheetId="11">#REF!</definedName>
    <definedName name="SL013YTD" localSheetId="24">#REF!</definedName>
    <definedName name="SL013YTD">#REF!</definedName>
    <definedName name="SL014Month" localSheetId="29">#REF!</definedName>
    <definedName name="SL014Month" localSheetId="2">#REF!</definedName>
    <definedName name="SL014Month" localSheetId="28">#REF!</definedName>
    <definedName name="SL014Month" localSheetId="16">#REF!</definedName>
    <definedName name="SL014Month" localSheetId="22">#REF!</definedName>
    <definedName name="SL014Month" localSheetId="26">#REF!</definedName>
    <definedName name="SL014Month" localSheetId="20">#REF!</definedName>
    <definedName name="SL014Month" localSheetId="19">#REF!</definedName>
    <definedName name="SL014Month" localSheetId="18">#REF!</definedName>
    <definedName name="SL014Month" localSheetId="17">#REF!</definedName>
    <definedName name="SL014Month" localSheetId="27">#REF!</definedName>
    <definedName name="SL014Month" localSheetId="21">#REF!</definedName>
    <definedName name="SL014Month" localSheetId="15">#REF!</definedName>
    <definedName name="SL014Month" localSheetId="7">#REF!</definedName>
    <definedName name="SL014Month" localSheetId="8">#REF!</definedName>
    <definedName name="SL014Month" localSheetId="1">#REF!</definedName>
    <definedName name="SL014Month" localSheetId="25">#REF!</definedName>
    <definedName name="SL014Month" localSheetId="30">#REF!</definedName>
    <definedName name="SL014Month" localSheetId="4">#REF!</definedName>
    <definedName name="SL014Month" localSheetId="11">#REF!</definedName>
    <definedName name="SL014Month" localSheetId="24">#REF!</definedName>
    <definedName name="SL014Month">#REF!</definedName>
    <definedName name="SL014Text" localSheetId="29">#REF!</definedName>
    <definedName name="SL014Text" localSheetId="2">#REF!</definedName>
    <definedName name="SL014Text" localSheetId="28">#REF!</definedName>
    <definedName name="SL014Text" localSheetId="16">#REF!</definedName>
    <definedName name="SL014Text" localSheetId="22">#REF!</definedName>
    <definedName name="SL014Text" localSheetId="26">#REF!</definedName>
    <definedName name="SL014Text" localSheetId="20">#REF!</definedName>
    <definedName name="SL014Text" localSheetId="19">#REF!</definedName>
    <definedName name="SL014Text" localSheetId="18">#REF!</definedName>
    <definedName name="SL014Text" localSheetId="17">#REF!</definedName>
    <definedName name="SL014Text" localSheetId="27">#REF!</definedName>
    <definedName name="SL014Text" localSheetId="21">#REF!</definedName>
    <definedName name="SL014Text" localSheetId="15">#REF!</definedName>
    <definedName name="SL014Text" localSheetId="7">#REF!</definedName>
    <definedName name="SL014Text" localSheetId="8">#REF!</definedName>
    <definedName name="SL014Text" localSheetId="1">#REF!</definedName>
    <definedName name="SL014Text" localSheetId="25">#REF!</definedName>
    <definedName name="SL014Text" localSheetId="30">#REF!</definedName>
    <definedName name="SL014Text" localSheetId="4">#REF!</definedName>
    <definedName name="SL014Text" localSheetId="11">#REF!</definedName>
    <definedName name="SL014Text" localSheetId="24">#REF!</definedName>
    <definedName name="SL014Text">#REF!</definedName>
    <definedName name="SL014Title" localSheetId="29">#REF!</definedName>
    <definedName name="SL014Title" localSheetId="2">#REF!</definedName>
    <definedName name="SL014Title" localSheetId="28">#REF!</definedName>
    <definedName name="SL014Title" localSheetId="16">#REF!</definedName>
    <definedName name="SL014Title" localSheetId="22">#REF!</definedName>
    <definedName name="SL014Title" localSheetId="26">#REF!</definedName>
    <definedName name="SL014Title" localSheetId="20">#REF!</definedName>
    <definedName name="SL014Title" localSheetId="19">#REF!</definedName>
    <definedName name="SL014Title" localSheetId="18">#REF!</definedName>
    <definedName name="SL014Title" localSheetId="17">#REF!</definedName>
    <definedName name="SL014Title" localSheetId="27">#REF!</definedName>
    <definedName name="SL014Title" localSheetId="21">#REF!</definedName>
    <definedName name="SL014Title" localSheetId="15">#REF!</definedName>
    <definedName name="SL014Title" localSheetId="7">#REF!</definedName>
    <definedName name="SL014Title" localSheetId="8">#REF!</definedName>
    <definedName name="SL014Title" localSheetId="1">#REF!</definedName>
    <definedName name="SL014Title" localSheetId="25">#REF!</definedName>
    <definedName name="SL014Title" localSheetId="30">#REF!</definedName>
    <definedName name="SL014Title" localSheetId="4">#REF!</definedName>
    <definedName name="SL014Title" localSheetId="11">#REF!</definedName>
    <definedName name="SL014Title" localSheetId="24">#REF!</definedName>
    <definedName name="SL014Title">#REF!</definedName>
    <definedName name="SL014YTD" localSheetId="29">#REF!</definedName>
    <definedName name="SL014YTD" localSheetId="2">#REF!</definedName>
    <definedName name="SL014YTD" localSheetId="28">#REF!</definedName>
    <definedName name="SL014YTD" localSheetId="16">#REF!</definedName>
    <definedName name="SL014YTD" localSheetId="22">#REF!</definedName>
    <definedName name="SL014YTD" localSheetId="26">#REF!</definedName>
    <definedName name="SL014YTD" localSheetId="20">#REF!</definedName>
    <definedName name="SL014YTD" localSheetId="19">#REF!</definedName>
    <definedName name="SL014YTD" localSheetId="18">#REF!</definedName>
    <definedName name="SL014YTD" localSheetId="17">#REF!</definedName>
    <definedName name="SL014YTD" localSheetId="27">#REF!</definedName>
    <definedName name="SL014YTD" localSheetId="21">#REF!</definedName>
    <definedName name="SL014YTD" localSheetId="15">#REF!</definedName>
    <definedName name="SL014YTD" localSheetId="7">#REF!</definedName>
    <definedName name="SL014YTD" localSheetId="8">#REF!</definedName>
    <definedName name="SL014YTD" localSheetId="1">#REF!</definedName>
    <definedName name="SL014YTD" localSheetId="25">#REF!</definedName>
    <definedName name="SL014YTD" localSheetId="30">#REF!</definedName>
    <definedName name="SL014YTD" localSheetId="4">#REF!</definedName>
    <definedName name="SL014YTD" localSheetId="11">#REF!</definedName>
    <definedName name="SL014YTD" localSheetId="24">#REF!</definedName>
    <definedName name="SL014YTD">#REF!</definedName>
    <definedName name="SL015Month" localSheetId="29">#REF!</definedName>
    <definedName name="SL015Month" localSheetId="2">#REF!</definedName>
    <definedName name="SL015Month" localSheetId="28">#REF!</definedName>
    <definedName name="SL015Month" localSheetId="16">#REF!</definedName>
    <definedName name="SL015Month" localSheetId="22">#REF!</definedName>
    <definedName name="SL015Month" localSheetId="26">#REF!</definedName>
    <definedName name="SL015Month" localSheetId="20">#REF!</definedName>
    <definedName name="SL015Month" localSheetId="19">#REF!</definedName>
    <definedName name="SL015Month" localSheetId="18">#REF!</definedName>
    <definedName name="SL015Month" localSheetId="17">#REF!</definedName>
    <definedName name="SL015Month" localSheetId="27">#REF!</definedName>
    <definedName name="SL015Month" localSheetId="21">#REF!</definedName>
    <definedName name="SL015Month" localSheetId="15">#REF!</definedName>
    <definedName name="SL015Month" localSheetId="7">#REF!</definedName>
    <definedName name="SL015Month" localSheetId="8">#REF!</definedName>
    <definedName name="SL015Month" localSheetId="1">#REF!</definedName>
    <definedName name="SL015Month" localSheetId="25">#REF!</definedName>
    <definedName name="SL015Month" localSheetId="30">#REF!</definedName>
    <definedName name="SL015Month" localSheetId="4">#REF!</definedName>
    <definedName name="SL015Month" localSheetId="11">#REF!</definedName>
    <definedName name="SL015Month" localSheetId="24">#REF!</definedName>
    <definedName name="SL015Month">#REF!</definedName>
    <definedName name="SL015Text" localSheetId="29">#REF!</definedName>
    <definedName name="SL015Text" localSheetId="2">#REF!</definedName>
    <definedName name="SL015Text" localSheetId="28">#REF!</definedName>
    <definedName name="SL015Text" localSheetId="16">#REF!</definedName>
    <definedName name="SL015Text" localSheetId="22">#REF!</definedName>
    <definedName name="SL015Text" localSheetId="26">#REF!</definedName>
    <definedName name="SL015Text" localSheetId="20">#REF!</definedName>
    <definedName name="SL015Text" localSheetId="19">#REF!</definedName>
    <definedName name="SL015Text" localSheetId="18">#REF!</definedName>
    <definedName name="SL015Text" localSheetId="17">#REF!</definedName>
    <definedName name="SL015Text" localSheetId="27">#REF!</definedName>
    <definedName name="SL015Text" localSheetId="21">#REF!</definedName>
    <definedName name="SL015Text" localSheetId="15">#REF!</definedName>
    <definedName name="SL015Text" localSheetId="7">#REF!</definedName>
    <definedName name="SL015Text" localSheetId="8">#REF!</definedName>
    <definedName name="SL015Text" localSheetId="1">#REF!</definedName>
    <definedName name="SL015Text" localSheetId="25">#REF!</definedName>
    <definedName name="SL015Text" localSheetId="30">#REF!</definedName>
    <definedName name="SL015Text" localSheetId="4">#REF!</definedName>
    <definedName name="SL015Text" localSheetId="11">#REF!</definedName>
    <definedName name="SL015Text" localSheetId="24">#REF!</definedName>
    <definedName name="SL015Text">#REF!</definedName>
    <definedName name="SL015Title" localSheetId="29">#REF!</definedName>
    <definedName name="SL015Title" localSheetId="2">#REF!</definedName>
    <definedName name="SL015Title" localSheetId="28">#REF!</definedName>
    <definedName name="SL015Title" localSheetId="16">#REF!</definedName>
    <definedName name="SL015Title" localSheetId="22">#REF!</definedName>
    <definedName name="SL015Title" localSheetId="26">#REF!</definedName>
    <definedName name="SL015Title" localSheetId="20">#REF!</definedName>
    <definedName name="SL015Title" localSheetId="19">#REF!</definedName>
    <definedName name="SL015Title" localSheetId="18">#REF!</definedName>
    <definedName name="SL015Title" localSheetId="17">#REF!</definedName>
    <definedName name="SL015Title" localSheetId="27">#REF!</definedName>
    <definedName name="SL015Title" localSheetId="21">#REF!</definedName>
    <definedName name="SL015Title" localSheetId="15">#REF!</definedName>
    <definedName name="SL015Title" localSheetId="7">#REF!</definedName>
    <definedName name="SL015Title" localSheetId="8">#REF!</definedName>
    <definedName name="SL015Title" localSheetId="1">#REF!</definedName>
    <definedName name="SL015Title" localSheetId="25">#REF!</definedName>
    <definedName name="SL015Title" localSheetId="30">#REF!</definedName>
    <definedName name="SL015Title" localSheetId="4">#REF!</definedName>
    <definedName name="SL015Title" localSheetId="11">#REF!</definedName>
    <definedName name="SL015Title" localSheetId="24">#REF!</definedName>
    <definedName name="SL015Title">#REF!</definedName>
    <definedName name="SL015YTD" localSheetId="29">#REF!</definedName>
    <definedName name="SL015YTD" localSheetId="2">#REF!</definedName>
    <definedName name="SL015YTD" localSheetId="28">#REF!</definedName>
    <definedName name="SL015YTD" localSheetId="16">#REF!</definedName>
    <definedName name="SL015YTD" localSheetId="22">#REF!</definedName>
    <definedName name="SL015YTD" localSheetId="26">#REF!</definedName>
    <definedName name="SL015YTD" localSheetId="20">#REF!</definedName>
    <definedName name="SL015YTD" localSheetId="19">#REF!</definedName>
    <definedName name="SL015YTD" localSheetId="18">#REF!</definedName>
    <definedName name="SL015YTD" localSheetId="17">#REF!</definedName>
    <definedName name="SL015YTD" localSheetId="27">#REF!</definedName>
    <definedName name="SL015YTD" localSheetId="21">#REF!</definedName>
    <definedName name="SL015YTD" localSheetId="15">#REF!</definedName>
    <definedName name="SL015YTD" localSheetId="7">#REF!</definedName>
    <definedName name="SL015YTD" localSheetId="8">#REF!</definedName>
    <definedName name="SL015YTD" localSheetId="1">#REF!</definedName>
    <definedName name="SL015YTD" localSheetId="25">#REF!</definedName>
    <definedName name="SL015YTD" localSheetId="30">#REF!</definedName>
    <definedName name="SL015YTD" localSheetId="4">#REF!</definedName>
    <definedName name="SL015YTD" localSheetId="11">#REF!</definedName>
    <definedName name="SL015YTD" localSheetId="24">#REF!</definedName>
    <definedName name="SL015YTD">#REF!</definedName>
    <definedName name="SL016Text" localSheetId="29">#REF!</definedName>
    <definedName name="SL016Text" localSheetId="2">#REF!</definedName>
    <definedName name="SL016Text" localSheetId="28">#REF!</definedName>
    <definedName name="SL016Text" localSheetId="16">#REF!</definedName>
    <definedName name="SL016Text" localSheetId="22">#REF!</definedName>
    <definedName name="SL016Text" localSheetId="26">#REF!</definedName>
    <definedName name="SL016Text" localSheetId="20">#REF!</definedName>
    <definedName name="SL016Text" localSheetId="19">#REF!</definedName>
    <definedName name="SL016Text" localSheetId="18">#REF!</definedName>
    <definedName name="SL016Text" localSheetId="17">#REF!</definedName>
    <definedName name="SL016Text" localSheetId="27">#REF!</definedName>
    <definedName name="SL016Text" localSheetId="21">#REF!</definedName>
    <definedName name="SL016Text" localSheetId="15">#REF!</definedName>
    <definedName name="SL016Text" localSheetId="7">#REF!</definedName>
    <definedName name="SL016Text" localSheetId="8">#REF!</definedName>
    <definedName name="SL016Text" localSheetId="1">#REF!</definedName>
    <definedName name="SL016Text" localSheetId="25">#REF!</definedName>
    <definedName name="SL016Text" localSheetId="30">#REF!</definedName>
    <definedName name="SL016Text" localSheetId="4">#REF!</definedName>
    <definedName name="SL016Text" localSheetId="11">#REF!</definedName>
    <definedName name="SL016Text" localSheetId="24">#REF!</definedName>
    <definedName name="SL016Text">#REF!</definedName>
    <definedName name="SL016Title" localSheetId="29">#REF!</definedName>
    <definedName name="SL016Title" localSheetId="2">#REF!</definedName>
    <definedName name="SL016Title" localSheetId="28">#REF!</definedName>
    <definedName name="SL016Title" localSheetId="16">#REF!</definedName>
    <definedName name="SL016Title" localSheetId="22">#REF!</definedName>
    <definedName name="SL016Title" localSheetId="26">#REF!</definedName>
    <definedName name="SL016Title" localSheetId="20">#REF!</definedName>
    <definedName name="SL016Title" localSheetId="19">#REF!</definedName>
    <definedName name="SL016Title" localSheetId="18">#REF!</definedName>
    <definedName name="SL016Title" localSheetId="17">#REF!</definedName>
    <definedName name="SL016Title" localSheetId="27">#REF!</definedName>
    <definedName name="SL016Title" localSheetId="21">#REF!</definedName>
    <definedName name="SL016Title" localSheetId="15">#REF!</definedName>
    <definedName name="SL016Title" localSheetId="7">#REF!</definedName>
    <definedName name="SL016Title" localSheetId="8">#REF!</definedName>
    <definedName name="SL016Title" localSheetId="1">#REF!</definedName>
    <definedName name="SL016Title" localSheetId="25">#REF!</definedName>
    <definedName name="SL016Title" localSheetId="30">#REF!</definedName>
    <definedName name="SL016Title" localSheetId="4">#REF!</definedName>
    <definedName name="SL016Title" localSheetId="11">#REF!</definedName>
    <definedName name="SL016Title" localSheetId="24">#REF!</definedName>
    <definedName name="SL016Title">#REF!</definedName>
    <definedName name="SL017Text" localSheetId="29">#REF!</definedName>
    <definedName name="SL017Text" localSheetId="2">#REF!</definedName>
    <definedName name="SL017Text" localSheetId="28">#REF!</definedName>
    <definedName name="SL017Text" localSheetId="16">#REF!</definedName>
    <definedName name="SL017Text" localSheetId="22">#REF!</definedName>
    <definedName name="SL017Text" localSheetId="26">#REF!</definedName>
    <definedName name="SL017Text" localSheetId="20">#REF!</definedName>
    <definedName name="SL017Text" localSheetId="19">#REF!</definedName>
    <definedName name="SL017Text" localSheetId="18">#REF!</definedName>
    <definedName name="SL017Text" localSheetId="17">#REF!</definedName>
    <definedName name="SL017Text" localSheetId="27">#REF!</definedName>
    <definedName name="SL017Text" localSheetId="21">#REF!</definedName>
    <definedName name="SL017Text" localSheetId="15">#REF!</definedName>
    <definedName name="SL017Text" localSheetId="7">#REF!</definedName>
    <definedName name="SL017Text" localSheetId="8">#REF!</definedName>
    <definedName name="SL017Text" localSheetId="1">#REF!</definedName>
    <definedName name="SL017Text" localSheetId="25">#REF!</definedName>
    <definedName name="SL017Text" localSheetId="30">#REF!</definedName>
    <definedName name="SL017Text" localSheetId="4">#REF!</definedName>
    <definedName name="SL017Text" localSheetId="11">#REF!</definedName>
    <definedName name="SL017Text" localSheetId="24">#REF!</definedName>
    <definedName name="SL017Text">#REF!</definedName>
    <definedName name="SL017Title" localSheetId="29">#REF!</definedName>
    <definedName name="SL017Title" localSheetId="2">#REF!</definedName>
    <definedName name="SL017Title" localSheetId="28">#REF!</definedName>
    <definedName name="SL017Title" localSheetId="16">#REF!</definedName>
    <definedName name="SL017Title" localSheetId="22">#REF!</definedName>
    <definedName name="SL017Title" localSheetId="26">#REF!</definedName>
    <definedName name="SL017Title" localSheetId="20">#REF!</definedName>
    <definedName name="SL017Title" localSheetId="19">#REF!</definedName>
    <definedName name="SL017Title" localSheetId="18">#REF!</definedName>
    <definedName name="SL017Title" localSheetId="17">#REF!</definedName>
    <definedName name="SL017Title" localSheetId="27">#REF!</definedName>
    <definedName name="SL017Title" localSheetId="21">#REF!</definedName>
    <definedName name="SL017Title" localSheetId="15">#REF!</definedName>
    <definedName name="SL017Title" localSheetId="7">#REF!</definedName>
    <definedName name="SL017Title" localSheetId="8">#REF!</definedName>
    <definedName name="SL017Title" localSheetId="1">#REF!</definedName>
    <definedName name="SL017Title" localSheetId="25">#REF!</definedName>
    <definedName name="SL017Title" localSheetId="30">#REF!</definedName>
    <definedName name="SL017Title" localSheetId="4">#REF!</definedName>
    <definedName name="SL017Title" localSheetId="11">#REF!</definedName>
    <definedName name="SL017Title" localSheetId="24">#REF!</definedName>
    <definedName name="SL017Title">#REF!</definedName>
    <definedName name="SL018Month" localSheetId="29">#REF!</definedName>
    <definedName name="SL018Month" localSheetId="2">#REF!</definedName>
    <definedName name="SL018Month" localSheetId="28">#REF!</definedName>
    <definedName name="SL018Month" localSheetId="16">#REF!</definedName>
    <definedName name="SL018Month" localSheetId="22">#REF!</definedName>
    <definedName name="SL018Month" localSheetId="26">#REF!</definedName>
    <definedName name="SL018Month" localSheetId="20">#REF!</definedName>
    <definedName name="SL018Month" localSheetId="19">#REF!</definedName>
    <definedName name="SL018Month" localSheetId="18">#REF!</definedName>
    <definedName name="SL018Month" localSheetId="17">#REF!</definedName>
    <definedName name="SL018Month" localSheetId="27">#REF!</definedName>
    <definedName name="SL018Month" localSheetId="21">#REF!</definedName>
    <definedName name="SL018Month" localSheetId="15">#REF!</definedName>
    <definedName name="SL018Month" localSheetId="7">#REF!</definedName>
    <definedName name="SL018Month" localSheetId="8">#REF!</definedName>
    <definedName name="SL018Month" localSheetId="1">#REF!</definedName>
    <definedName name="SL018Month" localSheetId="25">#REF!</definedName>
    <definedName name="SL018Month" localSheetId="30">#REF!</definedName>
    <definedName name="SL018Month" localSheetId="4">#REF!</definedName>
    <definedName name="SL018Month" localSheetId="11">#REF!</definedName>
    <definedName name="SL018Month" localSheetId="24">#REF!</definedName>
    <definedName name="SL018Month">#REF!</definedName>
    <definedName name="SL018Text" localSheetId="29">#REF!</definedName>
    <definedName name="SL018Text" localSheetId="2">#REF!</definedName>
    <definedName name="SL018Text" localSheetId="28">#REF!</definedName>
    <definedName name="SL018Text" localSheetId="16">#REF!</definedName>
    <definedName name="SL018Text" localSheetId="22">#REF!</definedName>
    <definedName name="SL018Text" localSheetId="26">#REF!</definedName>
    <definedName name="SL018Text" localSheetId="20">#REF!</definedName>
    <definedName name="SL018Text" localSheetId="19">#REF!</definedName>
    <definedName name="SL018Text" localSheetId="18">#REF!</definedName>
    <definedName name="SL018Text" localSheetId="17">#REF!</definedName>
    <definedName name="SL018Text" localSheetId="27">#REF!</definedName>
    <definedName name="SL018Text" localSheetId="21">#REF!</definedName>
    <definedName name="SL018Text" localSheetId="15">#REF!</definedName>
    <definedName name="SL018Text" localSheetId="7">#REF!</definedName>
    <definedName name="SL018Text" localSheetId="8">#REF!</definedName>
    <definedName name="SL018Text" localSheetId="1">#REF!</definedName>
    <definedName name="SL018Text" localSheetId="25">#REF!</definedName>
    <definedName name="SL018Text" localSheetId="30">#REF!</definedName>
    <definedName name="SL018Text" localSheetId="4">#REF!</definedName>
    <definedName name="SL018Text" localSheetId="11">#REF!</definedName>
    <definedName name="SL018Text" localSheetId="24">#REF!</definedName>
    <definedName name="SL018Text">#REF!</definedName>
    <definedName name="SL018Title" localSheetId="29">#REF!</definedName>
    <definedName name="SL018Title" localSheetId="2">#REF!</definedName>
    <definedName name="SL018Title" localSheetId="28">#REF!</definedName>
    <definedName name="SL018Title" localSheetId="16">#REF!</definedName>
    <definedName name="SL018Title" localSheetId="22">#REF!</definedName>
    <definedName name="SL018Title" localSheetId="26">#REF!</definedName>
    <definedName name="SL018Title" localSheetId="20">#REF!</definedName>
    <definedName name="SL018Title" localSheetId="19">#REF!</definedName>
    <definedName name="SL018Title" localSheetId="18">#REF!</definedName>
    <definedName name="SL018Title" localSheetId="17">#REF!</definedName>
    <definedName name="SL018Title" localSheetId="27">#REF!</definedName>
    <definedName name="SL018Title" localSheetId="21">#REF!</definedName>
    <definedName name="SL018Title" localSheetId="15">#REF!</definedName>
    <definedName name="SL018Title" localSheetId="7">#REF!</definedName>
    <definedName name="SL018Title" localSheetId="8">#REF!</definedName>
    <definedName name="SL018Title" localSheetId="1">#REF!</definedName>
    <definedName name="SL018Title" localSheetId="25">#REF!</definedName>
    <definedName name="SL018Title" localSheetId="30">#REF!</definedName>
    <definedName name="SL018Title" localSheetId="4">#REF!</definedName>
    <definedName name="SL018Title" localSheetId="11">#REF!</definedName>
    <definedName name="SL018Title" localSheetId="24">#REF!</definedName>
    <definedName name="SL018Title">#REF!</definedName>
    <definedName name="SL018YTD" localSheetId="29">#REF!</definedName>
    <definedName name="SL018YTD" localSheetId="2">#REF!</definedName>
    <definedName name="SL018YTD" localSheetId="28">#REF!</definedName>
    <definedName name="SL018YTD" localSheetId="16">#REF!</definedName>
    <definedName name="SL018YTD" localSheetId="22">#REF!</definedName>
    <definedName name="SL018YTD" localSheetId="26">#REF!</definedName>
    <definedName name="SL018YTD" localSheetId="20">#REF!</definedName>
    <definedName name="SL018YTD" localSheetId="19">#REF!</definedName>
    <definedName name="SL018YTD" localSheetId="18">#REF!</definedName>
    <definedName name="SL018YTD" localSheetId="17">#REF!</definedName>
    <definedName name="SL018YTD" localSheetId="27">#REF!</definedName>
    <definedName name="SL018YTD" localSheetId="21">#REF!</definedName>
    <definedName name="SL018YTD" localSheetId="15">#REF!</definedName>
    <definedName name="SL018YTD" localSheetId="7">#REF!</definedName>
    <definedName name="SL018YTD" localSheetId="8">#REF!</definedName>
    <definedName name="SL018YTD" localSheetId="1">#REF!</definedName>
    <definedName name="SL018YTD" localSheetId="25">#REF!</definedName>
    <definedName name="SL018YTD" localSheetId="30">#REF!</definedName>
    <definedName name="SL018YTD" localSheetId="4">#REF!</definedName>
    <definedName name="SL018YTD" localSheetId="11">#REF!</definedName>
    <definedName name="SL018YTD" localSheetId="24">#REF!</definedName>
    <definedName name="SL018YTD">#REF!</definedName>
    <definedName name="SL019Month" localSheetId="29">#REF!</definedName>
    <definedName name="SL019Month" localSheetId="2">#REF!</definedName>
    <definedName name="SL019Month" localSheetId="28">#REF!</definedName>
    <definedName name="SL019Month" localSheetId="16">#REF!</definedName>
    <definedName name="SL019Month" localSheetId="22">#REF!</definedName>
    <definedName name="SL019Month" localSheetId="26">#REF!</definedName>
    <definedName name="SL019Month" localSheetId="20">#REF!</definedName>
    <definedName name="SL019Month" localSheetId="19">#REF!</definedName>
    <definedName name="SL019Month" localSheetId="18">#REF!</definedName>
    <definedName name="SL019Month" localSheetId="17">#REF!</definedName>
    <definedName name="SL019Month" localSheetId="27">#REF!</definedName>
    <definedName name="SL019Month" localSheetId="21">#REF!</definedName>
    <definedName name="SL019Month" localSheetId="15">#REF!</definedName>
    <definedName name="SL019Month" localSheetId="7">#REF!</definedName>
    <definedName name="SL019Month" localSheetId="8">#REF!</definedName>
    <definedName name="SL019Month" localSheetId="1">#REF!</definedName>
    <definedName name="SL019Month" localSheetId="25">#REF!</definedName>
    <definedName name="SL019Month" localSheetId="30">#REF!</definedName>
    <definedName name="SL019Month" localSheetId="4">#REF!</definedName>
    <definedName name="SL019Month" localSheetId="11">#REF!</definedName>
    <definedName name="SL019Month" localSheetId="24">#REF!</definedName>
    <definedName name="SL019Month">#REF!</definedName>
    <definedName name="SL019Text" localSheetId="29">#REF!</definedName>
    <definedName name="SL019Text" localSheetId="2">#REF!</definedName>
    <definedName name="SL019Text" localSheetId="28">#REF!</definedName>
    <definedName name="SL019Text" localSheetId="16">#REF!</definedName>
    <definedName name="SL019Text" localSheetId="22">#REF!</definedName>
    <definedName name="SL019Text" localSheetId="26">#REF!</definedName>
    <definedName name="SL019Text" localSheetId="20">#REF!</definedName>
    <definedName name="SL019Text" localSheetId="19">#REF!</definedName>
    <definedName name="SL019Text" localSheetId="18">#REF!</definedName>
    <definedName name="SL019Text" localSheetId="17">#REF!</definedName>
    <definedName name="SL019Text" localSheetId="27">#REF!</definedName>
    <definedName name="SL019Text" localSheetId="21">#REF!</definedName>
    <definedName name="SL019Text" localSheetId="15">#REF!</definedName>
    <definedName name="SL019Text" localSheetId="7">#REF!</definedName>
    <definedName name="SL019Text" localSheetId="8">#REF!</definedName>
    <definedName name="SL019Text" localSheetId="1">#REF!</definedName>
    <definedName name="SL019Text" localSheetId="25">#REF!</definedName>
    <definedName name="SL019Text" localSheetId="30">#REF!</definedName>
    <definedName name="SL019Text" localSheetId="4">#REF!</definedName>
    <definedName name="SL019Text" localSheetId="11">#REF!</definedName>
    <definedName name="SL019Text" localSheetId="24">#REF!</definedName>
    <definedName name="SL019Text">#REF!</definedName>
    <definedName name="SL019Title" localSheetId="29">#REF!</definedName>
    <definedName name="SL019Title" localSheetId="2">#REF!</definedName>
    <definedName name="SL019Title" localSheetId="28">#REF!</definedName>
    <definedName name="SL019Title" localSheetId="16">#REF!</definedName>
    <definedName name="SL019Title" localSheetId="22">#REF!</definedName>
    <definedName name="SL019Title" localSheetId="26">#REF!</definedName>
    <definedName name="SL019Title" localSheetId="20">#REF!</definedName>
    <definedName name="SL019Title" localSheetId="19">#REF!</definedName>
    <definedName name="SL019Title" localSheetId="18">#REF!</definedName>
    <definedName name="SL019Title" localSheetId="17">#REF!</definedName>
    <definedName name="SL019Title" localSheetId="27">#REF!</definedName>
    <definedName name="SL019Title" localSheetId="21">#REF!</definedName>
    <definedName name="SL019Title" localSheetId="15">#REF!</definedName>
    <definedName name="SL019Title" localSheetId="7">#REF!</definedName>
    <definedName name="SL019Title" localSheetId="8">#REF!</definedName>
    <definedName name="SL019Title" localSheetId="1">#REF!</definedName>
    <definedName name="SL019Title" localSheetId="25">#REF!</definedName>
    <definedName name="SL019Title" localSheetId="30">#REF!</definedName>
    <definedName name="SL019Title" localSheetId="4">#REF!</definedName>
    <definedName name="SL019Title" localSheetId="11">#REF!</definedName>
    <definedName name="SL019Title" localSheetId="24">#REF!</definedName>
    <definedName name="SL019Title">#REF!</definedName>
    <definedName name="SL019YTD" localSheetId="29">#REF!</definedName>
    <definedName name="SL019YTD" localSheetId="2">#REF!</definedName>
    <definedName name="SL019YTD" localSheetId="28">#REF!</definedName>
    <definedName name="SL019YTD" localSheetId="16">#REF!</definedName>
    <definedName name="SL019YTD" localSheetId="22">#REF!</definedName>
    <definedName name="SL019YTD" localSheetId="26">#REF!</definedName>
    <definedName name="SL019YTD" localSheetId="20">#REF!</definedName>
    <definedName name="SL019YTD" localSheetId="19">#REF!</definedName>
    <definedName name="SL019YTD" localSheetId="18">#REF!</definedName>
    <definedName name="SL019YTD" localSheetId="17">#REF!</definedName>
    <definedName name="SL019YTD" localSheetId="27">#REF!</definedName>
    <definedName name="SL019YTD" localSheetId="21">#REF!</definedName>
    <definedName name="SL019YTD" localSheetId="15">#REF!</definedName>
    <definedName name="SL019YTD" localSheetId="7">#REF!</definedName>
    <definedName name="SL019YTD" localSheetId="8">#REF!</definedName>
    <definedName name="SL019YTD" localSheetId="1">#REF!</definedName>
    <definedName name="SL019YTD" localSheetId="25">#REF!</definedName>
    <definedName name="SL019YTD" localSheetId="30">#REF!</definedName>
    <definedName name="SL019YTD" localSheetId="4">#REF!</definedName>
    <definedName name="SL019YTD" localSheetId="11">#REF!</definedName>
    <definedName name="SL019YTD" localSheetId="24">#REF!</definedName>
    <definedName name="SL019YTD">#REF!</definedName>
    <definedName name="SL021Month" localSheetId="29">#REF!</definedName>
    <definedName name="SL021Month" localSheetId="2">#REF!</definedName>
    <definedName name="SL021Month" localSheetId="28">#REF!</definedName>
    <definedName name="SL021Month" localSheetId="16">#REF!</definedName>
    <definedName name="SL021Month" localSheetId="22">#REF!</definedName>
    <definedName name="SL021Month" localSheetId="26">#REF!</definedName>
    <definedName name="SL021Month" localSheetId="20">#REF!</definedName>
    <definedName name="SL021Month" localSheetId="19">#REF!</definedName>
    <definedName name="SL021Month" localSheetId="18">#REF!</definedName>
    <definedName name="SL021Month" localSheetId="17">#REF!</definedName>
    <definedName name="SL021Month" localSheetId="27">#REF!</definedName>
    <definedName name="SL021Month" localSheetId="21">#REF!</definedName>
    <definedName name="SL021Month" localSheetId="15">#REF!</definedName>
    <definedName name="SL021Month" localSheetId="7">#REF!</definedName>
    <definedName name="SL021Month" localSheetId="8">#REF!</definedName>
    <definedName name="SL021Month" localSheetId="1">#REF!</definedName>
    <definedName name="SL021Month" localSheetId="25">#REF!</definedName>
    <definedName name="SL021Month" localSheetId="30">#REF!</definedName>
    <definedName name="SL021Month" localSheetId="4">#REF!</definedName>
    <definedName name="SL021Month" localSheetId="11">#REF!</definedName>
    <definedName name="SL021Month" localSheetId="24">#REF!</definedName>
    <definedName name="SL021Month">#REF!</definedName>
    <definedName name="SL021Text" localSheetId="29">#REF!</definedName>
    <definedName name="SL021Text" localSheetId="2">#REF!</definedName>
    <definedName name="SL021Text" localSheetId="28">#REF!</definedName>
    <definedName name="SL021Text" localSheetId="16">#REF!</definedName>
    <definedName name="SL021Text" localSheetId="22">#REF!</definedName>
    <definedName name="SL021Text" localSheetId="26">#REF!</definedName>
    <definedName name="SL021Text" localSheetId="20">#REF!</definedName>
    <definedName name="SL021Text" localSheetId="19">#REF!</definedName>
    <definedName name="SL021Text" localSheetId="18">#REF!</definedName>
    <definedName name="SL021Text" localSheetId="17">#REF!</definedName>
    <definedName name="SL021Text" localSheetId="27">#REF!</definedName>
    <definedName name="SL021Text" localSheetId="21">#REF!</definedName>
    <definedName name="SL021Text" localSheetId="15">#REF!</definedName>
    <definedName name="SL021Text" localSheetId="7">#REF!</definedName>
    <definedName name="SL021Text" localSheetId="8">#REF!</definedName>
    <definedName name="SL021Text" localSheetId="1">#REF!</definedName>
    <definedName name="SL021Text" localSheetId="25">#REF!</definedName>
    <definedName name="SL021Text" localSheetId="30">#REF!</definedName>
    <definedName name="SL021Text" localSheetId="4">#REF!</definedName>
    <definedName name="SL021Text" localSheetId="11">#REF!</definedName>
    <definedName name="SL021Text" localSheetId="24">#REF!</definedName>
    <definedName name="SL021Text">#REF!</definedName>
    <definedName name="SL021Title" localSheetId="29">#REF!</definedName>
    <definedName name="SL021Title" localSheetId="2">#REF!</definedName>
    <definedName name="SL021Title" localSheetId="28">#REF!</definedName>
    <definedName name="SL021Title" localSheetId="16">#REF!</definedName>
    <definedName name="SL021Title" localSheetId="22">#REF!</definedName>
    <definedName name="SL021Title" localSheetId="26">#REF!</definedName>
    <definedName name="SL021Title" localSheetId="20">#REF!</definedName>
    <definedName name="SL021Title" localSheetId="19">#REF!</definedName>
    <definedName name="SL021Title" localSheetId="18">#REF!</definedName>
    <definedName name="SL021Title" localSheetId="17">#REF!</definedName>
    <definedName name="SL021Title" localSheetId="27">#REF!</definedName>
    <definedName name="SL021Title" localSheetId="21">#REF!</definedName>
    <definedName name="SL021Title" localSheetId="15">#REF!</definedName>
    <definedName name="SL021Title" localSheetId="7">#REF!</definedName>
    <definedName name="SL021Title" localSheetId="8">#REF!</definedName>
    <definedName name="SL021Title" localSheetId="1">#REF!</definedName>
    <definedName name="SL021Title" localSheetId="25">#REF!</definedName>
    <definedName name="SL021Title" localSheetId="30">#REF!</definedName>
    <definedName name="SL021Title" localSheetId="4">#REF!</definedName>
    <definedName name="SL021Title" localSheetId="11">#REF!</definedName>
    <definedName name="SL021Title" localSheetId="24">#REF!</definedName>
    <definedName name="SL021Title">#REF!</definedName>
    <definedName name="SL021YTD" localSheetId="29">#REF!</definedName>
    <definedName name="SL021YTD" localSheetId="2">#REF!</definedName>
    <definedName name="SL021YTD" localSheetId="28">#REF!</definedName>
    <definedName name="SL021YTD" localSheetId="16">#REF!</definedName>
    <definedName name="SL021YTD" localSheetId="22">#REF!</definedName>
    <definedName name="SL021YTD" localSheetId="26">#REF!</definedName>
    <definedName name="SL021YTD" localSheetId="20">#REF!</definedName>
    <definedName name="SL021YTD" localSheetId="19">#REF!</definedName>
    <definedName name="SL021YTD" localSheetId="18">#REF!</definedName>
    <definedName name="SL021YTD" localSheetId="17">#REF!</definedName>
    <definedName name="SL021YTD" localSheetId="27">#REF!</definedName>
    <definedName name="SL021YTD" localSheetId="21">#REF!</definedName>
    <definedName name="SL021YTD" localSheetId="15">#REF!</definedName>
    <definedName name="SL021YTD" localSheetId="7">#REF!</definedName>
    <definedName name="SL021YTD" localSheetId="8">#REF!</definedName>
    <definedName name="SL021YTD" localSheetId="1">#REF!</definedName>
    <definedName name="SL021YTD" localSheetId="25">#REF!</definedName>
    <definedName name="SL021YTD" localSheetId="30">#REF!</definedName>
    <definedName name="SL021YTD" localSheetId="4">#REF!</definedName>
    <definedName name="SL021YTD" localSheetId="11">#REF!</definedName>
    <definedName name="SL021YTD" localSheetId="24">#REF!</definedName>
    <definedName name="SL021YTD">#REF!</definedName>
    <definedName name="SL022Month" localSheetId="29">#REF!</definedName>
    <definedName name="SL022Month" localSheetId="2">#REF!</definedName>
    <definedName name="SL022Month" localSheetId="28">#REF!</definedName>
    <definedName name="SL022Month" localSheetId="16">#REF!</definedName>
    <definedName name="SL022Month" localSheetId="22">#REF!</definedName>
    <definedName name="SL022Month" localSheetId="26">#REF!</definedName>
    <definedName name="SL022Month" localSheetId="20">#REF!</definedName>
    <definedName name="SL022Month" localSheetId="19">#REF!</definedName>
    <definedName name="SL022Month" localSheetId="18">#REF!</definedName>
    <definedName name="SL022Month" localSheetId="17">#REF!</definedName>
    <definedName name="SL022Month" localSheetId="27">#REF!</definedName>
    <definedName name="SL022Month" localSheetId="21">#REF!</definedName>
    <definedName name="SL022Month" localSheetId="15">#REF!</definedName>
    <definedName name="SL022Month" localSheetId="7">#REF!</definedName>
    <definedName name="SL022Month" localSheetId="8">#REF!</definedName>
    <definedName name="SL022Month" localSheetId="1">#REF!</definedName>
    <definedName name="SL022Month" localSheetId="25">#REF!</definedName>
    <definedName name="SL022Month" localSheetId="30">#REF!</definedName>
    <definedName name="SL022Month" localSheetId="4">#REF!</definedName>
    <definedName name="SL022Month" localSheetId="11">#REF!</definedName>
    <definedName name="SL022Month" localSheetId="24">#REF!</definedName>
    <definedName name="SL022Month">#REF!</definedName>
    <definedName name="SL022Text" localSheetId="29">#REF!</definedName>
    <definedName name="SL022Text" localSheetId="2">#REF!</definedName>
    <definedName name="SL022Text" localSheetId="28">#REF!</definedName>
    <definedName name="SL022Text" localSheetId="16">#REF!</definedName>
    <definedName name="SL022Text" localSheetId="22">#REF!</definedName>
    <definedName name="SL022Text" localSheetId="26">#REF!</definedName>
    <definedName name="SL022Text" localSheetId="20">#REF!</definedName>
    <definedName name="SL022Text" localSheetId="19">#REF!</definedName>
    <definedName name="SL022Text" localSheetId="18">#REF!</definedName>
    <definedName name="SL022Text" localSheetId="17">#REF!</definedName>
    <definedName name="SL022Text" localSheetId="27">#REF!</definedName>
    <definedName name="SL022Text" localSheetId="21">#REF!</definedName>
    <definedName name="SL022Text" localSheetId="15">#REF!</definedName>
    <definedName name="SL022Text" localSheetId="7">#REF!</definedName>
    <definedName name="SL022Text" localSheetId="8">#REF!</definedName>
    <definedName name="SL022Text" localSheetId="1">#REF!</definedName>
    <definedName name="SL022Text" localSheetId="25">#REF!</definedName>
    <definedName name="SL022Text" localSheetId="30">#REF!</definedName>
    <definedName name="SL022Text" localSheetId="4">#REF!</definedName>
    <definedName name="SL022Text" localSheetId="11">#REF!</definedName>
    <definedName name="SL022Text" localSheetId="24">#REF!</definedName>
    <definedName name="SL022Text">#REF!</definedName>
    <definedName name="SL022Title" localSheetId="29">#REF!</definedName>
    <definedName name="SL022Title" localSheetId="2">#REF!</definedName>
    <definedName name="SL022Title" localSheetId="28">#REF!</definedName>
    <definedName name="SL022Title" localSheetId="16">#REF!</definedName>
    <definedName name="SL022Title" localSheetId="22">#REF!</definedName>
    <definedName name="SL022Title" localSheetId="26">#REF!</definedName>
    <definedName name="SL022Title" localSheetId="20">#REF!</definedName>
    <definedName name="SL022Title" localSheetId="19">#REF!</definedName>
    <definedName name="SL022Title" localSheetId="18">#REF!</definedName>
    <definedName name="SL022Title" localSheetId="17">#REF!</definedName>
    <definedName name="SL022Title" localSheetId="27">#REF!</definedName>
    <definedName name="SL022Title" localSheetId="21">#REF!</definedName>
    <definedName name="SL022Title" localSheetId="15">#REF!</definedName>
    <definedName name="SL022Title" localSheetId="7">#REF!</definedName>
    <definedName name="SL022Title" localSheetId="8">#REF!</definedName>
    <definedName name="SL022Title" localSheetId="1">#REF!</definedName>
    <definedName name="SL022Title" localSheetId="25">#REF!</definedName>
    <definedName name="SL022Title" localSheetId="30">#REF!</definedName>
    <definedName name="SL022Title" localSheetId="4">#REF!</definedName>
    <definedName name="SL022Title" localSheetId="11">#REF!</definedName>
    <definedName name="SL022Title" localSheetId="24">#REF!</definedName>
    <definedName name="SL022Title">#REF!</definedName>
    <definedName name="SL022YTD" localSheetId="29">#REF!</definedName>
    <definedName name="SL022YTD" localSheetId="2">#REF!</definedName>
    <definedName name="SL022YTD" localSheetId="28">#REF!</definedName>
    <definedName name="SL022YTD" localSheetId="16">#REF!</definedName>
    <definedName name="SL022YTD" localSheetId="22">#REF!</definedName>
    <definedName name="SL022YTD" localSheetId="26">#REF!</definedName>
    <definedName name="SL022YTD" localSheetId="20">#REF!</definedName>
    <definedName name="SL022YTD" localSheetId="19">#REF!</definedName>
    <definedName name="SL022YTD" localSheetId="18">#REF!</definedName>
    <definedName name="SL022YTD" localSheetId="17">#REF!</definedName>
    <definedName name="SL022YTD" localSheetId="27">#REF!</definedName>
    <definedName name="SL022YTD" localSheetId="21">#REF!</definedName>
    <definedName name="SL022YTD" localSheetId="15">#REF!</definedName>
    <definedName name="SL022YTD" localSheetId="7">#REF!</definedName>
    <definedName name="SL022YTD" localSheetId="8">#REF!</definedName>
    <definedName name="SL022YTD" localSheetId="1">#REF!</definedName>
    <definedName name="SL022YTD" localSheetId="25">#REF!</definedName>
    <definedName name="SL022YTD" localSheetId="30">#REF!</definedName>
    <definedName name="SL022YTD" localSheetId="4">#REF!</definedName>
    <definedName name="SL022YTD" localSheetId="11">#REF!</definedName>
    <definedName name="SL022YTD" localSheetId="24">#REF!</definedName>
    <definedName name="SL022YTD">#REF!</definedName>
    <definedName name="SL023Month" localSheetId="29">#REF!</definedName>
    <definedName name="SL023Month" localSheetId="2">#REF!</definedName>
    <definedName name="SL023Month" localSheetId="28">#REF!</definedName>
    <definedName name="SL023Month" localSheetId="16">#REF!</definedName>
    <definedName name="SL023Month" localSheetId="22">#REF!</definedName>
    <definedName name="SL023Month" localSheetId="26">#REF!</definedName>
    <definedName name="SL023Month" localSheetId="20">#REF!</definedName>
    <definedName name="SL023Month" localSheetId="19">#REF!</definedName>
    <definedName name="SL023Month" localSheetId="18">#REF!</definedName>
    <definedName name="SL023Month" localSheetId="17">#REF!</definedName>
    <definedName name="SL023Month" localSheetId="27">#REF!</definedName>
    <definedName name="SL023Month" localSheetId="21">#REF!</definedName>
    <definedName name="SL023Month" localSheetId="15">#REF!</definedName>
    <definedName name="SL023Month" localSheetId="7">#REF!</definedName>
    <definedName name="SL023Month" localSheetId="8">#REF!</definedName>
    <definedName name="SL023Month" localSheetId="1">#REF!</definedName>
    <definedName name="SL023Month" localSheetId="25">#REF!</definedName>
    <definedName name="SL023Month" localSheetId="30">#REF!</definedName>
    <definedName name="SL023Month" localSheetId="4">#REF!</definedName>
    <definedName name="SL023Month" localSheetId="11">#REF!</definedName>
    <definedName name="SL023Month" localSheetId="24">#REF!</definedName>
    <definedName name="SL023Month">#REF!</definedName>
    <definedName name="SL023Text" localSheetId="29">#REF!</definedName>
    <definedName name="SL023Text" localSheetId="2">#REF!</definedName>
    <definedName name="SL023Text" localSheetId="28">#REF!</definedName>
    <definedName name="SL023Text" localSheetId="16">#REF!</definedName>
    <definedName name="SL023Text" localSheetId="22">#REF!</definedName>
    <definedName name="SL023Text" localSheetId="26">#REF!</definedName>
    <definedName name="SL023Text" localSheetId="20">#REF!</definedName>
    <definedName name="SL023Text" localSheetId="19">#REF!</definedName>
    <definedName name="SL023Text" localSheetId="18">#REF!</definedName>
    <definedName name="SL023Text" localSheetId="17">#REF!</definedName>
    <definedName name="SL023Text" localSheetId="27">#REF!</definedName>
    <definedName name="SL023Text" localSheetId="21">#REF!</definedName>
    <definedName name="SL023Text" localSheetId="15">#REF!</definedName>
    <definedName name="SL023Text" localSheetId="7">#REF!</definedName>
    <definedName name="SL023Text" localSheetId="8">#REF!</definedName>
    <definedName name="SL023Text" localSheetId="1">#REF!</definedName>
    <definedName name="SL023Text" localSheetId="25">#REF!</definedName>
    <definedName name="SL023Text" localSheetId="30">#REF!</definedName>
    <definedName name="SL023Text" localSheetId="4">#REF!</definedName>
    <definedName name="SL023Text" localSheetId="11">#REF!</definedName>
    <definedName name="SL023Text" localSheetId="24">#REF!</definedName>
    <definedName name="SL023Text">#REF!</definedName>
    <definedName name="SL023Title" localSheetId="29">#REF!</definedName>
    <definedName name="SL023Title" localSheetId="2">#REF!</definedName>
    <definedName name="SL023Title" localSheetId="28">#REF!</definedName>
    <definedName name="SL023Title" localSheetId="16">#REF!</definedName>
    <definedName name="SL023Title" localSheetId="22">#REF!</definedName>
    <definedName name="SL023Title" localSheetId="26">#REF!</definedName>
    <definedName name="SL023Title" localSheetId="20">#REF!</definedName>
    <definedName name="SL023Title" localSheetId="19">#REF!</definedName>
    <definedName name="SL023Title" localSheetId="18">#REF!</definedName>
    <definedName name="SL023Title" localSheetId="17">#REF!</definedName>
    <definedName name="SL023Title" localSheetId="27">#REF!</definedName>
    <definedName name="SL023Title" localSheetId="21">#REF!</definedName>
    <definedName name="SL023Title" localSheetId="15">#REF!</definedName>
    <definedName name="SL023Title" localSheetId="7">#REF!</definedName>
    <definedName name="SL023Title" localSheetId="8">#REF!</definedName>
    <definedName name="SL023Title" localSheetId="1">#REF!</definedName>
    <definedName name="SL023Title" localSheetId="25">#REF!</definedName>
    <definedName name="SL023Title" localSheetId="30">#REF!</definedName>
    <definedName name="SL023Title" localSheetId="4">#REF!</definedName>
    <definedName name="SL023Title" localSheetId="11">#REF!</definedName>
    <definedName name="SL023Title" localSheetId="24">#REF!</definedName>
    <definedName name="SL023Title">#REF!</definedName>
    <definedName name="SL023YTD" localSheetId="29">#REF!</definedName>
    <definedName name="SL023YTD" localSheetId="2">#REF!</definedName>
    <definedName name="SL023YTD" localSheetId="28">#REF!</definedName>
    <definedName name="SL023YTD" localSheetId="16">#REF!</definedName>
    <definedName name="SL023YTD" localSheetId="22">#REF!</definedName>
    <definedName name="SL023YTD" localSheetId="26">#REF!</definedName>
    <definedName name="SL023YTD" localSheetId="20">#REF!</definedName>
    <definedName name="SL023YTD" localSheetId="19">#REF!</definedName>
    <definedName name="SL023YTD" localSheetId="18">#REF!</definedName>
    <definedName name="SL023YTD" localSheetId="17">#REF!</definedName>
    <definedName name="SL023YTD" localSheetId="27">#REF!</definedName>
    <definedName name="SL023YTD" localSheetId="21">#REF!</definedName>
    <definedName name="SL023YTD" localSheetId="15">#REF!</definedName>
    <definedName name="SL023YTD" localSheetId="7">#REF!</definedName>
    <definedName name="SL023YTD" localSheetId="8">#REF!</definedName>
    <definedName name="SL023YTD" localSheetId="1">#REF!</definedName>
    <definedName name="SL023YTD" localSheetId="25">#REF!</definedName>
    <definedName name="SL023YTD" localSheetId="30">#REF!</definedName>
    <definedName name="SL023YTD" localSheetId="4">#REF!</definedName>
    <definedName name="SL023YTD" localSheetId="11">#REF!</definedName>
    <definedName name="SL023YTD" localSheetId="24">#REF!</definedName>
    <definedName name="SL023YTD">#REF!</definedName>
    <definedName name="SL024Month" localSheetId="29">#REF!</definedName>
    <definedName name="SL024Month" localSheetId="2">#REF!</definedName>
    <definedName name="SL024Month" localSheetId="28">#REF!</definedName>
    <definedName name="SL024Month" localSheetId="16">#REF!</definedName>
    <definedName name="SL024Month" localSheetId="22">#REF!</definedName>
    <definedName name="SL024Month" localSheetId="26">#REF!</definedName>
    <definedName name="SL024Month" localSheetId="20">#REF!</definedName>
    <definedName name="SL024Month" localSheetId="19">#REF!</definedName>
    <definedName name="SL024Month" localSheetId="18">#REF!</definedName>
    <definedName name="SL024Month" localSheetId="17">#REF!</definedName>
    <definedName name="SL024Month" localSheetId="27">#REF!</definedName>
    <definedName name="SL024Month" localSheetId="21">#REF!</definedName>
    <definedName name="SL024Month" localSheetId="15">#REF!</definedName>
    <definedName name="SL024Month" localSheetId="7">#REF!</definedName>
    <definedName name="SL024Month" localSheetId="8">#REF!</definedName>
    <definedName name="SL024Month" localSheetId="1">#REF!</definedName>
    <definedName name="SL024Month" localSheetId="25">#REF!</definedName>
    <definedName name="SL024Month" localSheetId="30">#REF!</definedName>
    <definedName name="SL024Month" localSheetId="4">#REF!</definedName>
    <definedName name="SL024Month" localSheetId="11">#REF!</definedName>
    <definedName name="SL024Month" localSheetId="24">#REF!</definedName>
    <definedName name="SL024Month">#REF!</definedName>
    <definedName name="SL024Text" localSheetId="29">#REF!</definedName>
    <definedName name="SL024Text" localSheetId="2">#REF!</definedName>
    <definedName name="SL024Text" localSheetId="28">#REF!</definedName>
    <definedName name="SL024Text" localSheetId="16">#REF!</definedName>
    <definedName name="SL024Text" localSheetId="22">#REF!</definedName>
    <definedName name="SL024Text" localSheetId="26">#REF!</definedName>
    <definedName name="SL024Text" localSheetId="20">#REF!</definedName>
    <definedName name="SL024Text" localSheetId="19">#REF!</definedName>
    <definedName name="SL024Text" localSheetId="18">#REF!</definedName>
    <definedName name="SL024Text" localSheetId="17">#REF!</definedName>
    <definedName name="SL024Text" localSheetId="27">#REF!</definedName>
    <definedName name="SL024Text" localSheetId="21">#REF!</definedName>
    <definedName name="SL024Text" localSheetId="15">#REF!</definedName>
    <definedName name="SL024Text" localSheetId="7">#REF!</definedName>
    <definedName name="SL024Text" localSheetId="8">#REF!</definedName>
    <definedName name="SL024Text" localSheetId="1">#REF!</definedName>
    <definedName name="SL024Text" localSheetId="25">#REF!</definedName>
    <definedName name="SL024Text" localSheetId="30">#REF!</definedName>
    <definedName name="SL024Text" localSheetId="4">#REF!</definedName>
    <definedName name="SL024Text" localSheetId="11">#REF!</definedName>
    <definedName name="SL024Text" localSheetId="24">#REF!</definedName>
    <definedName name="SL024Text">#REF!</definedName>
    <definedName name="SL024Title" localSheetId="29">#REF!</definedName>
    <definedName name="SL024Title" localSheetId="2">#REF!</definedName>
    <definedName name="SL024Title" localSheetId="28">#REF!</definedName>
    <definedName name="SL024Title" localSheetId="16">#REF!</definedName>
    <definedName name="SL024Title" localSheetId="22">#REF!</definedName>
    <definedName name="SL024Title" localSheetId="26">#REF!</definedName>
    <definedName name="SL024Title" localSheetId="20">#REF!</definedName>
    <definedName name="SL024Title" localSheetId="19">#REF!</definedName>
    <definedName name="SL024Title" localSheetId="18">#REF!</definedName>
    <definedName name="SL024Title" localSheetId="17">#REF!</definedName>
    <definedName name="SL024Title" localSheetId="27">#REF!</definedName>
    <definedName name="SL024Title" localSheetId="21">#REF!</definedName>
    <definedName name="SL024Title" localSheetId="15">#REF!</definedName>
    <definedName name="SL024Title" localSheetId="7">#REF!</definedName>
    <definedName name="SL024Title" localSheetId="8">#REF!</definedName>
    <definedName name="SL024Title" localSheetId="1">#REF!</definedName>
    <definedName name="SL024Title" localSheetId="25">#REF!</definedName>
    <definedName name="SL024Title" localSheetId="30">#REF!</definedName>
    <definedName name="SL024Title" localSheetId="4">#REF!</definedName>
    <definedName name="SL024Title" localSheetId="11">#REF!</definedName>
    <definedName name="SL024Title" localSheetId="24">#REF!</definedName>
    <definedName name="SL024Title">#REF!</definedName>
    <definedName name="SL024YTD" localSheetId="29">#REF!</definedName>
    <definedName name="SL024YTD" localSheetId="2">#REF!</definedName>
    <definedName name="SL024YTD" localSheetId="28">#REF!</definedName>
    <definedName name="SL024YTD" localSheetId="16">#REF!</definedName>
    <definedName name="SL024YTD" localSheetId="22">#REF!</definedName>
    <definedName name="SL024YTD" localSheetId="26">#REF!</definedName>
    <definedName name="SL024YTD" localSheetId="20">#REF!</definedName>
    <definedName name="SL024YTD" localSheetId="19">#REF!</definedName>
    <definedName name="SL024YTD" localSheetId="18">#REF!</definedName>
    <definedName name="SL024YTD" localSheetId="17">#REF!</definedName>
    <definedName name="SL024YTD" localSheetId="27">#REF!</definedName>
    <definedName name="SL024YTD" localSheetId="21">#REF!</definedName>
    <definedName name="SL024YTD" localSheetId="15">#REF!</definedName>
    <definedName name="SL024YTD" localSheetId="7">#REF!</definedName>
    <definedName name="SL024YTD" localSheetId="8">#REF!</definedName>
    <definedName name="SL024YTD" localSheetId="1">#REF!</definedName>
    <definedName name="SL024YTD" localSheetId="25">#REF!</definedName>
    <definedName name="SL024YTD" localSheetId="30">#REF!</definedName>
    <definedName name="SL024YTD" localSheetId="4">#REF!</definedName>
    <definedName name="SL024YTD" localSheetId="11">#REF!</definedName>
    <definedName name="SL024YTD" localSheetId="24">#REF!</definedName>
    <definedName name="SL024YTD">#REF!</definedName>
    <definedName name="SL025Month" localSheetId="29">#REF!</definedName>
    <definedName name="SL025Month" localSheetId="2">#REF!</definedName>
    <definedName name="SL025Month" localSheetId="28">#REF!</definedName>
    <definedName name="SL025Month" localSheetId="16">#REF!</definedName>
    <definedName name="SL025Month" localSheetId="22">#REF!</definedName>
    <definedName name="SL025Month" localSheetId="26">#REF!</definedName>
    <definedName name="SL025Month" localSheetId="20">#REF!</definedName>
    <definedName name="SL025Month" localSheetId="19">#REF!</definedName>
    <definedName name="SL025Month" localSheetId="18">#REF!</definedName>
    <definedName name="SL025Month" localSheetId="17">#REF!</definedName>
    <definedName name="SL025Month" localSheetId="27">#REF!</definedName>
    <definedName name="SL025Month" localSheetId="21">#REF!</definedName>
    <definedName name="SL025Month" localSheetId="15">#REF!</definedName>
    <definedName name="SL025Month" localSheetId="7">#REF!</definedName>
    <definedName name="SL025Month" localSheetId="8">#REF!</definedName>
    <definedName name="SL025Month" localSheetId="1">#REF!</definedName>
    <definedName name="SL025Month" localSheetId="25">#REF!</definedName>
    <definedName name="SL025Month" localSheetId="30">#REF!</definedName>
    <definedName name="SL025Month" localSheetId="4">#REF!</definedName>
    <definedName name="SL025Month" localSheetId="11">#REF!</definedName>
    <definedName name="SL025Month" localSheetId="24">#REF!</definedName>
    <definedName name="SL025Month">#REF!</definedName>
    <definedName name="SL025Text" localSheetId="29">#REF!</definedName>
    <definedName name="SL025Text" localSheetId="2">#REF!</definedName>
    <definedName name="SL025Text" localSheetId="28">#REF!</definedName>
    <definedName name="SL025Text" localSheetId="16">#REF!</definedName>
    <definedName name="SL025Text" localSheetId="22">#REF!</definedName>
    <definedName name="SL025Text" localSheetId="26">#REF!</definedName>
    <definedName name="SL025Text" localSheetId="20">#REF!</definedName>
    <definedName name="SL025Text" localSheetId="19">#REF!</definedName>
    <definedName name="SL025Text" localSheetId="18">#REF!</definedName>
    <definedName name="SL025Text" localSheetId="17">#REF!</definedName>
    <definedName name="SL025Text" localSheetId="27">#REF!</definedName>
    <definedName name="SL025Text" localSheetId="21">#REF!</definedName>
    <definedName name="SL025Text" localSheetId="15">#REF!</definedName>
    <definedName name="SL025Text" localSheetId="7">#REF!</definedName>
    <definedName name="SL025Text" localSheetId="8">#REF!</definedName>
    <definedName name="SL025Text" localSheetId="1">#REF!</definedName>
    <definedName name="SL025Text" localSheetId="25">#REF!</definedName>
    <definedName name="SL025Text" localSheetId="30">#REF!</definedName>
    <definedName name="SL025Text" localSheetId="4">#REF!</definedName>
    <definedName name="SL025Text" localSheetId="11">#REF!</definedName>
    <definedName name="SL025Text" localSheetId="24">#REF!</definedName>
    <definedName name="SL025Text">#REF!</definedName>
    <definedName name="SL025Title" localSheetId="29">#REF!</definedName>
    <definedName name="SL025Title" localSheetId="2">#REF!</definedName>
    <definedName name="SL025Title" localSheetId="28">#REF!</definedName>
    <definedName name="SL025Title" localSheetId="16">#REF!</definedName>
    <definedName name="SL025Title" localSheetId="22">#REF!</definedName>
    <definedName name="SL025Title" localSheetId="26">#REF!</definedName>
    <definedName name="SL025Title" localSheetId="20">#REF!</definedName>
    <definedName name="SL025Title" localSheetId="19">#REF!</definedName>
    <definedName name="SL025Title" localSheetId="18">#REF!</definedName>
    <definedName name="SL025Title" localSheetId="17">#REF!</definedName>
    <definedName name="SL025Title" localSheetId="27">#REF!</definedName>
    <definedName name="SL025Title" localSheetId="21">#REF!</definedName>
    <definedName name="SL025Title" localSheetId="15">#REF!</definedName>
    <definedName name="SL025Title" localSheetId="7">#REF!</definedName>
    <definedName name="SL025Title" localSheetId="8">#REF!</definedName>
    <definedName name="SL025Title" localSheetId="1">#REF!</definedName>
    <definedName name="SL025Title" localSheetId="25">#REF!</definedName>
    <definedName name="SL025Title" localSheetId="30">#REF!</definedName>
    <definedName name="SL025Title" localSheetId="4">#REF!</definedName>
    <definedName name="SL025Title" localSheetId="11">#REF!</definedName>
    <definedName name="SL025Title" localSheetId="24">#REF!</definedName>
    <definedName name="SL025Title">#REF!</definedName>
    <definedName name="SL025YTD" localSheetId="29">#REF!</definedName>
    <definedName name="SL025YTD" localSheetId="2">#REF!</definedName>
    <definedName name="SL025YTD" localSheetId="28">#REF!</definedName>
    <definedName name="SL025YTD" localSheetId="16">#REF!</definedName>
    <definedName name="SL025YTD" localSheetId="22">#REF!</definedName>
    <definedName name="SL025YTD" localSheetId="26">#REF!</definedName>
    <definedName name="SL025YTD" localSheetId="20">#REF!</definedName>
    <definedName name="SL025YTD" localSheetId="19">#REF!</definedName>
    <definedName name="SL025YTD" localSheetId="18">#REF!</definedName>
    <definedName name="SL025YTD" localSheetId="17">#REF!</definedName>
    <definedName name="SL025YTD" localSheetId="27">#REF!</definedName>
    <definedName name="SL025YTD" localSheetId="21">#REF!</definedName>
    <definedName name="SL025YTD" localSheetId="15">#REF!</definedName>
    <definedName name="SL025YTD" localSheetId="7">#REF!</definedName>
    <definedName name="SL025YTD" localSheetId="8">#REF!</definedName>
    <definedName name="SL025YTD" localSheetId="1">#REF!</definedName>
    <definedName name="SL025YTD" localSheetId="25">#REF!</definedName>
    <definedName name="SL025YTD" localSheetId="30">#REF!</definedName>
    <definedName name="SL025YTD" localSheetId="4">#REF!</definedName>
    <definedName name="SL025YTD" localSheetId="11">#REF!</definedName>
    <definedName name="SL025YTD" localSheetId="24">#REF!</definedName>
    <definedName name="SL025YTD">#REF!</definedName>
    <definedName name="StartMonth" localSheetId="29">#REF!</definedName>
    <definedName name="StartMonth" localSheetId="2">#REF!</definedName>
    <definedName name="StartMonth" localSheetId="28">#REF!</definedName>
    <definedName name="StartMonth" localSheetId="16">#REF!</definedName>
    <definedName name="StartMonth" localSheetId="22">#REF!</definedName>
    <definedName name="StartMonth" localSheetId="26">#REF!</definedName>
    <definedName name="StartMonth" localSheetId="20">#REF!</definedName>
    <definedName name="StartMonth" localSheetId="19">#REF!</definedName>
    <definedName name="StartMonth" localSheetId="18">#REF!</definedName>
    <definedName name="StartMonth" localSheetId="17">#REF!</definedName>
    <definedName name="StartMonth" localSheetId="27">#REF!</definedName>
    <definedName name="StartMonth" localSheetId="21">#REF!</definedName>
    <definedName name="StartMonth" localSheetId="15">#REF!</definedName>
    <definedName name="StartMonth" localSheetId="7">#REF!</definedName>
    <definedName name="StartMonth" localSheetId="8">#REF!</definedName>
    <definedName name="StartMonth" localSheetId="1">#REF!</definedName>
    <definedName name="StartMonth" localSheetId="25">#REF!</definedName>
    <definedName name="StartMonth" localSheetId="30">#REF!</definedName>
    <definedName name="StartMonth" localSheetId="4">#REF!</definedName>
    <definedName name="StartMonth" localSheetId="11">#REF!</definedName>
    <definedName name="StartMonth" localSheetId="24">#REF!</definedName>
    <definedName name="StartMonth">#REF!</definedName>
    <definedName name="SWSC">'national caseload'!$B$43</definedName>
    <definedName name="Target1516M" localSheetId="29">#REF!</definedName>
    <definedName name="Target1516M" localSheetId="2">#REF!</definedName>
    <definedName name="Target1516M" localSheetId="28">#REF!</definedName>
    <definedName name="Target1516M" localSheetId="16">#REF!</definedName>
    <definedName name="Target1516M" localSheetId="22">#REF!</definedName>
    <definedName name="Target1516M" localSheetId="26">#REF!</definedName>
    <definedName name="Target1516M" localSheetId="20">#REF!</definedName>
    <definedName name="Target1516M" localSheetId="19">#REF!</definedName>
    <definedName name="Target1516M" localSheetId="18">#REF!</definedName>
    <definedName name="Target1516M" localSheetId="17">#REF!</definedName>
    <definedName name="Target1516M" localSheetId="27">#REF!</definedName>
    <definedName name="Target1516M" localSheetId="21">#REF!</definedName>
    <definedName name="Target1516M" localSheetId="15">#REF!</definedName>
    <definedName name="Target1516M" localSheetId="7">#REF!</definedName>
    <definedName name="Target1516M" localSheetId="8">#REF!</definedName>
    <definedName name="Target1516M" localSheetId="1">#REF!</definedName>
    <definedName name="Target1516M" localSheetId="25">#REF!</definedName>
    <definedName name="Target1516M" localSheetId="30">#REF!</definedName>
    <definedName name="Target1516M" localSheetId="4">#REF!</definedName>
    <definedName name="Target1516M" localSheetId="11">#REF!</definedName>
    <definedName name="Target1516M" localSheetId="24">#REF!</definedName>
    <definedName name="Target1516M">#REF!</definedName>
    <definedName name="Target1516Ref" localSheetId="29">#REF!</definedName>
    <definedName name="Target1516Ref" localSheetId="2">#REF!</definedName>
    <definedName name="Target1516Ref" localSheetId="28">#REF!</definedName>
    <definedName name="Target1516Ref" localSheetId="16">#REF!</definedName>
    <definedName name="Target1516Ref" localSheetId="22">#REF!</definedName>
    <definedName name="Target1516Ref" localSheetId="26">#REF!</definedName>
    <definedName name="Target1516Ref" localSheetId="20">#REF!</definedName>
    <definedName name="Target1516Ref" localSheetId="19">#REF!</definedName>
    <definedName name="Target1516Ref" localSheetId="18">#REF!</definedName>
    <definedName name="Target1516Ref" localSheetId="17">#REF!</definedName>
    <definedName name="Target1516Ref" localSheetId="27">#REF!</definedName>
    <definedName name="Target1516Ref" localSheetId="21">#REF!</definedName>
    <definedName name="Target1516Ref" localSheetId="15">#REF!</definedName>
    <definedName name="Target1516Ref" localSheetId="7">#REF!</definedName>
    <definedName name="Target1516Ref" localSheetId="8">#REF!</definedName>
    <definedName name="Target1516Ref" localSheetId="1">#REF!</definedName>
    <definedName name="Target1516Ref" localSheetId="25">#REF!</definedName>
    <definedName name="Target1516Ref" localSheetId="30">#REF!</definedName>
    <definedName name="Target1516Ref" localSheetId="4">#REF!</definedName>
    <definedName name="Target1516Ref" localSheetId="11">#REF!</definedName>
    <definedName name="Target1516Ref" localSheetId="24">#REF!</definedName>
    <definedName name="Target1516Ref">#REF!</definedName>
    <definedName name="Target1516YTD" localSheetId="29">#REF!</definedName>
    <definedName name="Target1516YTD" localSheetId="2">#REF!</definedName>
    <definedName name="Target1516YTD" localSheetId="28">#REF!</definedName>
    <definedName name="Target1516YTD" localSheetId="16">#REF!</definedName>
    <definedName name="Target1516YTD" localSheetId="22">#REF!</definedName>
    <definedName name="Target1516YTD" localSheetId="26">#REF!</definedName>
    <definedName name="Target1516YTD" localSheetId="20">#REF!</definedName>
    <definedName name="Target1516YTD" localSheetId="19">#REF!</definedName>
    <definedName name="Target1516YTD" localSheetId="18">#REF!</definedName>
    <definedName name="Target1516YTD" localSheetId="17">#REF!</definedName>
    <definedName name="Target1516YTD" localSheetId="27">#REF!</definedName>
    <definedName name="Target1516YTD" localSheetId="21">#REF!</definedName>
    <definedName name="Target1516YTD" localSheetId="15">#REF!</definedName>
    <definedName name="Target1516YTD" localSheetId="7">#REF!</definedName>
    <definedName name="Target1516YTD" localSheetId="8">#REF!</definedName>
    <definedName name="Target1516YTD" localSheetId="1">#REF!</definedName>
    <definedName name="Target1516YTD" localSheetId="25">#REF!</definedName>
    <definedName name="Target1516YTD" localSheetId="30">#REF!</definedName>
    <definedName name="Target1516YTD" localSheetId="4">#REF!</definedName>
    <definedName name="Target1516YTD" localSheetId="11">#REF!</definedName>
    <definedName name="Target1516YTD" localSheetId="24">#REF!</definedName>
    <definedName name="Target1516YTD">#REF!</definedName>
    <definedName name="Targets" localSheetId="29">#REF!</definedName>
    <definedName name="Targets" localSheetId="2">#REF!</definedName>
    <definedName name="Targets" localSheetId="28">#REF!</definedName>
    <definedName name="Targets" localSheetId="16">#REF!</definedName>
    <definedName name="Targets" localSheetId="22">#REF!</definedName>
    <definedName name="Targets" localSheetId="26">#REF!</definedName>
    <definedName name="Targets" localSheetId="20">#REF!</definedName>
    <definedName name="Targets" localSheetId="19">#REF!</definedName>
    <definedName name="Targets" localSheetId="18">#REF!</definedName>
    <definedName name="Targets" localSheetId="17">#REF!</definedName>
    <definedName name="Targets" localSheetId="27">#REF!</definedName>
    <definedName name="Targets" localSheetId="21">#REF!</definedName>
    <definedName name="Targets" localSheetId="15">#REF!</definedName>
    <definedName name="Targets" localSheetId="7">#REF!</definedName>
    <definedName name="Targets" localSheetId="8">#REF!</definedName>
    <definedName name="Targets" localSheetId="1">#REF!</definedName>
    <definedName name="Targets" localSheetId="25">#REF!</definedName>
    <definedName name="Targets" localSheetId="30">#REF!</definedName>
    <definedName name="Targets" localSheetId="4">#REF!</definedName>
    <definedName name="Targets" localSheetId="11">#REF!</definedName>
    <definedName name="Targets" localSheetId="24">#REF!</definedName>
    <definedName name="Targets">#REF!</definedName>
    <definedName name="Targets2" localSheetId="29">#REF!</definedName>
    <definedName name="Targets2" localSheetId="2">#REF!</definedName>
    <definedName name="Targets2" localSheetId="28">#REF!</definedName>
    <definedName name="Targets2" localSheetId="16">#REF!</definedName>
    <definedName name="Targets2" localSheetId="22">#REF!</definedName>
    <definedName name="Targets2" localSheetId="26">#REF!</definedName>
    <definedName name="Targets2" localSheetId="20">#REF!</definedName>
    <definedName name="Targets2" localSheetId="19">#REF!</definedName>
    <definedName name="Targets2" localSheetId="18">#REF!</definedName>
    <definedName name="Targets2" localSheetId="17">#REF!</definedName>
    <definedName name="Targets2" localSheetId="27">#REF!</definedName>
    <definedName name="Targets2" localSheetId="21">#REF!</definedName>
    <definedName name="Targets2" localSheetId="15">#REF!</definedName>
    <definedName name="Targets2" localSheetId="7">#REF!</definedName>
    <definedName name="Targets2" localSheetId="8">#REF!</definedName>
    <definedName name="Targets2" localSheetId="1">#REF!</definedName>
    <definedName name="Targets2" localSheetId="25">#REF!</definedName>
    <definedName name="Targets2" localSheetId="30">#REF!</definedName>
    <definedName name="Targets2" localSheetId="4">#REF!</definedName>
    <definedName name="Targets2" localSheetId="11">#REF!</definedName>
    <definedName name="Targets2" localSheetId="24">#REF!</definedName>
    <definedName name="Targets2">#REF!</definedName>
    <definedName name="Team_Regions">PDUs!$N$1:$Y$1</definedName>
    <definedName name="W">'national caseload'!$B$47</definedName>
    <definedName name="Wales" localSheetId="20">#REF!</definedName>
    <definedName name="Wales" localSheetId="19">#REF!</definedName>
    <definedName name="Wales" localSheetId="18">#REF!</definedName>
    <definedName name="Wales" localSheetId="17">#REF!</definedName>
    <definedName name="Wales" localSheetId="15">#REF!</definedName>
    <definedName name="Wales" localSheetId="11">#REF!</definedName>
    <definedName name="Wales">#REF!</definedName>
    <definedName name="Weighting" localSheetId="29">#REF!</definedName>
    <definedName name="Weighting" localSheetId="2">#REF!</definedName>
    <definedName name="Weighting" localSheetId="28">#REF!</definedName>
    <definedName name="Weighting" localSheetId="16">#REF!</definedName>
    <definedName name="Weighting" localSheetId="22">#REF!</definedName>
    <definedName name="Weighting" localSheetId="26">#REF!</definedName>
    <definedName name="Weighting" localSheetId="20">#REF!</definedName>
    <definedName name="Weighting" localSheetId="19">#REF!</definedName>
    <definedName name="Weighting" localSheetId="18">#REF!</definedName>
    <definedName name="Weighting" localSheetId="17">#REF!</definedName>
    <definedName name="Weighting" localSheetId="27">#REF!</definedName>
    <definedName name="Weighting" localSheetId="21">#REF!</definedName>
    <definedName name="Weighting" localSheetId="15">#REF!</definedName>
    <definedName name="Weighting" localSheetId="7">#REF!</definedName>
    <definedName name="Weighting" localSheetId="8">#REF!</definedName>
    <definedName name="Weighting" localSheetId="1">#REF!</definedName>
    <definedName name="Weighting" localSheetId="25">#REF!</definedName>
    <definedName name="Weighting" localSheetId="30">#REF!</definedName>
    <definedName name="Weighting" localSheetId="4">#REF!</definedName>
    <definedName name="Weighting" localSheetId="11">#REF!</definedName>
    <definedName name="Weighting" localSheetId="24">#REF!</definedName>
    <definedName name="Weighting">#REF!</definedName>
    <definedName name="WMR">'national caseload'!$B$51</definedName>
    <definedName name="WorkPackages" localSheetId="2">'[3]List Data'!$A$2:$A$77</definedName>
    <definedName name="WorkPackages" localSheetId="16">'[3]List Data'!$A$2:$A$77</definedName>
    <definedName name="WorkPackages" localSheetId="22">'[3]List Data'!$A$2:$A$77</definedName>
    <definedName name="WorkPackages" localSheetId="26">'[3]List Data'!$A$2:$A$77</definedName>
    <definedName name="WorkPackages" localSheetId="27">'[3]List Data'!$A$2:$A$77</definedName>
    <definedName name="WorkPackages" localSheetId="21">'[3]List Data'!$A$2:$A$77</definedName>
    <definedName name="WorkPackages" localSheetId="1">'[3]List Data'!$A$2:$A$77</definedName>
    <definedName name="WorkPackages" localSheetId="25">'[3]List Data'!$A$2:$A$77</definedName>
    <definedName name="WorkPackages" localSheetId="4">'[3]List Data'!$A$2:$A$77</definedName>
    <definedName name="WorkPackages" localSheetId="24">'[3]List Data'!$A$2:$A$77</definedName>
    <definedName name="WorkPackages">'[2]List Data'!$A$2:$A$77</definedName>
    <definedName name="YATH">'national caseload'!$B$55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2" i="117" l="1"/>
  <c r="J12" i="117"/>
  <c r="K12" i="117"/>
  <c r="L12" i="117"/>
  <c r="L10" i="115"/>
  <c r="K10" i="115"/>
  <c r="J10" i="115"/>
  <c r="I10" i="115"/>
  <c r="J11" i="117"/>
  <c r="K11" i="117"/>
  <c r="L11" i="117"/>
  <c r="I11" i="117"/>
  <c r="L9" i="115"/>
  <c r="I9" i="115"/>
  <c r="K9" i="115"/>
  <c r="J9" i="115"/>
  <c r="F11" i="98"/>
  <c r="H9" i="115"/>
  <c r="H11" i="117"/>
  <c r="E11" i="98"/>
  <c r="D11" i="98"/>
  <c r="C11" i="98"/>
  <c r="F10" i="98"/>
  <c r="E10" i="98"/>
  <c r="D10" i="98"/>
  <c r="C10" i="98"/>
  <c r="E10" i="101"/>
  <c r="L11" i="115" l="1"/>
  <c r="J11" i="115"/>
  <c r="I11" i="115"/>
  <c r="K11" i="115"/>
  <c r="L13" i="117"/>
  <c r="K13" i="117"/>
  <c r="J13" i="117"/>
  <c r="I13" i="117"/>
  <c r="C10" i="101"/>
  <c r="C2" i="92" l="1"/>
  <c r="C2" i="91"/>
  <c r="C2" i="93"/>
  <c r="M18" i="88"/>
  <c r="L18" i="88"/>
  <c r="J18" i="88"/>
  <c r="I18" i="88"/>
  <c r="G18" i="88"/>
  <c r="F18" i="88"/>
  <c r="D18" i="88"/>
  <c r="C18" i="88"/>
  <c r="M17" i="88"/>
  <c r="N17" i="88" s="1"/>
  <c r="L17" i="88"/>
  <c r="J17" i="88"/>
  <c r="I17" i="88"/>
  <c r="G17" i="88"/>
  <c r="F17" i="88"/>
  <c r="D17" i="88"/>
  <c r="C17" i="88"/>
  <c r="M16" i="88"/>
  <c r="N16" i="88" s="1"/>
  <c r="L16" i="88"/>
  <c r="J16" i="88"/>
  <c r="I16" i="88"/>
  <c r="G16" i="88"/>
  <c r="F16" i="88"/>
  <c r="D16" i="88"/>
  <c r="C16" i="88"/>
  <c r="M15" i="88"/>
  <c r="L15" i="88"/>
  <c r="J15" i="88"/>
  <c r="I15" i="88"/>
  <c r="G15" i="88"/>
  <c r="F15" i="88"/>
  <c r="D15" i="88"/>
  <c r="C15" i="88"/>
  <c r="M14" i="88"/>
  <c r="L14" i="88"/>
  <c r="J14" i="88"/>
  <c r="I14" i="88"/>
  <c r="G14" i="88"/>
  <c r="F14" i="88"/>
  <c r="D14" i="88"/>
  <c r="C14" i="88"/>
  <c r="M13" i="88"/>
  <c r="L13" i="88"/>
  <c r="J13" i="88"/>
  <c r="I13" i="88"/>
  <c r="G13" i="88"/>
  <c r="F13" i="88"/>
  <c r="D13" i="88"/>
  <c r="C13" i="88"/>
  <c r="M12" i="88"/>
  <c r="L12" i="88"/>
  <c r="J12" i="88"/>
  <c r="I12" i="88"/>
  <c r="G12" i="88"/>
  <c r="F12" i="88"/>
  <c r="D12" i="88"/>
  <c r="C12" i="88"/>
  <c r="M11" i="88"/>
  <c r="L11" i="88"/>
  <c r="J11" i="88"/>
  <c r="I11" i="88"/>
  <c r="G11" i="88"/>
  <c r="F11" i="88"/>
  <c r="D11" i="88"/>
  <c r="C11" i="88"/>
  <c r="M10" i="88"/>
  <c r="L10" i="88"/>
  <c r="J10" i="88"/>
  <c r="I10" i="88"/>
  <c r="G10" i="88"/>
  <c r="F10" i="88"/>
  <c r="D10" i="88"/>
  <c r="C10" i="88"/>
  <c r="M9" i="88"/>
  <c r="L9" i="88"/>
  <c r="J9" i="88"/>
  <c r="I9" i="88"/>
  <c r="G9" i="88"/>
  <c r="F9" i="88"/>
  <c r="D9" i="88"/>
  <c r="C9" i="88"/>
  <c r="M8" i="88"/>
  <c r="L8" i="88"/>
  <c r="J8" i="88"/>
  <c r="I8" i="88"/>
  <c r="G8" i="88"/>
  <c r="F8" i="88"/>
  <c r="D8" i="88"/>
  <c r="C8" i="88"/>
  <c r="M7" i="88"/>
  <c r="L7" i="88"/>
  <c r="J7" i="88"/>
  <c r="I7" i="88"/>
  <c r="G7" i="88"/>
  <c r="F7" i="88"/>
  <c r="D7" i="88"/>
  <c r="C7" i="88"/>
  <c r="M6" i="88"/>
  <c r="L6" i="88"/>
  <c r="J6" i="88"/>
  <c r="I6" i="88"/>
  <c r="G6" i="88"/>
  <c r="F6" i="88"/>
  <c r="D6" i="88"/>
  <c r="C6" i="88"/>
  <c r="C51" i="89"/>
  <c r="B51" i="89"/>
  <c r="C50" i="89"/>
  <c r="B50" i="89"/>
  <c r="C49" i="89"/>
  <c r="B49" i="89"/>
  <c r="C48" i="89"/>
  <c r="B48" i="89"/>
  <c r="C47" i="89"/>
  <c r="B47" i="89"/>
  <c r="C46" i="89"/>
  <c r="B46" i="89"/>
  <c r="C45" i="89"/>
  <c r="B45" i="89"/>
  <c r="C44" i="89"/>
  <c r="B44" i="89"/>
  <c r="C43" i="89"/>
  <c r="B43" i="89"/>
  <c r="C42" i="89"/>
  <c r="B42" i="89"/>
  <c r="C41" i="89"/>
  <c r="B41" i="89"/>
  <c r="C40" i="89"/>
  <c r="B40" i="89"/>
  <c r="C39" i="89"/>
  <c r="B39" i="89"/>
  <c r="C38" i="89"/>
  <c r="B38" i="89"/>
  <c r="C37" i="89"/>
  <c r="B37" i="89"/>
  <c r="C36" i="89"/>
  <c r="B36" i="89"/>
  <c r="C35" i="89"/>
  <c r="B35" i="89"/>
  <c r="C34" i="89"/>
  <c r="B34" i="89"/>
  <c r="C33" i="89"/>
  <c r="B33" i="89"/>
  <c r="C32" i="89"/>
  <c r="B32" i="89"/>
  <c r="C31" i="89"/>
  <c r="B31" i="89"/>
  <c r="C30" i="89"/>
  <c r="B30" i="89"/>
  <c r="C29" i="89"/>
  <c r="B29" i="89"/>
  <c r="C28" i="89"/>
  <c r="B28" i="89"/>
  <c r="C27" i="89"/>
  <c r="B27" i="89"/>
  <c r="C26" i="89"/>
  <c r="B26" i="89"/>
  <c r="C25" i="89"/>
  <c r="B25" i="89"/>
  <c r="C24" i="89"/>
  <c r="B24" i="89"/>
  <c r="C23" i="89"/>
  <c r="B23" i="89"/>
  <c r="C22" i="89"/>
  <c r="B22" i="89"/>
  <c r="C21" i="89"/>
  <c r="B21" i="89"/>
  <c r="C20" i="89"/>
  <c r="B20" i="89"/>
  <c r="C19" i="89"/>
  <c r="B19" i="89"/>
  <c r="C18" i="89"/>
  <c r="B18" i="89"/>
  <c r="C17" i="89"/>
  <c r="B17" i="89"/>
  <c r="C16" i="89"/>
  <c r="B16" i="89"/>
  <c r="C15" i="89"/>
  <c r="B15" i="89"/>
  <c r="C14" i="89"/>
  <c r="B14" i="89"/>
  <c r="C13" i="89"/>
  <c r="B13" i="89"/>
  <c r="F12" i="89"/>
  <c r="F13" i="89" s="1"/>
  <c r="C12" i="89"/>
  <c r="B12" i="89"/>
  <c r="F11" i="89"/>
  <c r="C11" i="89"/>
  <c r="B11" i="89"/>
  <c r="F10" i="89"/>
  <c r="C10" i="89"/>
  <c r="B10" i="89"/>
  <c r="N116" i="87"/>
  <c r="N117" i="87" s="1"/>
  <c r="M116" i="87"/>
  <c r="L116" i="87"/>
  <c r="K116" i="87"/>
  <c r="K117" i="87" s="1"/>
  <c r="J116" i="87"/>
  <c r="J117" i="87" s="1"/>
  <c r="I116" i="87"/>
  <c r="H116" i="87"/>
  <c r="G116" i="87"/>
  <c r="G117" i="87" s="1"/>
  <c r="F116" i="87"/>
  <c r="F117" i="87" s="1"/>
  <c r="E116" i="87"/>
  <c r="D116" i="87"/>
  <c r="C116" i="87"/>
  <c r="C117" i="87" s="1"/>
  <c r="O115" i="87"/>
  <c r="N115" i="87"/>
  <c r="M115" i="87"/>
  <c r="L115" i="87"/>
  <c r="K115" i="87"/>
  <c r="J115" i="87"/>
  <c r="I115" i="87"/>
  <c r="H115" i="87"/>
  <c r="G115" i="87"/>
  <c r="F115" i="87"/>
  <c r="E115" i="87"/>
  <c r="D115" i="87"/>
  <c r="C115" i="87"/>
  <c r="O114" i="87"/>
  <c r="N114" i="87"/>
  <c r="M114" i="87"/>
  <c r="L114" i="87"/>
  <c r="K114" i="87"/>
  <c r="J114" i="87"/>
  <c r="I114" i="87"/>
  <c r="H114" i="87"/>
  <c r="G114" i="87"/>
  <c r="F114" i="87"/>
  <c r="E114" i="87"/>
  <c r="D114" i="87"/>
  <c r="C114" i="87"/>
  <c r="O113" i="87"/>
  <c r="N113" i="87"/>
  <c r="M113" i="87"/>
  <c r="L113" i="87"/>
  <c r="K113" i="87"/>
  <c r="J113" i="87"/>
  <c r="I113" i="87"/>
  <c r="H113" i="87"/>
  <c r="G113" i="87"/>
  <c r="F113" i="87"/>
  <c r="E113" i="87"/>
  <c r="D113" i="87"/>
  <c r="C113" i="87"/>
  <c r="O112" i="87"/>
  <c r="N112" i="87"/>
  <c r="M112" i="87"/>
  <c r="L112" i="87"/>
  <c r="K112" i="87"/>
  <c r="J112" i="87"/>
  <c r="I112" i="87"/>
  <c r="H112" i="87"/>
  <c r="G112" i="87"/>
  <c r="F112" i="87"/>
  <c r="E112" i="87"/>
  <c r="D112" i="87"/>
  <c r="C112" i="87"/>
  <c r="O111" i="87"/>
  <c r="N111" i="87"/>
  <c r="M111" i="87"/>
  <c r="L111" i="87"/>
  <c r="K111" i="87"/>
  <c r="J111" i="87"/>
  <c r="I111" i="87"/>
  <c r="H111" i="87"/>
  <c r="G111" i="87"/>
  <c r="F111" i="87"/>
  <c r="E111" i="87"/>
  <c r="D111" i="87"/>
  <c r="C111" i="87"/>
  <c r="O110" i="87"/>
  <c r="N110" i="87"/>
  <c r="M110" i="87"/>
  <c r="L110" i="87"/>
  <c r="K110" i="87"/>
  <c r="J110" i="87"/>
  <c r="I110" i="87"/>
  <c r="H110" i="87"/>
  <c r="G110" i="87"/>
  <c r="F110" i="87"/>
  <c r="E110" i="87"/>
  <c r="D110" i="87"/>
  <c r="C110" i="87"/>
  <c r="O109" i="87"/>
  <c r="N109" i="87"/>
  <c r="M109" i="87"/>
  <c r="L109" i="87"/>
  <c r="K109" i="87"/>
  <c r="J109" i="87"/>
  <c r="I109" i="87"/>
  <c r="H109" i="87"/>
  <c r="G109" i="87"/>
  <c r="F109" i="87"/>
  <c r="E109" i="87"/>
  <c r="D109" i="87"/>
  <c r="C109" i="87"/>
  <c r="O108" i="87"/>
  <c r="N108" i="87"/>
  <c r="M108" i="87"/>
  <c r="L108" i="87"/>
  <c r="K108" i="87"/>
  <c r="J108" i="87"/>
  <c r="I108" i="87"/>
  <c r="H108" i="87"/>
  <c r="G108" i="87"/>
  <c r="F108" i="87"/>
  <c r="E108" i="87"/>
  <c r="D108" i="87"/>
  <c r="C108" i="87"/>
  <c r="O107" i="87"/>
  <c r="N107" i="87"/>
  <c r="M107" i="87"/>
  <c r="L107" i="87"/>
  <c r="K107" i="87"/>
  <c r="J107" i="87"/>
  <c r="I107" i="87"/>
  <c r="H107" i="87"/>
  <c r="G107" i="87"/>
  <c r="F107" i="87"/>
  <c r="E107" i="87"/>
  <c r="D107" i="87"/>
  <c r="C107" i="87"/>
  <c r="O106" i="87"/>
  <c r="N106" i="87"/>
  <c r="M106" i="87"/>
  <c r="L106" i="87"/>
  <c r="K106" i="87"/>
  <c r="J106" i="87"/>
  <c r="I106" i="87"/>
  <c r="H106" i="87"/>
  <c r="G106" i="87"/>
  <c r="F106" i="87"/>
  <c r="E106" i="87"/>
  <c r="D106" i="87"/>
  <c r="C106" i="87"/>
  <c r="O105" i="87"/>
  <c r="N105" i="87"/>
  <c r="M105" i="87"/>
  <c r="L105" i="87"/>
  <c r="K105" i="87"/>
  <c r="J105" i="87"/>
  <c r="I105" i="87"/>
  <c r="H105" i="87"/>
  <c r="G105" i="87"/>
  <c r="F105" i="87"/>
  <c r="E105" i="87"/>
  <c r="D105" i="87"/>
  <c r="C105" i="87"/>
  <c r="O104" i="87"/>
  <c r="N104" i="87"/>
  <c r="M104" i="87"/>
  <c r="L104" i="87"/>
  <c r="K104" i="87"/>
  <c r="J104" i="87"/>
  <c r="I104" i="87"/>
  <c r="H104" i="87"/>
  <c r="G104" i="87"/>
  <c r="F104" i="87"/>
  <c r="E104" i="87"/>
  <c r="D104" i="87"/>
  <c r="C104" i="87"/>
  <c r="O103" i="87"/>
  <c r="N103" i="87"/>
  <c r="M103" i="87"/>
  <c r="L103" i="87"/>
  <c r="K103" i="87"/>
  <c r="J103" i="87"/>
  <c r="I103" i="87"/>
  <c r="H103" i="87"/>
  <c r="G103" i="87"/>
  <c r="F103" i="87"/>
  <c r="E103" i="87"/>
  <c r="D103" i="87"/>
  <c r="C103" i="87"/>
  <c r="O102" i="87"/>
  <c r="N102" i="87"/>
  <c r="M102" i="87"/>
  <c r="L102" i="87"/>
  <c r="K102" i="87"/>
  <c r="J102" i="87"/>
  <c r="I102" i="87"/>
  <c r="H102" i="87"/>
  <c r="G102" i="87"/>
  <c r="F102" i="87"/>
  <c r="E102" i="87"/>
  <c r="D102" i="87"/>
  <c r="C102" i="87"/>
  <c r="O101" i="87"/>
  <c r="N101" i="87"/>
  <c r="M101" i="87"/>
  <c r="L101" i="87"/>
  <c r="K101" i="87"/>
  <c r="J101" i="87"/>
  <c r="I101" i="87"/>
  <c r="H101" i="87"/>
  <c r="G101" i="87"/>
  <c r="F101" i="87"/>
  <c r="E101" i="87"/>
  <c r="D101" i="87"/>
  <c r="C101" i="87"/>
  <c r="O100" i="87"/>
  <c r="N100" i="87"/>
  <c r="M100" i="87"/>
  <c r="L100" i="87"/>
  <c r="K100" i="87"/>
  <c r="J100" i="87"/>
  <c r="I100" i="87"/>
  <c r="H100" i="87"/>
  <c r="G100" i="87"/>
  <c r="F100" i="87"/>
  <c r="E100" i="87"/>
  <c r="D100" i="87"/>
  <c r="C100" i="87"/>
  <c r="O99" i="87"/>
  <c r="N99" i="87"/>
  <c r="M99" i="87"/>
  <c r="L99" i="87"/>
  <c r="K99" i="87"/>
  <c r="J99" i="87"/>
  <c r="I99" i="87"/>
  <c r="H99" i="87"/>
  <c r="G99" i="87"/>
  <c r="F99" i="87"/>
  <c r="E99" i="87"/>
  <c r="D99" i="87"/>
  <c r="C99" i="87"/>
  <c r="O98" i="87"/>
  <c r="N98" i="87"/>
  <c r="M98" i="87"/>
  <c r="L98" i="87"/>
  <c r="K98" i="87"/>
  <c r="J98" i="87"/>
  <c r="I98" i="87"/>
  <c r="H98" i="87"/>
  <c r="G98" i="87"/>
  <c r="F98" i="87"/>
  <c r="E98" i="87"/>
  <c r="D98" i="87"/>
  <c r="C98" i="87"/>
  <c r="O97" i="87"/>
  <c r="N97" i="87"/>
  <c r="M97" i="87"/>
  <c r="L97" i="87"/>
  <c r="K97" i="87"/>
  <c r="J97" i="87"/>
  <c r="I97" i="87"/>
  <c r="H97" i="87"/>
  <c r="G97" i="87"/>
  <c r="F97" i="87"/>
  <c r="E97" i="87"/>
  <c r="D97" i="87"/>
  <c r="C97" i="87"/>
  <c r="O96" i="87"/>
  <c r="N96" i="87"/>
  <c r="M96" i="87"/>
  <c r="L96" i="87"/>
  <c r="K96" i="87"/>
  <c r="J96" i="87"/>
  <c r="I96" i="87"/>
  <c r="H96" i="87"/>
  <c r="G96" i="87"/>
  <c r="F96" i="87"/>
  <c r="E96" i="87"/>
  <c r="D96" i="87"/>
  <c r="C96" i="87"/>
  <c r="O95" i="87"/>
  <c r="N95" i="87"/>
  <c r="M95" i="87"/>
  <c r="L95" i="87"/>
  <c r="K95" i="87"/>
  <c r="J95" i="87"/>
  <c r="I95" i="87"/>
  <c r="H95" i="87"/>
  <c r="G95" i="87"/>
  <c r="F95" i="87"/>
  <c r="E95" i="87"/>
  <c r="D95" i="87"/>
  <c r="C95" i="87"/>
  <c r="O94" i="87"/>
  <c r="N94" i="87"/>
  <c r="M94" i="87"/>
  <c r="L94" i="87"/>
  <c r="K94" i="87"/>
  <c r="J94" i="87"/>
  <c r="I94" i="87"/>
  <c r="H94" i="87"/>
  <c r="G94" i="87"/>
  <c r="F94" i="87"/>
  <c r="E94" i="87"/>
  <c r="D94" i="87"/>
  <c r="C94" i="87"/>
  <c r="O93" i="87"/>
  <c r="N93" i="87"/>
  <c r="M93" i="87"/>
  <c r="L93" i="87"/>
  <c r="K93" i="87"/>
  <c r="J93" i="87"/>
  <c r="I93" i="87"/>
  <c r="H93" i="87"/>
  <c r="G93" i="87"/>
  <c r="F93" i="87"/>
  <c r="E93" i="87"/>
  <c r="D93" i="87"/>
  <c r="C93" i="87"/>
  <c r="O92" i="87"/>
  <c r="N92" i="87"/>
  <c r="M92" i="87"/>
  <c r="L92" i="87"/>
  <c r="K92" i="87"/>
  <c r="J92" i="87"/>
  <c r="I92" i="87"/>
  <c r="H92" i="87"/>
  <c r="G92" i="87"/>
  <c r="F92" i="87"/>
  <c r="E92" i="87"/>
  <c r="D92" i="87"/>
  <c r="C92" i="87"/>
  <c r="O91" i="87"/>
  <c r="N91" i="87"/>
  <c r="M91" i="87"/>
  <c r="L91" i="87"/>
  <c r="K91" i="87"/>
  <c r="J91" i="87"/>
  <c r="I91" i="87"/>
  <c r="H91" i="87"/>
  <c r="G91" i="87"/>
  <c r="F91" i="87"/>
  <c r="E91" i="87"/>
  <c r="D91" i="87"/>
  <c r="C91" i="87"/>
  <c r="O90" i="87"/>
  <c r="N90" i="87"/>
  <c r="M90" i="87"/>
  <c r="L90" i="87"/>
  <c r="K90" i="87"/>
  <c r="J90" i="87"/>
  <c r="I90" i="87"/>
  <c r="H90" i="87"/>
  <c r="G90" i="87"/>
  <c r="F90" i="87"/>
  <c r="E90" i="87"/>
  <c r="D90" i="87"/>
  <c r="C90" i="87"/>
  <c r="O89" i="87"/>
  <c r="N89" i="87"/>
  <c r="M89" i="87"/>
  <c r="L89" i="87"/>
  <c r="K89" i="87"/>
  <c r="J89" i="87"/>
  <c r="I89" i="87"/>
  <c r="H89" i="87"/>
  <c r="G89" i="87"/>
  <c r="F89" i="87"/>
  <c r="E89" i="87"/>
  <c r="D89" i="87"/>
  <c r="C89" i="87"/>
  <c r="O88" i="87"/>
  <c r="N88" i="87"/>
  <c r="M88" i="87"/>
  <c r="L88" i="87"/>
  <c r="K88" i="87"/>
  <c r="J88" i="87"/>
  <c r="I88" i="87"/>
  <c r="H88" i="87"/>
  <c r="G88" i="87"/>
  <c r="F88" i="87"/>
  <c r="E88" i="87"/>
  <c r="D88" i="87"/>
  <c r="C88" i="87"/>
  <c r="O87" i="87"/>
  <c r="N87" i="87"/>
  <c r="M87" i="87"/>
  <c r="L87" i="87"/>
  <c r="K87" i="87"/>
  <c r="J87" i="87"/>
  <c r="I87" i="87"/>
  <c r="H87" i="87"/>
  <c r="G87" i="87"/>
  <c r="F87" i="87"/>
  <c r="E87" i="87"/>
  <c r="D87" i="87"/>
  <c r="C87" i="87"/>
  <c r="O86" i="87"/>
  <c r="N86" i="87"/>
  <c r="M86" i="87"/>
  <c r="L86" i="87"/>
  <c r="K86" i="87"/>
  <c r="J86" i="87"/>
  <c r="I86" i="87"/>
  <c r="H86" i="87"/>
  <c r="G86" i="87"/>
  <c r="F86" i="87"/>
  <c r="E86" i="87"/>
  <c r="D86" i="87"/>
  <c r="C86" i="87"/>
  <c r="O85" i="87"/>
  <c r="N85" i="87"/>
  <c r="M85" i="87"/>
  <c r="L85" i="87"/>
  <c r="K85" i="87"/>
  <c r="J85" i="87"/>
  <c r="I85" i="87"/>
  <c r="H85" i="87"/>
  <c r="G85" i="87"/>
  <c r="F85" i="87"/>
  <c r="E85" i="87"/>
  <c r="D85" i="87"/>
  <c r="C85" i="87"/>
  <c r="O84" i="87"/>
  <c r="N84" i="87"/>
  <c r="M84" i="87"/>
  <c r="L84" i="87"/>
  <c r="K84" i="87"/>
  <c r="J84" i="87"/>
  <c r="I84" i="87"/>
  <c r="H84" i="87"/>
  <c r="G84" i="87"/>
  <c r="F84" i="87"/>
  <c r="E84" i="87"/>
  <c r="D84" i="87"/>
  <c r="C84" i="87"/>
  <c r="O83" i="87"/>
  <c r="N83" i="87"/>
  <c r="M83" i="87"/>
  <c r="L83" i="87"/>
  <c r="K83" i="87"/>
  <c r="J83" i="87"/>
  <c r="I83" i="87"/>
  <c r="H83" i="87"/>
  <c r="G83" i="87"/>
  <c r="F83" i="87"/>
  <c r="E83" i="87"/>
  <c r="D83" i="87"/>
  <c r="C83" i="87"/>
  <c r="O82" i="87"/>
  <c r="N82" i="87"/>
  <c r="M82" i="87"/>
  <c r="L82" i="87"/>
  <c r="K82" i="87"/>
  <c r="J82" i="87"/>
  <c r="I82" i="87"/>
  <c r="H82" i="87"/>
  <c r="G82" i="87"/>
  <c r="F82" i="87"/>
  <c r="E82" i="87"/>
  <c r="D82" i="87"/>
  <c r="C82" i="87"/>
  <c r="O81" i="87"/>
  <c r="N81" i="87"/>
  <c r="M81" i="87"/>
  <c r="L81" i="87"/>
  <c r="K81" i="87"/>
  <c r="J81" i="87"/>
  <c r="I81" i="87"/>
  <c r="H81" i="87"/>
  <c r="G81" i="87"/>
  <c r="F81" i="87"/>
  <c r="E81" i="87"/>
  <c r="D81" i="87"/>
  <c r="C81" i="87"/>
  <c r="O80" i="87"/>
  <c r="N80" i="87"/>
  <c r="M80" i="87"/>
  <c r="L80" i="87"/>
  <c r="K80" i="87"/>
  <c r="J80" i="87"/>
  <c r="I80" i="87"/>
  <c r="H80" i="87"/>
  <c r="G80" i="87"/>
  <c r="F80" i="87"/>
  <c r="E80" i="87"/>
  <c r="D80" i="87"/>
  <c r="C80" i="87"/>
  <c r="O79" i="87"/>
  <c r="N79" i="87"/>
  <c r="M79" i="87"/>
  <c r="L79" i="87"/>
  <c r="K79" i="87"/>
  <c r="J79" i="87"/>
  <c r="I79" i="87"/>
  <c r="H79" i="87"/>
  <c r="G79" i="87"/>
  <c r="F79" i="87"/>
  <c r="E79" i="87"/>
  <c r="D79" i="87"/>
  <c r="C79" i="87"/>
  <c r="O78" i="87"/>
  <c r="N78" i="87"/>
  <c r="M78" i="87"/>
  <c r="L78" i="87"/>
  <c r="K78" i="87"/>
  <c r="J78" i="87"/>
  <c r="I78" i="87"/>
  <c r="H78" i="87"/>
  <c r="G78" i="87"/>
  <c r="F78" i="87"/>
  <c r="E78" i="87"/>
  <c r="D78" i="87"/>
  <c r="C78" i="87"/>
  <c r="O77" i="87"/>
  <c r="N77" i="87"/>
  <c r="M77" i="87"/>
  <c r="L77" i="87"/>
  <c r="K77" i="87"/>
  <c r="J77" i="87"/>
  <c r="I77" i="87"/>
  <c r="H77" i="87"/>
  <c r="G77" i="87"/>
  <c r="F77" i="87"/>
  <c r="E77" i="87"/>
  <c r="D77" i="87"/>
  <c r="C77" i="87"/>
  <c r="O76" i="87"/>
  <c r="N76" i="87"/>
  <c r="M76" i="87"/>
  <c r="L76" i="87"/>
  <c r="K76" i="87"/>
  <c r="J76" i="87"/>
  <c r="I76" i="87"/>
  <c r="H76" i="87"/>
  <c r="G76" i="87"/>
  <c r="F76" i="87"/>
  <c r="E76" i="87"/>
  <c r="D76" i="87"/>
  <c r="C76" i="87"/>
  <c r="O75" i="87"/>
  <c r="N75" i="87"/>
  <c r="M75" i="87"/>
  <c r="L75" i="87"/>
  <c r="K75" i="87"/>
  <c r="J75" i="87"/>
  <c r="I75" i="87"/>
  <c r="H75" i="87"/>
  <c r="G75" i="87"/>
  <c r="F75" i="87"/>
  <c r="E75" i="87"/>
  <c r="D75" i="87"/>
  <c r="C75" i="87"/>
  <c r="O74" i="87"/>
  <c r="N74" i="87"/>
  <c r="M74" i="87"/>
  <c r="L74" i="87"/>
  <c r="K74" i="87"/>
  <c r="J74" i="87"/>
  <c r="I74" i="87"/>
  <c r="H74" i="87"/>
  <c r="G74" i="87"/>
  <c r="F74" i="87"/>
  <c r="E74" i="87"/>
  <c r="D74" i="87"/>
  <c r="C74" i="87"/>
  <c r="O73" i="87"/>
  <c r="N73" i="87"/>
  <c r="M73" i="87"/>
  <c r="L73" i="87"/>
  <c r="K73" i="87"/>
  <c r="J73" i="87"/>
  <c r="I73" i="87"/>
  <c r="H73" i="87"/>
  <c r="G73" i="87"/>
  <c r="F73" i="87"/>
  <c r="E73" i="87"/>
  <c r="D73" i="87"/>
  <c r="C73" i="87"/>
  <c r="O68" i="87"/>
  <c r="N68" i="87"/>
  <c r="M68" i="87"/>
  <c r="L68" i="87"/>
  <c r="K68" i="87"/>
  <c r="J68" i="87"/>
  <c r="I68" i="87"/>
  <c r="H68" i="87"/>
  <c r="G68" i="87"/>
  <c r="F68" i="87"/>
  <c r="E68" i="87"/>
  <c r="D68" i="87"/>
  <c r="C68" i="87"/>
  <c r="O67" i="87"/>
  <c r="N67" i="87"/>
  <c r="M67" i="87"/>
  <c r="L67" i="87"/>
  <c r="K67" i="87"/>
  <c r="J67" i="87"/>
  <c r="I67" i="87"/>
  <c r="H67" i="87"/>
  <c r="G67" i="87"/>
  <c r="F67" i="87"/>
  <c r="E67" i="87"/>
  <c r="D67" i="87"/>
  <c r="C67" i="87"/>
  <c r="O66" i="87"/>
  <c r="N66" i="87"/>
  <c r="M66" i="87"/>
  <c r="L66" i="87"/>
  <c r="K66" i="87"/>
  <c r="J66" i="87"/>
  <c r="I66" i="87"/>
  <c r="H66" i="87"/>
  <c r="G66" i="87"/>
  <c r="F66" i="87"/>
  <c r="E66" i="87"/>
  <c r="D66" i="87"/>
  <c r="C66" i="87"/>
  <c r="O65" i="87"/>
  <c r="N65" i="87"/>
  <c r="M65" i="87"/>
  <c r="L65" i="87"/>
  <c r="K65" i="87"/>
  <c r="J65" i="87"/>
  <c r="I65" i="87"/>
  <c r="H65" i="87"/>
  <c r="G65" i="87"/>
  <c r="F65" i="87"/>
  <c r="E65" i="87"/>
  <c r="D65" i="87"/>
  <c r="C65" i="87"/>
  <c r="O64" i="87"/>
  <c r="N64" i="87"/>
  <c r="M64" i="87"/>
  <c r="L64" i="87"/>
  <c r="K64" i="87"/>
  <c r="J64" i="87"/>
  <c r="I64" i="87"/>
  <c r="H64" i="87"/>
  <c r="G64" i="87"/>
  <c r="F64" i="87"/>
  <c r="E64" i="87"/>
  <c r="D64" i="87"/>
  <c r="C64" i="87"/>
  <c r="O63" i="87"/>
  <c r="N63" i="87"/>
  <c r="M63" i="87"/>
  <c r="L63" i="87"/>
  <c r="K63" i="87"/>
  <c r="J63" i="87"/>
  <c r="I63" i="87"/>
  <c r="H63" i="87"/>
  <c r="G63" i="87"/>
  <c r="F63" i="87"/>
  <c r="E63" i="87"/>
  <c r="D63" i="87"/>
  <c r="C63" i="87"/>
  <c r="O62" i="87"/>
  <c r="N62" i="87"/>
  <c r="M62" i="87"/>
  <c r="L62" i="87"/>
  <c r="K62" i="87"/>
  <c r="J62" i="87"/>
  <c r="I62" i="87"/>
  <c r="H62" i="87"/>
  <c r="G62" i="87"/>
  <c r="F62" i="87"/>
  <c r="E62" i="87"/>
  <c r="D62" i="87"/>
  <c r="C62" i="87"/>
  <c r="O61" i="87"/>
  <c r="N61" i="87"/>
  <c r="M61" i="87"/>
  <c r="L61" i="87"/>
  <c r="K61" i="87"/>
  <c r="J61" i="87"/>
  <c r="I61" i="87"/>
  <c r="H61" i="87"/>
  <c r="G61" i="87"/>
  <c r="F61" i="87"/>
  <c r="E61" i="87"/>
  <c r="D61" i="87"/>
  <c r="C61" i="87"/>
  <c r="O60" i="87"/>
  <c r="N60" i="87"/>
  <c r="M60" i="87"/>
  <c r="L60" i="87"/>
  <c r="K60" i="87"/>
  <c r="J60" i="87"/>
  <c r="I60" i="87"/>
  <c r="H60" i="87"/>
  <c r="G60" i="87"/>
  <c r="F60" i="87"/>
  <c r="E60" i="87"/>
  <c r="D60" i="87"/>
  <c r="C60" i="87"/>
  <c r="O59" i="87"/>
  <c r="N59" i="87"/>
  <c r="M59" i="87"/>
  <c r="L59" i="87"/>
  <c r="K59" i="87"/>
  <c r="J59" i="87"/>
  <c r="I59" i="87"/>
  <c r="H59" i="87"/>
  <c r="G59" i="87"/>
  <c r="F59" i="87"/>
  <c r="E59" i="87"/>
  <c r="D59" i="87"/>
  <c r="C59" i="87"/>
  <c r="O58" i="87"/>
  <c r="N58" i="87"/>
  <c r="M58" i="87"/>
  <c r="L58" i="87"/>
  <c r="K58" i="87"/>
  <c r="J58" i="87"/>
  <c r="I58" i="87"/>
  <c r="H58" i="87"/>
  <c r="G58" i="87"/>
  <c r="F58" i="87"/>
  <c r="E58" i="87"/>
  <c r="D58" i="87"/>
  <c r="C58" i="87"/>
  <c r="O57" i="87"/>
  <c r="N57" i="87"/>
  <c r="M57" i="87"/>
  <c r="L57" i="87"/>
  <c r="K57" i="87"/>
  <c r="J57" i="87"/>
  <c r="I57" i="87"/>
  <c r="H57" i="87"/>
  <c r="G57" i="87"/>
  <c r="F57" i="87"/>
  <c r="E57" i="87"/>
  <c r="D57" i="87"/>
  <c r="C57" i="87"/>
  <c r="O56" i="87"/>
  <c r="N56" i="87"/>
  <c r="M56" i="87"/>
  <c r="L56" i="87"/>
  <c r="K56" i="87"/>
  <c r="J56" i="87"/>
  <c r="I56" i="87"/>
  <c r="H56" i="87"/>
  <c r="G56" i="87"/>
  <c r="F56" i="87"/>
  <c r="E56" i="87"/>
  <c r="D56" i="87"/>
  <c r="C56" i="87"/>
  <c r="O55" i="87"/>
  <c r="N55" i="87"/>
  <c r="M55" i="87"/>
  <c r="L55" i="87"/>
  <c r="K55" i="87"/>
  <c r="J55" i="87"/>
  <c r="I55" i="87"/>
  <c r="H55" i="87"/>
  <c r="G55" i="87"/>
  <c r="F55" i="87"/>
  <c r="E55" i="87"/>
  <c r="D55" i="87"/>
  <c r="C55" i="87"/>
  <c r="O54" i="87"/>
  <c r="N54" i="87"/>
  <c r="M54" i="87"/>
  <c r="L54" i="87"/>
  <c r="K54" i="87"/>
  <c r="J54" i="87"/>
  <c r="I54" i="87"/>
  <c r="H54" i="87"/>
  <c r="G54" i="87"/>
  <c r="F54" i="87"/>
  <c r="E54" i="87"/>
  <c r="D54" i="87"/>
  <c r="C54" i="87"/>
  <c r="O53" i="87"/>
  <c r="N53" i="87"/>
  <c r="M53" i="87"/>
  <c r="L53" i="87"/>
  <c r="K53" i="87"/>
  <c r="J53" i="87"/>
  <c r="I53" i="87"/>
  <c r="H53" i="87"/>
  <c r="G53" i="87"/>
  <c r="F53" i="87"/>
  <c r="E53" i="87"/>
  <c r="D53" i="87"/>
  <c r="C53" i="87"/>
  <c r="O52" i="87"/>
  <c r="N52" i="87"/>
  <c r="M52" i="87"/>
  <c r="L52" i="87"/>
  <c r="K52" i="87"/>
  <c r="J52" i="87"/>
  <c r="I52" i="87"/>
  <c r="H52" i="87"/>
  <c r="G52" i="87"/>
  <c r="F52" i="87"/>
  <c r="E52" i="87"/>
  <c r="D52" i="87"/>
  <c r="C52" i="87"/>
  <c r="O51" i="87"/>
  <c r="N51" i="87"/>
  <c r="M51" i="87"/>
  <c r="L51" i="87"/>
  <c r="K51" i="87"/>
  <c r="J51" i="87"/>
  <c r="I51" i="87"/>
  <c r="H51" i="87"/>
  <c r="G51" i="87"/>
  <c r="F51" i="87"/>
  <c r="E51" i="87"/>
  <c r="D51" i="87"/>
  <c r="C51" i="87"/>
  <c r="O50" i="87"/>
  <c r="N50" i="87"/>
  <c r="M50" i="87"/>
  <c r="L50" i="87"/>
  <c r="K50" i="87"/>
  <c r="J50" i="87"/>
  <c r="I50" i="87"/>
  <c r="H50" i="87"/>
  <c r="G50" i="87"/>
  <c r="F50" i="87"/>
  <c r="E50" i="87"/>
  <c r="D50" i="87"/>
  <c r="C50" i="87"/>
  <c r="O49" i="87"/>
  <c r="N49" i="87"/>
  <c r="M49" i="87"/>
  <c r="L49" i="87"/>
  <c r="K49" i="87"/>
  <c r="J49" i="87"/>
  <c r="I49" i="87"/>
  <c r="H49" i="87"/>
  <c r="G49" i="87"/>
  <c r="F49" i="87"/>
  <c r="E49" i="87"/>
  <c r="D49" i="87"/>
  <c r="C49" i="87"/>
  <c r="O48" i="87"/>
  <c r="N48" i="87"/>
  <c r="M48" i="87"/>
  <c r="L48" i="87"/>
  <c r="K48" i="87"/>
  <c r="J48" i="87"/>
  <c r="I48" i="87"/>
  <c r="H48" i="87"/>
  <c r="G48" i="87"/>
  <c r="F48" i="87"/>
  <c r="E48" i="87"/>
  <c r="D48" i="87"/>
  <c r="C48" i="87"/>
  <c r="O47" i="87"/>
  <c r="N47" i="87"/>
  <c r="M47" i="87"/>
  <c r="L47" i="87"/>
  <c r="K47" i="87"/>
  <c r="J47" i="87"/>
  <c r="I47" i="87"/>
  <c r="H47" i="87"/>
  <c r="G47" i="87"/>
  <c r="F47" i="87"/>
  <c r="E47" i="87"/>
  <c r="D47" i="87"/>
  <c r="C47" i="87"/>
  <c r="O46" i="87"/>
  <c r="N46" i="87"/>
  <c r="M46" i="87"/>
  <c r="L46" i="87"/>
  <c r="K46" i="87"/>
  <c r="J46" i="87"/>
  <c r="I46" i="87"/>
  <c r="H46" i="87"/>
  <c r="G46" i="87"/>
  <c r="F46" i="87"/>
  <c r="E46" i="87"/>
  <c r="D46" i="87"/>
  <c r="C46" i="87"/>
  <c r="O45" i="87"/>
  <c r="N45" i="87"/>
  <c r="M45" i="87"/>
  <c r="L45" i="87"/>
  <c r="K45" i="87"/>
  <c r="J45" i="87"/>
  <c r="I45" i="87"/>
  <c r="H45" i="87"/>
  <c r="G45" i="87"/>
  <c r="F45" i="87"/>
  <c r="E45" i="87"/>
  <c r="D45" i="87"/>
  <c r="C45" i="87"/>
  <c r="O44" i="87"/>
  <c r="N44" i="87"/>
  <c r="M44" i="87"/>
  <c r="L44" i="87"/>
  <c r="K44" i="87"/>
  <c r="J44" i="87"/>
  <c r="I44" i="87"/>
  <c r="H44" i="87"/>
  <c r="G44" i="87"/>
  <c r="F44" i="87"/>
  <c r="E44" i="87"/>
  <c r="D44" i="87"/>
  <c r="C44" i="87"/>
  <c r="O43" i="87"/>
  <c r="N43" i="87"/>
  <c r="M43" i="87"/>
  <c r="L43" i="87"/>
  <c r="K43" i="87"/>
  <c r="J43" i="87"/>
  <c r="I43" i="87"/>
  <c r="H43" i="87"/>
  <c r="G43" i="87"/>
  <c r="F43" i="87"/>
  <c r="E43" i="87"/>
  <c r="D43" i="87"/>
  <c r="C43" i="87"/>
  <c r="O42" i="87"/>
  <c r="N42" i="87"/>
  <c r="M42" i="87"/>
  <c r="L42" i="87"/>
  <c r="K42" i="87"/>
  <c r="J42" i="87"/>
  <c r="I42" i="87"/>
  <c r="H42" i="87"/>
  <c r="G42" i="87"/>
  <c r="F42" i="87"/>
  <c r="E42" i="87"/>
  <c r="D42" i="87"/>
  <c r="C42" i="87"/>
  <c r="O41" i="87"/>
  <c r="N41" i="87"/>
  <c r="M41" i="87"/>
  <c r="L41" i="87"/>
  <c r="K41" i="87"/>
  <c r="J41" i="87"/>
  <c r="I41" i="87"/>
  <c r="H41" i="87"/>
  <c r="G41" i="87"/>
  <c r="F41" i="87"/>
  <c r="E41" i="87"/>
  <c r="D41" i="87"/>
  <c r="C41" i="87"/>
  <c r="O40" i="87"/>
  <c r="N40" i="87"/>
  <c r="M40" i="87"/>
  <c r="L40" i="87"/>
  <c r="K40" i="87"/>
  <c r="J40" i="87"/>
  <c r="I40" i="87"/>
  <c r="H40" i="87"/>
  <c r="G40" i="87"/>
  <c r="F40" i="87"/>
  <c r="E40" i="87"/>
  <c r="D40" i="87"/>
  <c r="C40" i="87"/>
  <c r="O39" i="87"/>
  <c r="N39" i="87"/>
  <c r="M39" i="87"/>
  <c r="L39" i="87"/>
  <c r="K39" i="87"/>
  <c r="J39" i="87"/>
  <c r="I39" i="87"/>
  <c r="H39" i="87"/>
  <c r="G39" i="87"/>
  <c r="F39" i="87"/>
  <c r="E39" i="87"/>
  <c r="D39" i="87"/>
  <c r="C39" i="87"/>
  <c r="O38" i="87"/>
  <c r="N38" i="87"/>
  <c r="M38" i="87"/>
  <c r="L38" i="87"/>
  <c r="K38" i="87"/>
  <c r="J38" i="87"/>
  <c r="I38" i="87"/>
  <c r="H38" i="87"/>
  <c r="G38" i="87"/>
  <c r="F38" i="87"/>
  <c r="E38" i="87"/>
  <c r="D38" i="87"/>
  <c r="C38" i="87"/>
  <c r="O37" i="87"/>
  <c r="N37" i="87"/>
  <c r="M37" i="87"/>
  <c r="L37" i="87"/>
  <c r="K37" i="87"/>
  <c r="J37" i="87"/>
  <c r="I37" i="87"/>
  <c r="H37" i="87"/>
  <c r="G37" i="87"/>
  <c r="F37" i="87"/>
  <c r="E37" i="87"/>
  <c r="D37" i="87"/>
  <c r="C37" i="87"/>
  <c r="O36" i="87"/>
  <c r="N36" i="87"/>
  <c r="M36" i="87"/>
  <c r="L36" i="87"/>
  <c r="K36" i="87"/>
  <c r="J36" i="87"/>
  <c r="I36" i="87"/>
  <c r="H36" i="87"/>
  <c r="G36" i="87"/>
  <c r="F36" i="87"/>
  <c r="E36" i="87"/>
  <c r="D36" i="87"/>
  <c r="C36" i="87"/>
  <c r="O35" i="87"/>
  <c r="N35" i="87"/>
  <c r="M35" i="87"/>
  <c r="L35" i="87"/>
  <c r="K35" i="87"/>
  <c r="J35" i="87"/>
  <c r="I35" i="87"/>
  <c r="H35" i="87"/>
  <c r="G35" i="87"/>
  <c r="F35" i="87"/>
  <c r="E35" i="87"/>
  <c r="D35" i="87"/>
  <c r="C35" i="87"/>
  <c r="O34" i="87"/>
  <c r="N34" i="87"/>
  <c r="M34" i="87"/>
  <c r="L34" i="87"/>
  <c r="K34" i="87"/>
  <c r="J34" i="87"/>
  <c r="I34" i="87"/>
  <c r="H34" i="87"/>
  <c r="G34" i="87"/>
  <c r="F34" i="87"/>
  <c r="E34" i="87"/>
  <c r="D34" i="87"/>
  <c r="C34" i="87"/>
  <c r="O33" i="87"/>
  <c r="N33" i="87"/>
  <c r="M33" i="87"/>
  <c r="L33" i="87"/>
  <c r="K33" i="87"/>
  <c r="J33" i="87"/>
  <c r="I33" i="87"/>
  <c r="H33" i="87"/>
  <c r="G33" i="87"/>
  <c r="F33" i="87"/>
  <c r="E33" i="87"/>
  <c r="D33" i="87"/>
  <c r="C33" i="87"/>
  <c r="O32" i="87"/>
  <c r="N32" i="87"/>
  <c r="M32" i="87"/>
  <c r="L32" i="87"/>
  <c r="K32" i="87"/>
  <c r="J32" i="87"/>
  <c r="I32" i="87"/>
  <c r="H32" i="87"/>
  <c r="G32" i="87"/>
  <c r="F32" i="87"/>
  <c r="E32" i="87"/>
  <c r="D32" i="87"/>
  <c r="C32" i="87"/>
  <c r="O31" i="87"/>
  <c r="N31" i="87"/>
  <c r="M31" i="87"/>
  <c r="L31" i="87"/>
  <c r="K31" i="87"/>
  <c r="J31" i="87"/>
  <c r="I31" i="87"/>
  <c r="H31" i="87"/>
  <c r="G31" i="87"/>
  <c r="F31" i="87"/>
  <c r="E31" i="87"/>
  <c r="D31" i="87"/>
  <c r="C31" i="87"/>
  <c r="O30" i="87"/>
  <c r="N30" i="87"/>
  <c r="M30" i="87"/>
  <c r="L30" i="87"/>
  <c r="K30" i="87"/>
  <c r="J30" i="87"/>
  <c r="I30" i="87"/>
  <c r="H30" i="87"/>
  <c r="G30" i="87"/>
  <c r="F30" i="87"/>
  <c r="E30" i="87"/>
  <c r="D30" i="87"/>
  <c r="C30" i="87"/>
  <c r="O29" i="87"/>
  <c r="N29" i="87"/>
  <c r="M29" i="87"/>
  <c r="L29" i="87"/>
  <c r="K29" i="87"/>
  <c r="J29" i="87"/>
  <c r="I29" i="87"/>
  <c r="H29" i="87"/>
  <c r="G29" i="87"/>
  <c r="F29" i="87"/>
  <c r="E29" i="87"/>
  <c r="D29" i="87"/>
  <c r="C29" i="87"/>
  <c r="O28" i="87"/>
  <c r="N28" i="87"/>
  <c r="M28" i="87"/>
  <c r="L28" i="87"/>
  <c r="K28" i="87"/>
  <c r="J28" i="87"/>
  <c r="I28" i="87"/>
  <c r="H28" i="87"/>
  <c r="G28" i="87"/>
  <c r="F28" i="87"/>
  <c r="E28" i="87"/>
  <c r="D28" i="87"/>
  <c r="C28" i="87"/>
  <c r="O27" i="87"/>
  <c r="N27" i="87"/>
  <c r="M27" i="87"/>
  <c r="L27" i="87"/>
  <c r="K27" i="87"/>
  <c r="J27" i="87"/>
  <c r="I27" i="87"/>
  <c r="H27" i="87"/>
  <c r="G27" i="87"/>
  <c r="F27" i="87"/>
  <c r="E27" i="87"/>
  <c r="D27" i="87"/>
  <c r="C27" i="87"/>
  <c r="O26" i="87"/>
  <c r="N26" i="87"/>
  <c r="M26" i="87"/>
  <c r="L26" i="87"/>
  <c r="K26" i="87"/>
  <c r="J26" i="87"/>
  <c r="I26" i="87"/>
  <c r="H26" i="87"/>
  <c r="G26" i="87"/>
  <c r="F26" i="87"/>
  <c r="E26" i="87"/>
  <c r="D26" i="87"/>
  <c r="C26" i="87"/>
  <c r="C22" i="87"/>
  <c r="G18" i="84"/>
  <c r="D18" i="84"/>
  <c r="C18" i="84"/>
  <c r="G17" i="84"/>
  <c r="D17" i="84"/>
  <c r="C17" i="84"/>
  <c r="G16" i="84"/>
  <c r="D16" i="84"/>
  <c r="C16" i="84"/>
  <c r="G15" i="84"/>
  <c r="D15" i="84"/>
  <c r="C15" i="84"/>
  <c r="G14" i="84"/>
  <c r="D14" i="84"/>
  <c r="C14" i="84"/>
  <c r="G13" i="84"/>
  <c r="D13" i="84"/>
  <c r="C13" i="84"/>
  <c r="G12" i="84"/>
  <c r="D12" i="84"/>
  <c r="C12" i="84"/>
  <c r="G11" i="84"/>
  <c r="D11" i="84"/>
  <c r="C11" i="84"/>
  <c r="G10" i="84"/>
  <c r="D10" i="84"/>
  <c r="C10" i="84"/>
  <c r="G9" i="84"/>
  <c r="D9" i="84"/>
  <c r="C9" i="84"/>
  <c r="G8" i="84"/>
  <c r="D8" i="84"/>
  <c r="C8" i="84"/>
  <c r="G7" i="84"/>
  <c r="D7" i="84"/>
  <c r="C7" i="84"/>
  <c r="G6" i="84"/>
  <c r="D6" i="84"/>
  <c r="C6" i="84"/>
  <c r="J35" i="95"/>
  <c r="I35" i="95"/>
  <c r="D35" i="95"/>
  <c r="C35" i="95"/>
  <c r="J34" i="95"/>
  <c r="I34" i="95"/>
  <c r="F34" i="95" a="1"/>
  <c r="F34" i="95" s="1"/>
  <c r="D34" i="95"/>
  <c r="C34" i="95"/>
  <c r="J33" i="95"/>
  <c r="I33" i="95"/>
  <c r="F33" i="95" a="1"/>
  <c r="F33" i="95" s="1"/>
  <c r="D33" i="95"/>
  <c r="C33" i="95"/>
  <c r="J32" i="95"/>
  <c r="K32" i="95" s="1"/>
  <c r="I32" i="95"/>
  <c r="F32" i="95" a="1"/>
  <c r="F32" i="95" s="1"/>
  <c r="D32" i="95"/>
  <c r="C32" i="95"/>
  <c r="J31" i="95"/>
  <c r="K31" i="95" s="1"/>
  <c r="I31" i="95"/>
  <c r="F31" i="95" a="1"/>
  <c r="F31" i="95" s="1"/>
  <c r="D31" i="95"/>
  <c r="C31" i="95"/>
  <c r="J30" i="95"/>
  <c r="K30" i="95" s="1"/>
  <c r="I30" i="95"/>
  <c r="F30" i="95" a="1"/>
  <c r="F30" i="95" s="1"/>
  <c r="D30" i="95"/>
  <c r="C30" i="95"/>
  <c r="J29" i="95"/>
  <c r="I29" i="95"/>
  <c r="F29" i="95" a="1"/>
  <c r="F29" i="95" s="1"/>
  <c r="D29" i="95"/>
  <c r="C29" i="95"/>
  <c r="J28" i="95"/>
  <c r="K28" i="95" s="1"/>
  <c r="I28" i="95"/>
  <c r="F28" i="95" a="1"/>
  <c r="F28" i="95" s="1"/>
  <c r="D28" i="95"/>
  <c r="C28" i="95"/>
  <c r="J27" i="95"/>
  <c r="I27" i="95"/>
  <c r="F27" i="95" a="1"/>
  <c r="F27" i="95" s="1"/>
  <c r="D27" i="95"/>
  <c r="C27" i="95"/>
  <c r="J26" i="95"/>
  <c r="I26" i="95"/>
  <c r="F26" i="95" a="1"/>
  <c r="F26" i="95" s="1"/>
  <c r="D26" i="95"/>
  <c r="C26" i="95"/>
  <c r="J25" i="95"/>
  <c r="I25" i="95"/>
  <c r="F25" i="95" a="1"/>
  <c r="F25" i="95" s="1"/>
  <c r="D25" i="95"/>
  <c r="C25" i="95"/>
  <c r="J24" i="95"/>
  <c r="K24" i="95" s="1"/>
  <c r="I24" i="95"/>
  <c r="F24" i="95" a="1"/>
  <c r="F24" i="95" s="1"/>
  <c r="D24" i="95"/>
  <c r="C24" i="95"/>
  <c r="J23" i="95"/>
  <c r="K23" i="95" s="1"/>
  <c r="I23" i="95"/>
  <c r="F23" i="95" a="1"/>
  <c r="F23" i="95" s="1"/>
  <c r="D23" i="95"/>
  <c r="E23" i="95" s="1"/>
  <c r="C23" i="95"/>
  <c r="J18" i="95"/>
  <c r="K18" i="95" s="1"/>
  <c r="I18" i="95"/>
  <c r="D18" i="95"/>
  <c r="C18" i="95"/>
  <c r="L17" i="95" a="1"/>
  <c r="L17" i="95" s="1"/>
  <c r="J17" i="95"/>
  <c r="I17" i="95"/>
  <c r="F17" i="95" a="1"/>
  <c r="F17" i="95" s="1"/>
  <c r="D17" i="95"/>
  <c r="C17" i="95"/>
  <c r="L16" i="95" a="1"/>
  <c r="L16" i="95" s="1"/>
  <c r="J16" i="95"/>
  <c r="I16" i="95"/>
  <c r="F16" i="95" a="1"/>
  <c r="F16" i="95" s="1"/>
  <c r="D16" i="95"/>
  <c r="C16" i="95"/>
  <c r="L15" i="95" a="1"/>
  <c r="L15" i="95" s="1"/>
  <c r="J15" i="95"/>
  <c r="I15" i="95"/>
  <c r="F15" i="95" a="1"/>
  <c r="F15" i="95" s="1"/>
  <c r="D15" i="95"/>
  <c r="C15" i="95"/>
  <c r="L14" i="95" a="1"/>
  <c r="L14" i="95" s="1"/>
  <c r="J14" i="95"/>
  <c r="I14" i="95"/>
  <c r="F14" i="95" a="1"/>
  <c r="F14" i="95" s="1"/>
  <c r="D14" i="95"/>
  <c r="C14" i="95"/>
  <c r="L13" i="95" a="1"/>
  <c r="L13" i="95" s="1"/>
  <c r="J13" i="95"/>
  <c r="I13" i="95"/>
  <c r="F13" i="95" a="1"/>
  <c r="F13" i="95" s="1"/>
  <c r="D13" i="95"/>
  <c r="C13" i="95"/>
  <c r="L12" i="95" a="1"/>
  <c r="L12" i="95" s="1"/>
  <c r="J12" i="95"/>
  <c r="I12" i="95"/>
  <c r="F12" i="95" a="1"/>
  <c r="F12" i="95" s="1"/>
  <c r="D12" i="95"/>
  <c r="C12" i="95"/>
  <c r="L11" i="95" a="1"/>
  <c r="L11" i="95" s="1"/>
  <c r="J11" i="95"/>
  <c r="I11" i="95"/>
  <c r="F11" i="95" a="1"/>
  <c r="F11" i="95" s="1"/>
  <c r="D11" i="95"/>
  <c r="C11" i="95"/>
  <c r="L10" i="95" a="1"/>
  <c r="L10" i="95" s="1"/>
  <c r="J10" i="95"/>
  <c r="I10" i="95"/>
  <c r="F10" i="95" a="1"/>
  <c r="F10" i="95" s="1"/>
  <c r="D10" i="95"/>
  <c r="C10" i="95"/>
  <c r="L9" i="95" a="1"/>
  <c r="L9" i="95" s="1"/>
  <c r="J9" i="95"/>
  <c r="I9" i="95"/>
  <c r="F9" i="95" a="1"/>
  <c r="F9" i="95" s="1"/>
  <c r="D9" i="95"/>
  <c r="C9" i="95"/>
  <c r="L8" i="95" a="1"/>
  <c r="L8" i="95" s="1"/>
  <c r="J8" i="95"/>
  <c r="I8" i="95"/>
  <c r="F8" i="95" a="1"/>
  <c r="F8" i="95" s="1"/>
  <c r="D8" i="95"/>
  <c r="C8" i="95"/>
  <c r="L7" i="95" a="1"/>
  <c r="L7" i="95" s="1"/>
  <c r="J7" i="95"/>
  <c r="I7" i="95"/>
  <c r="F7" i="95" a="1"/>
  <c r="F7" i="95" s="1"/>
  <c r="D7" i="95"/>
  <c r="C7" i="95"/>
  <c r="L6" i="95" a="1"/>
  <c r="L6" i="95" s="1"/>
  <c r="J6" i="95"/>
  <c r="I6" i="95"/>
  <c r="F6" i="95" a="1"/>
  <c r="F6" i="95" s="1"/>
  <c r="D6" i="95"/>
  <c r="C6" i="95"/>
  <c r="L17" i="80"/>
  <c r="K17" i="80"/>
  <c r="I17" i="80"/>
  <c r="H17" i="80"/>
  <c r="F17" i="80"/>
  <c r="E17" i="80"/>
  <c r="D17" i="80"/>
  <c r="C17" i="80"/>
  <c r="L16" i="80"/>
  <c r="K16" i="80"/>
  <c r="I16" i="80"/>
  <c r="H16" i="80"/>
  <c r="F16" i="80"/>
  <c r="E16" i="80"/>
  <c r="D16" i="80"/>
  <c r="C16" i="80"/>
  <c r="L15" i="80"/>
  <c r="K15" i="80"/>
  <c r="I15" i="80"/>
  <c r="H15" i="80"/>
  <c r="F15" i="80"/>
  <c r="E15" i="80"/>
  <c r="D15" i="80"/>
  <c r="C15" i="80"/>
  <c r="L14" i="80"/>
  <c r="K14" i="80"/>
  <c r="I14" i="80"/>
  <c r="H14" i="80"/>
  <c r="F14" i="80"/>
  <c r="E14" i="80"/>
  <c r="D14" i="80"/>
  <c r="C14" i="80"/>
  <c r="L13" i="80"/>
  <c r="K13" i="80"/>
  <c r="I13" i="80"/>
  <c r="H13" i="80"/>
  <c r="F13" i="80"/>
  <c r="E13" i="80"/>
  <c r="D13" i="80"/>
  <c r="C13" i="80"/>
  <c r="L12" i="80"/>
  <c r="K12" i="80"/>
  <c r="I12" i="80"/>
  <c r="H12" i="80"/>
  <c r="F12" i="80"/>
  <c r="E12" i="80"/>
  <c r="D12" i="80"/>
  <c r="C12" i="80"/>
  <c r="L11" i="80"/>
  <c r="K11" i="80"/>
  <c r="I11" i="80"/>
  <c r="H11" i="80"/>
  <c r="F11" i="80"/>
  <c r="E11" i="80"/>
  <c r="D11" i="80"/>
  <c r="C11" i="80"/>
  <c r="L10" i="80"/>
  <c r="K10" i="80"/>
  <c r="I10" i="80"/>
  <c r="H10" i="80"/>
  <c r="F10" i="80"/>
  <c r="E10" i="80"/>
  <c r="D10" i="80"/>
  <c r="C10" i="80"/>
  <c r="L9" i="80"/>
  <c r="K9" i="80"/>
  <c r="I9" i="80"/>
  <c r="H9" i="80"/>
  <c r="F9" i="80"/>
  <c r="E9" i="80"/>
  <c r="D9" i="80"/>
  <c r="C9" i="80"/>
  <c r="L8" i="80"/>
  <c r="K8" i="80"/>
  <c r="I8" i="80"/>
  <c r="H8" i="80"/>
  <c r="F8" i="80"/>
  <c r="E8" i="80"/>
  <c r="D8" i="80"/>
  <c r="C8" i="80"/>
  <c r="L7" i="80"/>
  <c r="K7" i="80"/>
  <c r="I7" i="80"/>
  <c r="H7" i="80"/>
  <c r="F7" i="80"/>
  <c r="E7" i="80"/>
  <c r="D7" i="80"/>
  <c r="C7" i="80"/>
  <c r="L6" i="80"/>
  <c r="K6" i="80"/>
  <c r="I6" i="80"/>
  <c r="H6" i="80"/>
  <c r="F6" i="80"/>
  <c r="E6" i="80"/>
  <c r="D6" i="80"/>
  <c r="C6" i="80"/>
  <c r="L5" i="80"/>
  <c r="K5" i="80"/>
  <c r="I5" i="80"/>
  <c r="H5" i="80"/>
  <c r="F5" i="80"/>
  <c r="E5" i="80"/>
  <c r="D5" i="80"/>
  <c r="C5" i="80"/>
  <c r="T99" i="110"/>
  <c r="AC104" i="110" s="1" a="1"/>
  <c r="B99" i="110"/>
  <c r="P95" i="110" a="1"/>
  <c r="P94" i="110" a="1"/>
  <c r="T92" i="110"/>
  <c r="AI96" i="110" s="1" a="1"/>
  <c r="B92" i="110"/>
  <c r="I97" i="110" s="1" a="1"/>
  <c r="AF90" i="110" a="1"/>
  <c r="AF90" i="110" s="1"/>
  <c r="Y90" i="110" a="1"/>
  <c r="Y90" i="110" s="1"/>
  <c r="Z89" i="110" a="1"/>
  <c r="Z89" i="110" s="1"/>
  <c r="Y89" i="110" a="1"/>
  <c r="Y89" i="110" s="1"/>
  <c r="AB88" i="110" a="1"/>
  <c r="AB88" i="110" s="1"/>
  <c r="E88" i="110" a="1"/>
  <c r="E88" i="110" s="1"/>
  <c r="AJ87" i="110" a="1"/>
  <c r="AJ87" i="110" s="1"/>
  <c r="K87" i="110" a="1"/>
  <c r="K87" i="110" s="1"/>
  <c r="T85" i="110"/>
  <c r="AG88" i="110" s="1" a="1"/>
  <c r="AG88" i="110" s="1"/>
  <c r="B85" i="110"/>
  <c r="K90" i="110" s="1" a="1"/>
  <c r="K90" i="110" s="1"/>
  <c r="AA83" i="110" a="1"/>
  <c r="AA83" i="110" s="1"/>
  <c r="X80" i="110" a="1"/>
  <c r="X80" i="110" s="1"/>
  <c r="T78" i="110"/>
  <c r="B78" i="110"/>
  <c r="P82" i="110" s="1" a="1"/>
  <c r="AG76" i="110" a="1"/>
  <c r="AG76" i="110" s="1"/>
  <c r="AH74" i="110" a="1"/>
  <c r="AH74" i="110" s="1"/>
  <c r="W74" i="110" a="1"/>
  <c r="T71" i="110"/>
  <c r="AH76" i="110" s="1" a="1"/>
  <c r="AH76" i="110" s="1"/>
  <c r="B71" i="110"/>
  <c r="K73" i="110" s="1"/>
  <c r="AC69" i="110"/>
  <c r="AB69" i="110"/>
  <c r="AI68" i="110"/>
  <c r="AH68" i="110"/>
  <c r="AF68" i="110"/>
  <c r="Z68" i="110"/>
  <c r="AJ67" i="110"/>
  <c r="Y67" i="110"/>
  <c r="X67" i="110"/>
  <c r="AJ66" i="110"/>
  <c r="AF66" i="110"/>
  <c r="Y66" i="110"/>
  <c r="W66" i="110"/>
  <c r="T64" i="110"/>
  <c r="AH69" i="110" s="1"/>
  <c r="B64" i="110"/>
  <c r="G69" i="110" s="1"/>
  <c r="U62" i="110"/>
  <c r="Z61" i="110"/>
  <c r="Y61" i="110"/>
  <c r="X59" i="110"/>
  <c r="T57" i="110"/>
  <c r="Y60" i="110" s="1"/>
  <c r="B57" i="110"/>
  <c r="G60" i="110" s="1"/>
  <c r="D55" i="110"/>
  <c r="M54" i="110"/>
  <c r="R52" i="110"/>
  <c r="K52" i="110"/>
  <c r="T50" i="110"/>
  <c r="AC53" i="110" s="1"/>
  <c r="B50" i="110"/>
  <c r="M52" i="110" s="1"/>
  <c r="V47" i="110"/>
  <c r="U47" i="110"/>
  <c r="V46" i="110"/>
  <c r="T43" i="110"/>
  <c r="AD45" i="110" s="1"/>
  <c r="B43" i="110"/>
  <c r="G48" i="110" s="1"/>
  <c r="AD41" i="110"/>
  <c r="AD40" i="110"/>
  <c r="AC40" i="110"/>
  <c r="AJ39" i="110"/>
  <c r="W39" i="110"/>
  <c r="AJ38" i="110"/>
  <c r="AC38" i="110"/>
  <c r="X38" i="110"/>
  <c r="T36" i="110"/>
  <c r="AB40" i="110" s="1"/>
  <c r="B36" i="110"/>
  <c r="N41" i="110" s="1"/>
  <c r="Z34" i="110"/>
  <c r="T29" i="110"/>
  <c r="AJ33" i="110" s="1"/>
  <c r="B29" i="110"/>
  <c r="P29" i="110" s="1" a="1"/>
  <c r="P27" i="110"/>
  <c r="I26" i="110"/>
  <c r="O25" i="110"/>
  <c r="H25" i="110"/>
  <c r="E25" i="110"/>
  <c r="M24" i="110"/>
  <c r="E24" i="110"/>
  <c r="T22" i="110"/>
  <c r="AE26" i="110" s="1"/>
  <c r="B22" i="110"/>
  <c r="H27" i="110" s="1"/>
  <c r="AI20" i="110"/>
  <c r="O18" i="110"/>
  <c r="T15" i="110"/>
  <c r="B15" i="110"/>
  <c r="H20" i="110" s="1"/>
  <c r="I13" i="110"/>
  <c r="E13" i="110"/>
  <c r="D12" i="110"/>
  <c r="K11" i="110"/>
  <c r="AA10" i="110"/>
  <c r="M10" i="110"/>
  <c r="G10" i="110"/>
  <c r="T8" i="110"/>
  <c r="B8" i="110"/>
  <c r="H13" i="110" s="1"/>
  <c r="M104" i="108" a="1"/>
  <c r="C102" i="108" a="1"/>
  <c r="B99" i="108"/>
  <c r="M103" i="108" s="1" a="1"/>
  <c r="M103" i="108" s="1"/>
  <c r="AC97" i="108" a="1"/>
  <c r="AH95" i="108" a="1"/>
  <c r="X94" i="108" a="1"/>
  <c r="X94" i="108" s="1"/>
  <c r="T92" i="108"/>
  <c r="Y97" i="108" s="1" a="1"/>
  <c r="B92" i="108"/>
  <c r="AH90" i="108" a="1"/>
  <c r="AH90" i="108" s="1"/>
  <c r="U90" i="108" a="1"/>
  <c r="AA88" i="108" a="1"/>
  <c r="U88" i="108" a="1"/>
  <c r="T85" i="108"/>
  <c r="AH89" i="108" s="1" a="1"/>
  <c r="AH89" i="108" s="1"/>
  <c r="B85" i="108"/>
  <c r="R83" i="108" a="1"/>
  <c r="N83" i="108" a="1"/>
  <c r="L83" i="108" a="1"/>
  <c r="K83" i="108" a="1"/>
  <c r="I83" i="108" a="1"/>
  <c r="E83" i="108" a="1"/>
  <c r="Q82" i="108" a="1"/>
  <c r="N82" i="108" a="1"/>
  <c r="J82" i="108" a="1"/>
  <c r="H82" i="108" a="1"/>
  <c r="E82" i="108" a="1"/>
  <c r="R81" i="108" a="1"/>
  <c r="L81" i="108" a="1"/>
  <c r="I81" i="108" a="1"/>
  <c r="I81" i="108" s="1"/>
  <c r="H81" i="108" a="1"/>
  <c r="H81" i="108" s="1"/>
  <c r="G81" i="108" a="1"/>
  <c r="E81" i="108" a="1"/>
  <c r="AA80" i="108" a="1"/>
  <c r="AA80" i="108" s="1"/>
  <c r="R80" i="108" a="1"/>
  <c r="Q80" i="108" a="1"/>
  <c r="O80" i="108" a="1"/>
  <c r="O80" i="108" s="1"/>
  <c r="J80" i="108" a="1"/>
  <c r="F80" i="108" a="1"/>
  <c r="C80" i="108" a="1"/>
  <c r="T78" i="108"/>
  <c r="AC81" i="108" s="1" a="1"/>
  <c r="AC81" i="108" s="1"/>
  <c r="P78" i="108" a="1"/>
  <c r="P78" i="108" s="1"/>
  <c r="B78" i="108"/>
  <c r="H83" i="108" s="1" a="1"/>
  <c r="V75" i="108" a="1"/>
  <c r="V75" i="108" s="1"/>
  <c r="T71" i="108"/>
  <c r="AH76" i="108" s="1" a="1"/>
  <c r="AH76" i="108" s="1"/>
  <c r="B71" i="108"/>
  <c r="AE68" i="108"/>
  <c r="AC68" i="108"/>
  <c r="Y68" i="108"/>
  <c r="AG67" i="108"/>
  <c r="AD66" i="108"/>
  <c r="Q66" i="108"/>
  <c r="AH64" i="108" a="1"/>
  <c r="AH64" i="108" s="1"/>
  <c r="T64" i="108"/>
  <c r="AE69" i="108" s="1"/>
  <c r="B64" i="108"/>
  <c r="Q62" i="108"/>
  <c r="I62" i="108"/>
  <c r="Q61" i="108"/>
  <c r="C61" i="108"/>
  <c r="M59" i="108"/>
  <c r="T57" i="108"/>
  <c r="B57" i="108"/>
  <c r="AC53" i="108"/>
  <c r="T50" i="108"/>
  <c r="W53" i="108" s="1"/>
  <c r="B50" i="108"/>
  <c r="K53" i="108" s="1"/>
  <c r="Q48" i="108"/>
  <c r="M48" i="108"/>
  <c r="E47" i="108"/>
  <c r="F46" i="108"/>
  <c r="C46" i="108"/>
  <c r="M45" i="108"/>
  <c r="C45" i="108"/>
  <c r="T43" i="108"/>
  <c r="B43" i="108"/>
  <c r="O48" i="108" s="1"/>
  <c r="AD39" i="108"/>
  <c r="V38" i="108"/>
  <c r="T36" i="108"/>
  <c r="V41" i="108" s="1"/>
  <c r="B36" i="108"/>
  <c r="AC32" i="108"/>
  <c r="R31" i="108"/>
  <c r="AH29" i="108" a="1"/>
  <c r="T29" i="108"/>
  <c r="AB31" i="108" s="1"/>
  <c r="B29" i="108"/>
  <c r="Q32" i="108" s="1"/>
  <c r="O27" i="108"/>
  <c r="E27" i="108"/>
  <c r="F26" i="108"/>
  <c r="N25" i="108"/>
  <c r="N24" i="108"/>
  <c r="D24" i="108"/>
  <c r="T22" i="108"/>
  <c r="B22" i="108"/>
  <c r="N27" i="108" s="1"/>
  <c r="AJ19" i="108"/>
  <c r="T15" i="108"/>
  <c r="AI20" i="108" s="1"/>
  <c r="B15" i="108"/>
  <c r="P18" i="108" s="1"/>
  <c r="U13" i="108"/>
  <c r="AJ11" i="108"/>
  <c r="AI11" i="108"/>
  <c r="AI10" i="108"/>
  <c r="U10" i="108"/>
  <c r="T8" i="108"/>
  <c r="AG11" i="108" s="1"/>
  <c r="B8" i="108"/>
  <c r="M13" i="108" s="1"/>
  <c r="M104" i="109"/>
  <c r="K102" i="109"/>
  <c r="M101" i="109"/>
  <c r="B99" i="109"/>
  <c r="N103" i="109" s="1"/>
  <c r="T92" i="109"/>
  <c r="AC96" i="109" s="1"/>
  <c r="B92" i="109"/>
  <c r="V90" i="109"/>
  <c r="Y89" i="109"/>
  <c r="T85" i="109"/>
  <c r="AE87" i="109" s="1"/>
  <c r="B85" i="109"/>
  <c r="O90" i="109" s="1"/>
  <c r="Y83" i="109"/>
  <c r="W83" i="109"/>
  <c r="U83" i="109"/>
  <c r="AC82" i="109"/>
  <c r="V82" i="109"/>
  <c r="AA81" i="109"/>
  <c r="Y81" i="109"/>
  <c r="U81" i="109"/>
  <c r="Y80" i="109"/>
  <c r="W80" i="109"/>
  <c r="U80" i="109"/>
  <c r="T78" i="109"/>
  <c r="AD82" i="109" s="1"/>
  <c r="B78" i="109"/>
  <c r="L76" i="109"/>
  <c r="R75" i="109"/>
  <c r="O74" i="109"/>
  <c r="K73" i="109"/>
  <c r="T71" i="109"/>
  <c r="AG75" i="109" s="1"/>
  <c r="B71" i="109"/>
  <c r="Q73" i="109" s="1"/>
  <c r="R69" i="109"/>
  <c r="E69" i="109"/>
  <c r="C69" i="109"/>
  <c r="N68" i="109"/>
  <c r="Q67" i="109"/>
  <c r="P67" i="109"/>
  <c r="C67" i="109"/>
  <c r="K66" i="109"/>
  <c r="T64" i="109"/>
  <c r="B64" i="109"/>
  <c r="P69" i="109" s="1"/>
  <c r="Q62" i="109"/>
  <c r="N62" i="109"/>
  <c r="K61" i="109"/>
  <c r="F61" i="109"/>
  <c r="M60" i="109"/>
  <c r="D60" i="109"/>
  <c r="K59" i="109"/>
  <c r="G59" i="109"/>
  <c r="T57" i="109"/>
  <c r="AH62" i="109" s="1"/>
  <c r="B57" i="109"/>
  <c r="G62" i="109" s="1"/>
  <c r="M55" i="109"/>
  <c r="F54" i="109"/>
  <c r="R52" i="109"/>
  <c r="T50" i="109"/>
  <c r="B50" i="109"/>
  <c r="J54" i="109" s="1"/>
  <c r="H46" i="109"/>
  <c r="T43" i="109"/>
  <c r="AG47" i="109" s="1"/>
  <c r="B43" i="109"/>
  <c r="E47" i="109" s="1"/>
  <c r="AD40" i="109"/>
  <c r="Q39" i="109"/>
  <c r="Z38" i="109"/>
  <c r="M38" i="109"/>
  <c r="T36" i="109"/>
  <c r="X40" i="109" s="1"/>
  <c r="B36" i="109"/>
  <c r="L31" i="109"/>
  <c r="T29" i="109"/>
  <c r="B29" i="109"/>
  <c r="AA27" i="109"/>
  <c r="AG26" i="109"/>
  <c r="AB26" i="109"/>
  <c r="Y26" i="109"/>
  <c r="Z25" i="109"/>
  <c r="AG24" i="109"/>
  <c r="W24" i="109"/>
  <c r="U24" i="109"/>
  <c r="T22" i="109"/>
  <c r="AE27" i="109" s="1"/>
  <c r="B22" i="109"/>
  <c r="C24" i="109" s="1"/>
  <c r="AH19" i="109"/>
  <c r="X18" i="109"/>
  <c r="AD17" i="109"/>
  <c r="T15" i="109"/>
  <c r="X17" i="109" s="1"/>
  <c r="B15" i="109"/>
  <c r="J17" i="109" s="1"/>
  <c r="C13" i="109"/>
  <c r="AG11" i="109"/>
  <c r="T8" i="109"/>
  <c r="AA12" i="109" s="1"/>
  <c r="B8" i="109"/>
  <c r="AC103" i="107"/>
  <c r="AD102" i="107"/>
  <c r="Y101" i="107"/>
  <c r="U101" i="107"/>
  <c r="T99" i="107"/>
  <c r="U104" i="107" s="1"/>
  <c r="B99" i="107"/>
  <c r="E102" i="107" s="1"/>
  <c r="AA97" i="107"/>
  <c r="R96" i="107"/>
  <c r="H95" i="107"/>
  <c r="Q94" i="107"/>
  <c r="T92" i="107"/>
  <c r="B92" i="107"/>
  <c r="C97" i="107" s="1"/>
  <c r="N89" i="107"/>
  <c r="T85" i="107"/>
  <c r="B85" i="107"/>
  <c r="F80" i="107"/>
  <c r="T78" i="107"/>
  <c r="B78" i="107"/>
  <c r="F82" i="107" s="1"/>
  <c r="O76" i="107"/>
  <c r="C76" i="107"/>
  <c r="Q75" i="107"/>
  <c r="N74" i="107"/>
  <c r="E74" i="107"/>
  <c r="K73" i="107"/>
  <c r="J73" i="107"/>
  <c r="T71" i="107"/>
  <c r="AA76" i="107" s="1"/>
  <c r="B71" i="107"/>
  <c r="J76" i="107" s="1"/>
  <c r="T64" i="107"/>
  <c r="AC68" i="107" s="1"/>
  <c r="B64" i="107"/>
  <c r="Q60" i="107"/>
  <c r="T57" i="107"/>
  <c r="AD61" i="107" s="1"/>
  <c r="B57" i="107"/>
  <c r="G62" i="107" s="1"/>
  <c r="AB55" i="107"/>
  <c r="U55" i="107"/>
  <c r="Y54" i="107"/>
  <c r="AB53" i="107"/>
  <c r="X53" i="107"/>
  <c r="AB52" i="107"/>
  <c r="T50" i="107"/>
  <c r="U54" i="107" s="1"/>
  <c r="B50" i="107"/>
  <c r="AD48" i="107"/>
  <c r="C46" i="107"/>
  <c r="T43" i="107"/>
  <c r="B43" i="107"/>
  <c r="P48" i="107" s="1"/>
  <c r="N41" i="107"/>
  <c r="N39" i="107"/>
  <c r="C38" i="107"/>
  <c r="T36" i="107"/>
  <c r="B36" i="107"/>
  <c r="K41" i="107" s="1"/>
  <c r="AB34" i="107"/>
  <c r="AG33" i="107"/>
  <c r="AJ32" i="107"/>
  <c r="AB32" i="107"/>
  <c r="AG31" i="107"/>
  <c r="Z31" i="107"/>
  <c r="T29" i="107"/>
  <c r="W34" i="107" s="1"/>
  <c r="B29" i="107"/>
  <c r="AD27" i="107"/>
  <c r="AJ26" i="107"/>
  <c r="Z26" i="107"/>
  <c r="U26" i="107"/>
  <c r="AF25" i="107"/>
  <c r="U25" i="107"/>
  <c r="AA24" i="107"/>
  <c r="Z24" i="107"/>
  <c r="T22" i="107"/>
  <c r="Z27" i="107" s="1"/>
  <c r="B22" i="107"/>
  <c r="G26" i="107" s="1"/>
  <c r="AG20" i="107"/>
  <c r="AF20" i="107"/>
  <c r="AE20" i="107"/>
  <c r="AC20" i="107"/>
  <c r="AB20" i="107"/>
  <c r="U20" i="107"/>
  <c r="AJ19" i="107"/>
  <c r="AH19" i="107"/>
  <c r="AE19" i="107"/>
  <c r="AD19" i="107"/>
  <c r="Y19" i="107"/>
  <c r="X19" i="107"/>
  <c r="AH18" i="107"/>
  <c r="AG18" i="107"/>
  <c r="AF18" i="107"/>
  <c r="Z18" i="107"/>
  <c r="X18" i="107"/>
  <c r="W18" i="107"/>
  <c r="V18" i="107"/>
  <c r="AF17" i="107"/>
  <c r="AB17" i="107"/>
  <c r="Y17" i="107"/>
  <c r="W17" i="107"/>
  <c r="V17" i="107"/>
  <c r="U17" i="107"/>
  <c r="AH15" i="107"/>
  <c r="T15" i="107"/>
  <c r="AH20" i="107" s="1"/>
  <c r="B15" i="107"/>
  <c r="O20" i="107" s="1"/>
  <c r="R13" i="107"/>
  <c r="I13" i="107"/>
  <c r="O12" i="107"/>
  <c r="L12" i="107"/>
  <c r="R11" i="107"/>
  <c r="G11" i="107"/>
  <c r="N10" i="107"/>
  <c r="D10" i="107"/>
  <c r="T8" i="107"/>
  <c r="V10" i="107" s="1"/>
  <c r="B8" i="107"/>
  <c r="O13" i="107" s="1"/>
  <c r="D124" i="81"/>
  <c r="B124" i="81"/>
  <c r="B123" i="81"/>
  <c r="B122" i="81"/>
  <c r="G122" i="81" s="1"/>
  <c r="B121" i="81"/>
  <c r="B120" i="81"/>
  <c r="B119" i="81"/>
  <c r="G119" i="81" s="1"/>
  <c r="B118" i="81"/>
  <c r="E118" i="81" s="1"/>
  <c r="B117" i="81"/>
  <c r="C117" i="81" s="1"/>
  <c r="B116" i="81"/>
  <c r="B115" i="81"/>
  <c r="E115" i="81" s="1"/>
  <c r="B114" i="81"/>
  <c r="G114" i="81" s="1"/>
  <c r="D113" i="81"/>
  <c r="B113" i="81"/>
  <c r="C113" i="81" s="1"/>
  <c r="B112" i="81"/>
  <c r="C112" i="81" s="1"/>
  <c r="B111" i="81"/>
  <c r="B110" i="81"/>
  <c r="E110" i="81" s="1"/>
  <c r="D109" i="81"/>
  <c r="B109" i="81"/>
  <c r="B108" i="81"/>
  <c r="B107" i="81"/>
  <c r="B106" i="81"/>
  <c r="G106" i="81" s="1"/>
  <c r="B105" i="81"/>
  <c r="C105" i="81" s="1"/>
  <c r="B104" i="81"/>
  <c r="C104" i="81" s="1"/>
  <c r="B103" i="81"/>
  <c r="G103" i="81" s="1"/>
  <c r="B102" i="81"/>
  <c r="E102" i="81" s="1"/>
  <c r="B101" i="81"/>
  <c r="B100" i="81"/>
  <c r="G100" i="81" s="1"/>
  <c r="B99" i="81"/>
  <c r="B98" i="81"/>
  <c r="G98" i="81" s="1"/>
  <c r="G97" i="81"/>
  <c r="E97" i="81"/>
  <c r="D97" i="81"/>
  <c r="C97" i="81"/>
  <c r="B94" i="81"/>
  <c r="B93" i="81"/>
  <c r="I93" i="81" s="1"/>
  <c r="B92" i="81"/>
  <c r="J92" i="81" s="1"/>
  <c r="B91" i="81"/>
  <c r="C91" i="81" s="1"/>
  <c r="B90" i="81"/>
  <c r="I89" i="81"/>
  <c r="G89" i="81"/>
  <c r="B89" i="81"/>
  <c r="F89" i="81" s="1"/>
  <c r="F88" i="81"/>
  <c r="B88" i="81"/>
  <c r="G88" i="81" s="1"/>
  <c r="B87" i="81"/>
  <c r="B86" i="81"/>
  <c r="D85" i="81"/>
  <c r="B85" i="81"/>
  <c r="B84" i="81"/>
  <c r="B83" i="81"/>
  <c r="B82" i="81"/>
  <c r="I82" i="81" s="1"/>
  <c r="B81" i="81"/>
  <c r="C81" i="81" s="1"/>
  <c r="G80" i="81"/>
  <c r="B80" i="81"/>
  <c r="B79" i="81"/>
  <c r="F78" i="81"/>
  <c r="B78" i="81"/>
  <c r="J78" i="81" s="1"/>
  <c r="B77" i="81"/>
  <c r="I77" i="81" s="1"/>
  <c r="B76" i="81"/>
  <c r="F76" i="81" s="1"/>
  <c r="C75" i="81"/>
  <c r="B75" i="81"/>
  <c r="G75" i="81" s="1"/>
  <c r="B74" i="81"/>
  <c r="B73" i="81"/>
  <c r="B72" i="81"/>
  <c r="C72" i="81" s="1"/>
  <c r="B71" i="81"/>
  <c r="G71" i="81" s="1"/>
  <c r="F70" i="81"/>
  <c r="B70" i="81"/>
  <c r="I70" i="81" s="1"/>
  <c r="B69" i="81"/>
  <c r="I68" i="81"/>
  <c r="F68" i="81"/>
  <c r="B68" i="81"/>
  <c r="G68" i="81" s="1"/>
  <c r="J67" i="81"/>
  <c r="I67" i="81"/>
  <c r="G67" i="81"/>
  <c r="F67" i="81"/>
  <c r="D67" i="81"/>
  <c r="C67" i="81"/>
  <c r="B64" i="81"/>
  <c r="D64" i="81" s="1"/>
  <c r="B63" i="81"/>
  <c r="B62" i="81"/>
  <c r="C62" i="81" s="1"/>
  <c r="B61" i="81"/>
  <c r="I60" i="81"/>
  <c r="B60" i="81"/>
  <c r="B59" i="81"/>
  <c r="F59" i="81" s="1"/>
  <c r="B58" i="81"/>
  <c r="B57" i="81"/>
  <c r="B56" i="81"/>
  <c r="K56" i="81" s="1"/>
  <c r="B55" i="81"/>
  <c r="B54" i="81"/>
  <c r="B53" i="81"/>
  <c r="B52" i="81"/>
  <c r="F52" i="81" s="1"/>
  <c r="B51" i="81"/>
  <c r="K51" i="81" s="1"/>
  <c r="B50" i="81"/>
  <c r="B49" i="81"/>
  <c r="B48" i="81"/>
  <c r="K47" i="81"/>
  <c r="G47" i="81"/>
  <c r="B47" i="81"/>
  <c r="D47" i="81" s="1"/>
  <c r="B46" i="81"/>
  <c r="L46" i="81" s="1"/>
  <c r="I45" i="81"/>
  <c r="B45" i="81"/>
  <c r="G45" i="81" s="1"/>
  <c r="B44" i="81"/>
  <c r="F44" i="81" s="1"/>
  <c r="B43" i="81"/>
  <c r="I42" i="81"/>
  <c r="D42" i="81"/>
  <c r="B42" i="81"/>
  <c r="F42" i="81" s="1"/>
  <c r="B41" i="81"/>
  <c r="D41" i="81" s="1"/>
  <c r="B40" i="81"/>
  <c r="K40" i="81" s="1"/>
  <c r="B39" i="81"/>
  <c r="I39" i="81" s="1"/>
  <c r="B38" i="81"/>
  <c r="K38" i="81" s="1"/>
  <c r="L37" i="81"/>
  <c r="K37" i="81"/>
  <c r="I37" i="81"/>
  <c r="G37" i="81"/>
  <c r="F37" i="81"/>
  <c r="D37" i="81"/>
  <c r="C37" i="81"/>
  <c r="B34" i="81"/>
  <c r="B33" i="81"/>
  <c r="B32" i="81"/>
  <c r="G32" i="81" s="1"/>
  <c r="B31" i="81"/>
  <c r="H31" i="81" s="1"/>
  <c r="B30" i="81"/>
  <c r="B29" i="81"/>
  <c r="C29" i="81" s="1"/>
  <c r="B28" i="81"/>
  <c r="G28" i="81" s="1"/>
  <c r="H27" i="81"/>
  <c r="B27" i="81"/>
  <c r="B26" i="81"/>
  <c r="G26" i="81" s="1"/>
  <c r="B25" i="81"/>
  <c r="B24" i="81"/>
  <c r="B23" i="81"/>
  <c r="C22" i="81"/>
  <c r="B22" i="81"/>
  <c r="B21" i="81"/>
  <c r="C21" i="81" s="1"/>
  <c r="B20" i="81"/>
  <c r="C20" i="81" s="1"/>
  <c r="B19" i="81"/>
  <c r="D18" i="81"/>
  <c r="B18" i="81"/>
  <c r="B17" i="81"/>
  <c r="B16" i="81"/>
  <c r="C16" i="81" s="1"/>
  <c r="B15" i="81"/>
  <c r="B14" i="81"/>
  <c r="H14" i="81" s="1"/>
  <c r="B13" i="81"/>
  <c r="H13" i="81" s="1"/>
  <c r="G12" i="81"/>
  <c r="D12" i="81"/>
  <c r="B12" i="81"/>
  <c r="C12" i="81" s="1"/>
  <c r="B11" i="81"/>
  <c r="B10" i="81"/>
  <c r="G10" i="81" s="1"/>
  <c r="J9" i="81"/>
  <c r="D9" i="81"/>
  <c r="B9" i="81"/>
  <c r="B8" i="81"/>
  <c r="H8" i="81" s="1"/>
  <c r="K7" i="81"/>
  <c r="J7" i="81"/>
  <c r="H7" i="81"/>
  <c r="G7" i="81"/>
  <c r="E7" i="81"/>
  <c r="D7" i="81"/>
  <c r="C7" i="81"/>
  <c r="AB103" i="105"/>
  <c r="G103" i="105"/>
  <c r="G102" i="105"/>
  <c r="AC101" i="105"/>
  <c r="H101" i="105"/>
  <c r="T99" i="105"/>
  <c r="AJ101" i="105" s="1"/>
  <c r="B99" i="105"/>
  <c r="O103" i="105" s="1"/>
  <c r="AB96" i="105"/>
  <c r="T92" i="105"/>
  <c r="Z97" i="105" s="1"/>
  <c r="B92" i="105"/>
  <c r="T85" i="105"/>
  <c r="AH87" i="105" s="1"/>
  <c r="B85" i="105"/>
  <c r="AD83" i="105"/>
  <c r="U83" i="105"/>
  <c r="Y81" i="105"/>
  <c r="AD80" i="105"/>
  <c r="T78" i="105"/>
  <c r="B78" i="105"/>
  <c r="P80" i="105" s="1"/>
  <c r="Z75" i="105"/>
  <c r="T71" i="105"/>
  <c r="AC74" i="105" s="1"/>
  <c r="B71" i="105"/>
  <c r="AG69" i="105"/>
  <c r="X68" i="105"/>
  <c r="W68" i="105"/>
  <c r="U67" i="105"/>
  <c r="AB66" i="105"/>
  <c r="Y66" i="105"/>
  <c r="K66" i="105"/>
  <c r="T64" i="105"/>
  <c r="Y69" i="105" s="1"/>
  <c r="B64" i="105"/>
  <c r="H68" i="105" s="1"/>
  <c r="AI59" i="105"/>
  <c r="T57" i="105"/>
  <c r="AI61" i="105" s="1"/>
  <c r="B57" i="105"/>
  <c r="V55" i="105"/>
  <c r="AB54" i="105"/>
  <c r="V54" i="105"/>
  <c r="AD53" i="105"/>
  <c r="AJ52" i="105"/>
  <c r="V52" i="105"/>
  <c r="T50" i="105"/>
  <c r="AH52" i="105" s="1"/>
  <c r="B50" i="105"/>
  <c r="O55" i="105" s="1"/>
  <c r="T43" i="105"/>
  <c r="B43" i="105"/>
  <c r="D47" i="105" s="1"/>
  <c r="O41" i="105"/>
  <c r="G41" i="105"/>
  <c r="G40" i="105"/>
  <c r="C40" i="105"/>
  <c r="W39" i="105"/>
  <c r="N39" i="105"/>
  <c r="J39" i="105"/>
  <c r="N38" i="105"/>
  <c r="E38" i="105"/>
  <c r="T36" i="105"/>
  <c r="Z39" i="105" s="1"/>
  <c r="B36" i="105"/>
  <c r="T29" i="105"/>
  <c r="B29" i="105"/>
  <c r="L33" i="105" s="1"/>
  <c r="AC27" i="105"/>
  <c r="Z27" i="105"/>
  <c r="AE26" i="105"/>
  <c r="Z26" i="105"/>
  <c r="C26" i="105"/>
  <c r="Y25" i="105"/>
  <c r="W25" i="105"/>
  <c r="Y24" i="105"/>
  <c r="X24" i="105"/>
  <c r="E24" i="105"/>
  <c r="T22" i="105"/>
  <c r="X26" i="105" s="1"/>
  <c r="B22" i="105"/>
  <c r="K24" i="105" s="1"/>
  <c r="J20" i="105"/>
  <c r="Q18" i="105"/>
  <c r="H17" i="105"/>
  <c r="T15" i="105"/>
  <c r="AI17" i="105" s="1"/>
  <c r="B15" i="105"/>
  <c r="J17" i="105" s="1"/>
  <c r="Y13" i="105"/>
  <c r="M13" i="105"/>
  <c r="AC11" i="105"/>
  <c r="D11" i="105"/>
  <c r="AC10" i="105"/>
  <c r="L10" i="105"/>
  <c r="T8" i="105"/>
  <c r="Y12" i="105" s="1"/>
  <c r="B8" i="105"/>
  <c r="R10" i="105" s="1"/>
  <c r="AI104" i="102"/>
  <c r="AB103" i="102"/>
  <c r="AC102" i="102"/>
  <c r="Z102" i="102"/>
  <c r="AB101" i="102"/>
  <c r="Z101" i="102"/>
  <c r="T99" i="102"/>
  <c r="B99" i="102"/>
  <c r="P99" i="102" s="1"/>
  <c r="W97" i="102"/>
  <c r="C97" i="102"/>
  <c r="AH96" i="102"/>
  <c r="AF96" i="102"/>
  <c r="U96" i="102"/>
  <c r="J96" i="102"/>
  <c r="E96" i="102"/>
  <c r="AG95" i="102"/>
  <c r="AB95" i="102"/>
  <c r="W95" i="102"/>
  <c r="J95" i="102"/>
  <c r="Y94" i="102"/>
  <c r="W94" i="102"/>
  <c r="T92" i="102"/>
  <c r="Y92" i="102" s="1"/>
  <c r="B92" i="102"/>
  <c r="H95" i="102" s="1"/>
  <c r="AJ90" i="102"/>
  <c r="V90" i="102"/>
  <c r="L90" i="102"/>
  <c r="AF89" i="102"/>
  <c r="AA89" i="102"/>
  <c r="N89" i="102"/>
  <c r="AJ88" i="102"/>
  <c r="AB88" i="102"/>
  <c r="AA88" i="102"/>
  <c r="V88" i="102"/>
  <c r="AC87" i="102"/>
  <c r="AA87" i="102"/>
  <c r="Q87" i="102"/>
  <c r="T85" i="102"/>
  <c r="Y85" i="102" s="1"/>
  <c r="B85" i="102"/>
  <c r="O88" i="102" s="1"/>
  <c r="AE83" i="102"/>
  <c r="Y83" i="102"/>
  <c r="W83" i="102"/>
  <c r="AJ82" i="102"/>
  <c r="AB82" i="102"/>
  <c r="K82" i="102"/>
  <c r="E82" i="102"/>
  <c r="AH81" i="102"/>
  <c r="Y81" i="102"/>
  <c r="R81" i="102"/>
  <c r="P81" i="102"/>
  <c r="H81" i="102"/>
  <c r="AG80" i="102"/>
  <c r="W80" i="102"/>
  <c r="U80" i="102"/>
  <c r="R80" i="102"/>
  <c r="T78" i="102"/>
  <c r="Y78" i="102" s="1"/>
  <c r="B78" i="102"/>
  <c r="C81" i="102" s="1"/>
  <c r="AH76" i="102"/>
  <c r="AB76" i="102"/>
  <c r="AA74" i="102"/>
  <c r="Z74" i="102"/>
  <c r="Q73" i="102"/>
  <c r="T71" i="102"/>
  <c r="AJ75" i="102" s="1"/>
  <c r="B71" i="102"/>
  <c r="I74" i="102" s="1"/>
  <c r="AJ69" i="102"/>
  <c r="AC69" i="102"/>
  <c r="Y69" i="102"/>
  <c r="P69" i="102"/>
  <c r="AF68" i="102"/>
  <c r="AB68" i="102"/>
  <c r="K68" i="102"/>
  <c r="AG67" i="102"/>
  <c r="AF67" i="102"/>
  <c r="X67" i="102"/>
  <c r="F67" i="102"/>
  <c r="AF66" i="102"/>
  <c r="Z66" i="102"/>
  <c r="W66" i="102"/>
  <c r="R66" i="102"/>
  <c r="C66" i="102"/>
  <c r="T64" i="102"/>
  <c r="AC96" i="102" s="1"/>
  <c r="B64" i="102"/>
  <c r="C69" i="102" s="1"/>
  <c r="H62" i="102"/>
  <c r="T57" i="102"/>
  <c r="AA61" i="102" s="1"/>
  <c r="B57" i="102"/>
  <c r="H60" i="102" s="1"/>
  <c r="L55" i="102"/>
  <c r="M53" i="102"/>
  <c r="R52" i="102"/>
  <c r="T50" i="102"/>
  <c r="U54" i="102" s="1"/>
  <c r="B50" i="102"/>
  <c r="P55" i="102" s="1"/>
  <c r="AF48" i="102"/>
  <c r="X48" i="102"/>
  <c r="G47" i="102"/>
  <c r="AJ45" i="102"/>
  <c r="G45" i="102"/>
  <c r="T43" i="102"/>
  <c r="V48" i="102" s="1"/>
  <c r="B43" i="102"/>
  <c r="H48" i="102" s="1"/>
  <c r="AH41" i="102"/>
  <c r="AB41" i="102"/>
  <c r="X41" i="102"/>
  <c r="W41" i="102"/>
  <c r="AC40" i="102"/>
  <c r="AF39" i="102"/>
  <c r="AB39" i="102"/>
  <c r="V39" i="102"/>
  <c r="U39" i="102"/>
  <c r="AF38" i="102"/>
  <c r="U38" i="102"/>
  <c r="T36" i="102"/>
  <c r="AH40" i="102" s="1"/>
  <c r="B36" i="102"/>
  <c r="M40" i="102" s="1"/>
  <c r="Z34" i="102"/>
  <c r="I34" i="102"/>
  <c r="H34" i="102"/>
  <c r="AB33" i="102"/>
  <c r="O33" i="102"/>
  <c r="H33" i="102"/>
  <c r="AD32" i="102"/>
  <c r="O32" i="102"/>
  <c r="H32" i="102"/>
  <c r="AJ31" i="102"/>
  <c r="Q31" i="102"/>
  <c r="H31" i="102"/>
  <c r="D31" i="102"/>
  <c r="T29" i="102"/>
  <c r="AA34" i="102" s="1"/>
  <c r="B29" i="102"/>
  <c r="D32" i="102" s="1"/>
  <c r="J27" i="102"/>
  <c r="P26" i="102"/>
  <c r="C26" i="102"/>
  <c r="M25" i="102"/>
  <c r="P24" i="102"/>
  <c r="F24" i="102"/>
  <c r="T22" i="102"/>
  <c r="X27" i="102" s="1"/>
  <c r="B22" i="102"/>
  <c r="L27" i="102" s="1"/>
  <c r="AD20" i="102"/>
  <c r="AA20" i="102"/>
  <c r="Z20" i="102"/>
  <c r="AH19" i="102"/>
  <c r="AG19" i="102"/>
  <c r="AB19" i="102"/>
  <c r="V19" i="102"/>
  <c r="AJ18" i="102"/>
  <c r="AF18" i="102"/>
  <c r="AA18" i="102"/>
  <c r="X18" i="102"/>
  <c r="V18" i="102"/>
  <c r="AF17" i="102"/>
  <c r="AD17" i="102"/>
  <c r="X17" i="102"/>
  <c r="V17" i="102"/>
  <c r="T15" i="102"/>
  <c r="AB20" i="102" s="1"/>
  <c r="B15" i="102"/>
  <c r="D20" i="102" s="1"/>
  <c r="D13" i="102"/>
  <c r="U11" i="102"/>
  <c r="K10" i="102"/>
  <c r="T8" i="102"/>
  <c r="AD11" i="102" s="1"/>
  <c r="B8" i="102"/>
  <c r="L11" i="102" s="1"/>
  <c r="AH68" i="111"/>
  <c r="AG68" i="111"/>
  <c r="Y68" i="111"/>
  <c r="S68" i="111"/>
  <c r="R68" i="111"/>
  <c r="AK68" i="111" s="1"/>
  <c r="Q68" i="111"/>
  <c r="P68" i="111"/>
  <c r="O68" i="111"/>
  <c r="N68" i="111"/>
  <c r="M68" i="111"/>
  <c r="L68" i="111"/>
  <c r="K68" i="111"/>
  <c r="AD68" i="111" s="1"/>
  <c r="J68" i="111"/>
  <c r="AC68" i="111" s="1"/>
  <c r="I68" i="111"/>
  <c r="H68" i="111"/>
  <c r="G68" i="111"/>
  <c r="Z68" i="111" s="1"/>
  <c r="F68" i="111"/>
  <c r="E68" i="111"/>
  <c r="D68" i="111"/>
  <c r="W68" i="111" s="1"/>
  <c r="C68" i="111"/>
  <c r="V68" i="111" s="1"/>
  <c r="AK67" i="111"/>
  <c r="AA67" i="111"/>
  <c r="Z67" i="111"/>
  <c r="S67" i="111"/>
  <c r="R67" i="111"/>
  <c r="Q67" i="111"/>
  <c r="P67" i="111"/>
  <c r="O67" i="111"/>
  <c r="N67" i="111"/>
  <c r="AG67" i="111" s="1"/>
  <c r="M67" i="111"/>
  <c r="L67" i="111"/>
  <c r="K67" i="111"/>
  <c r="AD67" i="111" s="1"/>
  <c r="J67" i="111"/>
  <c r="AC67" i="111" s="1"/>
  <c r="I67" i="111"/>
  <c r="H67" i="111"/>
  <c r="G67" i="111"/>
  <c r="F67" i="111"/>
  <c r="Y67" i="111" s="1"/>
  <c r="E67" i="111"/>
  <c r="D67" i="111"/>
  <c r="C67" i="111"/>
  <c r="V67" i="111" s="1"/>
  <c r="AG66" i="111"/>
  <c r="AD66" i="111"/>
  <c r="S66" i="111"/>
  <c r="AK66" i="111" s="1"/>
  <c r="R66" i="111"/>
  <c r="Q66" i="111"/>
  <c r="P66" i="111"/>
  <c r="O66" i="111"/>
  <c r="N66" i="111"/>
  <c r="M66" i="111"/>
  <c r="AF66" i="111" s="1"/>
  <c r="L66" i="111"/>
  <c r="AE66" i="111" s="1"/>
  <c r="K66" i="111"/>
  <c r="J66" i="111"/>
  <c r="I66" i="111"/>
  <c r="AB66" i="111" s="1"/>
  <c r="H66" i="111"/>
  <c r="G66" i="111"/>
  <c r="F66" i="111"/>
  <c r="E66" i="111"/>
  <c r="X66" i="111" s="1"/>
  <c r="D66" i="111"/>
  <c r="C66" i="111"/>
  <c r="V66" i="111" s="1"/>
  <c r="S65" i="111"/>
  <c r="AF65" i="111" s="1"/>
  <c r="R65" i="111"/>
  <c r="Q65" i="111"/>
  <c r="P65" i="111"/>
  <c r="O65" i="111"/>
  <c r="N65" i="111"/>
  <c r="M65" i="111"/>
  <c r="L65" i="111"/>
  <c r="K65" i="111"/>
  <c r="AD65" i="111" s="1"/>
  <c r="J65" i="111"/>
  <c r="I65" i="111"/>
  <c r="H65" i="111"/>
  <c r="G65" i="111"/>
  <c r="F65" i="111"/>
  <c r="E65" i="111"/>
  <c r="D65" i="111"/>
  <c r="C65" i="111"/>
  <c r="V65" i="111" s="1"/>
  <c r="AG64" i="111"/>
  <c r="AA64" i="111"/>
  <c r="V64" i="111"/>
  <c r="S64" i="111"/>
  <c r="R64" i="111"/>
  <c r="AK64" i="111" s="1"/>
  <c r="Q64" i="111"/>
  <c r="AJ64" i="111" s="1"/>
  <c r="P64" i="111"/>
  <c r="AI64" i="111" s="1"/>
  <c r="O64" i="111"/>
  <c r="AH64" i="111" s="1"/>
  <c r="N64" i="111"/>
  <c r="M64" i="111"/>
  <c r="AF64" i="111" s="1"/>
  <c r="L64" i="111"/>
  <c r="AE64" i="111" s="1"/>
  <c r="K64" i="111"/>
  <c r="AD64" i="111" s="1"/>
  <c r="J64" i="111"/>
  <c r="AC64" i="111" s="1"/>
  <c r="I64" i="111"/>
  <c r="AB64" i="111" s="1"/>
  <c r="H64" i="111"/>
  <c r="G64" i="111"/>
  <c r="Z64" i="111" s="1"/>
  <c r="F64" i="111"/>
  <c r="Y64" i="111" s="1"/>
  <c r="E64" i="111"/>
  <c r="X64" i="111" s="1"/>
  <c r="D64" i="111"/>
  <c r="W64" i="111" s="1"/>
  <c r="C64" i="111"/>
  <c r="AD63" i="111"/>
  <c r="Z63" i="111"/>
  <c r="S63" i="111"/>
  <c r="R63" i="111"/>
  <c r="AK63" i="111" s="1"/>
  <c r="Q63" i="111"/>
  <c r="P63" i="111"/>
  <c r="O63" i="111"/>
  <c r="N63" i="111"/>
  <c r="AG63" i="111" s="1"/>
  <c r="M63" i="111"/>
  <c r="AF63" i="111" s="1"/>
  <c r="L63" i="111"/>
  <c r="K63" i="111"/>
  <c r="J63" i="111"/>
  <c r="AC63" i="111" s="1"/>
  <c r="I63" i="111"/>
  <c r="H63" i="111"/>
  <c r="G63" i="111"/>
  <c r="F63" i="111"/>
  <c r="Y63" i="111" s="1"/>
  <c r="E63" i="111"/>
  <c r="X63" i="111" s="1"/>
  <c r="D63" i="111"/>
  <c r="C63" i="111"/>
  <c r="V63" i="111" s="1"/>
  <c r="S62" i="111"/>
  <c r="AA62" i="111" s="1"/>
  <c r="R62" i="111"/>
  <c r="Q62" i="111"/>
  <c r="P62" i="111"/>
  <c r="O62" i="111"/>
  <c r="N62" i="111"/>
  <c r="M62" i="111"/>
  <c r="L62" i="111"/>
  <c r="K62" i="111"/>
  <c r="AD62" i="111" s="1"/>
  <c r="J62" i="111"/>
  <c r="I62" i="111"/>
  <c r="H62" i="111"/>
  <c r="G62" i="111"/>
  <c r="F62" i="111"/>
  <c r="E62" i="111"/>
  <c r="D62" i="111"/>
  <c r="C62" i="111"/>
  <c r="V62" i="111" s="1"/>
  <c r="AB61" i="111"/>
  <c r="Z61" i="111"/>
  <c r="V61" i="111"/>
  <c r="S61" i="111"/>
  <c r="R61" i="111"/>
  <c r="AK61" i="111" s="1"/>
  <c r="Q61" i="111"/>
  <c r="P61" i="111"/>
  <c r="AI61" i="111" s="1"/>
  <c r="O61" i="111"/>
  <c r="AH61" i="111" s="1"/>
  <c r="N61" i="111"/>
  <c r="AG61" i="111" s="1"/>
  <c r="M61" i="111"/>
  <c r="AF61" i="111" s="1"/>
  <c r="L61" i="111"/>
  <c r="AE61" i="111" s="1"/>
  <c r="K61" i="111"/>
  <c r="AD61" i="111" s="1"/>
  <c r="J61" i="111"/>
  <c r="AC61" i="111" s="1"/>
  <c r="I61" i="111"/>
  <c r="H61" i="111"/>
  <c r="AA61" i="111" s="1"/>
  <c r="G61" i="111"/>
  <c r="F61" i="111"/>
  <c r="Y61" i="111" s="1"/>
  <c r="E61" i="111"/>
  <c r="D61" i="111"/>
  <c r="W61" i="111" s="1"/>
  <c r="C61" i="111"/>
  <c r="AK60" i="111"/>
  <c r="AD60" i="111"/>
  <c r="AC60" i="111"/>
  <c r="S60" i="111"/>
  <c r="R60" i="111"/>
  <c r="Q60" i="111"/>
  <c r="AJ60" i="111" s="1"/>
  <c r="P60" i="111"/>
  <c r="O60" i="111"/>
  <c r="N60" i="111"/>
  <c r="AG60" i="111" s="1"/>
  <c r="M60" i="111"/>
  <c r="AF60" i="111" s="1"/>
  <c r="L60" i="111"/>
  <c r="K60" i="111"/>
  <c r="J60" i="111"/>
  <c r="I60" i="111"/>
  <c r="AB60" i="111" s="1"/>
  <c r="H60" i="111"/>
  <c r="G60" i="111"/>
  <c r="F60" i="111"/>
  <c r="Y60" i="111" s="1"/>
  <c r="E60" i="111"/>
  <c r="X60" i="111" s="1"/>
  <c r="D60" i="111"/>
  <c r="C60" i="111"/>
  <c r="V60" i="111" s="1"/>
  <c r="AJ59" i="111"/>
  <c r="AI59" i="111"/>
  <c r="AA59" i="111"/>
  <c r="Z59" i="111"/>
  <c r="W59" i="111"/>
  <c r="S59" i="111"/>
  <c r="AB59" i="111" s="1"/>
  <c r="R59" i="111"/>
  <c r="AK59" i="111" s="1"/>
  <c r="Q59" i="111"/>
  <c r="P59" i="111"/>
  <c r="O59" i="111"/>
  <c r="AH59" i="111" s="1"/>
  <c r="N59" i="111"/>
  <c r="AG59" i="111" s="1"/>
  <c r="M59" i="111"/>
  <c r="AF59" i="111" s="1"/>
  <c r="L59" i="111"/>
  <c r="K59" i="111"/>
  <c r="AD59" i="111" s="1"/>
  <c r="J59" i="111"/>
  <c r="AC59" i="111" s="1"/>
  <c r="I59" i="111"/>
  <c r="H59" i="111"/>
  <c r="G59" i="111"/>
  <c r="F59" i="111"/>
  <c r="Y59" i="111" s="1"/>
  <c r="E59" i="111"/>
  <c r="X59" i="111" s="1"/>
  <c r="D59" i="111"/>
  <c r="C59" i="111"/>
  <c r="V59" i="111" s="1"/>
  <c r="AK58" i="111"/>
  <c r="S58" i="111"/>
  <c r="X58" i="111" s="1"/>
  <c r="R58" i="111"/>
  <c r="Q58" i="111"/>
  <c r="P58" i="111"/>
  <c r="O58" i="111"/>
  <c r="N58" i="111"/>
  <c r="M58" i="111"/>
  <c r="L58" i="111"/>
  <c r="K58" i="111"/>
  <c r="AD58" i="111" s="1"/>
  <c r="J58" i="111"/>
  <c r="I58" i="111"/>
  <c r="H58" i="111"/>
  <c r="G58" i="111"/>
  <c r="F58" i="111"/>
  <c r="E58" i="111"/>
  <c r="D58" i="111"/>
  <c r="C58" i="111"/>
  <c r="V58" i="111" s="1"/>
  <c r="AH57" i="111"/>
  <c r="AD57" i="111"/>
  <c r="S57" i="111"/>
  <c r="AB57" i="111" s="1"/>
  <c r="R57" i="111"/>
  <c r="Q57" i="111"/>
  <c r="P57" i="111"/>
  <c r="O57" i="111"/>
  <c r="N57" i="111"/>
  <c r="AG57" i="111" s="1"/>
  <c r="M57" i="111"/>
  <c r="AF57" i="111" s="1"/>
  <c r="L57" i="111"/>
  <c r="AE57" i="111" s="1"/>
  <c r="K57" i="111"/>
  <c r="J57" i="111"/>
  <c r="I57" i="111"/>
  <c r="H57" i="111"/>
  <c r="G57" i="111"/>
  <c r="F57" i="111"/>
  <c r="Y57" i="111" s="1"/>
  <c r="E57" i="111"/>
  <c r="X57" i="111" s="1"/>
  <c r="D57" i="111"/>
  <c r="W57" i="111" s="1"/>
  <c r="C57" i="111"/>
  <c r="V57" i="111" s="1"/>
  <c r="AC56" i="111"/>
  <c r="W56" i="111"/>
  <c r="V56" i="111"/>
  <c r="S56" i="111"/>
  <c r="R56" i="111"/>
  <c r="AK56" i="111" s="1"/>
  <c r="Q56" i="111"/>
  <c r="AJ56" i="111" s="1"/>
  <c r="P56" i="111"/>
  <c r="AI56" i="111" s="1"/>
  <c r="O56" i="111"/>
  <c r="AH56" i="111" s="1"/>
  <c r="N56" i="111"/>
  <c r="AG56" i="111" s="1"/>
  <c r="M56" i="111"/>
  <c r="AF56" i="111" s="1"/>
  <c r="L56" i="111"/>
  <c r="AE56" i="111" s="1"/>
  <c r="K56" i="111"/>
  <c r="AD56" i="111" s="1"/>
  <c r="J56" i="111"/>
  <c r="I56" i="111"/>
  <c r="AB56" i="111" s="1"/>
  <c r="H56" i="111"/>
  <c r="AA56" i="111" s="1"/>
  <c r="G56" i="111"/>
  <c r="Z56" i="111" s="1"/>
  <c r="F56" i="111"/>
  <c r="Y56" i="111" s="1"/>
  <c r="E56" i="111"/>
  <c r="X56" i="111" s="1"/>
  <c r="D56" i="111"/>
  <c r="C56" i="111"/>
  <c r="S52" i="111"/>
  <c r="R52" i="111"/>
  <c r="Q52" i="111"/>
  <c r="P52" i="111"/>
  <c r="O52" i="111"/>
  <c r="N52" i="111"/>
  <c r="M52" i="111"/>
  <c r="L52" i="111"/>
  <c r="K52" i="111"/>
  <c r="AD52" i="111" s="1"/>
  <c r="J52" i="111"/>
  <c r="I52" i="111"/>
  <c r="H52" i="111"/>
  <c r="G52" i="111"/>
  <c r="F52" i="111"/>
  <c r="E52" i="111"/>
  <c r="D52" i="111"/>
  <c r="C52" i="111"/>
  <c r="V52" i="111" s="1"/>
  <c r="AF51" i="111"/>
  <c r="AE51" i="111"/>
  <c r="S51" i="111"/>
  <c r="R51" i="111"/>
  <c r="AK51" i="111" s="1"/>
  <c r="Q51" i="111"/>
  <c r="AJ51" i="111" s="1"/>
  <c r="P51" i="111"/>
  <c r="O51" i="111"/>
  <c r="AH51" i="111" s="1"/>
  <c r="N51" i="111"/>
  <c r="M51" i="111"/>
  <c r="L51" i="111"/>
  <c r="K51" i="111"/>
  <c r="AD51" i="111" s="1"/>
  <c r="J51" i="111"/>
  <c r="AC51" i="111" s="1"/>
  <c r="I51" i="111"/>
  <c r="AB51" i="111" s="1"/>
  <c r="H51" i="111"/>
  <c r="G51" i="111"/>
  <c r="Z51" i="111" s="1"/>
  <c r="F51" i="111"/>
  <c r="Y51" i="111" s="1"/>
  <c r="E51" i="111"/>
  <c r="D51" i="111"/>
  <c r="W51" i="111" s="1"/>
  <c r="C51" i="111"/>
  <c r="V51" i="111" s="1"/>
  <c r="S50" i="111"/>
  <c r="R50" i="111"/>
  <c r="AK50" i="111" s="1"/>
  <c r="Q50" i="111"/>
  <c r="P50" i="111"/>
  <c r="O50" i="111"/>
  <c r="N50" i="111"/>
  <c r="M50" i="111"/>
  <c r="L50" i="111"/>
  <c r="K50" i="111"/>
  <c r="AD50" i="111" s="1"/>
  <c r="J50" i="111"/>
  <c r="AC50" i="111" s="1"/>
  <c r="I50" i="111"/>
  <c r="H50" i="111"/>
  <c r="G50" i="111"/>
  <c r="F50" i="111"/>
  <c r="E50" i="111"/>
  <c r="D50" i="111"/>
  <c r="C50" i="111"/>
  <c r="V50" i="111" s="1"/>
  <c r="AB49" i="111"/>
  <c r="AA49" i="111"/>
  <c r="S49" i="111"/>
  <c r="AH49" i="111" s="1"/>
  <c r="R49" i="111"/>
  <c r="AK49" i="111" s="1"/>
  <c r="Q49" i="111"/>
  <c r="P49" i="111"/>
  <c r="O49" i="111"/>
  <c r="N49" i="111"/>
  <c r="AG49" i="111" s="1"/>
  <c r="M49" i="111"/>
  <c r="L49" i="111"/>
  <c r="K49" i="111"/>
  <c r="AD49" i="111" s="1"/>
  <c r="J49" i="111"/>
  <c r="I49" i="111"/>
  <c r="H49" i="111"/>
  <c r="G49" i="111"/>
  <c r="F49" i="111"/>
  <c r="Y49" i="111" s="1"/>
  <c r="E49" i="111"/>
  <c r="D49" i="111"/>
  <c r="W49" i="111" s="1"/>
  <c r="C49" i="111"/>
  <c r="V49" i="111" s="1"/>
  <c r="S48" i="111"/>
  <c r="R48" i="111"/>
  <c r="AK48" i="111" s="1"/>
  <c r="Q48" i="111"/>
  <c r="P48" i="111"/>
  <c r="AI48" i="111" s="1"/>
  <c r="O48" i="111"/>
  <c r="N48" i="111"/>
  <c r="M48" i="111"/>
  <c r="L48" i="111"/>
  <c r="K48" i="111"/>
  <c r="AD48" i="111" s="1"/>
  <c r="J48" i="111"/>
  <c r="AC48" i="111" s="1"/>
  <c r="I48" i="111"/>
  <c r="H48" i="111"/>
  <c r="G48" i="111"/>
  <c r="Z48" i="111" s="1"/>
  <c r="F48" i="111"/>
  <c r="E48" i="111"/>
  <c r="D48" i="111"/>
  <c r="C48" i="111"/>
  <c r="V48" i="111" s="1"/>
  <c r="AK47" i="111"/>
  <c r="S47" i="111"/>
  <c r="R47" i="111"/>
  <c r="Q47" i="111"/>
  <c r="AJ47" i="111" s="1"/>
  <c r="P47" i="111"/>
  <c r="O47" i="111"/>
  <c r="N47" i="111"/>
  <c r="M47" i="111"/>
  <c r="L47" i="111"/>
  <c r="K47" i="111"/>
  <c r="AD47" i="111" s="1"/>
  <c r="J47" i="111"/>
  <c r="I47" i="111"/>
  <c r="H47" i="111"/>
  <c r="AA47" i="111" s="1"/>
  <c r="G47" i="111"/>
  <c r="F47" i="111"/>
  <c r="E47" i="111"/>
  <c r="D47" i="111"/>
  <c r="C47" i="111"/>
  <c r="V47" i="111" s="1"/>
  <c r="S46" i="111"/>
  <c r="AB46" i="111" s="1"/>
  <c r="R46" i="111"/>
  <c r="Q46" i="111"/>
  <c r="P46" i="111"/>
  <c r="O46" i="111"/>
  <c r="N46" i="111"/>
  <c r="M46" i="111"/>
  <c r="AF46" i="111" s="1"/>
  <c r="L46" i="111"/>
  <c r="K46" i="111"/>
  <c r="AD46" i="111" s="1"/>
  <c r="J46" i="111"/>
  <c r="I46" i="111"/>
  <c r="H46" i="111"/>
  <c r="G46" i="111"/>
  <c r="F46" i="111"/>
  <c r="E46" i="111"/>
  <c r="X46" i="111" s="1"/>
  <c r="D46" i="111"/>
  <c r="C46" i="111"/>
  <c r="V46" i="111" s="1"/>
  <c r="W45" i="111"/>
  <c r="S45" i="111"/>
  <c r="AE45" i="111" s="1"/>
  <c r="R45" i="111"/>
  <c r="Q45" i="111"/>
  <c r="P45" i="111"/>
  <c r="O45" i="111"/>
  <c r="N45" i="111"/>
  <c r="AG45" i="111" s="1"/>
  <c r="M45" i="111"/>
  <c r="AF45" i="111" s="1"/>
  <c r="L45" i="111"/>
  <c r="K45" i="111"/>
  <c r="AD45" i="111" s="1"/>
  <c r="J45" i="111"/>
  <c r="I45" i="111"/>
  <c r="H45" i="111"/>
  <c r="G45" i="111"/>
  <c r="F45" i="111"/>
  <c r="Y45" i="111" s="1"/>
  <c r="E45" i="111"/>
  <c r="X45" i="111" s="1"/>
  <c r="D45" i="111"/>
  <c r="C45" i="111"/>
  <c r="V45" i="111" s="1"/>
  <c r="S44" i="111"/>
  <c r="Z44" i="111" s="1"/>
  <c r="R44" i="111"/>
  <c r="AK44" i="111" s="1"/>
  <c r="Q44" i="111"/>
  <c r="AJ44" i="111" s="1"/>
  <c r="P44" i="111"/>
  <c r="O44" i="111"/>
  <c r="N44" i="111"/>
  <c r="M44" i="111"/>
  <c r="AF44" i="111" s="1"/>
  <c r="L44" i="111"/>
  <c r="K44" i="111"/>
  <c r="AD44" i="111" s="1"/>
  <c r="J44" i="111"/>
  <c r="AC44" i="111" s="1"/>
  <c r="I44" i="111"/>
  <c r="AB44" i="111" s="1"/>
  <c r="H44" i="111"/>
  <c r="G44" i="111"/>
  <c r="F44" i="111"/>
  <c r="E44" i="111"/>
  <c r="X44" i="111" s="1"/>
  <c r="D44" i="111"/>
  <c r="C44" i="111"/>
  <c r="V44" i="111" s="1"/>
  <c r="AJ43" i="111"/>
  <c r="AI43" i="111"/>
  <c r="S43" i="111"/>
  <c r="AG43" i="111" s="1"/>
  <c r="R43" i="111"/>
  <c r="Q43" i="111"/>
  <c r="P43" i="111"/>
  <c r="O43" i="111"/>
  <c r="AH43" i="111" s="1"/>
  <c r="N43" i="111"/>
  <c r="M43" i="111"/>
  <c r="L43" i="111"/>
  <c r="AE43" i="111" s="1"/>
  <c r="K43" i="111"/>
  <c r="AD43" i="111" s="1"/>
  <c r="J43" i="111"/>
  <c r="AC43" i="111" s="1"/>
  <c r="I43" i="111"/>
  <c r="AB43" i="111" s="1"/>
  <c r="H43" i="111"/>
  <c r="AA43" i="111" s="1"/>
  <c r="G43" i="111"/>
  <c r="Z43" i="111" s="1"/>
  <c r="F43" i="111"/>
  <c r="E43" i="111"/>
  <c r="D43" i="111"/>
  <c r="W43" i="111" s="1"/>
  <c r="C43" i="111"/>
  <c r="V43" i="111" s="1"/>
  <c r="AF42" i="111"/>
  <c r="AD42" i="111"/>
  <c r="AC42" i="111"/>
  <c r="V42" i="111"/>
  <c r="S42" i="111"/>
  <c r="X42" i="111" s="1"/>
  <c r="R42" i="111"/>
  <c r="AK42" i="111" s="1"/>
  <c r="Q42" i="111"/>
  <c r="AJ42" i="111" s="1"/>
  <c r="P42" i="111"/>
  <c r="AI42" i="111" s="1"/>
  <c r="O42" i="111"/>
  <c r="AH42" i="111" s="1"/>
  <c r="N42" i="111"/>
  <c r="AG42" i="111" s="1"/>
  <c r="M42" i="111"/>
  <c r="L42" i="111"/>
  <c r="AE42" i="111" s="1"/>
  <c r="K42" i="111"/>
  <c r="J42" i="111"/>
  <c r="I42" i="111"/>
  <c r="AB42" i="111" s="1"/>
  <c r="H42" i="111"/>
  <c r="AA42" i="111" s="1"/>
  <c r="G42" i="111"/>
  <c r="Z42" i="111" s="1"/>
  <c r="F42" i="111"/>
  <c r="Y42" i="111" s="1"/>
  <c r="E42" i="111"/>
  <c r="D42" i="111"/>
  <c r="W42" i="111" s="1"/>
  <c r="C42" i="111"/>
  <c r="S41" i="111"/>
  <c r="R41" i="111"/>
  <c r="Q41" i="111"/>
  <c r="P41" i="111"/>
  <c r="O41" i="111"/>
  <c r="N41" i="111"/>
  <c r="M41" i="111"/>
  <c r="L41" i="111"/>
  <c r="K41" i="111"/>
  <c r="AD41" i="111" s="1"/>
  <c r="J41" i="111"/>
  <c r="I41" i="111"/>
  <c r="H41" i="111"/>
  <c r="G41" i="111"/>
  <c r="F41" i="111"/>
  <c r="E41" i="111"/>
  <c r="D41" i="111"/>
  <c r="C41" i="111"/>
  <c r="V41" i="111" s="1"/>
  <c r="S40" i="111"/>
  <c r="R40" i="111"/>
  <c r="Q40" i="111"/>
  <c r="P40" i="111"/>
  <c r="O40" i="111"/>
  <c r="AH40" i="111" s="1"/>
  <c r="N40" i="111"/>
  <c r="M40" i="111"/>
  <c r="L40" i="111"/>
  <c r="K40" i="111"/>
  <c r="AD40" i="111" s="1"/>
  <c r="J40" i="111"/>
  <c r="I40" i="111"/>
  <c r="H40" i="111"/>
  <c r="G40" i="111"/>
  <c r="F40" i="111"/>
  <c r="E40" i="111"/>
  <c r="D40" i="111"/>
  <c r="C40" i="111"/>
  <c r="V40" i="111" s="1"/>
  <c r="V35" i="111"/>
  <c r="S35" i="111"/>
  <c r="R35" i="111"/>
  <c r="Q35" i="111"/>
  <c r="P35" i="111"/>
  <c r="O35" i="111"/>
  <c r="N35" i="111"/>
  <c r="M35" i="111"/>
  <c r="L35" i="111"/>
  <c r="AE35" i="111" s="1"/>
  <c r="K35" i="111"/>
  <c r="AD35" i="111" s="1"/>
  <c r="J35" i="111"/>
  <c r="I35" i="111"/>
  <c r="H35" i="111"/>
  <c r="G35" i="111"/>
  <c r="F35" i="111"/>
  <c r="Y35" i="111" s="1"/>
  <c r="E35" i="111"/>
  <c r="D35" i="111"/>
  <c r="W35" i="111" s="1"/>
  <c r="C35" i="111"/>
  <c r="S34" i="111"/>
  <c r="R34" i="111"/>
  <c r="AK34" i="111" s="1"/>
  <c r="Q34" i="111"/>
  <c r="P34" i="111"/>
  <c r="O34" i="111"/>
  <c r="N34" i="111"/>
  <c r="M34" i="111"/>
  <c r="L34" i="111"/>
  <c r="K34" i="111"/>
  <c r="AD34" i="111" s="1"/>
  <c r="J34" i="111"/>
  <c r="AC34" i="111" s="1"/>
  <c r="I34" i="111"/>
  <c r="H34" i="111"/>
  <c r="G34" i="111"/>
  <c r="F34" i="111"/>
  <c r="E34" i="111"/>
  <c r="D34" i="111"/>
  <c r="C34" i="111"/>
  <c r="V34" i="111" s="1"/>
  <c r="AK33" i="111"/>
  <c r="W33" i="111"/>
  <c r="V33" i="111"/>
  <c r="S33" i="111"/>
  <c r="AA33" i="111" s="1"/>
  <c r="R33" i="111"/>
  <c r="Q33" i="111"/>
  <c r="AJ33" i="111" s="1"/>
  <c r="P33" i="111"/>
  <c r="O33" i="111"/>
  <c r="AH33" i="111" s="1"/>
  <c r="N33" i="111"/>
  <c r="AG33" i="111" s="1"/>
  <c r="M33" i="111"/>
  <c r="AF33" i="111" s="1"/>
  <c r="L33" i="111"/>
  <c r="AE33" i="111" s="1"/>
  <c r="K33" i="111"/>
  <c r="AD33" i="111" s="1"/>
  <c r="J33" i="111"/>
  <c r="AC33" i="111" s="1"/>
  <c r="I33" i="111"/>
  <c r="AB33" i="111" s="1"/>
  <c r="H33" i="111"/>
  <c r="G33" i="111"/>
  <c r="Z33" i="111" s="1"/>
  <c r="F33" i="111"/>
  <c r="Y33" i="111" s="1"/>
  <c r="E33" i="111"/>
  <c r="X33" i="111" s="1"/>
  <c r="D33" i="111"/>
  <c r="C33" i="111"/>
  <c r="AD32" i="111"/>
  <c r="S32" i="111"/>
  <c r="AI32" i="111" s="1"/>
  <c r="R32" i="111"/>
  <c r="Q32" i="111"/>
  <c r="P32" i="111"/>
  <c r="O32" i="111"/>
  <c r="N32" i="111"/>
  <c r="M32" i="111"/>
  <c r="AF32" i="111" s="1"/>
  <c r="L32" i="111"/>
  <c r="K32" i="111"/>
  <c r="J32" i="111"/>
  <c r="I32" i="111"/>
  <c r="H32" i="111"/>
  <c r="G32" i="111"/>
  <c r="F32" i="111"/>
  <c r="E32" i="111"/>
  <c r="X32" i="111" s="1"/>
  <c r="D32" i="111"/>
  <c r="C32" i="111"/>
  <c r="V32" i="111" s="1"/>
  <c r="S31" i="111"/>
  <c r="AF31" i="111" s="1"/>
  <c r="R31" i="111"/>
  <c r="Q31" i="111"/>
  <c r="P31" i="111"/>
  <c r="O31" i="111"/>
  <c r="AH31" i="111" s="1"/>
  <c r="N31" i="111"/>
  <c r="M31" i="111"/>
  <c r="L31" i="111"/>
  <c r="K31" i="111"/>
  <c r="AD31" i="111" s="1"/>
  <c r="J31" i="111"/>
  <c r="I31" i="111"/>
  <c r="H31" i="111"/>
  <c r="G31" i="111"/>
  <c r="Z31" i="111" s="1"/>
  <c r="F31" i="111"/>
  <c r="E31" i="111"/>
  <c r="D31" i="111"/>
  <c r="C31" i="111"/>
  <c r="V31" i="111" s="1"/>
  <c r="AH30" i="111"/>
  <c r="V30" i="111"/>
  <c r="S30" i="111"/>
  <c r="R30" i="111"/>
  <c r="AK30" i="111" s="1"/>
  <c r="Q30" i="111"/>
  <c r="P30" i="111"/>
  <c r="O30" i="111"/>
  <c r="N30" i="111"/>
  <c r="M30" i="111"/>
  <c r="L30" i="111"/>
  <c r="AE30" i="111" s="1"/>
  <c r="K30" i="111"/>
  <c r="AD30" i="111" s="1"/>
  <c r="J30" i="111"/>
  <c r="AC30" i="111" s="1"/>
  <c r="I30" i="111"/>
  <c r="H30" i="111"/>
  <c r="G30" i="111"/>
  <c r="F30" i="111"/>
  <c r="E30" i="111"/>
  <c r="D30" i="111"/>
  <c r="W30" i="111" s="1"/>
  <c r="C30" i="111"/>
  <c r="AD29" i="111"/>
  <c r="S29" i="111"/>
  <c r="R29" i="111"/>
  <c r="AK29" i="111" s="1"/>
  <c r="Q29" i="111"/>
  <c r="AJ29" i="111" s="1"/>
  <c r="P29" i="111"/>
  <c r="AI29" i="111" s="1"/>
  <c r="O29" i="111"/>
  <c r="AH29" i="111" s="1"/>
  <c r="N29" i="111"/>
  <c r="M29" i="111"/>
  <c r="AF29" i="111" s="1"/>
  <c r="L29" i="111"/>
  <c r="K29" i="111"/>
  <c r="J29" i="111"/>
  <c r="AC29" i="111" s="1"/>
  <c r="I29" i="111"/>
  <c r="AB29" i="111" s="1"/>
  <c r="H29" i="111"/>
  <c r="AA29" i="111" s="1"/>
  <c r="G29" i="111"/>
  <c r="Z29" i="111" s="1"/>
  <c r="F29" i="111"/>
  <c r="Y29" i="111" s="1"/>
  <c r="E29" i="111"/>
  <c r="X29" i="111" s="1"/>
  <c r="D29" i="111"/>
  <c r="C29" i="111"/>
  <c r="V29" i="111" s="1"/>
  <c r="AJ28" i="111"/>
  <c r="AH28" i="111"/>
  <c r="Z28" i="111"/>
  <c r="V28" i="111"/>
  <c r="S28" i="111"/>
  <c r="X28" i="111" s="1"/>
  <c r="R28" i="111"/>
  <c r="AK28" i="111" s="1"/>
  <c r="Q28" i="111"/>
  <c r="P28" i="111"/>
  <c r="AI28" i="111" s="1"/>
  <c r="O28" i="111"/>
  <c r="N28" i="111"/>
  <c r="M28" i="111"/>
  <c r="L28" i="111"/>
  <c r="AE28" i="111" s="1"/>
  <c r="K28" i="111"/>
  <c r="AD28" i="111" s="1"/>
  <c r="J28" i="111"/>
  <c r="AC28" i="111" s="1"/>
  <c r="I28" i="111"/>
  <c r="AB28" i="111" s="1"/>
  <c r="H28" i="111"/>
  <c r="AA28" i="111" s="1"/>
  <c r="G28" i="111"/>
  <c r="F28" i="111"/>
  <c r="E28" i="111"/>
  <c r="D28" i="111"/>
  <c r="W28" i="111" s="1"/>
  <c r="C28" i="111"/>
  <c r="AI27" i="111"/>
  <c r="W27" i="111"/>
  <c r="V27" i="111"/>
  <c r="S27" i="111"/>
  <c r="AK27" i="111" s="1"/>
  <c r="R27" i="111"/>
  <c r="Q27" i="111"/>
  <c r="AJ27" i="111" s="1"/>
  <c r="P27" i="111"/>
  <c r="O27" i="111"/>
  <c r="AH27" i="111" s="1"/>
  <c r="N27" i="111"/>
  <c r="AG27" i="111" s="1"/>
  <c r="M27" i="111"/>
  <c r="AF27" i="111" s="1"/>
  <c r="L27" i="111"/>
  <c r="AE27" i="111" s="1"/>
  <c r="K27" i="111"/>
  <c r="AD27" i="111" s="1"/>
  <c r="J27" i="111"/>
  <c r="I27" i="111"/>
  <c r="AB27" i="111" s="1"/>
  <c r="H27" i="111"/>
  <c r="G27" i="111"/>
  <c r="Z27" i="111" s="1"/>
  <c r="F27" i="111"/>
  <c r="Y27" i="111" s="1"/>
  <c r="E27" i="111"/>
  <c r="X27" i="111" s="1"/>
  <c r="D27" i="111"/>
  <c r="C27" i="111"/>
  <c r="S26" i="111"/>
  <c r="AB26" i="111" s="1"/>
  <c r="R26" i="111"/>
  <c r="Q26" i="111"/>
  <c r="P26" i="111"/>
  <c r="O26" i="111"/>
  <c r="N26" i="111"/>
  <c r="M26" i="111"/>
  <c r="L26" i="111"/>
  <c r="K26" i="111"/>
  <c r="AD26" i="111" s="1"/>
  <c r="J26" i="111"/>
  <c r="I26" i="111"/>
  <c r="H26" i="111"/>
  <c r="G26" i="111"/>
  <c r="F26" i="111"/>
  <c r="E26" i="111"/>
  <c r="D26" i="111"/>
  <c r="C26" i="111"/>
  <c r="V26" i="111" s="1"/>
  <c r="Y25" i="111"/>
  <c r="S25" i="111"/>
  <c r="AE25" i="111" s="1"/>
  <c r="R25" i="111"/>
  <c r="Q25" i="111"/>
  <c r="P25" i="111"/>
  <c r="O25" i="111"/>
  <c r="AH25" i="111" s="1"/>
  <c r="N25" i="111"/>
  <c r="M25" i="111"/>
  <c r="AF25" i="111" s="1"/>
  <c r="L25" i="111"/>
  <c r="K25" i="111"/>
  <c r="AD25" i="111" s="1"/>
  <c r="J25" i="111"/>
  <c r="I25" i="111"/>
  <c r="H25" i="111"/>
  <c r="G25" i="111"/>
  <c r="Z25" i="111" s="1"/>
  <c r="F25" i="111"/>
  <c r="E25" i="111"/>
  <c r="X25" i="111" s="1"/>
  <c r="D25" i="111"/>
  <c r="C25" i="111"/>
  <c r="V25" i="111" s="1"/>
  <c r="S24" i="111"/>
  <c r="AF24" i="111" s="1"/>
  <c r="R24" i="111"/>
  <c r="Q24" i="111"/>
  <c r="P24" i="111"/>
  <c r="O24" i="111"/>
  <c r="N24" i="111"/>
  <c r="M24" i="111"/>
  <c r="L24" i="111"/>
  <c r="K24" i="111"/>
  <c r="AD24" i="111" s="1"/>
  <c r="J24" i="111"/>
  <c r="I24" i="111"/>
  <c r="H24" i="111"/>
  <c r="G24" i="111"/>
  <c r="F24" i="111"/>
  <c r="E24" i="111"/>
  <c r="D24" i="111"/>
  <c r="C24" i="111"/>
  <c r="V24" i="111" s="1"/>
  <c r="AE23" i="111"/>
  <c r="S23" i="111"/>
  <c r="R23" i="111"/>
  <c r="AK23" i="111" s="1"/>
  <c r="Q23" i="111"/>
  <c r="AJ23" i="111" s="1"/>
  <c r="P23" i="111"/>
  <c r="AI23" i="111" s="1"/>
  <c r="O23" i="111"/>
  <c r="N23" i="111"/>
  <c r="M23" i="111"/>
  <c r="AF23" i="111" s="1"/>
  <c r="L23" i="111"/>
  <c r="K23" i="111"/>
  <c r="AD23" i="111" s="1"/>
  <c r="J23" i="111"/>
  <c r="AC23" i="111" s="1"/>
  <c r="I23" i="111"/>
  <c r="AB23" i="111" s="1"/>
  <c r="H23" i="111"/>
  <c r="AA23" i="111" s="1"/>
  <c r="G23" i="111"/>
  <c r="Z23" i="111" s="1"/>
  <c r="F23" i="111"/>
  <c r="E23" i="111"/>
  <c r="X23" i="111" s="1"/>
  <c r="D23" i="111"/>
  <c r="C23" i="111"/>
  <c r="V23" i="111" s="1"/>
  <c r="AJ18" i="111"/>
  <c r="AD18" i="111"/>
  <c r="AB18" i="111"/>
  <c r="Z18" i="111"/>
  <c r="V18" i="111"/>
  <c r="S18" i="111"/>
  <c r="R18" i="111"/>
  <c r="AK18" i="111" s="1"/>
  <c r="Q18" i="111"/>
  <c r="P18" i="111"/>
  <c r="AI18" i="111" s="1"/>
  <c r="O18" i="111"/>
  <c r="AH18" i="111" s="1"/>
  <c r="N18" i="111"/>
  <c r="AG18" i="111" s="1"/>
  <c r="M18" i="111"/>
  <c r="L18" i="111"/>
  <c r="AE18" i="111" s="1"/>
  <c r="K18" i="111"/>
  <c r="J18" i="111"/>
  <c r="AC18" i="111" s="1"/>
  <c r="I18" i="111"/>
  <c r="H18" i="111"/>
  <c r="AA18" i="111" s="1"/>
  <c r="G18" i="111"/>
  <c r="F18" i="111"/>
  <c r="Y18" i="111" s="1"/>
  <c r="E18" i="111"/>
  <c r="D18" i="111"/>
  <c r="W18" i="111" s="1"/>
  <c r="C18" i="111"/>
  <c r="S17" i="111"/>
  <c r="R17" i="111"/>
  <c r="Q17" i="111"/>
  <c r="P17" i="111"/>
  <c r="O17" i="111"/>
  <c r="N17" i="111"/>
  <c r="M17" i="111"/>
  <c r="L17" i="111"/>
  <c r="K17" i="111"/>
  <c r="AD17" i="111" s="1"/>
  <c r="J17" i="111"/>
  <c r="I17" i="111"/>
  <c r="H17" i="111"/>
  <c r="G17" i="111"/>
  <c r="F17" i="111"/>
  <c r="E17" i="111"/>
  <c r="D17" i="111"/>
  <c r="C17" i="111"/>
  <c r="V17" i="111" s="1"/>
  <c r="AE16" i="111"/>
  <c r="V16" i="111"/>
  <c r="S16" i="111"/>
  <c r="R16" i="111"/>
  <c r="AK16" i="111" s="1"/>
  <c r="Q16" i="111"/>
  <c r="AJ16" i="111" s="1"/>
  <c r="P16" i="111"/>
  <c r="AI16" i="111" s="1"/>
  <c r="O16" i="111"/>
  <c r="AH16" i="111" s="1"/>
  <c r="N16" i="111"/>
  <c r="AG16" i="111" s="1"/>
  <c r="M16" i="111"/>
  <c r="AF16" i="111" s="1"/>
  <c r="L16" i="111"/>
  <c r="K16" i="111"/>
  <c r="AD16" i="111" s="1"/>
  <c r="J16" i="111"/>
  <c r="AC16" i="111" s="1"/>
  <c r="I16" i="111"/>
  <c r="AB16" i="111" s="1"/>
  <c r="H16" i="111"/>
  <c r="AA16" i="111" s="1"/>
  <c r="G16" i="111"/>
  <c r="Z16" i="111" s="1"/>
  <c r="F16" i="111"/>
  <c r="Y16" i="111" s="1"/>
  <c r="E16" i="111"/>
  <c r="X16" i="111" s="1"/>
  <c r="D16" i="111"/>
  <c r="W16" i="111" s="1"/>
  <c r="C16" i="111"/>
  <c r="AJ15" i="111"/>
  <c r="X15" i="111"/>
  <c r="S15" i="111"/>
  <c r="R15" i="111"/>
  <c r="Q15" i="111"/>
  <c r="P15" i="111"/>
  <c r="O15" i="111"/>
  <c r="AH15" i="111" s="1"/>
  <c r="N15" i="111"/>
  <c r="M15" i="111"/>
  <c r="L15" i="111"/>
  <c r="K15" i="111"/>
  <c r="AD15" i="111" s="1"/>
  <c r="J15" i="111"/>
  <c r="I15" i="111"/>
  <c r="H15" i="111"/>
  <c r="G15" i="111"/>
  <c r="Z15" i="111" s="1"/>
  <c r="F15" i="111"/>
  <c r="E15" i="111"/>
  <c r="D15" i="111"/>
  <c r="C15" i="111"/>
  <c r="V15" i="111" s="1"/>
  <c r="V14" i="111"/>
  <c r="S14" i="111"/>
  <c r="R14" i="111"/>
  <c r="Q14" i="111"/>
  <c r="P14" i="111"/>
  <c r="O14" i="111"/>
  <c r="N14" i="111"/>
  <c r="M14" i="111"/>
  <c r="AF14" i="111" s="1"/>
  <c r="L14" i="111"/>
  <c r="AE14" i="111" s="1"/>
  <c r="K14" i="111"/>
  <c r="AD14" i="111" s="1"/>
  <c r="J14" i="111"/>
  <c r="AC14" i="111" s="1"/>
  <c r="I14" i="111"/>
  <c r="H14" i="111"/>
  <c r="G14" i="111"/>
  <c r="F14" i="111"/>
  <c r="Y14" i="111" s="1"/>
  <c r="E14" i="111"/>
  <c r="X14" i="111" s="1"/>
  <c r="D14" i="111"/>
  <c r="W14" i="111" s="1"/>
  <c r="C14" i="111"/>
  <c r="AC13" i="111"/>
  <c r="AA13" i="111"/>
  <c r="S13" i="111"/>
  <c r="AE13" i="111" s="1"/>
  <c r="R13" i="111"/>
  <c r="Q13" i="111"/>
  <c r="P13" i="111"/>
  <c r="O13" i="111"/>
  <c r="N13" i="111"/>
  <c r="AG13" i="111" s="1"/>
  <c r="M13" i="111"/>
  <c r="AF13" i="111" s="1"/>
  <c r="L13" i="111"/>
  <c r="K13" i="111"/>
  <c r="AD13" i="111" s="1"/>
  <c r="J13" i="111"/>
  <c r="I13" i="111"/>
  <c r="H13" i="111"/>
  <c r="G13" i="111"/>
  <c r="F13" i="111"/>
  <c r="E13" i="111"/>
  <c r="X13" i="111" s="1"/>
  <c r="D13" i="111"/>
  <c r="W13" i="111" s="1"/>
  <c r="C13" i="111"/>
  <c r="V13" i="111" s="1"/>
  <c r="S12" i="111"/>
  <c r="R12" i="111"/>
  <c r="AK12" i="111" s="1"/>
  <c r="Q12" i="111"/>
  <c r="P12" i="111"/>
  <c r="O12" i="111"/>
  <c r="N12" i="111"/>
  <c r="M12" i="111"/>
  <c r="L12" i="111"/>
  <c r="K12" i="111"/>
  <c r="AD12" i="111" s="1"/>
  <c r="J12" i="111"/>
  <c r="AC12" i="111" s="1"/>
  <c r="I12" i="111"/>
  <c r="H12" i="111"/>
  <c r="G12" i="111"/>
  <c r="F12" i="111"/>
  <c r="E12" i="111"/>
  <c r="D12" i="111"/>
  <c r="C12" i="111"/>
  <c r="V12" i="111" s="1"/>
  <c r="S11" i="111"/>
  <c r="AF11" i="111" s="1"/>
  <c r="R11" i="111"/>
  <c r="Q11" i="111"/>
  <c r="P11" i="111"/>
  <c r="O11" i="111"/>
  <c r="N11" i="111"/>
  <c r="M11" i="111"/>
  <c r="L11" i="111"/>
  <c r="K11" i="111"/>
  <c r="AD11" i="111" s="1"/>
  <c r="J11" i="111"/>
  <c r="I11" i="111"/>
  <c r="H11" i="111"/>
  <c r="G11" i="111"/>
  <c r="F11" i="111"/>
  <c r="E11" i="111"/>
  <c r="D11" i="111"/>
  <c r="C11" i="111"/>
  <c r="V11" i="111" s="1"/>
  <c r="AB10" i="111"/>
  <c r="S10" i="111"/>
  <c r="X10" i="111" s="1"/>
  <c r="R10" i="111"/>
  <c r="AK10" i="111" s="1"/>
  <c r="Q10" i="111"/>
  <c r="P10" i="111"/>
  <c r="O10" i="111"/>
  <c r="AH10" i="111" s="1"/>
  <c r="N10" i="111"/>
  <c r="AG10" i="111" s="1"/>
  <c r="M10" i="111"/>
  <c r="L10" i="111"/>
  <c r="K10" i="111"/>
  <c r="AD10" i="111" s="1"/>
  <c r="J10" i="111"/>
  <c r="AC10" i="111" s="1"/>
  <c r="I10" i="111"/>
  <c r="H10" i="111"/>
  <c r="G10" i="111"/>
  <c r="Z10" i="111" s="1"/>
  <c r="F10" i="111"/>
  <c r="Y10" i="111" s="1"/>
  <c r="E10" i="111"/>
  <c r="D10" i="111"/>
  <c r="C10" i="111"/>
  <c r="V10" i="111" s="1"/>
  <c r="AA9" i="111"/>
  <c r="Z9" i="111"/>
  <c r="S9" i="111"/>
  <c r="R9" i="111"/>
  <c r="AK9" i="111" s="1"/>
  <c r="Q9" i="111"/>
  <c r="P9" i="111"/>
  <c r="AI9" i="111" s="1"/>
  <c r="O9" i="111"/>
  <c r="N9" i="111"/>
  <c r="M9" i="111"/>
  <c r="AF9" i="111" s="1"/>
  <c r="L9" i="111"/>
  <c r="K9" i="111"/>
  <c r="AD9" i="111" s="1"/>
  <c r="J9" i="111"/>
  <c r="AC9" i="111" s="1"/>
  <c r="I9" i="111"/>
  <c r="H9" i="111"/>
  <c r="G9" i="111"/>
  <c r="F9" i="111"/>
  <c r="Y9" i="111" s="1"/>
  <c r="E9" i="111"/>
  <c r="X9" i="111" s="1"/>
  <c r="D9" i="111"/>
  <c r="C9" i="111"/>
  <c r="V9" i="111" s="1"/>
  <c r="S8" i="111"/>
  <c r="R8" i="111"/>
  <c r="Q8" i="111"/>
  <c r="P8" i="111"/>
  <c r="O8" i="111"/>
  <c r="N8" i="111"/>
  <c r="M8" i="111"/>
  <c r="L8" i="111"/>
  <c r="K8" i="111"/>
  <c r="AD8" i="111" s="1"/>
  <c r="J8" i="111"/>
  <c r="I8" i="111"/>
  <c r="H8" i="111"/>
  <c r="G8" i="111"/>
  <c r="Z8" i="111" s="1"/>
  <c r="F8" i="111"/>
  <c r="E8" i="111"/>
  <c r="D8" i="111"/>
  <c r="C8" i="111"/>
  <c r="V8" i="111" s="1"/>
  <c r="AB7" i="111"/>
  <c r="S7" i="111"/>
  <c r="R7" i="111"/>
  <c r="AK7" i="111" s="1"/>
  <c r="Q7" i="111"/>
  <c r="P7" i="111"/>
  <c r="O7" i="111"/>
  <c r="N7" i="111"/>
  <c r="AG7" i="111" s="1"/>
  <c r="M7" i="111"/>
  <c r="L7" i="111"/>
  <c r="K7" i="111"/>
  <c r="AD7" i="111" s="1"/>
  <c r="J7" i="111"/>
  <c r="AC7" i="111" s="1"/>
  <c r="I7" i="111"/>
  <c r="H7" i="111"/>
  <c r="G7" i="111"/>
  <c r="F7" i="111"/>
  <c r="E7" i="111"/>
  <c r="D7" i="111"/>
  <c r="W7" i="111" s="1"/>
  <c r="C7" i="111"/>
  <c r="V7" i="111" s="1"/>
  <c r="S6" i="111"/>
  <c r="R6" i="111"/>
  <c r="Q6" i="111"/>
  <c r="P6" i="111"/>
  <c r="O6" i="111"/>
  <c r="N6" i="111"/>
  <c r="M6" i="111"/>
  <c r="L6" i="111"/>
  <c r="K6" i="111"/>
  <c r="AD6" i="111" s="1"/>
  <c r="J6" i="111"/>
  <c r="I6" i="111"/>
  <c r="H6" i="111"/>
  <c r="G6" i="111"/>
  <c r="F6" i="111"/>
  <c r="E6" i="111"/>
  <c r="D6" i="111"/>
  <c r="C6" i="111"/>
  <c r="V6" i="111" s="1"/>
  <c r="T177" i="100"/>
  <c r="S177" i="100"/>
  <c r="R177" i="100"/>
  <c r="Q177" i="100"/>
  <c r="P177" i="100"/>
  <c r="O177" i="100"/>
  <c r="N177" i="100"/>
  <c r="M177" i="100"/>
  <c r="L177" i="100"/>
  <c r="K177" i="100"/>
  <c r="J177" i="100"/>
  <c r="I177" i="100"/>
  <c r="H177" i="100"/>
  <c r="G177" i="100"/>
  <c r="F177" i="100"/>
  <c r="E177" i="100"/>
  <c r="D177" i="100"/>
  <c r="T176" i="100"/>
  <c r="S176" i="100"/>
  <c r="R176" i="100"/>
  <c r="Q176" i="100"/>
  <c r="P176" i="100"/>
  <c r="O176" i="100"/>
  <c r="N176" i="100"/>
  <c r="AI176" i="100" s="1"/>
  <c r="M176" i="100"/>
  <c r="L176" i="100"/>
  <c r="K176" i="100"/>
  <c r="J176" i="100"/>
  <c r="I176" i="100"/>
  <c r="H176" i="100"/>
  <c r="G176" i="100"/>
  <c r="F176" i="100"/>
  <c r="AA176" i="100" s="1"/>
  <c r="E176" i="100"/>
  <c r="D176" i="100"/>
  <c r="T175" i="100"/>
  <c r="S175" i="100"/>
  <c r="R175" i="100"/>
  <c r="Q175" i="100"/>
  <c r="P175" i="100"/>
  <c r="O175" i="100"/>
  <c r="N175" i="100"/>
  <c r="M175" i="100"/>
  <c r="L175" i="100"/>
  <c r="K175" i="100"/>
  <c r="J175" i="100"/>
  <c r="I175" i="100"/>
  <c r="AD175" i="100" s="1"/>
  <c r="H175" i="100"/>
  <c r="AC175" i="100" s="1"/>
  <c r="G175" i="100"/>
  <c r="F175" i="100"/>
  <c r="E175" i="100"/>
  <c r="D175" i="100"/>
  <c r="T174" i="100"/>
  <c r="S174" i="100"/>
  <c r="AN174" i="100" s="1"/>
  <c r="R174" i="100"/>
  <c r="AM174" i="100" s="1"/>
  <c r="Q174" i="100"/>
  <c r="P174" i="100"/>
  <c r="O174" i="100"/>
  <c r="N174" i="100"/>
  <c r="M174" i="100"/>
  <c r="L174" i="100"/>
  <c r="K174" i="100"/>
  <c r="J174" i="100"/>
  <c r="I174" i="100"/>
  <c r="AD173" i="100" s="1"/>
  <c r="H174" i="100"/>
  <c r="G174" i="100"/>
  <c r="F174" i="100"/>
  <c r="E174" i="100"/>
  <c r="D174" i="100"/>
  <c r="AH173" i="100"/>
  <c r="T173" i="100"/>
  <c r="S173" i="100"/>
  <c r="R173" i="100"/>
  <c r="AM173" i="100" s="1"/>
  <c r="Q173" i="100"/>
  <c r="P173" i="100"/>
  <c r="O173" i="100"/>
  <c r="N173" i="100"/>
  <c r="M173" i="100"/>
  <c r="L173" i="100"/>
  <c r="K173" i="100"/>
  <c r="J173" i="100"/>
  <c r="AE176" i="100" s="1"/>
  <c r="I173" i="100"/>
  <c r="H173" i="100"/>
  <c r="G173" i="100"/>
  <c r="F173" i="100"/>
  <c r="E173" i="100"/>
  <c r="D173" i="100"/>
  <c r="T172" i="100"/>
  <c r="S172" i="100"/>
  <c r="R172" i="100"/>
  <c r="Q172" i="100"/>
  <c r="P172" i="100"/>
  <c r="O172" i="100"/>
  <c r="N172" i="100"/>
  <c r="M172" i="100"/>
  <c r="L172" i="100"/>
  <c r="K172" i="100"/>
  <c r="J172" i="100"/>
  <c r="I172" i="100"/>
  <c r="H172" i="100"/>
  <c r="G172" i="100"/>
  <c r="F172" i="100"/>
  <c r="E172" i="100"/>
  <c r="D172" i="100"/>
  <c r="T171" i="100"/>
  <c r="M171" i="100"/>
  <c r="AH171" i="100" s="1"/>
  <c r="E171" i="100"/>
  <c r="Z171" i="100" s="1"/>
  <c r="D171" i="100"/>
  <c r="T170" i="100"/>
  <c r="M170" i="100"/>
  <c r="I170" i="100"/>
  <c r="E170" i="100"/>
  <c r="D170" i="100"/>
  <c r="T169" i="100"/>
  <c r="S169" i="100"/>
  <c r="R169" i="100"/>
  <c r="Q169" i="100"/>
  <c r="P169" i="100"/>
  <c r="R170" i="100" s="1"/>
  <c r="O169" i="100"/>
  <c r="Q171" i="100" s="1"/>
  <c r="N169" i="100"/>
  <c r="M169" i="100"/>
  <c r="L169" i="100"/>
  <c r="K169" i="100"/>
  <c r="J169" i="100"/>
  <c r="L170" i="100" s="1"/>
  <c r="I169" i="100"/>
  <c r="AD169" i="100" s="1"/>
  <c r="H169" i="100"/>
  <c r="J170" i="100" s="1"/>
  <c r="G169" i="100"/>
  <c r="I171" i="100" s="1"/>
  <c r="F169" i="100"/>
  <c r="E169" i="100"/>
  <c r="G171" i="100" s="1"/>
  <c r="D169" i="100"/>
  <c r="AJ168" i="100"/>
  <c r="T168" i="100"/>
  <c r="S168" i="100"/>
  <c r="R168" i="100"/>
  <c r="Q168" i="100"/>
  <c r="P168" i="100"/>
  <c r="O168" i="100"/>
  <c r="N168" i="100"/>
  <c r="M168" i="100"/>
  <c r="L168" i="100"/>
  <c r="K168" i="100"/>
  <c r="J168" i="100"/>
  <c r="I168" i="100"/>
  <c r="H168" i="100"/>
  <c r="G168" i="100"/>
  <c r="F168" i="100"/>
  <c r="E168" i="100"/>
  <c r="D168" i="100"/>
  <c r="T167" i="100"/>
  <c r="S167" i="100"/>
  <c r="G167" i="100"/>
  <c r="E167" i="100"/>
  <c r="D167" i="100"/>
  <c r="T166" i="100"/>
  <c r="R166" i="100"/>
  <c r="O166" i="100"/>
  <c r="M166" i="100"/>
  <c r="AH167" i="100" s="1"/>
  <c r="E166" i="100"/>
  <c r="D166" i="100"/>
  <c r="T165" i="100"/>
  <c r="S165" i="100"/>
  <c r="R165" i="100"/>
  <c r="AM165" i="100" s="1"/>
  <c r="Q165" i="100"/>
  <c r="P165" i="100"/>
  <c r="R167" i="100" s="1"/>
  <c r="O165" i="100"/>
  <c r="Q167" i="100" s="1"/>
  <c r="N165" i="100"/>
  <c r="M165" i="100"/>
  <c r="O167" i="100" s="1"/>
  <c r="L165" i="100"/>
  <c r="N166" i="100" s="1"/>
  <c r="K165" i="100"/>
  <c r="M167" i="100" s="1"/>
  <c r="J165" i="100"/>
  <c r="L167" i="100" s="1"/>
  <c r="I165" i="100"/>
  <c r="K167" i="100" s="1"/>
  <c r="H165" i="100"/>
  <c r="J166" i="100" s="1"/>
  <c r="G165" i="100"/>
  <c r="I166" i="100" s="1"/>
  <c r="F165" i="100"/>
  <c r="E165" i="100"/>
  <c r="D165" i="100"/>
  <c r="F166" i="100" s="1"/>
  <c r="Y164" i="100"/>
  <c r="T164" i="100"/>
  <c r="S164" i="100"/>
  <c r="R164" i="100"/>
  <c r="Q164" i="100"/>
  <c r="P164" i="100"/>
  <c r="O164" i="100"/>
  <c r="N164" i="100"/>
  <c r="AI164" i="100" s="1"/>
  <c r="M164" i="100"/>
  <c r="L164" i="100"/>
  <c r="K164" i="100"/>
  <c r="J164" i="100"/>
  <c r="I164" i="100"/>
  <c r="H164" i="100"/>
  <c r="G164" i="100"/>
  <c r="F164" i="100"/>
  <c r="E164" i="100"/>
  <c r="D164" i="100"/>
  <c r="T163" i="100"/>
  <c r="S163" i="100"/>
  <c r="R163" i="100"/>
  <c r="Q163" i="100"/>
  <c r="P163" i="100"/>
  <c r="AK162" i="100" s="1"/>
  <c r="O163" i="100"/>
  <c r="N163" i="100"/>
  <c r="M163" i="100"/>
  <c r="L163" i="100"/>
  <c r="K163" i="100"/>
  <c r="J163" i="100"/>
  <c r="I163" i="100"/>
  <c r="H163" i="100"/>
  <c r="G163" i="100"/>
  <c r="F163" i="100"/>
  <c r="E163" i="100"/>
  <c r="D163" i="100"/>
  <c r="T162" i="100"/>
  <c r="S162" i="100"/>
  <c r="R162" i="100"/>
  <c r="Q162" i="100"/>
  <c r="P162" i="100"/>
  <c r="O162" i="100"/>
  <c r="N162" i="100"/>
  <c r="M162" i="100"/>
  <c r="L162" i="100"/>
  <c r="K162" i="100"/>
  <c r="J162" i="100"/>
  <c r="I162" i="100"/>
  <c r="H162" i="100"/>
  <c r="G162" i="100"/>
  <c r="F162" i="100"/>
  <c r="E162" i="100"/>
  <c r="D162" i="100"/>
  <c r="AC161" i="100"/>
  <c r="T161" i="100"/>
  <c r="S161" i="100"/>
  <c r="AN161" i="100" s="1"/>
  <c r="R161" i="100"/>
  <c r="Q161" i="100"/>
  <c r="P161" i="100"/>
  <c r="O161" i="100"/>
  <c r="N161" i="100"/>
  <c r="AI161" i="100" s="1"/>
  <c r="M161" i="100"/>
  <c r="L161" i="100"/>
  <c r="AG161" i="100" s="1"/>
  <c r="K161" i="100"/>
  <c r="AF163" i="100" s="1"/>
  <c r="J161" i="100"/>
  <c r="I161" i="100"/>
  <c r="H161" i="100"/>
  <c r="G161" i="100"/>
  <c r="F161" i="100"/>
  <c r="E161" i="100"/>
  <c r="D161" i="100"/>
  <c r="Y161" i="100" s="1"/>
  <c r="AG160" i="100"/>
  <c r="T160" i="100"/>
  <c r="S160" i="100"/>
  <c r="R160" i="100"/>
  <c r="Q160" i="100"/>
  <c r="AL160" i="100" s="1"/>
  <c r="P160" i="100"/>
  <c r="O160" i="100"/>
  <c r="N160" i="100"/>
  <c r="M160" i="100"/>
  <c r="L160" i="100"/>
  <c r="K160" i="100"/>
  <c r="J160" i="100"/>
  <c r="I160" i="100"/>
  <c r="H160" i="100"/>
  <c r="G160" i="100"/>
  <c r="F160" i="100"/>
  <c r="E160" i="100"/>
  <c r="Z160" i="100" s="1"/>
  <c r="D160" i="100"/>
  <c r="T159" i="100"/>
  <c r="S159" i="100"/>
  <c r="R159" i="100"/>
  <c r="Q159" i="100"/>
  <c r="P159" i="100"/>
  <c r="O159" i="100"/>
  <c r="AJ159" i="100" s="1"/>
  <c r="N159" i="100"/>
  <c r="M159" i="100"/>
  <c r="L159" i="100"/>
  <c r="K159" i="100"/>
  <c r="J159" i="100"/>
  <c r="I159" i="100"/>
  <c r="H159" i="100"/>
  <c r="G159" i="100"/>
  <c r="AB159" i="100" s="1"/>
  <c r="F159" i="100"/>
  <c r="AA159" i="100" s="1"/>
  <c r="E159" i="100"/>
  <c r="D159" i="100"/>
  <c r="T158" i="100"/>
  <c r="S158" i="100"/>
  <c r="AN158" i="100" s="1"/>
  <c r="R158" i="100"/>
  <c r="Q158" i="100"/>
  <c r="P158" i="100"/>
  <c r="O158" i="100"/>
  <c r="N158" i="100"/>
  <c r="AI158" i="100" s="1"/>
  <c r="M158" i="100"/>
  <c r="L158" i="100"/>
  <c r="K158" i="100"/>
  <c r="AF158" i="100" s="1"/>
  <c r="J158" i="100"/>
  <c r="I158" i="100"/>
  <c r="H158" i="100"/>
  <c r="G158" i="100"/>
  <c r="F158" i="100"/>
  <c r="E158" i="100"/>
  <c r="D158" i="100"/>
  <c r="AF157" i="100"/>
  <c r="T157" i="100"/>
  <c r="S157" i="100"/>
  <c r="R157" i="100"/>
  <c r="Q157" i="100"/>
  <c r="P157" i="100"/>
  <c r="O157" i="100"/>
  <c r="N157" i="100"/>
  <c r="M157" i="100"/>
  <c r="L157" i="100"/>
  <c r="K157" i="100"/>
  <c r="J157" i="100"/>
  <c r="I157" i="100"/>
  <c r="H157" i="100"/>
  <c r="G157" i="100"/>
  <c r="F157" i="100"/>
  <c r="E157" i="100"/>
  <c r="D157" i="100"/>
  <c r="Y157" i="100" s="1"/>
  <c r="T156" i="100"/>
  <c r="S156" i="100"/>
  <c r="AN156" i="100" s="1"/>
  <c r="R156" i="100"/>
  <c r="Q156" i="100"/>
  <c r="P156" i="100"/>
  <c r="O156" i="100"/>
  <c r="N156" i="100"/>
  <c r="M156" i="100"/>
  <c r="AH156" i="100" s="1"/>
  <c r="L156" i="100"/>
  <c r="K156" i="100"/>
  <c r="AF156" i="100" s="1"/>
  <c r="J156" i="100"/>
  <c r="I156" i="100"/>
  <c r="H156" i="100"/>
  <c r="AC156" i="100" s="1"/>
  <c r="G156" i="100"/>
  <c r="F156" i="100"/>
  <c r="E156" i="100"/>
  <c r="Z156" i="100" s="1"/>
  <c r="D156" i="100"/>
  <c r="T155" i="100"/>
  <c r="S155" i="100"/>
  <c r="AN155" i="100" s="1"/>
  <c r="R155" i="100"/>
  <c r="AM155" i="100" s="1"/>
  <c r="Q155" i="100"/>
  <c r="P155" i="100"/>
  <c r="O155" i="100"/>
  <c r="N155" i="100"/>
  <c r="M155" i="100"/>
  <c r="AH155" i="100" s="1"/>
  <c r="L155" i="100"/>
  <c r="K155" i="100"/>
  <c r="AF153" i="100" s="1"/>
  <c r="J155" i="100"/>
  <c r="AE155" i="100" s="1"/>
  <c r="I155" i="100"/>
  <c r="H155" i="100"/>
  <c r="G155" i="100"/>
  <c r="F155" i="100"/>
  <c r="E155" i="100"/>
  <c r="Z155" i="100" s="1"/>
  <c r="D155" i="100"/>
  <c r="AN154" i="100"/>
  <c r="AM154" i="100"/>
  <c r="T154" i="100"/>
  <c r="S154" i="100"/>
  <c r="R154" i="100"/>
  <c r="Q154" i="100"/>
  <c r="P154" i="100"/>
  <c r="O154" i="100"/>
  <c r="N154" i="100"/>
  <c r="M154" i="100"/>
  <c r="L154" i="100"/>
  <c r="K154" i="100"/>
  <c r="J154" i="100"/>
  <c r="I154" i="100"/>
  <c r="H154" i="100"/>
  <c r="G154" i="100"/>
  <c r="F154" i="100"/>
  <c r="E154" i="100"/>
  <c r="Z154" i="100" s="1"/>
  <c r="D154" i="100"/>
  <c r="T153" i="100"/>
  <c r="S153" i="100"/>
  <c r="R153" i="100"/>
  <c r="Q153" i="100"/>
  <c r="P153" i="100"/>
  <c r="AK153" i="100" s="1"/>
  <c r="O153" i="100"/>
  <c r="N153" i="100"/>
  <c r="AI153" i="100" s="1"/>
  <c r="M153" i="100"/>
  <c r="L153" i="100"/>
  <c r="K153" i="100"/>
  <c r="J153" i="100"/>
  <c r="I153" i="100"/>
  <c r="H153" i="100"/>
  <c r="AC153" i="100" s="1"/>
  <c r="G153" i="100"/>
  <c r="F153" i="100"/>
  <c r="AA155" i="100" s="1"/>
  <c r="E153" i="100"/>
  <c r="Z153" i="100" s="1"/>
  <c r="D153" i="100"/>
  <c r="T152" i="100"/>
  <c r="S152" i="100"/>
  <c r="R152" i="100"/>
  <c r="Q152" i="100"/>
  <c r="P152" i="100"/>
  <c r="O152" i="100"/>
  <c r="N152" i="100"/>
  <c r="M152" i="100"/>
  <c r="L152" i="100"/>
  <c r="K152" i="100"/>
  <c r="J152" i="100"/>
  <c r="I152" i="100"/>
  <c r="H152" i="100"/>
  <c r="G152" i="100"/>
  <c r="F152" i="100"/>
  <c r="E152" i="100"/>
  <c r="D152" i="100"/>
  <c r="T151" i="100"/>
  <c r="S151" i="100"/>
  <c r="R151" i="100"/>
  <c r="Q151" i="100"/>
  <c r="P151" i="100"/>
  <c r="O151" i="100"/>
  <c r="N151" i="100"/>
  <c r="M151" i="100"/>
  <c r="L151" i="100"/>
  <c r="K151" i="100"/>
  <c r="J151" i="100"/>
  <c r="I151" i="100"/>
  <c r="H151" i="100"/>
  <c r="G151" i="100"/>
  <c r="F151" i="100"/>
  <c r="E151" i="100"/>
  <c r="D151" i="100"/>
  <c r="T150" i="100"/>
  <c r="S150" i="100"/>
  <c r="R150" i="100"/>
  <c r="Q150" i="100"/>
  <c r="AL150" i="100" s="1"/>
  <c r="P150" i="100"/>
  <c r="O150" i="100"/>
  <c r="N150" i="100"/>
  <c r="M150" i="100"/>
  <c r="L150" i="100"/>
  <c r="K150" i="100"/>
  <c r="J150" i="100"/>
  <c r="AE150" i="100" s="1"/>
  <c r="I150" i="100"/>
  <c r="H150" i="100"/>
  <c r="G150" i="100"/>
  <c r="AB149" i="100" s="1"/>
  <c r="F150" i="100"/>
  <c r="E150" i="100"/>
  <c r="D150" i="100"/>
  <c r="T149" i="100"/>
  <c r="S149" i="100"/>
  <c r="AN149" i="100" s="1"/>
  <c r="R149" i="100"/>
  <c r="Q149" i="100"/>
  <c r="P149" i="100"/>
  <c r="AK151" i="100" s="1"/>
  <c r="O149" i="100"/>
  <c r="N149" i="100"/>
  <c r="AI150" i="100" s="1"/>
  <c r="M149" i="100"/>
  <c r="L149" i="100"/>
  <c r="K149" i="100"/>
  <c r="J149" i="100"/>
  <c r="I149" i="100"/>
  <c r="H149" i="100"/>
  <c r="AC149" i="100" s="1"/>
  <c r="G149" i="100"/>
  <c r="F149" i="100"/>
  <c r="AA150" i="100" s="1"/>
  <c r="E149" i="100"/>
  <c r="D149" i="100"/>
  <c r="T148" i="100"/>
  <c r="S148" i="100"/>
  <c r="R148" i="100"/>
  <c r="Q148" i="100"/>
  <c r="P148" i="100"/>
  <c r="O148" i="100"/>
  <c r="N148" i="100"/>
  <c r="M148" i="100"/>
  <c r="AH148" i="100" s="1"/>
  <c r="L148" i="100"/>
  <c r="K148" i="100"/>
  <c r="J148" i="100"/>
  <c r="I148" i="100"/>
  <c r="H148" i="100"/>
  <c r="G148" i="100"/>
  <c r="F148" i="100"/>
  <c r="E148" i="100"/>
  <c r="Z148" i="100" s="1"/>
  <c r="D148" i="100"/>
  <c r="T147" i="100"/>
  <c r="S147" i="100"/>
  <c r="R147" i="100"/>
  <c r="Q147" i="100"/>
  <c r="AL147" i="100" s="1"/>
  <c r="P147" i="100"/>
  <c r="AK147" i="100" s="1"/>
  <c r="O147" i="100"/>
  <c r="N147" i="100"/>
  <c r="AI147" i="100" s="1"/>
  <c r="M147" i="100"/>
  <c r="L147" i="100"/>
  <c r="K147" i="100"/>
  <c r="J147" i="100"/>
  <c r="I147" i="100"/>
  <c r="H147" i="100"/>
  <c r="AC147" i="100" s="1"/>
  <c r="G147" i="100"/>
  <c r="F147" i="100"/>
  <c r="AA147" i="100" s="1"/>
  <c r="E147" i="100"/>
  <c r="D147" i="100"/>
  <c r="T146" i="100"/>
  <c r="S146" i="100"/>
  <c r="R146" i="100"/>
  <c r="AM146" i="100" s="1"/>
  <c r="Q146" i="100"/>
  <c r="P146" i="100"/>
  <c r="O146" i="100"/>
  <c r="N146" i="100"/>
  <c r="M146" i="100"/>
  <c r="L146" i="100"/>
  <c r="K146" i="100"/>
  <c r="J146" i="100"/>
  <c r="I146" i="100"/>
  <c r="H146" i="100"/>
  <c r="G146" i="100"/>
  <c r="F146" i="100"/>
  <c r="E146" i="100"/>
  <c r="D146" i="100"/>
  <c r="T145" i="100"/>
  <c r="S145" i="100"/>
  <c r="AN147" i="100" s="1"/>
  <c r="R145" i="100"/>
  <c r="Q145" i="100"/>
  <c r="P145" i="100"/>
  <c r="O145" i="100"/>
  <c r="AJ147" i="100" s="1"/>
  <c r="N145" i="100"/>
  <c r="M145" i="100"/>
  <c r="L145" i="100"/>
  <c r="K145" i="100"/>
  <c r="AF147" i="100" s="1"/>
  <c r="J145" i="100"/>
  <c r="I145" i="100"/>
  <c r="H145" i="100"/>
  <c r="G145" i="100"/>
  <c r="F145" i="100"/>
  <c r="E145" i="100"/>
  <c r="D145" i="100"/>
  <c r="T144" i="100"/>
  <c r="S144" i="100"/>
  <c r="R144" i="100"/>
  <c r="Q144" i="100"/>
  <c r="P144" i="100"/>
  <c r="O144" i="100"/>
  <c r="N144" i="100"/>
  <c r="M144" i="100"/>
  <c r="L144" i="100"/>
  <c r="K144" i="100"/>
  <c r="J144" i="100"/>
  <c r="I144" i="100"/>
  <c r="H144" i="100"/>
  <c r="G144" i="100"/>
  <c r="F144" i="100"/>
  <c r="E144" i="100"/>
  <c r="D144" i="100"/>
  <c r="AE143" i="100"/>
  <c r="T143" i="100"/>
  <c r="S143" i="100"/>
  <c r="AN143" i="100" s="1"/>
  <c r="R143" i="100"/>
  <c r="Q143" i="100"/>
  <c r="P143" i="100"/>
  <c r="O143" i="100"/>
  <c r="N143" i="100"/>
  <c r="M143" i="100"/>
  <c r="AH143" i="100" s="1"/>
  <c r="L143" i="100"/>
  <c r="AG143" i="100" s="1"/>
  <c r="K143" i="100"/>
  <c r="J143" i="100"/>
  <c r="I143" i="100"/>
  <c r="H143" i="100"/>
  <c r="G143" i="100"/>
  <c r="F143" i="100"/>
  <c r="E143" i="100"/>
  <c r="D143" i="100"/>
  <c r="Y143" i="100" s="1"/>
  <c r="T142" i="100"/>
  <c r="S142" i="100"/>
  <c r="R142" i="100"/>
  <c r="Q142" i="100"/>
  <c r="AL142" i="100" s="1"/>
  <c r="P142" i="100"/>
  <c r="AK142" i="100" s="1"/>
  <c r="O142" i="100"/>
  <c r="AJ142" i="100" s="1"/>
  <c r="N142" i="100"/>
  <c r="AI142" i="100" s="1"/>
  <c r="M142" i="100"/>
  <c r="L142" i="100"/>
  <c r="K142" i="100"/>
  <c r="J142" i="100"/>
  <c r="I142" i="100"/>
  <c r="AD142" i="100" s="1"/>
  <c r="H142" i="100"/>
  <c r="AC142" i="100" s="1"/>
  <c r="G142" i="100"/>
  <c r="F142" i="100"/>
  <c r="AA141" i="100" s="1"/>
  <c r="E142" i="100"/>
  <c r="D142" i="100"/>
  <c r="AB141" i="100"/>
  <c r="T141" i="100"/>
  <c r="S141" i="100"/>
  <c r="R141" i="100"/>
  <c r="AM141" i="100" s="1"/>
  <c r="Q141" i="100"/>
  <c r="P141" i="100"/>
  <c r="O141" i="100"/>
  <c r="N141" i="100"/>
  <c r="M141" i="100"/>
  <c r="L141" i="100"/>
  <c r="K141" i="100"/>
  <c r="AF144" i="100" s="1"/>
  <c r="J141" i="100"/>
  <c r="AE141" i="100" s="1"/>
  <c r="I141" i="100"/>
  <c r="H141" i="100"/>
  <c r="G141" i="100"/>
  <c r="F141" i="100"/>
  <c r="E141" i="100"/>
  <c r="D141" i="100"/>
  <c r="AB140" i="100"/>
  <c r="T140" i="100"/>
  <c r="S140" i="100"/>
  <c r="R140" i="100"/>
  <c r="Q140" i="100"/>
  <c r="P140" i="100"/>
  <c r="O140" i="100"/>
  <c r="AJ139" i="100" s="1"/>
  <c r="N140" i="100"/>
  <c r="M140" i="100"/>
  <c r="L140" i="100"/>
  <c r="K140" i="100"/>
  <c r="J140" i="100"/>
  <c r="I140" i="100"/>
  <c r="H140" i="100"/>
  <c r="G140" i="100"/>
  <c r="F140" i="100"/>
  <c r="E140" i="100"/>
  <c r="D140" i="100"/>
  <c r="T139" i="100"/>
  <c r="S139" i="100"/>
  <c r="R139" i="100"/>
  <c r="Q139" i="100"/>
  <c r="P139" i="100"/>
  <c r="O139" i="100"/>
  <c r="N139" i="100"/>
  <c r="AI139" i="100" s="1"/>
  <c r="M139" i="100"/>
  <c r="L139" i="100"/>
  <c r="K139" i="100"/>
  <c r="J139" i="100"/>
  <c r="I139" i="100"/>
  <c r="H139" i="100"/>
  <c r="G139" i="100"/>
  <c r="F139" i="100"/>
  <c r="E139" i="100"/>
  <c r="D139" i="100"/>
  <c r="AM138" i="100"/>
  <c r="T138" i="100"/>
  <c r="S138" i="100"/>
  <c r="AN138" i="100" s="1"/>
  <c r="R138" i="100"/>
  <c r="Q138" i="100"/>
  <c r="P138" i="100"/>
  <c r="O138" i="100"/>
  <c r="N138" i="100"/>
  <c r="M138" i="100"/>
  <c r="L138" i="100"/>
  <c r="K138" i="100"/>
  <c r="AF138" i="100" s="1"/>
  <c r="J138" i="100"/>
  <c r="I138" i="100"/>
  <c r="H138" i="100"/>
  <c r="G138" i="100"/>
  <c r="F138" i="100"/>
  <c r="E138" i="100"/>
  <c r="D138" i="100"/>
  <c r="T137" i="100"/>
  <c r="S137" i="100"/>
  <c r="R137" i="100"/>
  <c r="AM137" i="100" s="1"/>
  <c r="Q137" i="100"/>
  <c r="AL137" i="100" s="1"/>
  <c r="P137" i="100"/>
  <c r="AK139" i="100" s="1"/>
  <c r="O137" i="100"/>
  <c r="N137" i="100"/>
  <c r="M137" i="100"/>
  <c r="L137" i="100"/>
  <c r="K137" i="100"/>
  <c r="J137" i="100"/>
  <c r="AE137" i="100" s="1"/>
  <c r="I137" i="100"/>
  <c r="AD137" i="100" s="1"/>
  <c r="H137" i="100"/>
  <c r="AC137" i="100" s="1"/>
  <c r="G137" i="100"/>
  <c r="F137" i="100"/>
  <c r="E137" i="100"/>
  <c r="D137" i="100"/>
  <c r="T136" i="100"/>
  <c r="S136" i="100"/>
  <c r="R136" i="100"/>
  <c r="AM136" i="100" s="1"/>
  <c r="Q136" i="100"/>
  <c r="P136" i="100"/>
  <c r="O136" i="100"/>
  <c r="N136" i="100"/>
  <c r="M136" i="100"/>
  <c r="L136" i="100"/>
  <c r="K136" i="100"/>
  <c r="J136" i="100"/>
  <c r="AE136" i="100" s="1"/>
  <c r="I136" i="100"/>
  <c r="H136" i="100"/>
  <c r="G136" i="100"/>
  <c r="F136" i="100"/>
  <c r="E136" i="100"/>
  <c r="D136" i="100"/>
  <c r="AE135" i="100"/>
  <c r="T135" i="100"/>
  <c r="S135" i="100"/>
  <c r="AN135" i="100" s="1"/>
  <c r="R135" i="100"/>
  <c r="Q135" i="100"/>
  <c r="P135" i="100"/>
  <c r="O135" i="100"/>
  <c r="N135" i="100"/>
  <c r="M135" i="100"/>
  <c r="AH135" i="100" s="1"/>
  <c r="L135" i="100"/>
  <c r="K135" i="100"/>
  <c r="J135" i="100"/>
  <c r="I135" i="100"/>
  <c r="H135" i="100"/>
  <c r="G135" i="100"/>
  <c r="F135" i="100"/>
  <c r="E135" i="100"/>
  <c r="D135" i="100"/>
  <c r="T134" i="100"/>
  <c r="S134" i="100"/>
  <c r="R134" i="100"/>
  <c r="Q134" i="100"/>
  <c r="P134" i="100"/>
  <c r="O134" i="100"/>
  <c r="N134" i="100"/>
  <c r="AI134" i="100" s="1"/>
  <c r="M134" i="100"/>
  <c r="L134" i="100"/>
  <c r="AG134" i="100" s="1"/>
  <c r="K134" i="100"/>
  <c r="J134" i="100"/>
  <c r="I134" i="100"/>
  <c r="H134" i="100"/>
  <c r="G134" i="100"/>
  <c r="F134" i="100"/>
  <c r="AA133" i="100" s="1"/>
  <c r="E134" i="100"/>
  <c r="D134" i="100"/>
  <c r="T133" i="100"/>
  <c r="S133" i="100"/>
  <c r="R133" i="100"/>
  <c r="Q133" i="100"/>
  <c r="P133" i="100"/>
  <c r="O133" i="100"/>
  <c r="AJ133" i="100" s="1"/>
  <c r="N133" i="100"/>
  <c r="M133" i="100"/>
  <c r="L133" i="100"/>
  <c r="K133" i="100"/>
  <c r="J133" i="100"/>
  <c r="I133" i="100"/>
  <c r="H133" i="100"/>
  <c r="G133" i="100"/>
  <c r="F133" i="100"/>
  <c r="E133" i="100"/>
  <c r="D133" i="100"/>
  <c r="T132" i="100"/>
  <c r="S132" i="100"/>
  <c r="AN132" i="100" s="1"/>
  <c r="R132" i="100"/>
  <c r="Q132" i="100"/>
  <c r="AL132" i="100" s="1"/>
  <c r="P132" i="100"/>
  <c r="O132" i="100"/>
  <c r="N132" i="100"/>
  <c r="M132" i="100"/>
  <c r="L132" i="100"/>
  <c r="K132" i="100"/>
  <c r="AF132" i="100" s="1"/>
  <c r="J132" i="100"/>
  <c r="I132" i="100"/>
  <c r="H132" i="100"/>
  <c r="G132" i="100"/>
  <c r="F132" i="100"/>
  <c r="E132" i="100"/>
  <c r="D132" i="100"/>
  <c r="AK131" i="100"/>
  <c r="T131" i="100"/>
  <c r="S131" i="100"/>
  <c r="R131" i="100"/>
  <c r="AM131" i="100" s="1"/>
  <c r="Q131" i="100"/>
  <c r="P131" i="100"/>
  <c r="O131" i="100"/>
  <c r="N131" i="100"/>
  <c r="M131" i="100"/>
  <c r="L131" i="100"/>
  <c r="K131" i="100"/>
  <c r="J131" i="100"/>
  <c r="AE131" i="100" s="1"/>
  <c r="I131" i="100"/>
  <c r="H131" i="100"/>
  <c r="G131" i="100"/>
  <c r="F131" i="100"/>
  <c r="E131" i="100"/>
  <c r="D131" i="100"/>
  <c r="AM130" i="100"/>
  <c r="Y130" i="100"/>
  <c r="T130" i="100"/>
  <c r="S130" i="100"/>
  <c r="R130" i="100"/>
  <c r="Q130" i="100"/>
  <c r="AL130" i="100" s="1"/>
  <c r="P130" i="100"/>
  <c r="O130" i="100"/>
  <c r="N130" i="100"/>
  <c r="M130" i="100"/>
  <c r="L130" i="100"/>
  <c r="K130" i="100"/>
  <c r="J130" i="100"/>
  <c r="I130" i="100"/>
  <c r="AD130" i="100" s="1"/>
  <c r="H130" i="100"/>
  <c r="G130" i="100"/>
  <c r="F130" i="100"/>
  <c r="E130" i="100"/>
  <c r="D130" i="100"/>
  <c r="AL129" i="100"/>
  <c r="T129" i="100"/>
  <c r="S129" i="100"/>
  <c r="R129" i="100"/>
  <c r="Q129" i="100"/>
  <c r="P129" i="100"/>
  <c r="AK132" i="100" s="1"/>
  <c r="O129" i="100"/>
  <c r="N129" i="100"/>
  <c r="M129" i="100"/>
  <c r="L129" i="100"/>
  <c r="K129" i="100"/>
  <c r="J129" i="100"/>
  <c r="I129" i="100"/>
  <c r="H129" i="100"/>
  <c r="G129" i="100"/>
  <c r="AB132" i="100" s="1"/>
  <c r="F129" i="100"/>
  <c r="E129" i="100"/>
  <c r="D129" i="100"/>
  <c r="T128" i="100"/>
  <c r="S128" i="100"/>
  <c r="R128" i="100"/>
  <c r="Q128" i="100"/>
  <c r="P128" i="100"/>
  <c r="O128" i="100"/>
  <c r="N128" i="100"/>
  <c r="M128" i="100"/>
  <c r="L128" i="100"/>
  <c r="K128" i="100"/>
  <c r="J128" i="100"/>
  <c r="I128" i="100"/>
  <c r="H128" i="100"/>
  <c r="G128" i="100"/>
  <c r="F128" i="100"/>
  <c r="E128" i="100"/>
  <c r="D128" i="100"/>
  <c r="AE127" i="100"/>
  <c r="T127" i="100"/>
  <c r="S127" i="100"/>
  <c r="AN127" i="100" s="1"/>
  <c r="R127" i="100"/>
  <c r="Q127" i="100"/>
  <c r="P127" i="100"/>
  <c r="O127" i="100"/>
  <c r="N127" i="100"/>
  <c r="M127" i="100"/>
  <c r="AH127" i="100" s="1"/>
  <c r="L127" i="100"/>
  <c r="AG127" i="100" s="1"/>
  <c r="K127" i="100"/>
  <c r="J127" i="100"/>
  <c r="I127" i="100"/>
  <c r="H127" i="100"/>
  <c r="G127" i="100"/>
  <c r="F127" i="100"/>
  <c r="E127" i="100"/>
  <c r="D127" i="100"/>
  <c r="Y127" i="100" s="1"/>
  <c r="T126" i="100"/>
  <c r="S126" i="100"/>
  <c r="R126" i="100"/>
  <c r="Q126" i="100"/>
  <c r="P126" i="100"/>
  <c r="O126" i="100"/>
  <c r="N126" i="100"/>
  <c r="AI126" i="100" s="1"/>
  <c r="M126" i="100"/>
  <c r="L126" i="100"/>
  <c r="K126" i="100"/>
  <c r="J126" i="100"/>
  <c r="I126" i="100"/>
  <c r="H126" i="100"/>
  <c r="G126" i="100"/>
  <c r="F126" i="100"/>
  <c r="AA125" i="100" s="1"/>
  <c r="E126" i="100"/>
  <c r="D126" i="100"/>
  <c r="T125" i="100"/>
  <c r="S125" i="100"/>
  <c r="R125" i="100"/>
  <c r="AM125" i="100" s="1"/>
  <c r="Q125" i="100"/>
  <c r="P125" i="100"/>
  <c r="O125" i="100"/>
  <c r="AJ125" i="100" s="1"/>
  <c r="N125" i="100"/>
  <c r="M125" i="100"/>
  <c r="L125" i="100"/>
  <c r="K125" i="100"/>
  <c r="J125" i="100"/>
  <c r="AE125" i="100" s="1"/>
  <c r="I125" i="100"/>
  <c r="H125" i="100"/>
  <c r="G125" i="100"/>
  <c r="F125" i="100"/>
  <c r="E125" i="100"/>
  <c r="D125" i="100"/>
  <c r="T120" i="100"/>
  <c r="S120" i="100" a="1"/>
  <c r="S120" i="100" s="1"/>
  <c r="R120" i="100" a="1"/>
  <c r="R120" i="100"/>
  <c r="Q120" i="100" a="1"/>
  <c r="Q120" i="100"/>
  <c r="P120" i="100" a="1"/>
  <c r="P120" i="100"/>
  <c r="O120" i="100" a="1"/>
  <c r="O120" i="100" s="1"/>
  <c r="N120" i="100" a="1"/>
  <c r="N120" i="100"/>
  <c r="M120" i="100" a="1"/>
  <c r="M120" i="100"/>
  <c r="L120" i="100" a="1"/>
  <c r="L120" i="100"/>
  <c r="K120" i="100" a="1"/>
  <c r="K120" i="100" s="1"/>
  <c r="J120" i="100" a="1"/>
  <c r="J120" i="100"/>
  <c r="I120" i="100" a="1"/>
  <c r="I120" i="100"/>
  <c r="H120" i="100" a="1"/>
  <c r="H120" i="100"/>
  <c r="G120" i="100" a="1"/>
  <c r="G120" i="100" s="1"/>
  <c r="F120" i="100" a="1"/>
  <c r="F120" i="100"/>
  <c r="E120" i="100" a="1"/>
  <c r="E120" i="100"/>
  <c r="D120" i="100" a="1"/>
  <c r="D120" i="100"/>
  <c r="T119" i="100"/>
  <c r="S119" i="100"/>
  <c r="R119" i="100"/>
  <c r="Q119" i="100"/>
  <c r="P119" i="100"/>
  <c r="O119" i="100"/>
  <c r="N119" i="100"/>
  <c r="M119" i="100"/>
  <c r="L119" i="100"/>
  <c r="K119" i="100"/>
  <c r="J119" i="100"/>
  <c r="I119" i="100"/>
  <c r="AD119" i="100" s="1"/>
  <c r="H119" i="100"/>
  <c r="G119" i="100"/>
  <c r="F119" i="100"/>
  <c r="E119" i="100"/>
  <c r="D119" i="100"/>
  <c r="T118" i="100"/>
  <c r="S118" i="100" a="1"/>
  <c r="S118" i="100"/>
  <c r="R118" i="100" a="1"/>
  <c r="R118" i="100"/>
  <c r="Q118" i="100" a="1"/>
  <c r="Q118" i="100"/>
  <c r="P118" i="100" a="1"/>
  <c r="P118" i="100"/>
  <c r="O118" i="100" a="1"/>
  <c r="O118" i="100"/>
  <c r="N118" i="100" a="1"/>
  <c r="N118" i="100"/>
  <c r="M118" i="100" a="1"/>
  <c r="M118" i="100"/>
  <c r="L118" i="100" a="1"/>
  <c r="L118" i="100"/>
  <c r="K118" i="100" a="1"/>
  <c r="K118" i="100"/>
  <c r="J118" i="100" a="1"/>
  <c r="J118" i="100"/>
  <c r="I118" i="100" a="1"/>
  <c r="I118" i="100"/>
  <c r="H118" i="100" a="1"/>
  <c r="H118" i="100"/>
  <c r="G118" i="100" a="1"/>
  <c r="G118" i="100"/>
  <c r="F118" i="100" a="1"/>
  <c r="F118" i="100"/>
  <c r="E118" i="100" a="1"/>
  <c r="E118" i="100"/>
  <c r="Z118" i="100" s="1"/>
  <c r="D118" i="100" a="1"/>
  <c r="D118" i="100"/>
  <c r="T117" i="100"/>
  <c r="S117" i="100" a="1"/>
  <c r="S117" i="100"/>
  <c r="R117" i="100" a="1"/>
  <c r="R117" i="100" s="1"/>
  <c r="Q117" i="100" a="1"/>
  <c r="Q117" i="100" s="1"/>
  <c r="P117" i="100" a="1"/>
  <c r="P117" i="100" s="1"/>
  <c r="O117" i="100" a="1"/>
  <c r="O117" i="100"/>
  <c r="AJ116" i="100" s="1"/>
  <c r="N117" i="100" a="1"/>
  <c r="N117" i="100" s="1"/>
  <c r="AI117" i="100" s="1"/>
  <c r="M117" i="100" a="1"/>
  <c r="M117" i="100" s="1"/>
  <c r="L117" i="100" a="1"/>
  <c r="L117" i="100" s="1"/>
  <c r="K117" i="100" a="1"/>
  <c r="K117" i="100"/>
  <c r="J117" i="100" a="1"/>
  <c r="J117" i="100" s="1"/>
  <c r="I117" i="100" a="1"/>
  <c r="I117" i="100" s="1"/>
  <c r="H117" i="100" a="1"/>
  <c r="H117" i="100" s="1"/>
  <c r="G117" i="100" a="1"/>
  <c r="G117" i="100"/>
  <c r="F117" i="100" a="1"/>
  <c r="F117" i="100" s="1"/>
  <c r="E117" i="100" a="1"/>
  <c r="E117" i="100" s="1"/>
  <c r="D117" i="100" a="1"/>
  <c r="D117" i="100" s="1"/>
  <c r="T116" i="100"/>
  <c r="S116" i="100" a="1"/>
  <c r="S116" i="100" s="1"/>
  <c r="AN116" i="100" s="1"/>
  <c r="R116" i="100" a="1"/>
  <c r="R116" i="100" s="1"/>
  <c r="AM117" i="100" s="1"/>
  <c r="Q116" i="100" a="1"/>
  <c r="Q116" i="100"/>
  <c r="P116" i="100" a="1"/>
  <c r="P116" i="100" s="1"/>
  <c r="O116" i="100" a="1"/>
  <c r="O116" i="100" s="1"/>
  <c r="N116" i="100" a="1"/>
  <c r="N116" i="100" s="1"/>
  <c r="M116" i="100" a="1"/>
  <c r="M116" i="100"/>
  <c r="AH116" i="100" s="1"/>
  <c r="L116" i="100" a="1"/>
  <c r="L116" i="100" s="1"/>
  <c r="AG116" i="100" s="1"/>
  <c r="K116" i="100" a="1"/>
  <c r="K116" i="100" s="1"/>
  <c r="J116" i="100" a="1"/>
  <c r="J116" i="100" s="1"/>
  <c r="I116" i="100" a="1"/>
  <c r="I116" i="100"/>
  <c r="H116" i="100" a="1"/>
  <c r="H116" i="100" s="1"/>
  <c r="G116" i="100" a="1"/>
  <c r="G116" i="100" s="1"/>
  <c r="AB116" i="100" s="1"/>
  <c r="F116" i="100" a="1"/>
  <c r="F116" i="100" s="1"/>
  <c r="AA117" i="100" s="1"/>
  <c r="E116" i="100" a="1"/>
  <c r="E116" i="100"/>
  <c r="D116" i="100" a="1"/>
  <c r="D116" i="100" s="1"/>
  <c r="Y116" i="100" s="1"/>
  <c r="T115" i="100" a="1"/>
  <c r="T115" i="100"/>
  <c r="S115" i="100" a="1"/>
  <c r="S115" i="100" s="1"/>
  <c r="R115" i="100" a="1"/>
  <c r="R115" i="100"/>
  <c r="Q115" i="100" a="1"/>
  <c r="Q115" i="100"/>
  <c r="P115" i="100" a="1"/>
  <c r="P115" i="100"/>
  <c r="O115" i="100" a="1"/>
  <c r="O115" i="100" s="1"/>
  <c r="AJ115" i="100" s="1"/>
  <c r="N115" i="100" a="1"/>
  <c r="N115" i="100"/>
  <c r="M115" i="100" a="1"/>
  <c r="M115" i="100"/>
  <c r="L115" i="100" a="1"/>
  <c r="L115" i="100"/>
  <c r="K115" i="100" a="1"/>
  <c r="K115" i="100" s="1"/>
  <c r="AF115" i="100" s="1"/>
  <c r="J115" i="100" a="1"/>
  <c r="J115" i="100"/>
  <c r="I115" i="100" a="1"/>
  <c r="I115" i="100"/>
  <c r="H115" i="100" a="1"/>
  <c r="H115" i="100"/>
  <c r="G115" i="100" a="1"/>
  <c r="G115" i="100" s="1"/>
  <c r="AB115" i="100" s="1"/>
  <c r="F115" i="100" a="1"/>
  <c r="F115" i="100"/>
  <c r="E115" i="100" a="1"/>
  <c r="E115" i="100"/>
  <c r="D115" i="100" a="1"/>
  <c r="D115" i="100"/>
  <c r="T114" i="100" a="1"/>
  <c r="T114" i="100"/>
  <c r="S114" i="100" a="1"/>
  <c r="S114" i="100"/>
  <c r="R114" i="100" a="1"/>
  <c r="R114" i="100" s="1"/>
  <c r="Q114" i="100" a="1"/>
  <c r="Q114" i="100"/>
  <c r="P114" i="100" a="1"/>
  <c r="P114" i="100"/>
  <c r="O114" i="100" a="1"/>
  <c r="O114" i="100"/>
  <c r="N114" i="100" a="1"/>
  <c r="N114" i="100" s="1"/>
  <c r="AI114" i="100" s="1"/>
  <c r="M114" i="100" a="1"/>
  <c r="M114" i="100"/>
  <c r="L114" i="100" a="1"/>
  <c r="L114" i="100"/>
  <c r="K114" i="100" a="1"/>
  <c r="K114" i="100"/>
  <c r="J114" i="100" a="1"/>
  <c r="J114" i="100" s="1"/>
  <c r="AE114" i="100" s="1"/>
  <c r="I114" i="100" a="1"/>
  <c r="I114" i="100"/>
  <c r="H114" i="100" a="1"/>
  <c r="H114" i="100"/>
  <c r="G114" i="100" a="1"/>
  <c r="G114" i="100"/>
  <c r="F114" i="100" a="1"/>
  <c r="F114" i="100" s="1"/>
  <c r="AA114" i="100" s="1"/>
  <c r="E114" i="100" a="1"/>
  <c r="E114" i="100"/>
  <c r="D114" i="100" a="1"/>
  <c r="D114" i="100"/>
  <c r="T113" i="100" a="1"/>
  <c r="T113" i="100" s="1"/>
  <c r="S113" i="100" a="1"/>
  <c r="S113" i="100" s="1"/>
  <c r="AN113" i="100" s="1"/>
  <c r="R113" i="100" a="1"/>
  <c r="R113" i="100"/>
  <c r="Q113" i="100" a="1"/>
  <c r="Q113" i="100" s="1"/>
  <c r="P113" i="100" a="1"/>
  <c r="P113" i="100" s="1"/>
  <c r="O113" i="100" a="1"/>
  <c r="O113" i="100" s="1"/>
  <c r="N113" i="100" a="1"/>
  <c r="N113" i="100"/>
  <c r="M113" i="100" a="1"/>
  <c r="M113" i="100" s="1"/>
  <c r="AH113" i="100" s="1"/>
  <c r="L113" i="100" a="1"/>
  <c r="L113" i="100" s="1"/>
  <c r="K113" i="100" a="1"/>
  <c r="K113" i="100" s="1"/>
  <c r="J113" i="100" a="1"/>
  <c r="J113" i="100"/>
  <c r="I113" i="100" a="1"/>
  <c r="I113" i="100" s="1"/>
  <c r="H113" i="100" a="1"/>
  <c r="H113" i="100"/>
  <c r="G113" i="100" a="1"/>
  <c r="G113" i="100" s="1"/>
  <c r="F113" i="100" a="1"/>
  <c r="F113" i="100" s="1"/>
  <c r="E113" i="100" a="1"/>
  <c r="E113" i="100" s="1"/>
  <c r="D113" i="100" a="1"/>
  <c r="D113" i="100" s="1"/>
  <c r="AF112" i="100"/>
  <c r="T112" i="100"/>
  <c r="S112" i="100" a="1"/>
  <c r="S112" i="100"/>
  <c r="R112" i="100" a="1"/>
  <c r="R112" i="100" s="1"/>
  <c r="Q112" i="100" a="1"/>
  <c r="Q112" i="100"/>
  <c r="P112" i="100" a="1"/>
  <c r="P112" i="100" s="1"/>
  <c r="O112" i="100" a="1"/>
  <c r="O112" i="100"/>
  <c r="N112" i="100" a="1"/>
  <c r="N112" i="100" s="1"/>
  <c r="M112" i="100" a="1"/>
  <c r="M112" i="100"/>
  <c r="L112" i="100" a="1"/>
  <c r="L112" i="100" s="1"/>
  <c r="K112" i="100" a="1"/>
  <c r="K112" i="100" s="1"/>
  <c r="J112" i="100" a="1"/>
  <c r="J112" i="100" s="1"/>
  <c r="I112" i="100" a="1"/>
  <c r="I112" i="100" s="1"/>
  <c r="AD112" i="100" s="1"/>
  <c r="H112" i="100" a="1"/>
  <c r="H112" i="100"/>
  <c r="G112" i="100" a="1"/>
  <c r="G112" i="100" s="1"/>
  <c r="F112" i="100" a="1"/>
  <c r="F112" i="100" s="1"/>
  <c r="E112" i="100" a="1"/>
  <c r="E112" i="100"/>
  <c r="Z112" i="100" s="1"/>
  <c r="D112" i="100" a="1"/>
  <c r="D112" i="100"/>
  <c r="AF111" i="100"/>
  <c r="T111" i="100" a="1"/>
  <c r="T111" i="100"/>
  <c r="S111" i="100" a="1"/>
  <c r="S111" i="100" s="1"/>
  <c r="R111" i="100" a="1"/>
  <c r="R111" i="100"/>
  <c r="Q111" i="100" a="1"/>
  <c r="Q111" i="100" s="1"/>
  <c r="AL111" i="100" s="1"/>
  <c r="P111" i="100" a="1"/>
  <c r="P111" i="100"/>
  <c r="O111" i="100" a="1"/>
  <c r="O111" i="100" s="1"/>
  <c r="N111" i="100" a="1"/>
  <c r="N111" i="100"/>
  <c r="M111" i="100" a="1"/>
  <c r="M111" i="100" s="1"/>
  <c r="L111" i="100" a="1"/>
  <c r="L111" i="100"/>
  <c r="K111" i="100" a="1"/>
  <c r="K111" i="100" s="1"/>
  <c r="J111" i="100" a="1"/>
  <c r="J111" i="100"/>
  <c r="AE111" i="100" s="1"/>
  <c r="I111" i="100" a="1"/>
  <c r="I111" i="100" s="1"/>
  <c r="H111" i="100" a="1"/>
  <c r="H111" i="100"/>
  <c r="G111" i="100" a="1"/>
  <c r="G111" i="100" s="1"/>
  <c r="F111" i="100" a="1"/>
  <c r="F111" i="100"/>
  <c r="E111" i="100" a="1"/>
  <c r="E111" i="100" s="1"/>
  <c r="D111" i="100" a="1"/>
  <c r="D111" i="100"/>
  <c r="T110" i="100" a="1"/>
  <c r="T110" i="100"/>
  <c r="S110" i="100" a="1"/>
  <c r="S110" i="100" s="1"/>
  <c r="R110" i="100" a="1"/>
  <c r="R110" i="100" s="1"/>
  <c r="Q110" i="100" a="1"/>
  <c r="Q110" i="100"/>
  <c r="P110" i="100" a="1"/>
  <c r="P110" i="100" s="1"/>
  <c r="O110" i="100" a="1"/>
  <c r="O110" i="100"/>
  <c r="N110" i="100" a="1"/>
  <c r="N110" i="100" s="1"/>
  <c r="AI110" i="100" s="1"/>
  <c r="M110" i="100" a="1"/>
  <c r="M110" i="100" s="1"/>
  <c r="AH110" i="100" s="1"/>
  <c r="L110" i="100" a="1"/>
  <c r="L110" i="100"/>
  <c r="K110" i="100" a="1"/>
  <c r="K110" i="100"/>
  <c r="J110" i="100" a="1"/>
  <c r="J110" i="100" s="1"/>
  <c r="I110" i="100" a="1"/>
  <c r="I110" i="100" s="1"/>
  <c r="H110" i="100" a="1"/>
  <c r="H110" i="100"/>
  <c r="G110" i="100" a="1"/>
  <c r="G110" i="100" s="1"/>
  <c r="F110" i="100" a="1"/>
  <c r="F110" i="100" s="1"/>
  <c r="E110" i="100" a="1"/>
  <c r="E110" i="100" s="1"/>
  <c r="Z110" i="100" s="1"/>
  <c r="D110" i="100" a="1"/>
  <c r="D110" i="100" s="1"/>
  <c r="T109" i="100" a="1"/>
  <c r="T109" i="100"/>
  <c r="S109" i="100" a="1"/>
  <c r="S109" i="100" s="1"/>
  <c r="R109" i="100" a="1"/>
  <c r="R109" i="100"/>
  <c r="Q109" i="100" a="1"/>
  <c r="Q109" i="100"/>
  <c r="P109" i="100" a="1"/>
  <c r="P109" i="100"/>
  <c r="AK109" i="100" s="1"/>
  <c r="O109" i="100" a="1"/>
  <c r="O109" i="100" s="1"/>
  <c r="AJ109" i="100" s="1"/>
  <c r="N109" i="100" a="1"/>
  <c r="N109" i="100"/>
  <c r="M109" i="100" a="1"/>
  <c r="M109" i="100"/>
  <c r="L109" i="100" a="1"/>
  <c r="L109" i="100" s="1"/>
  <c r="AG109" i="100" s="1"/>
  <c r="K109" i="100" a="1"/>
  <c r="K109" i="100" s="1"/>
  <c r="AF109" i="100" s="1"/>
  <c r="J109" i="100" a="1"/>
  <c r="J109" i="100"/>
  <c r="I109" i="100" a="1"/>
  <c r="I109" i="100"/>
  <c r="H109" i="100" a="1"/>
  <c r="H109" i="100"/>
  <c r="G109" i="100" a="1"/>
  <c r="G109" i="100" s="1"/>
  <c r="F109" i="100" a="1"/>
  <c r="F109" i="100"/>
  <c r="E109" i="100" a="1"/>
  <c r="E109" i="100"/>
  <c r="D109" i="100" a="1"/>
  <c r="D109" i="100"/>
  <c r="Y109" i="100" s="1"/>
  <c r="T108" i="100"/>
  <c r="S108" i="100" a="1"/>
  <c r="S108" i="100"/>
  <c r="R108" i="100" a="1"/>
  <c r="R108" i="100" s="1"/>
  <c r="Q108" i="100" a="1"/>
  <c r="Q108" i="100" s="1"/>
  <c r="P108" i="100" a="1"/>
  <c r="P108" i="100"/>
  <c r="O108" i="100" a="1"/>
  <c r="O108" i="100"/>
  <c r="N108" i="100" a="1"/>
  <c r="N108" i="100"/>
  <c r="M108" i="100" a="1"/>
  <c r="M108" i="100" s="1"/>
  <c r="L108" i="100" a="1"/>
  <c r="L108" i="100"/>
  <c r="K108" i="100" a="1"/>
  <c r="K108" i="100"/>
  <c r="J108" i="100" a="1"/>
  <c r="J108" i="100"/>
  <c r="I108" i="100" a="1"/>
  <c r="I108" i="100" s="1"/>
  <c r="H108" i="100" a="1"/>
  <c r="H108" i="100" s="1"/>
  <c r="G108" i="100" a="1"/>
  <c r="G108" i="100"/>
  <c r="F108" i="100" a="1"/>
  <c r="F108" i="100" s="1"/>
  <c r="E108" i="100" a="1"/>
  <c r="E108" i="100" s="1"/>
  <c r="D108" i="100" a="1"/>
  <c r="D108" i="100" s="1"/>
  <c r="AE107" i="100"/>
  <c r="T107" i="100" a="1"/>
  <c r="T107" i="100"/>
  <c r="S107" i="100" a="1"/>
  <c r="S107" i="100" s="1"/>
  <c r="AN107" i="100" s="1"/>
  <c r="R107" i="100" a="1"/>
  <c r="R107" i="100"/>
  <c r="Q107" i="100" a="1"/>
  <c r="Q107" i="100" s="1"/>
  <c r="P107" i="100" a="1"/>
  <c r="P107" i="100"/>
  <c r="O107" i="100" a="1"/>
  <c r="O107" i="100" s="1"/>
  <c r="N107" i="100" a="1"/>
  <c r="N107" i="100"/>
  <c r="M107" i="100" a="1"/>
  <c r="M107" i="100" s="1"/>
  <c r="L107" i="100" a="1"/>
  <c r="L107" i="100"/>
  <c r="K107" i="100" a="1"/>
  <c r="K107" i="100" s="1"/>
  <c r="J107" i="100" a="1"/>
  <c r="J107" i="100"/>
  <c r="I107" i="100" a="1"/>
  <c r="I107" i="100" s="1"/>
  <c r="H107" i="100" a="1"/>
  <c r="H107" i="100"/>
  <c r="G107" i="100" a="1"/>
  <c r="G107" i="100" s="1"/>
  <c r="F107" i="100" a="1"/>
  <c r="F107" i="100"/>
  <c r="AA107" i="100" s="1"/>
  <c r="E107" i="100" a="1"/>
  <c r="E107" i="100" s="1"/>
  <c r="Z107" i="100" s="1"/>
  <c r="D107" i="100" a="1"/>
  <c r="D107" i="100"/>
  <c r="T106" i="100" a="1"/>
  <c r="T106" i="100" s="1"/>
  <c r="S106" i="100" a="1"/>
  <c r="S106" i="100"/>
  <c r="R106" i="100" a="1"/>
  <c r="R106" i="100" s="1"/>
  <c r="AM106" i="100" s="1"/>
  <c r="Q106" i="100" a="1"/>
  <c r="Q106" i="100"/>
  <c r="P106" i="100" a="1"/>
  <c r="P106" i="100" s="1"/>
  <c r="O106" i="100" a="1"/>
  <c r="O106" i="100"/>
  <c r="N106" i="100" a="1"/>
  <c r="N106" i="100" s="1"/>
  <c r="M106" i="100" a="1"/>
  <c r="M106" i="100"/>
  <c r="AH106" i="100" s="1"/>
  <c r="L106" i="100" a="1"/>
  <c r="L106" i="100" s="1"/>
  <c r="K106" i="100" a="1"/>
  <c r="K106" i="100"/>
  <c r="J106" i="100" a="1"/>
  <c r="J106" i="100" s="1"/>
  <c r="AE106" i="100" s="1"/>
  <c r="I106" i="100" a="1"/>
  <c r="I106" i="100"/>
  <c r="H106" i="100" a="1"/>
  <c r="H106" i="100" s="1"/>
  <c r="G106" i="100" a="1"/>
  <c r="G106" i="100"/>
  <c r="F106" i="100" a="1"/>
  <c r="F106" i="100" s="1"/>
  <c r="E106" i="100" a="1"/>
  <c r="E106" i="100"/>
  <c r="Z106" i="100" s="1"/>
  <c r="D106" i="100" a="1"/>
  <c r="D106" i="100" s="1"/>
  <c r="T105" i="100" a="1"/>
  <c r="T105" i="100" s="1"/>
  <c r="S105" i="100" a="1"/>
  <c r="S105" i="100"/>
  <c r="R105" i="100" a="1"/>
  <c r="R105" i="100" s="1"/>
  <c r="Q105" i="100" a="1"/>
  <c r="Q105" i="100"/>
  <c r="AL105" i="100" s="1"/>
  <c r="P105" i="100" a="1"/>
  <c r="P105" i="100" s="1"/>
  <c r="O105" i="100" a="1"/>
  <c r="O105" i="100"/>
  <c r="N105" i="100" a="1"/>
  <c r="N105" i="100" s="1"/>
  <c r="AI105" i="100" s="1"/>
  <c r="M105" i="100" a="1"/>
  <c r="M105" i="100"/>
  <c r="L105" i="100" a="1"/>
  <c r="L105" i="100" s="1"/>
  <c r="K105" i="100" a="1"/>
  <c r="K105" i="100"/>
  <c r="J105" i="100" a="1"/>
  <c r="J105" i="100" s="1"/>
  <c r="I105" i="100" a="1"/>
  <c r="I105" i="100"/>
  <c r="AD105" i="100" s="1"/>
  <c r="H105" i="100" a="1"/>
  <c r="H105" i="100" s="1"/>
  <c r="AC105" i="100" s="1"/>
  <c r="G105" i="100" a="1"/>
  <c r="G105" i="100"/>
  <c r="F105" i="100" a="1"/>
  <c r="F105" i="100" s="1"/>
  <c r="E105" i="100" a="1"/>
  <c r="E105" i="100"/>
  <c r="Z105" i="100" s="1"/>
  <c r="D105" i="100" a="1"/>
  <c r="D105" i="100" s="1"/>
  <c r="T104" i="100" a="1"/>
  <c r="T104" i="100"/>
  <c r="S104" i="100" a="1"/>
  <c r="S104" i="100" s="1"/>
  <c r="R104" i="100" a="1"/>
  <c r="R104" i="100"/>
  <c r="Q104" i="100" a="1"/>
  <c r="Q104" i="100"/>
  <c r="P104" i="100" a="1"/>
  <c r="P104" i="100"/>
  <c r="AK104" i="100" s="1"/>
  <c r="O104" i="100" a="1"/>
  <c r="O104" i="100" s="1"/>
  <c r="N104" i="100" a="1"/>
  <c r="N104" i="100"/>
  <c r="M104" i="100" a="1"/>
  <c r="M104" i="100"/>
  <c r="L104" i="100" a="1"/>
  <c r="L104" i="100"/>
  <c r="K104" i="100" a="1"/>
  <c r="K104" i="100" s="1"/>
  <c r="AF104" i="100" s="1"/>
  <c r="J104" i="100" a="1"/>
  <c r="J104" i="100"/>
  <c r="I104" i="100" a="1"/>
  <c r="I104" i="100"/>
  <c r="H104" i="100" a="1"/>
  <c r="H104" i="100" s="1"/>
  <c r="G104" i="100" a="1"/>
  <c r="G104" i="100" s="1"/>
  <c r="AB104" i="100" s="1"/>
  <c r="F104" i="100" a="1"/>
  <c r="F104" i="100"/>
  <c r="AA104" i="100" s="1"/>
  <c r="E104" i="100" a="1"/>
  <c r="E104" i="100"/>
  <c r="D104" i="100" a="1"/>
  <c r="D104" i="100"/>
  <c r="Y104" i="100" s="1"/>
  <c r="T103" i="100" a="1"/>
  <c r="T103" i="100"/>
  <c r="S103" i="100" a="1"/>
  <c r="S103" i="100" s="1"/>
  <c r="R103" i="100" a="1"/>
  <c r="R103" i="100"/>
  <c r="Q103" i="100" a="1"/>
  <c r="Q103" i="100" s="1"/>
  <c r="P103" i="100" a="1"/>
  <c r="P103" i="100"/>
  <c r="O103" i="100" a="1"/>
  <c r="O103" i="100" s="1"/>
  <c r="N103" i="100" a="1"/>
  <c r="N103" i="100"/>
  <c r="M103" i="100" a="1"/>
  <c r="M103" i="100" s="1"/>
  <c r="AH103" i="100" s="1"/>
  <c r="L103" i="100" a="1"/>
  <c r="L103" i="100"/>
  <c r="K103" i="100" a="1"/>
  <c r="K103" i="100" s="1"/>
  <c r="J103" i="100" a="1"/>
  <c r="J103" i="100"/>
  <c r="I103" i="100" a="1"/>
  <c r="I103" i="100" s="1"/>
  <c r="H103" i="100" a="1"/>
  <c r="H103" i="100"/>
  <c r="G103" i="100" a="1"/>
  <c r="G103" i="100" s="1"/>
  <c r="F103" i="100" a="1"/>
  <c r="F103" i="100"/>
  <c r="E103" i="100" a="1"/>
  <c r="E103" i="100" s="1"/>
  <c r="D103" i="100" a="1"/>
  <c r="D103" i="100"/>
  <c r="AM102" i="100"/>
  <c r="T102" i="100" a="1"/>
  <c r="T102" i="100" s="1"/>
  <c r="S102" i="100" a="1"/>
  <c r="S102" i="100"/>
  <c r="R102" i="100" a="1"/>
  <c r="R102" i="100" s="1"/>
  <c r="Q102" i="100" a="1"/>
  <c r="Q102" i="100" s="1"/>
  <c r="P102" i="100" a="1"/>
  <c r="P102" i="100" s="1"/>
  <c r="O102" i="100" a="1"/>
  <c r="O102" i="100"/>
  <c r="N102" i="100" a="1"/>
  <c r="N102" i="100" s="1"/>
  <c r="AI102" i="100" s="1"/>
  <c r="M102" i="100" a="1"/>
  <c r="M102" i="100" s="1"/>
  <c r="L102" i="100" a="1"/>
  <c r="L102" i="100" s="1"/>
  <c r="K102" i="100" a="1"/>
  <c r="K102" i="100"/>
  <c r="J102" i="100" a="1"/>
  <c r="J102" i="100" s="1"/>
  <c r="I102" i="100" a="1"/>
  <c r="I102" i="100" s="1"/>
  <c r="H102" i="100" a="1"/>
  <c r="H102" i="100" s="1"/>
  <c r="G102" i="100" a="1"/>
  <c r="G102" i="100"/>
  <c r="F102" i="100" a="1"/>
  <c r="F102" i="100" s="1"/>
  <c r="E102" i="100" a="1"/>
  <c r="E102" i="100" s="1"/>
  <c r="D102" i="100" a="1"/>
  <c r="D102" i="100" s="1"/>
  <c r="T101" i="100" a="1"/>
  <c r="T101" i="100"/>
  <c r="S101" i="100" a="1"/>
  <c r="S101" i="100"/>
  <c r="R101" i="100" a="1"/>
  <c r="R101" i="100" s="1"/>
  <c r="Q101" i="100" a="1"/>
  <c r="Q101" i="100"/>
  <c r="P101" i="100" a="1"/>
  <c r="P101" i="100"/>
  <c r="O101" i="100" a="1"/>
  <c r="O101" i="100" s="1"/>
  <c r="N101" i="100" a="1"/>
  <c r="N101" i="100" s="1"/>
  <c r="M101" i="100" a="1"/>
  <c r="M101" i="100"/>
  <c r="L101" i="100" a="1"/>
  <c r="L101" i="100"/>
  <c r="K101" i="100" a="1"/>
  <c r="K101" i="100"/>
  <c r="J101" i="100" a="1"/>
  <c r="J101" i="100" s="1"/>
  <c r="I101" i="100" a="1"/>
  <c r="I101" i="100"/>
  <c r="H101" i="100" a="1"/>
  <c r="H101" i="100"/>
  <c r="G101" i="100" a="1"/>
  <c r="G101" i="100"/>
  <c r="F101" i="100" a="1"/>
  <c r="F101" i="100" s="1"/>
  <c r="AA101" i="100" s="1"/>
  <c r="E101" i="100" a="1"/>
  <c r="E101" i="100"/>
  <c r="D101" i="100" a="1"/>
  <c r="D101" i="100"/>
  <c r="AE100" i="100"/>
  <c r="T100" i="100"/>
  <c r="S100" i="100" a="1"/>
  <c r="S100" i="100" s="1"/>
  <c r="R100" i="100" a="1"/>
  <c r="R100" i="100"/>
  <c r="AM103" i="100" s="1"/>
  <c r="Q100" i="100" a="1"/>
  <c r="Q100" i="100" s="1"/>
  <c r="AL101" i="100" s="1"/>
  <c r="P100" i="100" a="1"/>
  <c r="P100" i="100"/>
  <c r="O100" i="100" a="1"/>
  <c r="O100" i="100" s="1"/>
  <c r="N100" i="100" a="1"/>
  <c r="N100" i="100"/>
  <c r="M100" i="100" a="1"/>
  <c r="M100" i="100" s="1"/>
  <c r="L100" i="100" a="1"/>
  <c r="L100" i="100" s="1"/>
  <c r="AG100" i="100" s="1"/>
  <c r="K100" i="100" a="1"/>
  <c r="K100" i="100" s="1"/>
  <c r="J100" i="100" a="1"/>
  <c r="J100" i="100"/>
  <c r="I100" i="100" a="1"/>
  <c r="I100" i="100" s="1"/>
  <c r="AD100" i="100" s="1"/>
  <c r="H100" i="100" a="1"/>
  <c r="H100" i="100" s="1"/>
  <c r="G100" i="100" a="1"/>
  <c r="G100" i="100" s="1"/>
  <c r="AB100" i="100" s="1"/>
  <c r="F100" i="100" a="1"/>
  <c r="F100" i="100"/>
  <c r="E100" i="100" a="1"/>
  <c r="E100" i="100" s="1"/>
  <c r="Z100" i="100" s="1"/>
  <c r="D100" i="100" a="1"/>
  <c r="D100" i="100" s="1"/>
  <c r="Y100" i="100" s="1"/>
  <c r="Y99" i="100"/>
  <c r="T99" i="100" a="1"/>
  <c r="T99" i="100" s="1"/>
  <c r="S99" i="100" a="1"/>
  <c r="S99" i="100"/>
  <c r="R99" i="100" a="1"/>
  <c r="R99" i="100"/>
  <c r="Q99" i="100" a="1"/>
  <c r="Q99" i="100"/>
  <c r="AL99" i="100" s="1"/>
  <c r="P99" i="100" a="1"/>
  <c r="P99" i="100" s="1"/>
  <c r="AK99" i="100" s="1"/>
  <c r="O99" i="100" a="1"/>
  <c r="O99" i="100"/>
  <c r="N99" i="100" a="1"/>
  <c r="N99" i="100"/>
  <c r="M99" i="100" a="1"/>
  <c r="M99" i="100" s="1"/>
  <c r="AH99" i="100" s="1"/>
  <c r="L99" i="100" a="1"/>
  <c r="L99" i="100" s="1"/>
  <c r="K99" i="100" a="1"/>
  <c r="K99" i="100"/>
  <c r="AF99" i="100" s="1"/>
  <c r="J99" i="100" a="1"/>
  <c r="J99" i="100"/>
  <c r="I99" i="100" a="1"/>
  <c r="I99" i="100" s="1"/>
  <c r="H99" i="100" a="1"/>
  <c r="H99" i="100" s="1"/>
  <c r="G99" i="100" a="1"/>
  <c r="G99" i="100"/>
  <c r="AB99" i="100" s="1"/>
  <c r="F99" i="100" a="1"/>
  <c r="F99" i="100"/>
  <c r="E99" i="100" a="1"/>
  <c r="E99" i="100"/>
  <c r="Z99" i="100" s="1"/>
  <c r="D99" i="100" a="1"/>
  <c r="D99" i="100" s="1"/>
  <c r="T98" i="100" a="1"/>
  <c r="T98" i="100"/>
  <c r="S98" i="100" a="1"/>
  <c r="S98" i="100" s="1"/>
  <c r="R98" i="100" a="1"/>
  <c r="R98" i="100"/>
  <c r="Q98" i="100" a="1"/>
  <c r="Q98" i="100"/>
  <c r="P98" i="100" a="1"/>
  <c r="P98" i="100"/>
  <c r="O98" i="100" a="1"/>
  <c r="O98" i="100" s="1"/>
  <c r="N98" i="100" a="1"/>
  <c r="N98" i="100"/>
  <c r="M98" i="100" a="1"/>
  <c r="M98" i="100"/>
  <c r="L98" i="100" a="1"/>
  <c r="L98" i="100" s="1"/>
  <c r="K98" i="100" a="1"/>
  <c r="K98" i="100" s="1"/>
  <c r="J98" i="100" a="1"/>
  <c r="J98" i="100"/>
  <c r="I98" i="100" a="1"/>
  <c r="I98" i="100"/>
  <c r="H98" i="100" a="1"/>
  <c r="H98" i="100" s="1"/>
  <c r="AC98" i="100" s="1"/>
  <c r="G98" i="100" a="1"/>
  <c r="G98" i="100" s="1"/>
  <c r="F98" i="100" a="1"/>
  <c r="F98" i="100"/>
  <c r="E98" i="100" a="1"/>
  <c r="E98" i="100"/>
  <c r="D98" i="100" a="1"/>
  <c r="D98" i="100"/>
  <c r="T97" i="100" a="1"/>
  <c r="T97" i="100"/>
  <c r="S97" i="100" a="1"/>
  <c r="S97" i="100" s="1"/>
  <c r="R97" i="100" a="1"/>
  <c r="R97" i="100"/>
  <c r="Q97" i="100" a="1"/>
  <c r="Q97" i="100"/>
  <c r="AL97" i="100" s="1"/>
  <c r="P97" i="100" a="1"/>
  <c r="P97" i="100"/>
  <c r="O97" i="100" a="1"/>
  <c r="O97" i="100" s="1"/>
  <c r="N97" i="100" a="1"/>
  <c r="N97" i="100"/>
  <c r="M97" i="100" a="1"/>
  <c r="M97" i="100"/>
  <c r="L97" i="100" a="1"/>
  <c r="L97" i="100" s="1"/>
  <c r="K97" i="100" a="1"/>
  <c r="K97" i="100" s="1"/>
  <c r="J97" i="100" a="1"/>
  <c r="J97" i="100"/>
  <c r="I97" i="100" a="1"/>
  <c r="I97" i="100"/>
  <c r="H97" i="100" a="1"/>
  <c r="H97" i="100" s="1"/>
  <c r="G97" i="100" a="1"/>
  <c r="G97" i="100" s="1"/>
  <c r="F97" i="100" a="1"/>
  <c r="F97" i="100"/>
  <c r="E97" i="100" a="1"/>
  <c r="E97" i="100"/>
  <c r="D97" i="100" a="1"/>
  <c r="D97" i="100"/>
  <c r="Y97" i="100" s="1"/>
  <c r="AL96" i="100"/>
  <c r="T96" i="100"/>
  <c r="S96" i="100" a="1"/>
  <c r="S96" i="100"/>
  <c r="AN96" i="100" s="1"/>
  <c r="R96" i="100" a="1"/>
  <c r="R96" i="100"/>
  <c r="AM96" i="100" s="1"/>
  <c r="Q96" i="100" a="1"/>
  <c r="Q96" i="100"/>
  <c r="P96" i="100" a="1"/>
  <c r="P96" i="100" s="1"/>
  <c r="O96" i="100" a="1"/>
  <c r="O96" i="100"/>
  <c r="N96" i="100" a="1"/>
  <c r="N96" i="100" s="1"/>
  <c r="M96" i="100" a="1"/>
  <c r="M96" i="100"/>
  <c r="L96" i="100" a="1"/>
  <c r="L96" i="100" s="1"/>
  <c r="K96" i="100" a="1"/>
  <c r="K96" i="100"/>
  <c r="J96" i="100" a="1"/>
  <c r="J96" i="100" s="1"/>
  <c r="AE96" i="100" s="1"/>
  <c r="I96" i="100" a="1"/>
  <c r="I96" i="100"/>
  <c r="H96" i="100" a="1"/>
  <c r="H96" i="100" s="1"/>
  <c r="G96" i="100" a="1"/>
  <c r="G96" i="100"/>
  <c r="F96" i="100" a="1"/>
  <c r="F96" i="100"/>
  <c r="E96" i="100" a="1"/>
  <c r="E96" i="100"/>
  <c r="D96" i="100" a="1"/>
  <c r="D96" i="100" s="1"/>
  <c r="T95" i="100" a="1"/>
  <c r="T95" i="100" s="1"/>
  <c r="S95" i="100"/>
  <c r="R95" i="100"/>
  <c r="Q95" i="100"/>
  <c r="P95" i="100"/>
  <c r="O95" i="100"/>
  <c r="N95" i="100"/>
  <c r="M95" i="100"/>
  <c r="L95" i="100"/>
  <c r="K95" i="100"/>
  <c r="J95" i="100"/>
  <c r="I95" i="100"/>
  <c r="H95" i="100"/>
  <c r="G95" i="100"/>
  <c r="F95" i="100"/>
  <c r="E95" i="100"/>
  <c r="D95" i="100"/>
  <c r="T94" i="100"/>
  <c r="S94" i="100" a="1"/>
  <c r="S94" i="100"/>
  <c r="R94" i="100" a="1"/>
  <c r="R94" i="100" s="1"/>
  <c r="Q94" i="100" a="1"/>
  <c r="Q94" i="100"/>
  <c r="P94" i="100" a="1"/>
  <c r="P94" i="100" s="1"/>
  <c r="O94" i="100" a="1"/>
  <c r="O94" i="100"/>
  <c r="N94" i="100" a="1"/>
  <c r="N94" i="100" s="1"/>
  <c r="M94" i="100" a="1"/>
  <c r="M94" i="100"/>
  <c r="L94" i="100" a="1"/>
  <c r="L94" i="100"/>
  <c r="K94" i="100" a="1"/>
  <c r="K94" i="100"/>
  <c r="J94" i="100" a="1"/>
  <c r="J94" i="100" s="1"/>
  <c r="I94" i="100" a="1"/>
  <c r="I94" i="100" s="1"/>
  <c r="H94" i="100" a="1"/>
  <c r="H94" i="100"/>
  <c r="G94" i="100" a="1"/>
  <c r="G94" i="100"/>
  <c r="F94" i="100" a="1"/>
  <c r="F94" i="100" s="1"/>
  <c r="E94" i="100" a="1"/>
  <c r="E94" i="100"/>
  <c r="D94" i="100" a="1"/>
  <c r="D94" i="100"/>
  <c r="T93" i="100" a="1"/>
  <c r="T93" i="100"/>
  <c r="S93" i="100" a="1"/>
  <c r="S93" i="100"/>
  <c r="R93" i="100" a="1"/>
  <c r="R93" i="100" s="1"/>
  <c r="Q93" i="100" a="1"/>
  <c r="Q93" i="100"/>
  <c r="P93" i="100" a="1"/>
  <c r="P93" i="100"/>
  <c r="O93" i="100" a="1"/>
  <c r="O93" i="100"/>
  <c r="N93" i="100" a="1"/>
  <c r="N93" i="100" s="1"/>
  <c r="AI93" i="100" s="1"/>
  <c r="M93" i="100" a="1"/>
  <c r="M93" i="100"/>
  <c r="L93" i="100" a="1"/>
  <c r="L93" i="100"/>
  <c r="K93" i="100" a="1"/>
  <c r="K93" i="100" s="1"/>
  <c r="AF93" i="100" s="1"/>
  <c r="J93" i="100" a="1"/>
  <c r="J93" i="100" s="1"/>
  <c r="I93" i="100" a="1"/>
  <c r="I93" i="100"/>
  <c r="H93" i="100" a="1"/>
  <c r="H93" i="100"/>
  <c r="G93" i="100" a="1"/>
  <c r="G93" i="100"/>
  <c r="F93" i="100" a="1"/>
  <c r="F93" i="100" s="1"/>
  <c r="E93" i="100" a="1"/>
  <c r="E93" i="100"/>
  <c r="D93" i="100" a="1"/>
  <c r="D93" i="100"/>
  <c r="T92" i="100"/>
  <c r="S92" i="100" a="1"/>
  <c r="S92" i="100"/>
  <c r="R92" i="100" a="1"/>
  <c r="R92" i="100"/>
  <c r="Q92" i="100" a="1"/>
  <c r="Q92" i="100" s="1"/>
  <c r="P92" i="100" a="1"/>
  <c r="P92" i="100" s="1"/>
  <c r="O92" i="100" a="1"/>
  <c r="O92" i="100"/>
  <c r="N92" i="100" a="1"/>
  <c r="N92" i="100" s="1"/>
  <c r="M92" i="100" a="1"/>
  <c r="M92" i="100" s="1"/>
  <c r="L92" i="100" a="1"/>
  <c r="L92" i="100" s="1"/>
  <c r="AG92" i="100" s="1"/>
  <c r="K92" i="100" a="1"/>
  <c r="K92" i="100"/>
  <c r="AF92" i="100" s="1"/>
  <c r="J92" i="100" a="1"/>
  <c r="J92" i="100" s="1"/>
  <c r="I92" i="100" a="1"/>
  <c r="I92" i="100" s="1"/>
  <c r="H92" i="100" a="1"/>
  <c r="H92" i="100"/>
  <c r="G92" i="100" a="1"/>
  <c r="G92" i="100" s="1"/>
  <c r="F92" i="100" a="1"/>
  <c r="F92" i="100"/>
  <c r="AA94" i="100" s="1"/>
  <c r="E92" i="100" a="1"/>
  <c r="E92" i="100" s="1"/>
  <c r="D92" i="100" a="1"/>
  <c r="D92" i="100"/>
  <c r="Y92" i="100" s="1"/>
  <c r="T91" i="100" a="1"/>
  <c r="T91" i="100"/>
  <c r="S91" i="100" a="1"/>
  <c r="S91" i="100" s="1"/>
  <c r="R91" i="100" a="1"/>
  <c r="R91" i="100" s="1"/>
  <c r="AM91" i="100" s="1"/>
  <c r="Q91" i="100" a="1"/>
  <c r="Q91" i="100"/>
  <c r="P91" i="100" a="1"/>
  <c r="P91" i="100" s="1"/>
  <c r="O91" i="100" a="1"/>
  <c r="O91" i="100" s="1"/>
  <c r="N91" i="100" a="1"/>
  <c r="N91" i="100" s="1"/>
  <c r="M91" i="100" a="1"/>
  <c r="M91" i="100"/>
  <c r="L91" i="100" a="1"/>
  <c r="L91" i="100"/>
  <c r="K91" i="100" a="1"/>
  <c r="K91" i="100" s="1"/>
  <c r="J91" i="100" a="1"/>
  <c r="J91" i="100"/>
  <c r="I91" i="100" a="1"/>
  <c r="I91" i="100" s="1"/>
  <c r="H91" i="100" a="1"/>
  <c r="H91" i="100"/>
  <c r="G91" i="100" a="1"/>
  <c r="G91" i="100" s="1"/>
  <c r="F91" i="100" a="1"/>
  <c r="F91" i="100"/>
  <c r="E91" i="100" a="1"/>
  <c r="E91" i="100"/>
  <c r="D91" i="100" a="1"/>
  <c r="D91" i="100"/>
  <c r="AB90" i="100"/>
  <c r="T90" i="100" a="1"/>
  <c r="T90" i="100"/>
  <c r="S90" i="100" a="1"/>
  <c r="S90" i="100"/>
  <c r="R90" i="100" a="1"/>
  <c r="R90" i="100"/>
  <c r="Q90" i="100" a="1"/>
  <c r="Q90" i="100"/>
  <c r="P90" i="100" a="1"/>
  <c r="P90" i="100"/>
  <c r="O90" i="100" a="1"/>
  <c r="O90" i="100"/>
  <c r="N90" i="100" a="1"/>
  <c r="N90" i="100"/>
  <c r="M90" i="100" a="1"/>
  <c r="M90" i="100"/>
  <c r="L90" i="100" a="1"/>
  <c r="L90" i="100"/>
  <c r="K90" i="100" a="1"/>
  <c r="K90" i="100"/>
  <c r="AF90" i="100" s="1"/>
  <c r="J90" i="100" a="1"/>
  <c r="J90" i="100"/>
  <c r="I90" i="100" a="1"/>
  <c r="I90" i="100"/>
  <c r="H90" i="100" a="1"/>
  <c r="H90" i="100"/>
  <c r="G90" i="100" a="1"/>
  <c r="G90" i="100"/>
  <c r="F90" i="100" a="1"/>
  <c r="F90" i="100"/>
  <c r="E90" i="100" a="1"/>
  <c r="E90" i="100"/>
  <c r="D90" i="100" a="1"/>
  <c r="D90" i="100"/>
  <c r="T89" i="100" a="1"/>
  <c r="T89" i="100"/>
  <c r="S89" i="100" a="1"/>
  <c r="S89" i="100" s="1"/>
  <c r="R89" i="100" a="1"/>
  <c r="R89" i="100"/>
  <c r="Q89" i="100" a="1"/>
  <c r="Q89" i="100" s="1"/>
  <c r="P89" i="100" a="1"/>
  <c r="P89" i="100"/>
  <c r="O89" i="100" a="1"/>
  <c r="O89" i="100" s="1"/>
  <c r="AJ89" i="100" s="1"/>
  <c r="N89" i="100" a="1"/>
  <c r="N89" i="100"/>
  <c r="M89" i="100" a="1"/>
  <c r="M89" i="100"/>
  <c r="L89" i="100" a="1"/>
  <c r="L89" i="100"/>
  <c r="K89" i="100" a="1"/>
  <c r="K89" i="100" s="1"/>
  <c r="J89" i="100" a="1"/>
  <c r="J89" i="100" s="1"/>
  <c r="AE88" i="100" s="1"/>
  <c r="I89" i="100" a="1"/>
  <c r="I89" i="100"/>
  <c r="H89" i="100" a="1"/>
  <c r="H89" i="100" s="1"/>
  <c r="G89" i="100" a="1"/>
  <c r="G89" i="100" s="1"/>
  <c r="AB89" i="100" s="1"/>
  <c r="F89" i="100" a="1"/>
  <c r="F89" i="100"/>
  <c r="E89" i="100" a="1"/>
  <c r="E89" i="100"/>
  <c r="D89" i="100" a="1"/>
  <c r="D89" i="100"/>
  <c r="T88" i="100"/>
  <c r="S88" i="100" a="1"/>
  <c r="S88" i="100"/>
  <c r="R88" i="100" a="1"/>
  <c r="R88" i="100"/>
  <c r="Q88" i="100" a="1"/>
  <c r="Q88" i="100"/>
  <c r="P88" i="100" a="1"/>
  <c r="P88" i="100"/>
  <c r="O88" i="100" a="1"/>
  <c r="O88" i="100"/>
  <c r="N88" i="100" a="1"/>
  <c r="N88" i="100"/>
  <c r="M88" i="100" a="1"/>
  <c r="M88" i="100"/>
  <c r="L88" i="100" a="1"/>
  <c r="L88" i="100"/>
  <c r="AG88" i="100" s="1"/>
  <c r="K88" i="100" a="1"/>
  <c r="K88" i="100"/>
  <c r="J88" i="100" a="1"/>
  <c r="J88" i="100" s="1"/>
  <c r="I88" i="100" a="1"/>
  <c r="I88" i="100"/>
  <c r="H88" i="100" a="1"/>
  <c r="H88" i="100"/>
  <c r="G88" i="100" a="1"/>
  <c r="G88" i="100"/>
  <c r="F88" i="100" a="1"/>
  <c r="F88" i="100" s="1"/>
  <c r="E88" i="100" a="1"/>
  <c r="E88" i="100" s="1"/>
  <c r="D88" i="100" a="1"/>
  <c r="D88" i="100" s="1"/>
  <c r="T87" i="100" a="1"/>
  <c r="T87" i="100" s="1"/>
  <c r="S87" i="100" a="1"/>
  <c r="S87" i="100" s="1"/>
  <c r="R87" i="100" a="1"/>
  <c r="R87" i="100"/>
  <c r="Q87" i="100" a="1"/>
  <c r="Q87" i="100"/>
  <c r="P87" i="100" a="1"/>
  <c r="P87" i="100" s="1"/>
  <c r="O87" i="100" a="1"/>
  <c r="O87" i="100" s="1"/>
  <c r="N87" i="100" a="1"/>
  <c r="N87" i="100"/>
  <c r="M87" i="100" a="1"/>
  <c r="M87" i="100"/>
  <c r="L87" i="100" a="1"/>
  <c r="L87" i="100" s="1"/>
  <c r="K87" i="100" a="1"/>
  <c r="K87" i="100" s="1"/>
  <c r="J87" i="100" a="1"/>
  <c r="J87" i="100" s="1"/>
  <c r="I87" i="100" a="1"/>
  <c r="I87" i="100"/>
  <c r="H87" i="100" a="1"/>
  <c r="H87" i="100" s="1"/>
  <c r="G87" i="100" a="1"/>
  <c r="G87" i="100" s="1"/>
  <c r="F87" i="100" a="1"/>
  <c r="F87" i="100" s="1"/>
  <c r="E87" i="100" a="1"/>
  <c r="E87" i="100"/>
  <c r="D87" i="100" a="1"/>
  <c r="D87" i="100" s="1"/>
  <c r="T86" i="100" a="1"/>
  <c r="T86" i="100"/>
  <c r="S86" i="100" a="1"/>
  <c r="S86" i="100" s="1"/>
  <c r="R86" i="100" a="1"/>
  <c r="R86" i="100"/>
  <c r="Q86" i="100" a="1"/>
  <c r="Q86" i="100"/>
  <c r="P86" i="100" a="1"/>
  <c r="P86" i="100"/>
  <c r="O86" i="100" a="1"/>
  <c r="O86" i="100" s="1"/>
  <c r="N86" i="100" a="1"/>
  <c r="N86" i="100"/>
  <c r="M86" i="100" a="1"/>
  <c r="M86" i="100"/>
  <c r="L86" i="100" a="1"/>
  <c r="L86" i="100"/>
  <c r="K86" i="100" a="1"/>
  <c r="K86" i="100" s="1"/>
  <c r="J86" i="100" a="1"/>
  <c r="J86" i="100"/>
  <c r="I86" i="100" a="1"/>
  <c r="I86" i="100"/>
  <c r="H86" i="100" a="1"/>
  <c r="H86" i="100"/>
  <c r="G86" i="100" a="1"/>
  <c r="G86" i="100" s="1"/>
  <c r="F86" i="100" a="1"/>
  <c r="F86" i="100"/>
  <c r="E86" i="100" a="1"/>
  <c r="E86" i="100"/>
  <c r="D86" i="100" a="1"/>
  <c r="D86" i="100"/>
  <c r="T85" i="100" a="1"/>
  <c r="T85" i="100" s="1"/>
  <c r="S85" i="100" a="1"/>
  <c r="S85" i="100"/>
  <c r="R85" i="100" a="1"/>
  <c r="R85" i="100"/>
  <c r="Q85" i="100" a="1"/>
  <c r="Q85" i="100"/>
  <c r="P85" i="100" a="1"/>
  <c r="P85" i="100" s="1"/>
  <c r="O85" i="100" a="1"/>
  <c r="O85" i="100"/>
  <c r="N85" i="100" a="1"/>
  <c r="N85" i="100" s="1"/>
  <c r="M85" i="100" a="1"/>
  <c r="M85" i="100"/>
  <c r="L85" i="100" a="1"/>
  <c r="L85" i="100" s="1"/>
  <c r="K85" i="100" a="1"/>
  <c r="K85" i="100"/>
  <c r="J85" i="100" a="1"/>
  <c r="J85" i="100" s="1"/>
  <c r="I85" i="100" a="1"/>
  <c r="I85" i="100"/>
  <c r="H85" i="100" a="1"/>
  <c r="H85" i="100" s="1"/>
  <c r="G85" i="100" a="1"/>
  <c r="G85" i="100"/>
  <c r="F85" i="100" a="1"/>
  <c r="F85" i="100" s="1"/>
  <c r="E85" i="100" a="1"/>
  <c r="E85" i="100"/>
  <c r="D85" i="100" a="1"/>
  <c r="D85" i="100" s="1"/>
  <c r="T84" i="100"/>
  <c r="S84" i="100" a="1"/>
  <c r="S84" i="100" s="1"/>
  <c r="R84" i="100" a="1"/>
  <c r="R84" i="100"/>
  <c r="Q84" i="100" a="1"/>
  <c r="Q84" i="100" s="1"/>
  <c r="P84" i="100" a="1"/>
  <c r="P84" i="100"/>
  <c r="O84" i="100" a="1"/>
  <c r="O84" i="100" s="1"/>
  <c r="N84" i="100" a="1"/>
  <c r="N84" i="100"/>
  <c r="M84" i="100" a="1"/>
  <c r="M84" i="100" s="1"/>
  <c r="L84" i="100" a="1"/>
  <c r="L84" i="100"/>
  <c r="K84" i="100" a="1"/>
  <c r="K84" i="100" s="1"/>
  <c r="J84" i="100" a="1"/>
  <c r="J84" i="100"/>
  <c r="I84" i="100" a="1"/>
  <c r="I84" i="100" s="1"/>
  <c r="H84" i="100" a="1"/>
  <c r="H84" i="100"/>
  <c r="G84" i="100" a="1"/>
  <c r="G84" i="100" s="1"/>
  <c r="F84" i="100" a="1"/>
  <c r="F84" i="100"/>
  <c r="E84" i="100" a="1"/>
  <c r="E84" i="100" s="1"/>
  <c r="D84" i="100" a="1"/>
  <c r="D84" i="100"/>
  <c r="T83" i="100" a="1"/>
  <c r="T83" i="100" s="1"/>
  <c r="S83" i="100" a="1"/>
  <c r="S83" i="100"/>
  <c r="R83" i="100" a="1"/>
  <c r="R83" i="100" s="1"/>
  <c r="Q83" i="100" a="1"/>
  <c r="Q83" i="100" s="1"/>
  <c r="P83" i="100" a="1"/>
  <c r="P83" i="100" s="1"/>
  <c r="O83" i="100" a="1"/>
  <c r="O83" i="100"/>
  <c r="N83" i="100" a="1"/>
  <c r="N83" i="100" s="1"/>
  <c r="M83" i="100" a="1"/>
  <c r="M83" i="100" s="1"/>
  <c r="L83" i="100" a="1"/>
  <c r="L83" i="100" s="1"/>
  <c r="K83" i="100" a="1"/>
  <c r="K83" i="100"/>
  <c r="J83" i="100" a="1"/>
  <c r="J83" i="100" s="1"/>
  <c r="I83" i="100" a="1"/>
  <c r="I83" i="100" s="1"/>
  <c r="H83" i="100" a="1"/>
  <c r="H83" i="100" s="1"/>
  <c r="G83" i="100" a="1"/>
  <c r="G83" i="100"/>
  <c r="F83" i="100" a="1"/>
  <c r="F83" i="100" s="1"/>
  <c r="E83" i="100" a="1"/>
  <c r="E83" i="100" s="1"/>
  <c r="D83" i="100" a="1"/>
  <c r="D83" i="100" s="1"/>
  <c r="T82" i="100" a="1"/>
  <c r="T82" i="100"/>
  <c r="S82" i="100" a="1"/>
  <c r="S82" i="100" s="1"/>
  <c r="R82" i="100" a="1"/>
  <c r="R82" i="100" s="1"/>
  <c r="Q82" i="100" a="1"/>
  <c r="Q82" i="100" s="1"/>
  <c r="P82" i="100" a="1"/>
  <c r="P82" i="100"/>
  <c r="O82" i="100" a="1"/>
  <c r="O82" i="100" s="1"/>
  <c r="N82" i="100" a="1"/>
  <c r="N82" i="100" s="1"/>
  <c r="M82" i="100" a="1"/>
  <c r="M82" i="100" s="1"/>
  <c r="L82" i="100" a="1"/>
  <c r="L82" i="100"/>
  <c r="K82" i="100" a="1"/>
  <c r="K82" i="100" s="1"/>
  <c r="J82" i="100" a="1"/>
  <c r="J82" i="100" s="1"/>
  <c r="I82" i="100" a="1"/>
  <c r="I82" i="100" s="1"/>
  <c r="H82" i="100" a="1"/>
  <c r="H82" i="100"/>
  <c r="G82" i="100" a="1"/>
  <c r="G82" i="100" s="1"/>
  <c r="F82" i="100" a="1"/>
  <c r="F82" i="100" s="1"/>
  <c r="E82" i="100" a="1"/>
  <c r="E82" i="100" s="1"/>
  <c r="D82" i="100" a="1"/>
  <c r="D82" i="100"/>
  <c r="T81" i="100" a="1"/>
  <c r="T81" i="100" s="1"/>
  <c r="S81" i="100" a="1"/>
  <c r="S81" i="100" s="1"/>
  <c r="R81" i="100" a="1"/>
  <c r="R81" i="100" s="1"/>
  <c r="Q81" i="100" a="1"/>
  <c r="Q81" i="100"/>
  <c r="P81" i="100" a="1"/>
  <c r="P81" i="100" s="1"/>
  <c r="O81" i="100" a="1"/>
  <c r="O81" i="100" s="1"/>
  <c r="N81" i="100" a="1"/>
  <c r="N81" i="100" s="1"/>
  <c r="M81" i="100" a="1"/>
  <c r="M81" i="100"/>
  <c r="L81" i="100" a="1"/>
  <c r="L81" i="100" s="1"/>
  <c r="K81" i="100" a="1"/>
  <c r="K81" i="100" s="1"/>
  <c r="J81" i="100" a="1"/>
  <c r="J81" i="100" s="1"/>
  <c r="I81" i="100" a="1"/>
  <c r="I81" i="100"/>
  <c r="H81" i="100" a="1"/>
  <c r="H81" i="100" s="1"/>
  <c r="AC81" i="100" s="1"/>
  <c r="G81" i="100" a="1"/>
  <c r="G81" i="100" s="1"/>
  <c r="F81" i="100" a="1"/>
  <c r="F81" i="100" s="1"/>
  <c r="E81" i="100" a="1"/>
  <c r="E81" i="100"/>
  <c r="D81" i="100" a="1"/>
  <c r="D81" i="100" s="1"/>
  <c r="T80" i="100"/>
  <c r="S80" i="100" a="1"/>
  <c r="S80" i="100" s="1"/>
  <c r="R80" i="100" a="1"/>
  <c r="R80" i="100"/>
  <c r="Q80" i="100" a="1"/>
  <c r="Q80" i="100" s="1"/>
  <c r="P80" i="100" a="1"/>
  <c r="P80" i="100" s="1"/>
  <c r="O80" i="100" a="1"/>
  <c r="O80" i="100" s="1"/>
  <c r="N80" i="100" a="1"/>
  <c r="N80" i="100"/>
  <c r="M80" i="100" a="1"/>
  <c r="M80" i="100" s="1"/>
  <c r="L80" i="100" a="1"/>
  <c r="L80" i="100" s="1"/>
  <c r="K80" i="100" a="1"/>
  <c r="K80" i="100" s="1"/>
  <c r="J80" i="100" a="1"/>
  <c r="J80" i="100"/>
  <c r="I80" i="100" a="1"/>
  <c r="I80" i="100" s="1"/>
  <c r="H80" i="100" a="1"/>
  <c r="H80" i="100" s="1"/>
  <c r="G80" i="100" a="1"/>
  <c r="G80" i="100" s="1"/>
  <c r="F80" i="100" a="1"/>
  <c r="F80" i="100"/>
  <c r="E80" i="100" a="1"/>
  <c r="E80" i="100" s="1"/>
  <c r="D80" i="100" a="1"/>
  <c r="D80" i="100" s="1"/>
  <c r="T79" i="100" a="1"/>
  <c r="T79" i="100"/>
  <c r="S79" i="100" a="1"/>
  <c r="S79" i="100" s="1"/>
  <c r="R79" i="100" a="1"/>
  <c r="R79" i="100" s="1"/>
  <c r="Q79" i="100" a="1"/>
  <c r="Q79" i="100" s="1"/>
  <c r="P79" i="100" a="1"/>
  <c r="P79" i="100"/>
  <c r="O79" i="100" a="1"/>
  <c r="O79" i="100" s="1"/>
  <c r="N79" i="100" a="1"/>
  <c r="N79" i="100" s="1"/>
  <c r="M79" i="100" a="1"/>
  <c r="M79" i="100" s="1"/>
  <c r="L79" i="100" a="1"/>
  <c r="L79" i="100"/>
  <c r="K79" i="100" a="1"/>
  <c r="K79" i="100" s="1"/>
  <c r="J79" i="100" a="1"/>
  <c r="J79" i="100" s="1"/>
  <c r="AE79" i="100" s="1"/>
  <c r="I79" i="100" a="1"/>
  <c r="I79" i="100" s="1"/>
  <c r="H79" i="100" a="1"/>
  <c r="H79" i="100"/>
  <c r="G79" i="100" a="1"/>
  <c r="G79" i="100" s="1"/>
  <c r="F79" i="100" a="1"/>
  <c r="F79" i="100" s="1"/>
  <c r="E79" i="100" a="1"/>
  <c r="E79" i="100" s="1"/>
  <c r="D79" i="100" a="1"/>
  <c r="D79" i="100"/>
  <c r="T78" i="100" a="1"/>
  <c r="T78" i="100" s="1"/>
  <c r="S78" i="100" a="1"/>
  <c r="S78" i="100" s="1"/>
  <c r="R78" i="100" a="1"/>
  <c r="R78" i="100"/>
  <c r="Q78" i="100" a="1"/>
  <c r="Q78" i="100" s="1"/>
  <c r="P78" i="100" a="1"/>
  <c r="P78" i="100" s="1"/>
  <c r="O78" i="100" a="1"/>
  <c r="O78" i="100" s="1"/>
  <c r="N78" i="100" a="1"/>
  <c r="N78" i="100"/>
  <c r="M78" i="100" a="1"/>
  <c r="M78" i="100" s="1"/>
  <c r="L78" i="100" a="1"/>
  <c r="L78" i="100" s="1"/>
  <c r="K78" i="100" a="1"/>
  <c r="K78" i="100" s="1"/>
  <c r="J78" i="100" a="1"/>
  <c r="J78" i="100"/>
  <c r="I78" i="100" a="1"/>
  <c r="I78" i="100" s="1"/>
  <c r="H78" i="100" a="1"/>
  <c r="H78" i="100" s="1"/>
  <c r="G78" i="100" a="1"/>
  <c r="G78" i="100" s="1"/>
  <c r="F78" i="100" a="1"/>
  <c r="F78" i="100"/>
  <c r="E78" i="100" a="1"/>
  <c r="E78" i="100" s="1"/>
  <c r="D78" i="100" a="1"/>
  <c r="D78" i="100" s="1"/>
  <c r="T77" i="100" a="1"/>
  <c r="T77" i="100"/>
  <c r="S77" i="100" a="1"/>
  <c r="S77" i="100" s="1"/>
  <c r="R77" i="100" a="1"/>
  <c r="R77" i="100" s="1"/>
  <c r="Q77" i="100" a="1"/>
  <c r="Q77" i="100" s="1"/>
  <c r="P77" i="100" a="1"/>
  <c r="P77" i="100"/>
  <c r="O77" i="100" a="1"/>
  <c r="O77" i="100" s="1"/>
  <c r="N77" i="100" a="1"/>
  <c r="N77" i="100" s="1"/>
  <c r="M77" i="100" a="1"/>
  <c r="M77" i="100" s="1"/>
  <c r="L77" i="100" a="1"/>
  <c r="L77" i="100"/>
  <c r="K77" i="100" a="1"/>
  <c r="K77" i="100" s="1"/>
  <c r="J77" i="100" a="1"/>
  <c r="J77" i="100" s="1"/>
  <c r="I77" i="100" a="1"/>
  <c r="I77" i="100" s="1"/>
  <c r="H77" i="100" a="1"/>
  <c r="H77" i="100"/>
  <c r="G77" i="100" a="1"/>
  <c r="G77" i="100" s="1"/>
  <c r="F77" i="100" a="1"/>
  <c r="F77" i="100" s="1"/>
  <c r="E77" i="100" a="1"/>
  <c r="E77" i="100" s="1"/>
  <c r="D77" i="100" a="1"/>
  <c r="D77" i="100"/>
  <c r="T76" i="100"/>
  <c r="S76" i="100" a="1"/>
  <c r="S76" i="100" s="1"/>
  <c r="AN76" i="100" s="1"/>
  <c r="R76" i="100" a="1"/>
  <c r="R76" i="100" s="1"/>
  <c r="Q76" i="100" a="1"/>
  <c r="Q76" i="100"/>
  <c r="P76" i="100" a="1"/>
  <c r="P76" i="100" s="1"/>
  <c r="O76" i="100" a="1"/>
  <c r="O76" i="100" s="1"/>
  <c r="N76" i="100" a="1"/>
  <c r="N76" i="100" s="1"/>
  <c r="M76" i="100" a="1"/>
  <c r="M76" i="100"/>
  <c r="L76" i="100" a="1"/>
  <c r="L76" i="100" s="1"/>
  <c r="K76" i="100" a="1"/>
  <c r="K76" i="100" s="1"/>
  <c r="J76" i="100" a="1"/>
  <c r="J76" i="100" s="1"/>
  <c r="I76" i="100" a="1"/>
  <c r="I76" i="100"/>
  <c r="H76" i="100" a="1"/>
  <c r="H76" i="100" s="1"/>
  <c r="G76" i="100" a="1"/>
  <c r="G76" i="100" s="1"/>
  <c r="F76" i="100" a="1"/>
  <c r="F76" i="100" s="1"/>
  <c r="E76" i="100" a="1"/>
  <c r="E76" i="100"/>
  <c r="D76" i="100" a="1"/>
  <c r="D76" i="100" s="1"/>
  <c r="T75" i="100" a="1"/>
  <c r="T75" i="100" s="1"/>
  <c r="S75" i="100" a="1"/>
  <c r="S75" i="100"/>
  <c r="R75" i="100" a="1"/>
  <c r="R75" i="100" s="1"/>
  <c r="Q75" i="100" a="1"/>
  <c r="Q75" i="100" s="1"/>
  <c r="P75" i="100" a="1"/>
  <c r="P75" i="100" s="1"/>
  <c r="O75" i="100" a="1"/>
  <c r="O75" i="100"/>
  <c r="N75" i="100" a="1"/>
  <c r="N75" i="100" s="1"/>
  <c r="M75" i="100" a="1"/>
  <c r="M75" i="100" s="1"/>
  <c r="L75" i="100" a="1"/>
  <c r="L75" i="100" s="1"/>
  <c r="K75" i="100" a="1"/>
  <c r="K75" i="100"/>
  <c r="J75" i="100" a="1"/>
  <c r="J75" i="100" s="1"/>
  <c r="I75" i="100" a="1"/>
  <c r="I75" i="100" s="1"/>
  <c r="H75" i="100" a="1"/>
  <c r="H75" i="100" s="1"/>
  <c r="G75" i="100" a="1"/>
  <c r="G75" i="100"/>
  <c r="F75" i="100" a="1"/>
  <c r="F75" i="100" s="1"/>
  <c r="E75" i="100" a="1"/>
  <c r="E75" i="100" s="1"/>
  <c r="D75" i="100" a="1"/>
  <c r="D75" i="100" s="1"/>
  <c r="T74" i="100" a="1"/>
  <c r="T74" i="100"/>
  <c r="S74" i="100" a="1"/>
  <c r="S74" i="100" s="1"/>
  <c r="R74" i="100" a="1"/>
  <c r="R74" i="100" s="1"/>
  <c r="Q74" i="100" a="1"/>
  <c r="Q74" i="100" s="1"/>
  <c r="P74" i="100" a="1"/>
  <c r="P74" i="100"/>
  <c r="O74" i="100" a="1"/>
  <c r="O74" i="100" s="1"/>
  <c r="N74" i="100" a="1"/>
  <c r="N74" i="100" s="1"/>
  <c r="M74" i="100" a="1"/>
  <c r="M74" i="100" s="1"/>
  <c r="L74" i="100" a="1"/>
  <c r="L74" i="100"/>
  <c r="K74" i="100" a="1"/>
  <c r="K74" i="100" s="1"/>
  <c r="J74" i="100" a="1"/>
  <c r="J74" i="100" s="1"/>
  <c r="I74" i="100" a="1"/>
  <c r="I74" i="100" s="1"/>
  <c r="H74" i="100" a="1"/>
  <c r="H74" i="100"/>
  <c r="G74" i="100" a="1"/>
  <c r="G74" i="100" s="1"/>
  <c r="F74" i="100" a="1"/>
  <c r="F74" i="100" s="1"/>
  <c r="E74" i="100" a="1"/>
  <c r="E74" i="100" s="1"/>
  <c r="D74" i="100" a="1"/>
  <c r="D74" i="100"/>
  <c r="T73" i="100" a="1"/>
  <c r="T73" i="100" s="1"/>
  <c r="S73" i="100" a="1"/>
  <c r="S73" i="100"/>
  <c r="R73" i="100" a="1"/>
  <c r="R73" i="100" s="1"/>
  <c r="Q73" i="100" a="1"/>
  <c r="Q73" i="100" s="1"/>
  <c r="P73" i="100" a="1"/>
  <c r="P73" i="100" s="1"/>
  <c r="O73" i="100" a="1"/>
  <c r="O73" i="100"/>
  <c r="N73" i="100" a="1"/>
  <c r="N73" i="100" s="1"/>
  <c r="M73" i="100" a="1"/>
  <c r="M73" i="100" s="1"/>
  <c r="L73" i="100" a="1"/>
  <c r="L73" i="100" s="1"/>
  <c r="K73" i="100" a="1"/>
  <c r="K73" i="100"/>
  <c r="J73" i="100" a="1"/>
  <c r="J73" i="100" s="1"/>
  <c r="I73" i="100" a="1"/>
  <c r="I73" i="100" s="1"/>
  <c r="H73" i="100" a="1"/>
  <c r="H73" i="100" s="1"/>
  <c r="G73" i="100" a="1"/>
  <c r="G73" i="100"/>
  <c r="F73" i="100" a="1"/>
  <c r="F73" i="100" s="1"/>
  <c r="E73" i="100" a="1"/>
  <c r="E73" i="100" s="1"/>
  <c r="D73" i="100" a="1"/>
  <c r="D73" i="100" s="1"/>
  <c r="T72" i="100"/>
  <c r="S72" i="100" a="1"/>
  <c r="S72" i="100"/>
  <c r="R72" i="100" a="1"/>
  <c r="R72" i="100"/>
  <c r="Q72" i="100" a="1"/>
  <c r="Q72" i="100"/>
  <c r="P72" i="100" a="1"/>
  <c r="P72" i="100"/>
  <c r="O72" i="100" a="1"/>
  <c r="O72" i="100"/>
  <c r="N72" i="100" a="1"/>
  <c r="N72" i="100"/>
  <c r="M72" i="100" a="1"/>
  <c r="M72" i="100"/>
  <c r="L72" i="100" a="1"/>
  <c r="L72" i="100"/>
  <c r="K72" i="100" a="1"/>
  <c r="K72" i="100"/>
  <c r="J72" i="100" a="1"/>
  <c r="J72" i="100"/>
  <c r="I72" i="100" a="1"/>
  <c r="I72" i="100"/>
  <c r="H72" i="100" a="1"/>
  <c r="H72" i="100"/>
  <c r="AC72" i="100" s="1"/>
  <c r="G72" i="100" a="1"/>
  <c r="G72" i="100"/>
  <c r="F72" i="100" a="1"/>
  <c r="F72" i="100"/>
  <c r="E72" i="100" a="1"/>
  <c r="E72" i="100"/>
  <c r="D72" i="100" a="1"/>
  <c r="D72" i="100"/>
  <c r="T71" i="100" a="1"/>
  <c r="T71" i="100"/>
  <c r="S71" i="100" a="1"/>
  <c r="S71" i="100" s="1"/>
  <c r="R71" i="100" a="1"/>
  <c r="R71" i="100"/>
  <c r="Q71" i="100" a="1"/>
  <c r="Q71" i="100"/>
  <c r="P71" i="100" a="1"/>
  <c r="P71" i="100"/>
  <c r="O71" i="100" a="1"/>
  <c r="O71" i="100" s="1"/>
  <c r="N71" i="100" a="1"/>
  <c r="N71" i="100"/>
  <c r="M71" i="100" a="1"/>
  <c r="M71" i="100"/>
  <c r="L71" i="100" a="1"/>
  <c r="L71" i="100"/>
  <c r="AG71" i="100" s="1"/>
  <c r="K71" i="100" a="1"/>
  <c r="K71" i="100" s="1"/>
  <c r="AF71" i="100" s="1"/>
  <c r="J71" i="100" a="1"/>
  <c r="J71" i="100"/>
  <c r="I71" i="100" a="1"/>
  <c r="I71" i="100"/>
  <c r="H71" i="100" a="1"/>
  <c r="H71" i="100"/>
  <c r="G71" i="100" a="1"/>
  <c r="G71" i="100" s="1"/>
  <c r="AB69" i="100" s="1"/>
  <c r="F71" i="100" a="1"/>
  <c r="F71" i="100"/>
  <c r="E71" i="100" a="1"/>
  <c r="E71" i="100"/>
  <c r="D71" i="100" a="1"/>
  <c r="D71" i="100"/>
  <c r="T70" i="100" a="1"/>
  <c r="T70" i="100" s="1"/>
  <c r="S70" i="100" a="1"/>
  <c r="S70" i="100" s="1"/>
  <c r="R70" i="100" a="1"/>
  <c r="R70" i="100"/>
  <c r="AM70" i="100" s="1"/>
  <c r="Q70" i="100" a="1"/>
  <c r="Q70" i="100" s="1"/>
  <c r="P70" i="100" a="1"/>
  <c r="P70" i="100" s="1"/>
  <c r="AK70" i="100" s="1"/>
  <c r="O70" i="100" a="1"/>
  <c r="O70" i="100" s="1"/>
  <c r="N70" i="100" a="1"/>
  <c r="N70" i="100"/>
  <c r="AI70" i="100" s="1"/>
  <c r="M70" i="100" a="1"/>
  <c r="M70" i="100" s="1"/>
  <c r="L70" i="100" a="1"/>
  <c r="L70" i="100" s="1"/>
  <c r="K70" i="100" a="1"/>
  <c r="K70" i="100" s="1"/>
  <c r="J70" i="100" a="1"/>
  <c r="J70" i="100"/>
  <c r="AE70" i="100" s="1"/>
  <c r="I70" i="100" a="1"/>
  <c r="I70" i="100" s="1"/>
  <c r="H70" i="100" a="1"/>
  <c r="H70" i="100" s="1"/>
  <c r="G70" i="100" a="1"/>
  <c r="G70" i="100" s="1"/>
  <c r="F70" i="100" a="1"/>
  <c r="F70" i="100"/>
  <c r="AA70" i="100" s="1"/>
  <c r="E70" i="100" a="1"/>
  <c r="E70" i="100" s="1"/>
  <c r="D70" i="100" a="1"/>
  <c r="D70" i="100" s="1"/>
  <c r="T69" i="100" a="1"/>
  <c r="T69" i="100"/>
  <c r="S69" i="100" a="1"/>
  <c r="S69" i="100"/>
  <c r="R69" i="100" a="1"/>
  <c r="R69" i="100"/>
  <c r="Q69" i="100" a="1"/>
  <c r="Q69" i="100"/>
  <c r="AL69" i="100" s="1"/>
  <c r="P69" i="100" a="1"/>
  <c r="P69" i="100"/>
  <c r="O69" i="100" a="1"/>
  <c r="O69" i="100"/>
  <c r="N69" i="100" a="1"/>
  <c r="N69" i="100"/>
  <c r="M69" i="100" a="1"/>
  <c r="M69" i="100"/>
  <c r="L69" i="100" a="1"/>
  <c r="L69" i="100"/>
  <c r="K69" i="100" a="1"/>
  <c r="K69" i="100"/>
  <c r="J69" i="100" a="1"/>
  <c r="J69" i="100"/>
  <c r="I69" i="100" a="1"/>
  <c r="I69" i="100"/>
  <c r="AD78" i="100" s="1"/>
  <c r="H69" i="100" a="1"/>
  <c r="H69" i="100"/>
  <c r="G69" i="100" a="1"/>
  <c r="G69" i="100"/>
  <c r="F69" i="100" a="1"/>
  <c r="F69" i="100"/>
  <c r="E69" i="100" a="1"/>
  <c r="E69" i="100"/>
  <c r="Z69" i="100" s="1"/>
  <c r="D69" i="100" a="1"/>
  <c r="D69" i="100"/>
  <c r="T68" i="100"/>
  <c r="S68" i="100" a="1"/>
  <c r="S68" i="100"/>
  <c r="R68" i="100" a="1"/>
  <c r="R68" i="100"/>
  <c r="Q68" i="100" a="1"/>
  <c r="Q68" i="100"/>
  <c r="P68" i="100" a="1"/>
  <c r="P68" i="100"/>
  <c r="O68" i="100" a="1"/>
  <c r="O68" i="100"/>
  <c r="N68" i="100" a="1"/>
  <c r="N68" i="100"/>
  <c r="M68" i="100" a="1"/>
  <c r="M68" i="100"/>
  <c r="L68" i="100" a="1"/>
  <c r="L68" i="100"/>
  <c r="K68" i="100" a="1"/>
  <c r="K68" i="100"/>
  <c r="J68" i="100" a="1"/>
  <c r="J68" i="100"/>
  <c r="I68" i="100" a="1"/>
  <c r="I68" i="100"/>
  <c r="H68" i="100" a="1"/>
  <c r="H68" i="100"/>
  <c r="G68" i="100" a="1"/>
  <c r="G68" i="100"/>
  <c r="F68" i="100" a="1"/>
  <c r="F68" i="100"/>
  <c r="E68" i="100" a="1"/>
  <c r="E68" i="100"/>
  <c r="D68" i="100" a="1"/>
  <c r="D68" i="100" s="1"/>
  <c r="Y87" i="100" s="1"/>
  <c r="T63" i="100"/>
  <c r="S63" i="100"/>
  <c r="R63" i="100"/>
  <c r="Q63" i="100"/>
  <c r="P63" i="100"/>
  <c r="O63" i="100"/>
  <c r="N63" i="100"/>
  <c r="M63" i="100"/>
  <c r="L63" i="100"/>
  <c r="K63" i="100"/>
  <c r="J63" i="100"/>
  <c r="I63" i="100"/>
  <c r="H63" i="100"/>
  <c r="G63" i="100"/>
  <c r="F63" i="100"/>
  <c r="E63" i="100"/>
  <c r="D63" i="100"/>
  <c r="AF62" i="100"/>
  <c r="T62" i="100"/>
  <c r="S62" i="100"/>
  <c r="R62" i="100"/>
  <c r="Q62" i="100"/>
  <c r="P62" i="100"/>
  <c r="O62" i="100"/>
  <c r="N62" i="100"/>
  <c r="M62" i="100"/>
  <c r="L62" i="100"/>
  <c r="K62" i="100"/>
  <c r="J62" i="100"/>
  <c r="I62" i="100"/>
  <c r="H62" i="100"/>
  <c r="G62" i="100"/>
  <c r="F62" i="100"/>
  <c r="E62" i="100"/>
  <c r="D62" i="100"/>
  <c r="AA61" i="100"/>
  <c r="T61" i="100"/>
  <c r="S61" i="100"/>
  <c r="R61" i="100"/>
  <c r="AM61" i="100" s="1"/>
  <c r="Q61" i="100"/>
  <c r="P61" i="100"/>
  <c r="O61" i="100"/>
  <c r="N61" i="100"/>
  <c r="M61" i="100"/>
  <c r="AH61" i="100" s="1"/>
  <c r="L61" i="100"/>
  <c r="K61" i="100"/>
  <c r="J61" i="100"/>
  <c r="I61" i="100"/>
  <c r="H61" i="100"/>
  <c r="G61" i="100"/>
  <c r="F61" i="100"/>
  <c r="E61" i="100"/>
  <c r="D61" i="100"/>
  <c r="AF60" i="100"/>
  <c r="T60" i="100"/>
  <c r="S60" i="100"/>
  <c r="AN62" i="100" s="1"/>
  <c r="R60" i="100"/>
  <c r="AM60" i="100" s="1"/>
  <c r="Q60" i="100"/>
  <c r="AL61" i="100" s="1"/>
  <c r="P60" i="100"/>
  <c r="O60" i="100"/>
  <c r="N60" i="100"/>
  <c r="M60" i="100"/>
  <c r="L60" i="100"/>
  <c r="K60" i="100"/>
  <c r="J60" i="100"/>
  <c r="I60" i="100"/>
  <c r="H60" i="100"/>
  <c r="G60" i="100"/>
  <c r="F60" i="100"/>
  <c r="E60" i="100"/>
  <c r="D60" i="100"/>
  <c r="AF59" i="100"/>
  <c r="T59" i="100"/>
  <c r="S59" i="100"/>
  <c r="R59" i="100"/>
  <c r="Q59" i="100"/>
  <c r="P59" i="100"/>
  <c r="O59" i="100"/>
  <c r="N59" i="100"/>
  <c r="M59" i="100"/>
  <c r="L59" i="100"/>
  <c r="AG59" i="100" s="1"/>
  <c r="K59" i="100"/>
  <c r="J59" i="100"/>
  <c r="I59" i="100"/>
  <c r="H59" i="100"/>
  <c r="G59" i="100"/>
  <c r="F59" i="100"/>
  <c r="E59" i="100"/>
  <c r="D59" i="100"/>
  <c r="Y61" i="100" s="1"/>
  <c r="T58" i="100"/>
  <c r="S58" i="100"/>
  <c r="R58" i="100"/>
  <c r="Q58" i="100"/>
  <c r="P58" i="100"/>
  <c r="AK58" i="100" s="1"/>
  <c r="O58" i="100"/>
  <c r="N58" i="100"/>
  <c r="M58" i="100"/>
  <c r="L58" i="100"/>
  <c r="K58" i="100"/>
  <c r="J58" i="100"/>
  <c r="I58" i="100"/>
  <c r="H58" i="100"/>
  <c r="AC58" i="100" s="1"/>
  <c r="G58" i="100"/>
  <c r="F58" i="100"/>
  <c r="E58" i="100"/>
  <c r="D58" i="100"/>
  <c r="T57" i="100"/>
  <c r="S57" i="100"/>
  <c r="AN57" i="100" s="1"/>
  <c r="R57" i="100"/>
  <c r="Q57" i="100"/>
  <c r="P57" i="100"/>
  <c r="O57" i="100"/>
  <c r="N57" i="100"/>
  <c r="M57" i="100"/>
  <c r="AH57" i="100" s="1"/>
  <c r="L57" i="100"/>
  <c r="K57" i="100"/>
  <c r="J57" i="100"/>
  <c r="I57" i="100"/>
  <c r="H57" i="100"/>
  <c r="G57" i="100"/>
  <c r="F57" i="100"/>
  <c r="E57" i="100"/>
  <c r="D57" i="100"/>
  <c r="AN56" i="100"/>
  <c r="T56" i="100"/>
  <c r="S56" i="100"/>
  <c r="R56" i="100"/>
  <c r="AM56" i="100" s="1"/>
  <c r="Q56" i="100"/>
  <c r="P56" i="100"/>
  <c r="O56" i="100"/>
  <c r="N56" i="100"/>
  <c r="M56" i="100"/>
  <c r="L56" i="100"/>
  <c r="K56" i="100"/>
  <c r="J56" i="100"/>
  <c r="AE56" i="100" s="1"/>
  <c r="I56" i="100"/>
  <c r="H56" i="100"/>
  <c r="G56" i="100"/>
  <c r="AB56" i="100" s="1"/>
  <c r="F56" i="100"/>
  <c r="E56" i="100"/>
  <c r="D56" i="100"/>
  <c r="AE55" i="100"/>
  <c r="AB55" i="100"/>
  <c r="T55" i="100"/>
  <c r="S55" i="100"/>
  <c r="R55" i="100"/>
  <c r="Q55" i="100"/>
  <c r="P55" i="100"/>
  <c r="O55" i="100"/>
  <c r="N55" i="100"/>
  <c r="M55" i="100"/>
  <c r="L55" i="100"/>
  <c r="K55" i="100"/>
  <c r="J55" i="100"/>
  <c r="I55" i="100"/>
  <c r="H55" i="100"/>
  <c r="G55" i="100"/>
  <c r="AB58" i="100" s="1"/>
  <c r="F55" i="100"/>
  <c r="AA56" i="100" s="1"/>
  <c r="E55" i="100"/>
  <c r="Z57" i="100" s="1"/>
  <c r="D55" i="100"/>
  <c r="T54" i="100"/>
  <c r="S54" i="100"/>
  <c r="R54" i="100"/>
  <c r="Q54" i="100"/>
  <c r="P54" i="100"/>
  <c r="O54" i="100"/>
  <c r="N54" i="100"/>
  <c r="M54" i="100"/>
  <c r="L54" i="100"/>
  <c r="K54" i="100"/>
  <c r="J54" i="100"/>
  <c r="I54" i="100"/>
  <c r="H54" i="100"/>
  <c r="G54" i="100"/>
  <c r="F54" i="100"/>
  <c r="E54" i="100"/>
  <c r="D54" i="100"/>
  <c r="T53" i="100"/>
  <c r="S53" i="100"/>
  <c r="R53" i="100"/>
  <c r="Q53" i="100"/>
  <c r="AL51" i="100" s="1"/>
  <c r="P53" i="100"/>
  <c r="O53" i="100"/>
  <c r="N53" i="100"/>
  <c r="AI53" i="100" s="1"/>
  <c r="M53" i="100"/>
  <c r="L53" i="100"/>
  <c r="K53" i="100"/>
  <c r="J53" i="100"/>
  <c r="AE53" i="100" s="1"/>
  <c r="I53" i="100"/>
  <c r="H53" i="100"/>
  <c r="G53" i="100"/>
  <c r="F53" i="100"/>
  <c r="E53" i="100"/>
  <c r="D53" i="100"/>
  <c r="T52" i="100"/>
  <c r="S52" i="100"/>
  <c r="AN52" i="100" s="1"/>
  <c r="R52" i="100"/>
  <c r="Q52" i="100"/>
  <c r="P52" i="100"/>
  <c r="O52" i="100"/>
  <c r="N52" i="100"/>
  <c r="M52" i="100"/>
  <c r="L52" i="100"/>
  <c r="K52" i="100"/>
  <c r="AF52" i="100" s="1"/>
  <c r="J52" i="100"/>
  <c r="I52" i="100"/>
  <c r="H52" i="100"/>
  <c r="G52" i="100"/>
  <c r="F52" i="100"/>
  <c r="E52" i="100"/>
  <c r="D52" i="100"/>
  <c r="Y51" i="100" s="1"/>
  <c r="T51" i="100"/>
  <c r="S51" i="100"/>
  <c r="R51" i="100"/>
  <c r="Q51" i="100"/>
  <c r="P51" i="100"/>
  <c r="O51" i="100"/>
  <c r="N51" i="100"/>
  <c r="AI51" i="100" s="1"/>
  <c r="M51" i="100"/>
  <c r="L51" i="100"/>
  <c r="K51" i="100"/>
  <c r="J51" i="100"/>
  <c r="I51" i="100"/>
  <c r="H51" i="100"/>
  <c r="G51" i="100"/>
  <c r="AB51" i="100" s="1"/>
  <c r="F51" i="100"/>
  <c r="E51" i="100"/>
  <c r="D51" i="100"/>
  <c r="T50" i="100"/>
  <c r="S50" i="100"/>
  <c r="R50" i="100"/>
  <c r="Q50" i="100"/>
  <c r="P50" i="100"/>
  <c r="O50" i="100"/>
  <c r="N50" i="100"/>
  <c r="M50" i="100"/>
  <c r="L50" i="100"/>
  <c r="K50" i="100"/>
  <c r="J50" i="100"/>
  <c r="I50" i="100"/>
  <c r="H50" i="100"/>
  <c r="AC50" i="100" s="1"/>
  <c r="G50" i="100"/>
  <c r="F50" i="100"/>
  <c r="E50" i="100"/>
  <c r="D50" i="100"/>
  <c r="T49" i="100"/>
  <c r="S49" i="100"/>
  <c r="R49" i="100"/>
  <c r="Q49" i="100"/>
  <c r="AL49" i="100" s="1"/>
  <c r="P49" i="100"/>
  <c r="O49" i="100"/>
  <c r="N49" i="100"/>
  <c r="M49" i="100"/>
  <c r="L49" i="100"/>
  <c r="K49" i="100"/>
  <c r="J49" i="100"/>
  <c r="AE49" i="100" s="1"/>
  <c r="I49" i="100"/>
  <c r="AD49" i="100" s="1"/>
  <c r="H49" i="100"/>
  <c r="G49" i="100"/>
  <c r="F49" i="100"/>
  <c r="E49" i="100"/>
  <c r="D49" i="100"/>
  <c r="T48" i="100"/>
  <c r="S48" i="100"/>
  <c r="AN48" i="100" s="1"/>
  <c r="R48" i="100"/>
  <c r="Q48" i="100"/>
  <c r="P48" i="100"/>
  <c r="O48" i="100"/>
  <c r="N48" i="100"/>
  <c r="M48" i="100"/>
  <c r="AH48" i="100" s="1"/>
  <c r="L48" i="100"/>
  <c r="AG48" i="100" s="1"/>
  <c r="K48" i="100"/>
  <c r="AF48" i="100" s="1"/>
  <c r="J48" i="100"/>
  <c r="I48" i="100"/>
  <c r="H48" i="100"/>
  <c r="G48" i="100"/>
  <c r="F48" i="100"/>
  <c r="E48" i="100"/>
  <c r="Z48" i="100" s="1"/>
  <c r="D48" i="100"/>
  <c r="AM47" i="100"/>
  <c r="AA47" i="100"/>
  <c r="T47" i="100"/>
  <c r="S47" i="100"/>
  <c r="R47" i="100"/>
  <c r="Q47" i="100"/>
  <c r="P47" i="100"/>
  <c r="O47" i="100"/>
  <c r="AJ47" i="100" s="1"/>
  <c r="N47" i="100"/>
  <c r="M47" i="100"/>
  <c r="L47" i="100"/>
  <c r="K47" i="100"/>
  <c r="J47" i="100"/>
  <c r="I47" i="100"/>
  <c r="H47" i="100"/>
  <c r="G47" i="100"/>
  <c r="AB47" i="100" s="1"/>
  <c r="F47" i="100"/>
  <c r="E47" i="100"/>
  <c r="D47" i="100"/>
  <c r="T46" i="100"/>
  <c r="S46" i="100"/>
  <c r="R46" i="100"/>
  <c r="Q46" i="100"/>
  <c r="P46" i="100"/>
  <c r="O46" i="100"/>
  <c r="N46" i="100"/>
  <c r="M46" i="100"/>
  <c r="L46" i="100"/>
  <c r="K46" i="100"/>
  <c r="AF46" i="100" s="1"/>
  <c r="J46" i="100"/>
  <c r="I46" i="100"/>
  <c r="H46" i="100"/>
  <c r="G46" i="100"/>
  <c r="F46" i="100"/>
  <c r="E46" i="100"/>
  <c r="D46" i="100"/>
  <c r="T45" i="100"/>
  <c r="S45" i="100"/>
  <c r="R45" i="100"/>
  <c r="Q45" i="100"/>
  <c r="P45" i="100"/>
  <c r="O45" i="100"/>
  <c r="N45" i="100"/>
  <c r="M45" i="100"/>
  <c r="L45" i="100"/>
  <c r="K45" i="100"/>
  <c r="J45" i="100"/>
  <c r="I45" i="100"/>
  <c r="H45" i="100"/>
  <c r="G45" i="100"/>
  <c r="F45" i="100"/>
  <c r="E45" i="100"/>
  <c r="D45" i="100"/>
  <c r="T44" i="100"/>
  <c r="S44" i="100"/>
  <c r="R44" i="100"/>
  <c r="AM44" i="100" s="1"/>
  <c r="Q44" i="100"/>
  <c r="P44" i="100"/>
  <c r="O44" i="100"/>
  <c r="AJ44" i="100" s="1"/>
  <c r="N44" i="100"/>
  <c r="AI44" i="100" s="1"/>
  <c r="M44" i="100"/>
  <c r="L44" i="100"/>
  <c r="K44" i="100"/>
  <c r="J44" i="100"/>
  <c r="AE44" i="100" s="1"/>
  <c r="I44" i="100"/>
  <c r="H44" i="100"/>
  <c r="AC44" i="100" s="1"/>
  <c r="G44" i="100"/>
  <c r="AB44" i="100" s="1"/>
  <c r="F44" i="100"/>
  <c r="AA44" i="100" s="1"/>
  <c r="E44" i="100"/>
  <c r="D44" i="100"/>
  <c r="T43" i="100"/>
  <c r="S43" i="100"/>
  <c r="R43" i="100"/>
  <c r="Q43" i="100"/>
  <c r="AL43" i="100" s="1"/>
  <c r="P43" i="100"/>
  <c r="O43" i="100"/>
  <c r="N43" i="100"/>
  <c r="M43" i="100"/>
  <c r="L43" i="100"/>
  <c r="K43" i="100"/>
  <c r="J43" i="100"/>
  <c r="I43" i="100"/>
  <c r="AD43" i="100" s="1"/>
  <c r="H43" i="100"/>
  <c r="G43" i="100"/>
  <c r="F43" i="100"/>
  <c r="E43" i="100"/>
  <c r="Z44" i="100" s="1"/>
  <c r="D43" i="100"/>
  <c r="AA42" i="100"/>
  <c r="T42" i="100"/>
  <c r="S42" i="100"/>
  <c r="R42" i="100"/>
  <c r="Q42" i="100"/>
  <c r="P42" i="100"/>
  <c r="AK42" i="100" s="1"/>
  <c r="O42" i="100"/>
  <c r="N42" i="100"/>
  <c r="AI42" i="100" s="1"/>
  <c r="M42" i="100"/>
  <c r="L42" i="100"/>
  <c r="K42" i="100"/>
  <c r="J42" i="100"/>
  <c r="I42" i="100"/>
  <c r="H42" i="100"/>
  <c r="AC42" i="100" s="1"/>
  <c r="G42" i="100"/>
  <c r="F42" i="100"/>
  <c r="E42" i="100"/>
  <c r="D42" i="100"/>
  <c r="AH41" i="100"/>
  <c r="T41" i="100"/>
  <c r="S41" i="100"/>
  <c r="AN41" i="100" s="1"/>
  <c r="R41" i="100"/>
  <c r="Q41" i="100"/>
  <c r="P41" i="100"/>
  <c r="O41" i="100"/>
  <c r="N41" i="100"/>
  <c r="M41" i="100"/>
  <c r="L41" i="100"/>
  <c r="K41" i="100"/>
  <c r="AF41" i="100" s="1"/>
  <c r="J41" i="100"/>
  <c r="I41" i="100"/>
  <c r="H41" i="100"/>
  <c r="G41" i="100"/>
  <c r="F41" i="100"/>
  <c r="E41" i="100"/>
  <c r="D41" i="100"/>
  <c r="AN40" i="100"/>
  <c r="AK40" i="100"/>
  <c r="T40" i="100"/>
  <c r="S40" i="100"/>
  <c r="R40" i="100"/>
  <c r="Q40" i="100"/>
  <c r="AL40" i="100" s="1"/>
  <c r="P40" i="100"/>
  <c r="O40" i="100"/>
  <c r="AJ40" i="100" s="1"/>
  <c r="N40" i="100"/>
  <c r="AI40" i="100" s="1"/>
  <c r="M40" i="100"/>
  <c r="AH40" i="100" s="1"/>
  <c r="L40" i="100"/>
  <c r="K40" i="100"/>
  <c r="J40" i="100"/>
  <c r="I40" i="100"/>
  <c r="AD40" i="100" s="1"/>
  <c r="H40" i="100"/>
  <c r="G40" i="100"/>
  <c r="AB40" i="100" s="1"/>
  <c r="F40" i="100"/>
  <c r="E40" i="100"/>
  <c r="Z40" i="100" s="1"/>
  <c r="D40" i="100"/>
  <c r="AL39" i="100"/>
  <c r="AD39" i="100"/>
  <c r="T39" i="100"/>
  <c r="S39" i="100"/>
  <c r="R39" i="100"/>
  <c r="AM41" i="100" s="1"/>
  <c r="Q39" i="100"/>
  <c r="P39" i="100"/>
  <c r="O39" i="100"/>
  <c r="N39" i="100"/>
  <c r="AI39" i="100" s="1"/>
  <c r="M39" i="100"/>
  <c r="L39" i="100"/>
  <c r="AG42" i="100" s="1"/>
  <c r="K39" i="100"/>
  <c r="J39" i="100"/>
  <c r="AE41" i="100" s="1"/>
  <c r="I39" i="100"/>
  <c r="H39" i="100"/>
  <c r="G39" i="100"/>
  <c r="F39" i="100"/>
  <c r="AA39" i="100" s="1"/>
  <c r="E39" i="100"/>
  <c r="D39" i="100"/>
  <c r="Y39" i="100" s="1"/>
  <c r="AE38" i="100"/>
  <c r="T38" i="100"/>
  <c r="S38" i="100"/>
  <c r="R38" i="100"/>
  <c r="Q38" i="100"/>
  <c r="AL38" i="100" s="1"/>
  <c r="P38" i="100"/>
  <c r="O38" i="100"/>
  <c r="N38" i="100"/>
  <c r="M38" i="100"/>
  <c r="L38" i="100"/>
  <c r="K38" i="100"/>
  <c r="J38" i="100"/>
  <c r="I38" i="100"/>
  <c r="AD38" i="100" s="1"/>
  <c r="H38" i="100"/>
  <c r="G38" i="100"/>
  <c r="F38" i="100"/>
  <c r="E38" i="100"/>
  <c r="D38" i="100"/>
  <c r="T37" i="100"/>
  <c r="S37" i="100"/>
  <c r="R37" i="100"/>
  <c r="Q37" i="100"/>
  <c r="P37" i="100"/>
  <c r="AK37" i="100" s="1"/>
  <c r="O37" i="100"/>
  <c r="N37" i="100"/>
  <c r="M37" i="100"/>
  <c r="L37" i="100"/>
  <c r="K37" i="100"/>
  <c r="J37" i="100"/>
  <c r="I37" i="100"/>
  <c r="H37" i="100"/>
  <c r="AC37" i="100" s="1"/>
  <c r="G37" i="100"/>
  <c r="F37" i="100"/>
  <c r="E37" i="100"/>
  <c r="D37" i="100"/>
  <c r="T36" i="100"/>
  <c r="S36" i="100"/>
  <c r="AN36" i="100" s="1"/>
  <c r="R36" i="100"/>
  <c r="Q36" i="100"/>
  <c r="P36" i="100"/>
  <c r="O36" i="100"/>
  <c r="AJ36" i="100" s="1"/>
  <c r="N36" i="100"/>
  <c r="M36" i="100"/>
  <c r="L36" i="100"/>
  <c r="AG36" i="100" s="1"/>
  <c r="K36" i="100"/>
  <c r="AF36" i="100" s="1"/>
  <c r="J36" i="100"/>
  <c r="I36" i="100"/>
  <c r="H36" i="100"/>
  <c r="G36" i="100"/>
  <c r="AB36" i="100" s="1"/>
  <c r="F36" i="100"/>
  <c r="E36" i="100"/>
  <c r="D36" i="100"/>
  <c r="Y36" i="100" s="1"/>
  <c r="AK35" i="100"/>
  <c r="T35" i="100"/>
  <c r="S35" i="100"/>
  <c r="R35" i="100"/>
  <c r="AM35" i="100" s="1"/>
  <c r="Q35" i="100"/>
  <c r="P35" i="100"/>
  <c r="O35" i="100"/>
  <c r="N35" i="100"/>
  <c r="AI37" i="100" s="1"/>
  <c r="M35" i="100"/>
  <c r="L35" i="100"/>
  <c r="K35" i="100"/>
  <c r="J35" i="100"/>
  <c r="AE35" i="100" s="1"/>
  <c r="I35" i="100"/>
  <c r="H35" i="100"/>
  <c r="AC35" i="100" s="1"/>
  <c r="G35" i="100"/>
  <c r="F35" i="100"/>
  <c r="AA37" i="100" s="1"/>
  <c r="E35" i="100"/>
  <c r="D35" i="100"/>
  <c r="T34" i="100"/>
  <c r="S34" i="100"/>
  <c r="R34" i="100"/>
  <c r="Q34" i="100"/>
  <c r="AL31" i="100" s="1"/>
  <c r="P34" i="100"/>
  <c r="O34" i="100"/>
  <c r="N34" i="100"/>
  <c r="M34" i="100"/>
  <c r="AH34" i="100" s="1"/>
  <c r="L34" i="100"/>
  <c r="K34" i="100"/>
  <c r="J34" i="100"/>
  <c r="I34" i="100"/>
  <c r="H34" i="100"/>
  <c r="G34" i="100"/>
  <c r="F34" i="100"/>
  <c r="E34" i="100"/>
  <c r="Z34" i="100" s="1"/>
  <c r="D34" i="100"/>
  <c r="T33" i="100"/>
  <c r="S33" i="100"/>
  <c r="R33" i="100"/>
  <c r="Q33" i="100"/>
  <c r="P33" i="100"/>
  <c r="O33" i="100"/>
  <c r="AJ33" i="100" s="1"/>
  <c r="N33" i="100"/>
  <c r="M33" i="100"/>
  <c r="L33" i="100"/>
  <c r="K33" i="100"/>
  <c r="J33" i="100"/>
  <c r="I33" i="100"/>
  <c r="H33" i="100"/>
  <c r="G33" i="100"/>
  <c r="F33" i="100"/>
  <c r="E33" i="100"/>
  <c r="D33" i="100"/>
  <c r="AK32" i="100"/>
  <c r="AF32" i="100"/>
  <c r="T32" i="100"/>
  <c r="S32" i="100"/>
  <c r="R32" i="100"/>
  <c r="Q32" i="100"/>
  <c r="P32" i="100"/>
  <c r="O32" i="100"/>
  <c r="AJ32" i="100" s="1"/>
  <c r="N32" i="100"/>
  <c r="M32" i="100"/>
  <c r="L32" i="100"/>
  <c r="K32" i="100"/>
  <c r="J32" i="100"/>
  <c r="I32" i="100"/>
  <c r="H32" i="100"/>
  <c r="G32" i="100"/>
  <c r="AB32" i="100" s="1"/>
  <c r="F32" i="100"/>
  <c r="E32" i="100"/>
  <c r="D32" i="100"/>
  <c r="T31" i="100"/>
  <c r="S31" i="100"/>
  <c r="AN31" i="100" s="1"/>
  <c r="R31" i="100"/>
  <c r="AM33" i="100" s="1"/>
  <c r="Q31" i="100"/>
  <c r="P31" i="100"/>
  <c r="AK31" i="100" s="1"/>
  <c r="O31" i="100"/>
  <c r="N31" i="100"/>
  <c r="AI31" i="100" s="1"/>
  <c r="M31" i="100"/>
  <c r="L31" i="100"/>
  <c r="AG31" i="100" s="1"/>
  <c r="K31" i="100"/>
  <c r="AF31" i="100" s="1"/>
  <c r="J31" i="100"/>
  <c r="AE33" i="100" s="1"/>
  <c r="I31" i="100"/>
  <c r="H31" i="100"/>
  <c r="AC31" i="100" s="1"/>
  <c r="G31" i="100"/>
  <c r="F31" i="100"/>
  <c r="AA31" i="100" s="1"/>
  <c r="E31" i="100"/>
  <c r="D31" i="100"/>
  <c r="Y31" i="100" s="1"/>
  <c r="AM30" i="100"/>
  <c r="AE30" i="100"/>
  <c r="T30" i="100"/>
  <c r="S30" i="100"/>
  <c r="AN27" i="100" s="1"/>
  <c r="R30" i="100"/>
  <c r="Q30" i="100"/>
  <c r="P30" i="100"/>
  <c r="O30" i="100"/>
  <c r="AJ30" i="100" s="1"/>
  <c r="N30" i="100"/>
  <c r="AI30" i="100" s="1"/>
  <c r="M30" i="100"/>
  <c r="L30" i="100"/>
  <c r="K30" i="100"/>
  <c r="AF27" i="100" s="1"/>
  <c r="J30" i="100"/>
  <c r="I30" i="100"/>
  <c r="H30" i="100"/>
  <c r="G30" i="100"/>
  <c r="AB30" i="100" s="1"/>
  <c r="F30" i="100"/>
  <c r="AA30" i="100" s="1"/>
  <c r="E30" i="100"/>
  <c r="D30" i="100"/>
  <c r="AN29" i="100"/>
  <c r="T29" i="100"/>
  <c r="S29" i="100"/>
  <c r="R29" i="100"/>
  <c r="Q29" i="100"/>
  <c r="P29" i="100"/>
  <c r="O29" i="100"/>
  <c r="N29" i="100"/>
  <c r="M29" i="100"/>
  <c r="L29" i="100"/>
  <c r="K29" i="100"/>
  <c r="AF29" i="100" s="1"/>
  <c r="J29" i="100"/>
  <c r="I29" i="100"/>
  <c r="H29" i="100"/>
  <c r="G29" i="100"/>
  <c r="F29" i="100"/>
  <c r="E29" i="100"/>
  <c r="D29" i="100"/>
  <c r="AJ28" i="100"/>
  <c r="Y28" i="100"/>
  <c r="T28" i="100"/>
  <c r="S28" i="100"/>
  <c r="R28" i="100"/>
  <c r="Q28" i="100"/>
  <c r="AL28" i="100" s="1"/>
  <c r="P28" i="100"/>
  <c r="O28" i="100"/>
  <c r="N28" i="100"/>
  <c r="M28" i="100"/>
  <c r="L28" i="100"/>
  <c r="K28" i="100"/>
  <c r="J28" i="100"/>
  <c r="I28" i="100"/>
  <c r="AD28" i="100" s="1"/>
  <c r="H28" i="100"/>
  <c r="G28" i="100"/>
  <c r="F28" i="100"/>
  <c r="E28" i="100"/>
  <c r="D28" i="100"/>
  <c r="T27" i="100"/>
  <c r="S27" i="100"/>
  <c r="R27" i="100"/>
  <c r="AM27" i="100" s="1"/>
  <c r="Q27" i="100"/>
  <c r="P27" i="100"/>
  <c r="AK27" i="100" s="1"/>
  <c r="O27" i="100"/>
  <c r="N27" i="100"/>
  <c r="M27" i="100"/>
  <c r="L27" i="100"/>
  <c r="AG27" i="100" s="1"/>
  <c r="K27" i="100"/>
  <c r="J27" i="100"/>
  <c r="AE27" i="100" s="1"/>
  <c r="I27" i="100"/>
  <c r="H27" i="100"/>
  <c r="AC27" i="100" s="1"/>
  <c r="G27" i="100"/>
  <c r="F27" i="100"/>
  <c r="E27" i="100"/>
  <c r="D27" i="100"/>
  <c r="Y27" i="100" s="1"/>
  <c r="T26" i="100"/>
  <c r="S26" i="100"/>
  <c r="AN26" i="100" s="1"/>
  <c r="R26" i="100"/>
  <c r="Q26" i="100"/>
  <c r="P26" i="100"/>
  <c r="O26" i="100"/>
  <c r="N26" i="100"/>
  <c r="M26" i="100"/>
  <c r="L26" i="100"/>
  <c r="K26" i="100"/>
  <c r="AF26" i="100" s="1"/>
  <c r="J26" i="100"/>
  <c r="I26" i="100"/>
  <c r="H26" i="100"/>
  <c r="G26" i="100"/>
  <c r="F26" i="100"/>
  <c r="E26" i="100"/>
  <c r="D26" i="100"/>
  <c r="AJ25" i="100"/>
  <c r="T25" i="100"/>
  <c r="S25" i="100"/>
  <c r="R25" i="100"/>
  <c r="Q25" i="100"/>
  <c r="P25" i="100"/>
  <c r="AK25" i="100" s="1"/>
  <c r="O25" i="100"/>
  <c r="N25" i="100"/>
  <c r="M25" i="100"/>
  <c r="L25" i="100"/>
  <c r="AG25" i="100" s="1"/>
  <c r="K25" i="100"/>
  <c r="J25" i="100"/>
  <c r="I25" i="100"/>
  <c r="H25" i="100"/>
  <c r="AC25" i="100" s="1"/>
  <c r="G25" i="100"/>
  <c r="F25" i="100"/>
  <c r="E25" i="100"/>
  <c r="D25" i="100"/>
  <c r="Y25" i="100" s="1"/>
  <c r="T24" i="100"/>
  <c r="S24" i="100"/>
  <c r="AN24" i="100" s="1"/>
  <c r="R24" i="100"/>
  <c r="AM24" i="100" s="1"/>
  <c r="Q24" i="100"/>
  <c r="AL24" i="100" s="1"/>
  <c r="P24" i="100"/>
  <c r="O24" i="100"/>
  <c r="N24" i="100"/>
  <c r="M24" i="100"/>
  <c r="AH24" i="100" s="1"/>
  <c r="L24" i="100"/>
  <c r="K24" i="100"/>
  <c r="J24" i="100"/>
  <c r="AE24" i="100" s="1"/>
  <c r="I24" i="100"/>
  <c r="AD24" i="100" s="1"/>
  <c r="H24" i="100"/>
  <c r="G24" i="100"/>
  <c r="F24" i="100"/>
  <c r="E24" i="100"/>
  <c r="Z24" i="100" s="1"/>
  <c r="D24" i="100"/>
  <c r="AD23" i="100"/>
  <c r="T23" i="100"/>
  <c r="S23" i="100"/>
  <c r="R23" i="100"/>
  <c r="Q23" i="100"/>
  <c r="P23" i="100"/>
  <c r="O23" i="100"/>
  <c r="N23" i="100"/>
  <c r="AI23" i="100" s="1"/>
  <c r="M23" i="100"/>
  <c r="L23" i="100"/>
  <c r="K23" i="100"/>
  <c r="J23" i="100"/>
  <c r="I23" i="100"/>
  <c r="H23" i="100"/>
  <c r="G23" i="100"/>
  <c r="AB25" i="100" s="1"/>
  <c r="F23" i="100"/>
  <c r="AA23" i="100" s="1"/>
  <c r="E23" i="100"/>
  <c r="D23" i="100"/>
  <c r="T22" i="100"/>
  <c r="S22" i="100"/>
  <c r="R22" i="100"/>
  <c r="Q22" i="100"/>
  <c r="P22" i="100"/>
  <c r="O22" i="100"/>
  <c r="AJ22" i="100" s="1"/>
  <c r="N22" i="100"/>
  <c r="M22" i="100"/>
  <c r="L22" i="100"/>
  <c r="K22" i="100"/>
  <c r="J22" i="100"/>
  <c r="I22" i="100"/>
  <c r="H22" i="100"/>
  <c r="G22" i="100"/>
  <c r="AB22" i="100" s="1"/>
  <c r="F22" i="100"/>
  <c r="E22" i="100"/>
  <c r="D22" i="100"/>
  <c r="T21" i="100"/>
  <c r="S21" i="100"/>
  <c r="R21" i="100"/>
  <c r="AM21" i="100" s="1"/>
  <c r="Q21" i="100"/>
  <c r="P21" i="100"/>
  <c r="AK21" i="100" s="1"/>
  <c r="O21" i="100"/>
  <c r="N21" i="100"/>
  <c r="M21" i="100"/>
  <c r="L21" i="100"/>
  <c r="AG21" i="100" s="1"/>
  <c r="K21" i="100"/>
  <c r="J21" i="100"/>
  <c r="AE21" i="100" s="1"/>
  <c r="I21" i="100"/>
  <c r="H21" i="100"/>
  <c r="AC21" i="100" s="1"/>
  <c r="G21" i="100"/>
  <c r="F21" i="100"/>
  <c r="E21" i="100"/>
  <c r="D21" i="100"/>
  <c r="Y21" i="100" s="1"/>
  <c r="AE20" i="100"/>
  <c r="T20" i="100"/>
  <c r="S20" i="100"/>
  <c r="AN20" i="100" s="1"/>
  <c r="R20" i="100"/>
  <c r="Q20" i="100"/>
  <c r="P20" i="100"/>
  <c r="O20" i="100"/>
  <c r="AJ20" i="100" s="1"/>
  <c r="N20" i="100"/>
  <c r="M20" i="100"/>
  <c r="L20" i="100"/>
  <c r="K20" i="100"/>
  <c r="AF20" i="100" s="1"/>
  <c r="J20" i="100"/>
  <c r="I20" i="100"/>
  <c r="H20" i="100"/>
  <c r="G20" i="100"/>
  <c r="F20" i="100"/>
  <c r="E20" i="100"/>
  <c r="D20" i="100"/>
  <c r="Y20" i="100" s="1"/>
  <c r="AK19" i="100"/>
  <c r="AC19" i="100"/>
  <c r="T19" i="100"/>
  <c r="S19" i="100"/>
  <c r="R19" i="100"/>
  <c r="Q19" i="100"/>
  <c r="AL21" i="100" s="1"/>
  <c r="P19" i="100"/>
  <c r="O19" i="100"/>
  <c r="N19" i="100"/>
  <c r="AI21" i="100" s="1"/>
  <c r="M19" i="100"/>
  <c r="L19" i="100"/>
  <c r="K19" i="100"/>
  <c r="J19" i="100"/>
  <c r="AE22" i="100" s="1"/>
  <c r="I19" i="100"/>
  <c r="AD21" i="100" s="1"/>
  <c r="H19" i="100"/>
  <c r="G19" i="100"/>
  <c r="F19" i="100"/>
  <c r="AA21" i="100" s="1"/>
  <c r="E19" i="100"/>
  <c r="D19" i="100"/>
  <c r="T18" i="100"/>
  <c r="S18" i="100"/>
  <c r="R18" i="100"/>
  <c r="Q18" i="100"/>
  <c r="P18" i="100"/>
  <c r="O18" i="100"/>
  <c r="N18" i="100"/>
  <c r="M18" i="100"/>
  <c r="L18" i="100"/>
  <c r="K18" i="100"/>
  <c r="J18" i="100"/>
  <c r="I18" i="100"/>
  <c r="H18" i="100"/>
  <c r="G18" i="100"/>
  <c r="F18" i="100"/>
  <c r="E18" i="100"/>
  <c r="D18" i="100"/>
  <c r="T17" i="100"/>
  <c r="S17" i="100"/>
  <c r="R17" i="100"/>
  <c r="Q17" i="100"/>
  <c r="P17" i="100"/>
  <c r="AK17" i="100" s="1"/>
  <c r="O17" i="100"/>
  <c r="N17" i="100"/>
  <c r="M17" i="100"/>
  <c r="L17" i="100"/>
  <c r="K17" i="100"/>
  <c r="J17" i="100"/>
  <c r="I17" i="100"/>
  <c r="H17" i="100"/>
  <c r="AC17" i="100" s="1"/>
  <c r="G17" i="100"/>
  <c r="F17" i="100"/>
  <c r="E17" i="100"/>
  <c r="D17" i="100"/>
  <c r="T16" i="100"/>
  <c r="S16" i="100"/>
  <c r="R16" i="100"/>
  <c r="Q16" i="100"/>
  <c r="P16" i="100"/>
  <c r="O16" i="100"/>
  <c r="N16" i="100"/>
  <c r="M16" i="100"/>
  <c r="L16" i="100"/>
  <c r="K16" i="100"/>
  <c r="J16" i="100"/>
  <c r="I16" i="100"/>
  <c r="H16" i="100"/>
  <c r="G16" i="100"/>
  <c r="F16" i="100"/>
  <c r="E16" i="100"/>
  <c r="D16" i="100"/>
  <c r="T15" i="100"/>
  <c r="S15" i="100"/>
  <c r="R15" i="100"/>
  <c r="Q15" i="100"/>
  <c r="P15" i="100"/>
  <c r="O15" i="100"/>
  <c r="AJ17" i="100" s="1"/>
  <c r="N15" i="100"/>
  <c r="AI15" i="100" s="1"/>
  <c r="M15" i="100"/>
  <c r="L15" i="100"/>
  <c r="K15" i="100"/>
  <c r="J15" i="100"/>
  <c r="I15" i="100"/>
  <c r="H15" i="100"/>
  <c r="G15" i="100"/>
  <c r="AB17" i="100" s="1"/>
  <c r="F15" i="100"/>
  <c r="E15" i="100"/>
  <c r="D15" i="100"/>
  <c r="T14" i="100"/>
  <c r="S14" i="100"/>
  <c r="R14" i="100"/>
  <c r="Q14" i="100"/>
  <c r="P14" i="100"/>
  <c r="O14" i="100"/>
  <c r="N14" i="100"/>
  <c r="M14" i="100"/>
  <c r="L14" i="100"/>
  <c r="K14" i="100"/>
  <c r="J14" i="100"/>
  <c r="I14" i="100"/>
  <c r="H14" i="100"/>
  <c r="G14" i="100"/>
  <c r="F14" i="100"/>
  <c r="E14" i="100"/>
  <c r="D14" i="100"/>
  <c r="T13" i="100"/>
  <c r="S13" i="100"/>
  <c r="R13" i="100"/>
  <c r="Q13" i="100"/>
  <c r="P13" i="100"/>
  <c r="O13" i="100"/>
  <c r="N13" i="100"/>
  <c r="M13" i="100"/>
  <c r="L13" i="100"/>
  <c r="K13" i="100"/>
  <c r="J13" i="100"/>
  <c r="I13" i="100"/>
  <c r="H13" i="100"/>
  <c r="G13" i="100"/>
  <c r="F13" i="100"/>
  <c r="E13" i="100"/>
  <c r="D13" i="100"/>
  <c r="T12" i="100"/>
  <c r="S12" i="100"/>
  <c r="R12" i="100"/>
  <c r="Q12" i="100"/>
  <c r="AL12" i="100" s="1"/>
  <c r="P12" i="100"/>
  <c r="O12" i="100"/>
  <c r="N12" i="100"/>
  <c r="M12" i="100"/>
  <c r="L12" i="100"/>
  <c r="K12" i="100"/>
  <c r="J12" i="100"/>
  <c r="I12" i="100"/>
  <c r="AD12" i="100" s="1"/>
  <c r="H12" i="100"/>
  <c r="G12" i="100"/>
  <c r="F12" i="100"/>
  <c r="E12" i="100"/>
  <c r="D12" i="100"/>
  <c r="T11" i="100"/>
  <c r="S11" i="100"/>
  <c r="AN13" i="100" s="1"/>
  <c r="R11" i="100"/>
  <c r="AM11" i="100" s="1"/>
  <c r="Q11" i="100"/>
  <c r="P11" i="100"/>
  <c r="O11" i="100"/>
  <c r="N11" i="100"/>
  <c r="M11" i="100"/>
  <c r="L11" i="100"/>
  <c r="K11" i="100"/>
  <c r="AF13" i="100" s="1"/>
  <c r="J11" i="100"/>
  <c r="AE11" i="100" s="1"/>
  <c r="I11" i="100"/>
  <c r="H11" i="100"/>
  <c r="G11" i="100"/>
  <c r="F11" i="100"/>
  <c r="E11" i="100"/>
  <c r="D11" i="100"/>
  <c r="D76" i="114"/>
  <c r="C76" i="114"/>
  <c r="D75" i="114"/>
  <c r="C75" i="114"/>
  <c r="D74" i="114"/>
  <c r="C74" i="114"/>
  <c r="D73" i="114"/>
  <c r="C73" i="114"/>
  <c r="D72" i="114"/>
  <c r="C72" i="114"/>
  <c r="D71" i="114"/>
  <c r="C71" i="114"/>
  <c r="D70" i="114"/>
  <c r="C70" i="114"/>
  <c r="D69" i="114"/>
  <c r="C69" i="114"/>
  <c r="D68" i="114"/>
  <c r="C68" i="114"/>
  <c r="D67" i="114"/>
  <c r="C67" i="114"/>
  <c r="D66" i="114"/>
  <c r="C66" i="114"/>
  <c r="D65" i="114"/>
  <c r="C65" i="114"/>
  <c r="D64" i="114"/>
  <c r="C64" i="114"/>
  <c r="D63" i="114"/>
  <c r="C63" i="114"/>
  <c r="D62" i="114"/>
  <c r="C62" i="114"/>
  <c r="D61" i="114"/>
  <c r="C61" i="114"/>
  <c r="D60" i="114"/>
  <c r="C60" i="114"/>
  <c r="D59" i="114"/>
  <c r="C59" i="114"/>
  <c r="D58" i="114"/>
  <c r="C58" i="114"/>
  <c r="D57" i="114"/>
  <c r="C57" i="114"/>
  <c r="D56" i="114"/>
  <c r="C56" i="114"/>
  <c r="D55" i="114"/>
  <c r="C55" i="114"/>
  <c r="D54" i="114"/>
  <c r="C54" i="114"/>
  <c r="D53" i="114"/>
  <c r="C53" i="114"/>
  <c r="D52" i="114"/>
  <c r="C52" i="114"/>
  <c r="D51" i="114"/>
  <c r="C51" i="114"/>
  <c r="D50" i="114"/>
  <c r="C50" i="114"/>
  <c r="D49" i="114"/>
  <c r="C49" i="114"/>
  <c r="D48" i="114"/>
  <c r="C48" i="114"/>
  <c r="D47" i="114"/>
  <c r="C47" i="114"/>
  <c r="D46" i="114"/>
  <c r="C46" i="114"/>
  <c r="D45" i="114"/>
  <c r="C45" i="114"/>
  <c r="D44" i="114"/>
  <c r="C44" i="114"/>
  <c r="D43" i="114"/>
  <c r="C43" i="114"/>
  <c r="D42" i="114"/>
  <c r="C42" i="114"/>
  <c r="D40" i="114"/>
  <c r="C40" i="114"/>
  <c r="D39" i="114"/>
  <c r="C39" i="114"/>
  <c r="D38" i="114"/>
  <c r="C38" i="114"/>
  <c r="G37" i="114"/>
  <c r="D37" i="114"/>
  <c r="C37" i="114"/>
  <c r="D36" i="114"/>
  <c r="C36" i="114"/>
  <c r="D35" i="114"/>
  <c r="C35" i="114"/>
  <c r="G34" i="114"/>
  <c r="D34" i="114"/>
  <c r="C34" i="114"/>
  <c r="G33" i="114"/>
  <c r="J29" i="114"/>
  <c r="I29" i="114"/>
  <c r="G29" i="114"/>
  <c r="F29" i="114"/>
  <c r="D29" i="114"/>
  <c r="C29" i="114"/>
  <c r="J28" i="114"/>
  <c r="I28" i="114"/>
  <c r="G28" i="114"/>
  <c r="F28" i="114"/>
  <c r="D28" i="114"/>
  <c r="C28" i="114"/>
  <c r="B28" i="114"/>
  <c r="H22" i="114"/>
  <c r="F22" i="114"/>
  <c r="D22" i="114"/>
  <c r="C22" i="114"/>
  <c r="H21" i="114"/>
  <c r="F21" i="114"/>
  <c r="D21" i="114"/>
  <c r="C21" i="114"/>
  <c r="B21" i="114"/>
  <c r="L16" i="114"/>
  <c r="K16" i="114"/>
  <c r="I16" i="114"/>
  <c r="G16" i="114"/>
  <c r="F16" i="114"/>
  <c r="D16" i="114"/>
  <c r="C16" i="114"/>
  <c r="L15" i="114"/>
  <c r="K15" i="114"/>
  <c r="I15" i="114"/>
  <c r="G15" i="114"/>
  <c r="F15" i="114"/>
  <c r="D15" i="114"/>
  <c r="C15" i="114"/>
  <c r="B15" i="114"/>
  <c r="L11" i="114"/>
  <c r="K11" i="114"/>
  <c r="I11" i="114"/>
  <c r="H11" i="114"/>
  <c r="F11" i="114"/>
  <c r="E11" i="114"/>
  <c r="D11" i="114"/>
  <c r="C11" i="114"/>
  <c r="L10" i="114"/>
  <c r="L12" i="114" s="1"/>
  <c r="K10" i="114"/>
  <c r="K12" i="114" s="1"/>
  <c r="I10" i="114"/>
  <c r="I12" i="114" s="1"/>
  <c r="H10" i="114"/>
  <c r="F10" i="114"/>
  <c r="F12" i="114" s="1"/>
  <c r="E10" i="114"/>
  <c r="E12" i="114" s="1"/>
  <c r="D10" i="114"/>
  <c r="D12" i="114" s="1"/>
  <c r="C10" i="114"/>
  <c r="C12" i="114" s="1"/>
  <c r="B10" i="114"/>
  <c r="R123" i="98"/>
  <c r="Q123" i="98"/>
  <c r="AJ123" i="98" s="1"/>
  <c r="P123" i="98"/>
  <c r="AI123" i="98" s="1"/>
  <c r="N123" i="98"/>
  <c r="L123" i="98"/>
  <c r="J123" i="98"/>
  <c r="I123" i="98"/>
  <c r="H123" i="98"/>
  <c r="F123" i="98"/>
  <c r="D123" i="98"/>
  <c r="W123" i="98" s="1"/>
  <c r="R122" i="98"/>
  <c r="Q122" i="98"/>
  <c r="P122" i="98"/>
  <c r="N122" i="98"/>
  <c r="L122" i="98"/>
  <c r="J122" i="98"/>
  <c r="I122" i="98"/>
  <c r="AB122" i="98" s="1"/>
  <c r="H122" i="98"/>
  <c r="F122" i="98"/>
  <c r="D122" i="98"/>
  <c r="R121" i="98"/>
  <c r="Q121" i="98"/>
  <c r="P121" i="98"/>
  <c r="N121" i="98"/>
  <c r="L121" i="98"/>
  <c r="J121" i="98"/>
  <c r="I121" i="98"/>
  <c r="H121" i="98"/>
  <c r="AA121" i="98" s="1"/>
  <c r="F121" i="98"/>
  <c r="D121" i="98"/>
  <c r="AE120" i="98"/>
  <c r="R120" i="98"/>
  <c r="AK120" i="98" s="1"/>
  <c r="Q120" i="98"/>
  <c r="P120" i="98"/>
  <c r="N120" i="98"/>
  <c r="L120" i="98"/>
  <c r="J120" i="98"/>
  <c r="I120" i="98"/>
  <c r="H120" i="98"/>
  <c r="F120" i="98"/>
  <c r="Y120" i="98" s="1"/>
  <c r="D120" i="98"/>
  <c r="U118" i="98"/>
  <c r="B118" i="98"/>
  <c r="R116" i="98"/>
  <c r="P116" i="98"/>
  <c r="O116" i="98"/>
  <c r="N116" i="98"/>
  <c r="L116" i="98"/>
  <c r="K116" i="98"/>
  <c r="J116" i="98"/>
  <c r="H116" i="98"/>
  <c r="G116" i="98"/>
  <c r="F116" i="98"/>
  <c r="Y116" i="98" s="1"/>
  <c r="D116" i="98"/>
  <c r="W116" i="98" s="1"/>
  <c r="C116" i="98"/>
  <c r="R115" i="98"/>
  <c r="P115" i="98"/>
  <c r="O115" i="98"/>
  <c r="N115" i="98"/>
  <c r="L115" i="98"/>
  <c r="AE115" i="98" s="1"/>
  <c r="K115" i="98"/>
  <c r="AD115" i="98" s="1"/>
  <c r="J115" i="98"/>
  <c r="H115" i="98"/>
  <c r="G115" i="98"/>
  <c r="F115" i="98"/>
  <c r="D115" i="98"/>
  <c r="C115" i="98"/>
  <c r="R114" i="98"/>
  <c r="AK114" i="98" s="1"/>
  <c r="P114" i="98"/>
  <c r="O114" i="98"/>
  <c r="N114" i="98"/>
  <c r="L114" i="98"/>
  <c r="K114" i="98"/>
  <c r="J114" i="98"/>
  <c r="AC114" i="98" s="1"/>
  <c r="H114" i="98"/>
  <c r="AA114" i="98" s="1"/>
  <c r="G114" i="98"/>
  <c r="Z114" i="98" s="1"/>
  <c r="F114" i="98"/>
  <c r="D114" i="98"/>
  <c r="C114" i="98"/>
  <c r="R113" i="98"/>
  <c r="P113" i="98"/>
  <c r="AI113" i="98" s="1"/>
  <c r="O113" i="98"/>
  <c r="AH113" i="98" s="1"/>
  <c r="N113" i="98"/>
  <c r="AG116" i="98" s="1"/>
  <c r="L113" i="98"/>
  <c r="AE113" i="98" s="1"/>
  <c r="K113" i="98"/>
  <c r="J113" i="98"/>
  <c r="H113" i="98"/>
  <c r="G113" i="98"/>
  <c r="F113" i="98"/>
  <c r="Y114" i="98" s="1"/>
  <c r="D113" i="98"/>
  <c r="W113" i="98" s="1"/>
  <c r="C113" i="98"/>
  <c r="V113" i="98" s="1"/>
  <c r="U111" i="98"/>
  <c r="B111" i="98"/>
  <c r="R109" i="98"/>
  <c r="Q109" i="98"/>
  <c r="P109" i="98"/>
  <c r="N109" i="98"/>
  <c r="M109" i="98"/>
  <c r="L109" i="98"/>
  <c r="J109" i="98"/>
  <c r="AC109" i="98" s="1"/>
  <c r="I109" i="98"/>
  <c r="H109" i="98"/>
  <c r="F109" i="98"/>
  <c r="E109" i="98"/>
  <c r="D109" i="98"/>
  <c r="R108" i="98"/>
  <c r="Q108" i="98"/>
  <c r="P108" i="98"/>
  <c r="N108" i="98"/>
  <c r="M108" i="98"/>
  <c r="AF108" i="98" s="1"/>
  <c r="L108" i="98"/>
  <c r="J108" i="98"/>
  <c r="I108" i="98"/>
  <c r="H108" i="98"/>
  <c r="F108" i="98"/>
  <c r="E108" i="98"/>
  <c r="D108" i="98"/>
  <c r="AA107" i="98"/>
  <c r="R107" i="98"/>
  <c r="AK107" i="98" s="1"/>
  <c r="Q107" i="98"/>
  <c r="P107" i="98"/>
  <c r="N107" i="98"/>
  <c r="M107" i="98"/>
  <c r="L107" i="98"/>
  <c r="J107" i="98"/>
  <c r="AC107" i="98" s="1"/>
  <c r="I107" i="98"/>
  <c r="AB107" i="98" s="1"/>
  <c r="H107" i="98"/>
  <c r="AA109" i="98" s="1"/>
  <c r="F107" i="98"/>
  <c r="E107" i="98"/>
  <c r="D107" i="98"/>
  <c r="R106" i="98"/>
  <c r="Q106" i="98"/>
  <c r="AJ106" i="98" s="1"/>
  <c r="P106" i="98"/>
  <c r="AI108" i="98" s="1"/>
  <c r="N106" i="98"/>
  <c r="AG109" i="98" s="1"/>
  <c r="M106" i="98"/>
  <c r="L106" i="98"/>
  <c r="J106" i="98"/>
  <c r="I106" i="98"/>
  <c r="H106" i="98"/>
  <c r="F106" i="98"/>
  <c r="Y106" i="98" s="1"/>
  <c r="E106" i="98"/>
  <c r="X106" i="98" s="1"/>
  <c r="D106" i="98"/>
  <c r="W106" i="98" s="1"/>
  <c r="U104" i="98"/>
  <c r="B104" i="98"/>
  <c r="M123" i="98" s="1"/>
  <c r="R102" i="98"/>
  <c r="P102" i="98"/>
  <c r="O102" i="98"/>
  <c r="AH102" i="98" s="1"/>
  <c r="N102" i="98"/>
  <c r="AG102" i="98" s="1"/>
  <c r="L102" i="98"/>
  <c r="AE102" i="98" s="1"/>
  <c r="K102" i="98"/>
  <c r="J102" i="98"/>
  <c r="H102" i="98"/>
  <c r="G102" i="98"/>
  <c r="F102" i="98"/>
  <c r="D102" i="98"/>
  <c r="W102" i="98" s="1"/>
  <c r="C102" i="98"/>
  <c r="V102" i="98" s="1"/>
  <c r="R101" i="98"/>
  <c r="P101" i="98"/>
  <c r="O101" i="98"/>
  <c r="N101" i="98"/>
  <c r="L101" i="98"/>
  <c r="K101" i="98"/>
  <c r="AD101" i="98" s="1"/>
  <c r="J101" i="98"/>
  <c r="AC101" i="98" s="1"/>
  <c r="H101" i="98"/>
  <c r="AA101" i="98" s="1"/>
  <c r="G101" i="98"/>
  <c r="F101" i="98"/>
  <c r="D101" i="98"/>
  <c r="C101" i="98"/>
  <c r="R100" i="98"/>
  <c r="AK100" i="98" s="1"/>
  <c r="P100" i="98"/>
  <c r="AI100" i="98" s="1"/>
  <c r="O100" i="98"/>
  <c r="N100" i="98"/>
  <c r="L100" i="98"/>
  <c r="K100" i="98"/>
  <c r="J100" i="98"/>
  <c r="H100" i="98"/>
  <c r="G100" i="98"/>
  <c r="Z100" i="98" s="1"/>
  <c r="F100" i="98"/>
  <c r="Y101" i="98" s="1"/>
  <c r="D100" i="98"/>
  <c r="C100" i="98"/>
  <c r="R99" i="98"/>
  <c r="P99" i="98"/>
  <c r="O99" i="98"/>
  <c r="N99" i="98"/>
  <c r="L99" i="98"/>
  <c r="AE99" i="98" s="1"/>
  <c r="K99" i="98"/>
  <c r="J99" i="98"/>
  <c r="H99" i="98"/>
  <c r="G99" i="98"/>
  <c r="F99" i="98"/>
  <c r="D99" i="98"/>
  <c r="C99" i="98"/>
  <c r="U97" i="98"/>
  <c r="B97" i="98"/>
  <c r="M116" i="98" s="1"/>
  <c r="B89" i="98"/>
  <c r="S86" i="98"/>
  <c r="R86" i="98"/>
  <c r="R93" i="98" s="1"/>
  <c r="P86" i="98"/>
  <c r="P93" i="98" s="1"/>
  <c r="N86" i="98"/>
  <c r="N93" i="98" s="1"/>
  <c r="L86" i="98"/>
  <c r="L93" i="98" s="1"/>
  <c r="K86" i="98"/>
  <c r="J86" i="98"/>
  <c r="J93" i="98" s="1"/>
  <c r="H86" i="98"/>
  <c r="H93" i="98" s="1"/>
  <c r="F86" i="98"/>
  <c r="F93" i="98" s="1"/>
  <c r="D86" i="98"/>
  <c r="D93" i="98" s="1"/>
  <c r="C86" i="98"/>
  <c r="S85" i="98"/>
  <c r="Q85" i="98"/>
  <c r="O85" i="98"/>
  <c r="M85" i="98"/>
  <c r="L85" i="98"/>
  <c r="L92" i="98" s="1"/>
  <c r="K85" i="98"/>
  <c r="K92" i="98" s="1"/>
  <c r="I85" i="98"/>
  <c r="I92" i="98" s="1"/>
  <c r="G85" i="98"/>
  <c r="E85" i="98"/>
  <c r="E92" i="98" s="1"/>
  <c r="D85" i="98"/>
  <c r="C85" i="98"/>
  <c r="R84" i="98"/>
  <c r="P84" i="98"/>
  <c r="N84" i="98"/>
  <c r="M84" i="98"/>
  <c r="L84" i="98"/>
  <c r="J84" i="98"/>
  <c r="H84" i="98"/>
  <c r="F84" i="98"/>
  <c r="E84" i="98"/>
  <c r="D84" i="98"/>
  <c r="S83" i="98"/>
  <c r="Q83" i="98"/>
  <c r="O83" i="98"/>
  <c r="N83" i="98"/>
  <c r="M83" i="98"/>
  <c r="K83" i="98"/>
  <c r="I83" i="98"/>
  <c r="G83" i="98"/>
  <c r="G90" i="98" s="1"/>
  <c r="F83" i="98"/>
  <c r="E83" i="98"/>
  <c r="C83" i="98"/>
  <c r="B82" i="98"/>
  <c r="O86" i="98" s="1"/>
  <c r="D76" i="98"/>
  <c r="C76" i="98"/>
  <c r="D75" i="98"/>
  <c r="C75" i="98"/>
  <c r="D74" i="98"/>
  <c r="C74" i="98"/>
  <c r="D73" i="98"/>
  <c r="C73" i="98"/>
  <c r="D72" i="98"/>
  <c r="C72" i="98"/>
  <c r="D71" i="98"/>
  <c r="C71" i="98"/>
  <c r="D70" i="98"/>
  <c r="C70" i="98"/>
  <c r="D69" i="98"/>
  <c r="C69" i="98"/>
  <c r="D68" i="98"/>
  <c r="C68" i="98"/>
  <c r="D67" i="98"/>
  <c r="C67" i="98"/>
  <c r="D66" i="98"/>
  <c r="C66" i="98"/>
  <c r="D65" i="98"/>
  <c r="C65" i="98"/>
  <c r="D64" i="98"/>
  <c r="C64" i="98"/>
  <c r="D63" i="98"/>
  <c r="C63" i="98"/>
  <c r="D62" i="98"/>
  <c r="C62" i="98"/>
  <c r="D61" i="98"/>
  <c r="C61" i="98"/>
  <c r="D60" i="98"/>
  <c r="C60" i="98"/>
  <c r="D59" i="98"/>
  <c r="C59" i="98"/>
  <c r="D58" i="98"/>
  <c r="C58" i="98"/>
  <c r="D57" i="98"/>
  <c r="C57" i="98"/>
  <c r="D56" i="98"/>
  <c r="C56" i="98"/>
  <c r="D55" i="98"/>
  <c r="C55" i="98"/>
  <c r="D54" i="98"/>
  <c r="C54" i="98"/>
  <c r="D53" i="98"/>
  <c r="C53" i="98"/>
  <c r="D52" i="98"/>
  <c r="C52" i="98"/>
  <c r="D51" i="98"/>
  <c r="C51" i="98"/>
  <c r="D50" i="98"/>
  <c r="C50" i="98"/>
  <c r="D49" i="98"/>
  <c r="C49" i="98"/>
  <c r="D48" i="98"/>
  <c r="C48" i="98"/>
  <c r="D47" i="98"/>
  <c r="C47" i="98"/>
  <c r="D46" i="98"/>
  <c r="C46" i="98"/>
  <c r="D45" i="98"/>
  <c r="C45" i="98"/>
  <c r="D44" i="98"/>
  <c r="C44" i="98"/>
  <c r="D43" i="98"/>
  <c r="C43" i="98"/>
  <c r="D42" i="98"/>
  <c r="C42" i="98"/>
  <c r="D40" i="98"/>
  <c r="C40" i="98"/>
  <c r="D39" i="98"/>
  <c r="C39" i="98"/>
  <c r="D38" i="98"/>
  <c r="C38" i="98"/>
  <c r="G37" i="98"/>
  <c r="D37" i="98"/>
  <c r="C37" i="98"/>
  <c r="D36" i="98"/>
  <c r="C36" i="98"/>
  <c r="D35" i="98"/>
  <c r="C35" i="98"/>
  <c r="G34" i="98"/>
  <c r="D34" i="98"/>
  <c r="C34" i="98"/>
  <c r="G33" i="98"/>
  <c r="J29" i="98"/>
  <c r="I29" i="98"/>
  <c r="G29" i="98"/>
  <c r="F29" i="98"/>
  <c r="D29" i="98"/>
  <c r="C29" i="98"/>
  <c r="J28" i="98"/>
  <c r="I28" i="98"/>
  <c r="G28" i="98"/>
  <c r="F28" i="98"/>
  <c r="D28" i="98"/>
  <c r="C28" i="98"/>
  <c r="B28" i="98"/>
  <c r="H22" i="98"/>
  <c r="F22" i="98"/>
  <c r="D22" i="98"/>
  <c r="C22" i="98"/>
  <c r="H21" i="98"/>
  <c r="F21" i="98"/>
  <c r="D21" i="98"/>
  <c r="C21" i="98"/>
  <c r="B21" i="98"/>
  <c r="L16" i="98"/>
  <c r="K16" i="98"/>
  <c r="I16" i="98"/>
  <c r="G16" i="98"/>
  <c r="F16" i="98"/>
  <c r="D16" i="98"/>
  <c r="C16" i="98"/>
  <c r="L15" i="98"/>
  <c r="K15" i="98"/>
  <c r="I15" i="98"/>
  <c r="G15" i="98"/>
  <c r="F15" i="98"/>
  <c r="D15" i="98"/>
  <c r="C15" i="98"/>
  <c r="B15" i="98"/>
  <c r="L11" i="98"/>
  <c r="K11" i="98"/>
  <c r="I11" i="98"/>
  <c r="H11" i="98"/>
  <c r="L10" i="98"/>
  <c r="K10" i="98"/>
  <c r="I10" i="98"/>
  <c r="H10" i="98"/>
  <c r="F12" i="98"/>
  <c r="E12" i="98"/>
  <c r="D12" i="98"/>
  <c r="C12" i="98"/>
  <c r="B10" i="98"/>
  <c r="S73" i="117"/>
  <c r="R73" i="117"/>
  <c r="Q73" i="117"/>
  <c r="P73" i="117"/>
  <c r="O73" i="117"/>
  <c r="N73" i="117"/>
  <c r="M73" i="117"/>
  <c r="L73" i="117"/>
  <c r="K73" i="117"/>
  <c r="J73" i="117"/>
  <c r="I73" i="117"/>
  <c r="H73" i="117"/>
  <c r="G73" i="117"/>
  <c r="F73" i="117"/>
  <c r="E73" i="117"/>
  <c r="D73" i="117"/>
  <c r="C73" i="117"/>
  <c r="S72" i="117"/>
  <c r="R72" i="117"/>
  <c r="Q72" i="117"/>
  <c r="P72" i="117"/>
  <c r="O72" i="117"/>
  <c r="N72" i="117"/>
  <c r="M72" i="117"/>
  <c r="L72" i="117"/>
  <c r="K72" i="117"/>
  <c r="J72" i="117"/>
  <c r="I72" i="117"/>
  <c r="H72" i="117"/>
  <c r="G72" i="117"/>
  <c r="F72" i="117"/>
  <c r="E72" i="117"/>
  <c r="D72" i="117"/>
  <c r="C72" i="117"/>
  <c r="S71" i="117"/>
  <c r="R71" i="117"/>
  <c r="Q71" i="117"/>
  <c r="P71" i="117"/>
  <c r="O71" i="117"/>
  <c r="N71" i="117"/>
  <c r="M71" i="117"/>
  <c r="L71" i="117"/>
  <c r="K71" i="117"/>
  <c r="J71" i="117"/>
  <c r="I71" i="117"/>
  <c r="H71" i="117"/>
  <c r="G71" i="117"/>
  <c r="F71" i="117"/>
  <c r="E71" i="117"/>
  <c r="D71" i="117"/>
  <c r="C71" i="117"/>
  <c r="S70" i="117"/>
  <c r="R70" i="117"/>
  <c r="Q70" i="117"/>
  <c r="P70" i="117"/>
  <c r="O70" i="117"/>
  <c r="N70" i="117"/>
  <c r="M70" i="117"/>
  <c r="L70" i="117"/>
  <c r="K70" i="117"/>
  <c r="J70" i="117"/>
  <c r="I70" i="117"/>
  <c r="H70" i="117"/>
  <c r="G70" i="117"/>
  <c r="F70" i="117"/>
  <c r="E70" i="117"/>
  <c r="D70" i="117"/>
  <c r="C70" i="117"/>
  <c r="B68" i="117"/>
  <c r="S66" i="117"/>
  <c r="R66" i="117"/>
  <c r="Q66" i="117"/>
  <c r="P66" i="117"/>
  <c r="O66" i="117"/>
  <c r="N66" i="117"/>
  <c r="M66" i="117"/>
  <c r="L66" i="117"/>
  <c r="K66" i="117"/>
  <c r="J66" i="117"/>
  <c r="I66" i="117"/>
  <c r="H66" i="117"/>
  <c r="G66" i="117"/>
  <c r="F66" i="117"/>
  <c r="E66" i="117"/>
  <c r="D66" i="117"/>
  <c r="C66" i="117"/>
  <c r="S65" i="117"/>
  <c r="R65" i="117"/>
  <c r="Q65" i="117"/>
  <c r="P65" i="117"/>
  <c r="O65" i="117"/>
  <c r="N65" i="117"/>
  <c r="M65" i="117"/>
  <c r="L65" i="117"/>
  <c r="K65" i="117"/>
  <c r="J65" i="117"/>
  <c r="I65" i="117"/>
  <c r="H65" i="117"/>
  <c r="G65" i="117"/>
  <c r="F65" i="117"/>
  <c r="E65" i="117"/>
  <c r="D65" i="117"/>
  <c r="C65" i="117"/>
  <c r="S64" i="117"/>
  <c r="R64" i="117"/>
  <c r="Q64" i="117"/>
  <c r="P64" i="117"/>
  <c r="O64" i="117"/>
  <c r="N64" i="117"/>
  <c r="M64" i="117"/>
  <c r="L64" i="117"/>
  <c r="K64" i="117"/>
  <c r="J64" i="117"/>
  <c r="I64" i="117"/>
  <c r="H64" i="117"/>
  <c r="G64" i="117"/>
  <c r="F64" i="117"/>
  <c r="E64" i="117"/>
  <c r="D64" i="117"/>
  <c r="C64" i="117"/>
  <c r="S63" i="117"/>
  <c r="R63" i="117"/>
  <c r="Q63" i="117"/>
  <c r="P63" i="117"/>
  <c r="O63" i="117"/>
  <c r="N63" i="117"/>
  <c r="M63" i="117"/>
  <c r="L63" i="117"/>
  <c r="K63" i="117"/>
  <c r="J63" i="117"/>
  <c r="I63" i="117"/>
  <c r="H63" i="117"/>
  <c r="G63" i="117"/>
  <c r="F63" i="117"/>
  <c r="E63" i="117"/>
  <c r="D63" i="117"/>
  <c r="C63" i="117"/>
  <c r="B61" i="117"/>
  <c r="S59" i="117"/>
  <c r="R59" i="117"/>
  <c r="Q59" i="117"/>
  <c r="P59" i="117"/>
  <c r="O59" i="117"/>
  <c r="N59" i="117"/>
  <c r="M59" i="117"/>
  <c r="L59" i="117"/>
  <c r="K59" i="117"/>
  <c r="J59" i="117"/>
  <c r="I59" i="117"/>
  <c r="H59" i="117"/>
  <c r="G59" i="117"/>
  <c r="F59" i="117"/>
  <c r="E59" i="117"/>
  <c r="D59" i="117"/>
  <c r="C59" i="117"/>
  <c r="S58" i="117"/>
  <c r="R58" i="117"/>
  <c r="Q58" i="117"/>
  <c r="P58" i="117"/>
  <c r="O58" i="117"/>
  <c r="N58" i="117"/>
  <c r="M58" i="117"/>
  <c r="L58" i="117"/>
  <c r="K58" i="117"/>
  <c r="J58" i="117"/>
  <c r="I58" i="117"/>
  <c r="H58" i="117"/>
  <c r="G58" i="117"/>
  <c r="F58" i="117"/>
  <c r="E58" i="117"/>
  <c r="D58" i="117"/>
  <c r="C58" i="117"/>
  <c r="S57" i="117"/>
  <c r="R57" i="117"/>
  <c r="Q57" i="117"/>
  <c r="P57" i="117"/>
  <c r="O57" i="117"/>
  <c r="N57" i="117"/>
  <c r="M57" i="117"/>
  <c r="L57" i="117"/>
  <c r="K57" i="117"/>
  <c r="J57" i="117"/>
  <c r="I57" i="117"/>
  <c r="H57" i="117"/>
  <c r="G57" i="117"/>
  <c r="F57" i="117"/>
  <c r="E57" i="117"/>
  <c r="D57" i="117"/>
  <c r="C57" i="117"/>
  <c r="S56" i="117"/>
  <c r="R56" i="117"/>
  <c r="Q56" i="117"/>
  <c r="P56" i="117"/>
  <c r="O56" i="117"/>
  <c r="N56" i="117"/>
  <c r="M56" i="117"/>
  <c r="L56" i="117"/>
  <c r="K56" i="117"/>
  <c r="J56" i="117"/>
  <c r="I56" i="117"/>
  <c r="H56" i="117"/>
  <c r="G56" i="117"/>
  <c r="F56" i="117"/>
  <c r="E56" i="117"/>
  <c r="D56" i="117"/>
  <c r="C56" i="117"/>
  <c r="B54" i="117"/>
  <c r="S52" i="117"/>
  <c r="R52" i="117"/>
  <c r="Q52" i="117"/>
  <c r="P52" i="117"/>
  <c r="O52" i="117"/>
  <c r="N52" i="117"/>
  <c r="M52" i="117"/>
  <c r="L52" i="117"/>
  <c r="K52" i="117"/>
  <c r="J52" i="117"/>
  <c r="I52" i="117"/>
  <c r="H52" i="117"/>
  <c r="G52" i="117"/>
  <c r="F52" i="117"/>
  <c r="E52" i="117"/>
  <c r="D52" i="117"/>
  <c r="C52" i="117"/>
  <c r="S51" i="117"/>
  <c r="R51" i="117"/>
  <c r="Q51" i="117"/>
  <c r="P51" i="117"/>
  <c r="O51" i="117"/>
  <c r="N51" i="117"/>
  <c r="M51" i="117"/>
  <c r="L51" i="117"/>
  <c r="K51" i="117"/>
  <c r="J51" i="117"/>
  <c r="I51" i="117"/>
  <c r="H51" i="117"/>
  <c r="G51" i="117"/>
  <c r="F51" i="117"/>
  <c r="E51" i="117"/>
  <c r="D51" i="117"/>
  <c r="C51" i="117"/>
  <c r="S50" i="117"/>
  <c r="R50" i="117"/>
  <c r="Q50" i="117"/>
  <c r="P50" i="117"/>
  <c r="O50" i="117"/>
  <c r="N50" i="117"/>
  <c r="M50" i="117"/>
  <c r="L50" i="117"/>
  <c r="K50" i="117"/>
  <c r="J50" i="117"/>
  <c r="I50" i="117"/>
  <c r="H50" i="117"/>
  <c r="G50" i="117"/>
  <c r="F50" i="117"/>
  <c r="E50" i="117"/>
  <c r="D50" i="117"/>
  <c r="C50" i="117"/>
  <c r="S49" i="117"/>
  <c r="R49" i="117"/>
  <c r="Q49" i="117"/>
  <c r="P49" i="117"/>
  <c r="O49" i="117"/>
  <c r="N49" i="117"/>
  <c r="M49" i="117"/>
  <c r="L49" i="117"/>
  <c r="K49" i="117"/>
  <c r="J49" i="117"/>
  <c r="I49" i="117"/>
  <c r="H49" i="117"/>
  <c r="G49" i="117"/>
  <c r="F49" i="117"/>
  <c r="E49" i="117"/>
  <c r="D49" i="117"/>
  <c r="C49" i="117"/>
  <c r="B47" i="117"/>
  <c r="S45" i="117"/>
  <c r="R45" i="117"/>
  <c r="Q45" i="117"/>
  <c r="P45" i="117"/>
  <c r="O45" i="117"/>
  <c r="N45" i="117"/>
  <c r="M45" i="117"/>
  <c r="L45" i="117"/>
  <c r="K45" i="117"/>
  <c r="J45" i="117"/>
  <c r="I45" i="117"/>
  <c r="H45" i="117"/>
  <c r="G45" i="117"/>
  <c r="F45" i="117"/>
  <c r="E45" i="117"/>
  <c r="D45" i="117"/>
  <c r="C45" i="117"/>
  <c r="S44" i="117"/>
  <c r="R44" i="117"/>
  <c r="Q44" i="117"/>
  <c r="P44" i="117"/>
  <c r="O44" i="117"/>
  <c r="N44" i="117"/>
  <c r="M44" i="117"/>
  <c r="L44" i="117"/>
  <c r="K44" i="117"/>
  <c r="J44" i="117"/>
  <c r="I44" i="117"/>
  <c r="H44" i="117"/>
  <c r="G44" i="117"/>
  <c r="F44" i="117"/>
  <c r="E44" i="117"/>
  <c r="D44" i="117"/>
  <c r="C44" i="117"/>
  <c r="S43" i="117"/>
  <c r="R43" i="117"/>
  <c r="Q43" i="117"/>
  <c r="P43" i="117"/>
  <c r="O43" i="117"/>
  <c r="N43" i="117"/>
  <c r="M43" i="117"/>
  <c r="L43" i="117"/>
  <c r="K43" i="117"/>
  <c r="J43" i="117"/>
  <c r="I43" i="117"/>
  <c r="H43" i="117"/>
  <c r="G43" i="117"/>
  <c r="F43" i="117"/>
  <c r="E43" i="117"/>
  <c r="D43" i="117"/>
  <c r="C43" i="117"/>
  <c r="S42" i="117"/>
  <c r="R42" i="117"/>
  <c r="Q42" i="117"/>
  <c r="P42" i="117"/>
  <c r="O42" i="117"/>
  <c r="N42" i="117"/>
  <c r="M42" i="117"/>
  <c r="L42" i="117"/>
  <c r="K42" i="117"/>
  <c r="J42" i="117"/>
  <c r="I42" i="117"/>
  <c r="H42" i="117"/>
  <c r="G42" i="117"/>
  <c r="F42" i="117"/>
  <c r="E42" i="117"/>
  <c r="D42" i="117"/>
  <c r="C42" i="117"/>
  <c r="B40" i="117"/>
  <c r="F31" i="117"/>
  <c r="E31" i="117"/>
  <c r="D31" i="117"/>
  <c r="C31" i="117"/>
  <c r="F30" i="117"/>
  <c r="E30" i="117"/>
  <c r="D30" i="117"/>
  <c r="C30" i="117"/>
  <c r="B30" i="117"/>
  <c r="F25" i="117"/>
  <c r="E25" i="117"/>
  <c r="D25" i="117"/>
  <c r="C25" i="117"/>
  <c r="F24" i="117"/>
  <c r="E24" i="117"/>
  <c r="D24" i="117"/>
  <c r="C24" i="117"/>
  <c r="B24" i="117"/>
  <c r="F19" i="117"/>
  <c r="E19" i="117"/>
  <c r="D19" i="117"/>
  <c r="C19" i="117"/>
  <c r="F18" i="117"/>
  <c r="E18" i="117"/>
  <c r="D18" i="117"/>
  <c r="C18" i="117"/>
  <c r="B18" i="117"/>
  <c r="F12" i="117"/>
  <c r="E12" i="117"/>
  <c r="D12" i="117"/>
  <c r="C12" i="117"/>
  <c r="F11" i="117"/>
  <c r="E11" i="117"/>
  <c r="D11" i="117"/>
  <c r="C11" i="117"/>
  <c r="B11" i="117"/>
  <c r="I124" i="101"/>
  <c r="U119" i="101"/>
  <c r="B119" i="101"/>
  <c r="H117" i="101"/>
  <c r="Q115" i="101"/>
  <c r="D114" i="101"/>
  <c r="U112" i="101"/>
  <c r="B112" i="101"/>
  <c r="Q110" i="101"/>
  <c r="N110" i="101"/>
  <c r="E109" i="101"/>
  <c r="M107" i="101"/>
  <c r="K107" i="101"/>
  <c r="U105" i="101"/>
  <c r="B105" i="101"/>
  <c r="Q123" i="101" s="1"/>
  <c r="D103" i="101"/>
  <c r="M101" i="101"/>
  <c r="L101" i="101"/>
  <c r="E101" i="101"/>
  <c r="K100" i="101"/>
  <c r="C100" i="101"/>
  <c r="U98" i="101"/>
  <c r="B98" i="101"/>
  <c r="P124" i="101" s="1"/>
  <c r="B88" i="101"/>
  <c r="B81" i="101"/>
  <c r="S85" i="101" s="1"/>
  <c r="D75" i="101"/>
  <c r="C75" i="101"/>
  <c r="D74" i="101"/>
  <c r="C74" i="101"/>
  <c r="D73" i="101"/>
  <c r="C73" i="101"/>
  <c r="D72" i="101"/>
  <c r="C72" i="101"/>
  <c r="D71" i="101"/>
  <c r="C71" i="101"/>
  <c r="D70" i="101"/>
  <c r="C70" i="101"/>
  <c r="D69" i="101"/>
  <c r="C69" i="101"/>
  <c r="D68" i="101"/>
  <c r="C68" i="101"/>
  <c r="D67" i="101"/>
  <c r="C67" i="101"/>
  <c r="D66" i="101"/>
  <c r="C66" i="101"/>
  <c r="D65" i="101"/>
  <c r="C65" i="101"/>
  <c r="D64" i="101"/>
  <c r="C64" i="101"/>
  <c r="D63" i="101"/>
  <c r="C63" i="101"/>
  <c r="D62" i="101"/>
  <c r="C62" i="101"/>
  <c r="D61" i="101"/>
  <c r="C61" i="101"/>
  <c r="D60" i="101"/>
  <c r="C60" i="101"/>
  <c r="D59" i="101"/>
  <c r="C59" i="101"/>
  <c r="D58" i="101"/>
  <c r="C58" i="101"/>
  <c r="D57" i="101"/>
  <c r="C57" i="101"/>
  <c r="D56" i="101"/>
  <c r="C56" i="101"/>
  <c r="D55" i="101"/>
  <c r="C55" i="101"/>
  <c r="D54" i="101"/>
  <c r="C54" i="101"/>
  <c r="D53" i="101"/>
  <c r="C53" i="101"/>
  <c r="D52" i="101"/>
  <c r="C52" i="101"/>
  <c r="D51" i="101"/>
  <c r="C51" i="101"/>
  <c r="D50" i="101"/>
  <c r="C50" i="101"/>
  <c r="D49" i="101"/>
  <c r="C49" i="101"/>
  <c r="D48" i="101"/>
  <c r="C48" i="101"/>
  <c r="D47" i="101"/>
  <c r="C47" i="101"/>
  <c r="D46" i="101"/>
  <c r="C46" i="101"/>
  <c r="D45" i="101"/>
  <c r="C45" i="101"/>
  <c r="D44" i="101"/>
  <c r="C44" i="101"/>
  <c r="D43" i="101"/>
  <c r="C43" i="101"/>
  <c r="D42" i="101"/>
  <c r="C42" i="101"/>
  <c r="D41" i="101"/>
  <c r="C41" i="101"/>
  <c r="D40" i="101"/>
  <c r="C40" i="101"/>
  <c r="D39" i="101"/>
  <c r="C39" i="101"/>
  <c r="D38" i="101"/>
  <c r="C38" i="101"/>
  <c r="D37" i="101"/>
  <c r="C37" i="101"/>
  <c r="D36" i="101"/>
  <c r="C36" i="101"/>
  <c r="G35" i="101"/>
  <c r="D35" i="101"/>
  <c r="C35" i="101"/>
  <c r="G34" i="101"/>
  <c r="D34" i="101"/>
  <c r="C34" i="101"/>
  <c r="G33" i="101"/>
  <c r="J29" i="101"/>
  <c r="I29" i="101"/>
  <c r="G29" i="101"/>
  <c r="F29" i="101"/>
  <c r="D29" i="101"/>
  <c r="C29" i="101"/>
  <c r="I28" i="101"/>
  <c r="C28" i="101"/>
  <c r="B28" i="101"/>
  <c r="D28" i="101" s="1"/>
  <c r="H22" i="101"/>
  <c r="F22" i="101"/>
  <c r="D22" i="101"/>
  <c r="C22" i="101"/>
  <c r="H21" i="101"/>
  <c r="C21" i="101"/>
  <c r="B21" i="101"/>
  <c r="F21" i="101" s="1"/>
  <c r="L16" i="101"/>
  <c r="K16" i="101"/>
  <c r="I16" i="101"/>
  <c r="G16" i="101"/>
  <c r="F16" i="101"/>
  <c r="D16" i="101"/>
  <c r="C16" i="101"/>
  <c r="L15" i="101"/>
  <c r="K15" i="101"/>
  <c r="I15" i="101"/>
  <c r="G15" i="101"/>
  <c r="F15" i="101"/>
  <c r="D15" i="101"/>
  <c r="C15" i="101"/>
  <c r="B15" i="101"/>
  <c r="L10" i="101"/>
  <c r="K10" i="101"/>
  <c r="I10" i="101"/>
  <c r="H10" i="101"/>
  <c r="F10" i="101"/>
  <c r="D10" i="101"/>
  <c r="L9" i="101"/>
  <c r="K9" i="101"/>
  <c r="I9" i="101"/>
  <c r="H9" i="101"/>
  <c r="F9" i="101"/>
  <c r="E9" i="101"/>
  <c r="E11" i="101" s="1"/>
  <c r="D9" i="101"/>
  <c r="C9" i="101"/>
  <c r="C11" i="101" s="1"/>
  <c r="B9" i="101"/>
  <c r="S74" i="115"/>
  <c r="R74" i="115"/>
  <c r="Q74" i="115"/>
  <c r="P74" i="115"/>
  <c r="O74" i="115"/>
  <c r="N74" i="115"/>
  <c r="M74" i="115"/>
  <c r="L74" i="115"/>
  <c r="K74" i="115"/>
  <c r="J74" i="115"/>
  <c r="I74" i="115"/>
  <c r="H74" i="115"/>
  <c r="G74" i="115"/>
  <c r="F74" i="115"/>
  <c r="E74" i="115"/>
  <c r="D74" i="115"/>
  <c r="C74" i="115"/>
  <c r="S73" i="115"/>
  <c r="R73" i="115"/>
  <c r="Q73" i="115"/>
  <c r="P73" i="115"/>
  <c r="O73" i="115"/>
  <c r="N73" i="115"/>
  <c r="M73" i="115"/>
  <c r="L73" i="115"/>
  <c r="K73" i="115"/>
  <c r="J73" i="115"/>
  <c r="I73" i="115"/>
  <c r="H73" i="115"/>
  <c r="G73" i="115"/>
  <c r="F73" i="115"/>
  <c r="E73" i="115"/>
  <c r="D73" i="115"/>
  <c r="C73" i="115"/>
  <c r="S72" i="115"/>
  <c r="R72" i="115"/>
  <c r="Q72" i="115"/>
  <c r="P72" i="115"/>
  <c r="O72" i="115"/>
  <c r="N72" i="115"/>
  <c r="M72" i="115"/>
  <c r="L72" i="115"/>
  <c r="K72" i="115"/>
  <c r="J72" i="115"/>
  <c r="I72" i="115"/>
  <c r="H72" i="115"/>
  <c r="G72" i="115"/>
  <c r="F72" i="115"/>
  <c r="E72" i="115"/>
  <c r="D72" i="115"/>
  <c r="C72" i="115"/>
  <c r="S71" i="115"/>
  <c r="R71" i="115"/>
  <c r="Q71" i="115"/>
  <c r="P71" i="115"/>
  <c r="O71" i="115"/>
  <c r="N71" i="115"/>
  <c r="M71" i="115"/>
  <c r="L71" i="115"/>
  <c r="K71" i="115"/>
  <c r="J71" i="115"/>
  <c r="I71" i="115"/>
  <c r="H71" i="115"/>
  <c r="G71" i="115"/>
  <c r="F71" i="115"/>
  <c r="E71" i="115"/>
  <c r="D71" i="115"/>
  <c r="C71" i="115"/>
  <c r="B69" i="115"/>
  <c r="S66" i="115"/>
  <c r="R66" i="115"/>
  <c r="Q66" i="115"/>
  <c r="P66" i="115"/>
  <c r="O66" i="115"/>
  <c r="N66" i="115"/>
  <c r="M66" i="115"/>
  <c r="L66" i="115"/>
  <c r="K66" i="115"/>
  <c r="J66" i="115"/>
  <c r="I66" i="115"/>
  <c r="H66" i="115"/>
  <c r="G66" i="115"/>
  <c r="F66" i="115"/>
  <c r="E66" i="115"/>
  <c r="D66" i="115"/>
  <c r="C66" i="115"/>
  <c r="S65" i="115"/>
  <c r="R65" i="115"/>
  <c r="Q65" i="115"/>
  <c r="P65" i="115"/>
  <c r="O65" i="115"/>
  <c r="N65" i="115"/>
  <c r="M65" i="115"/>
  <c r="L65" i="115"/>
  <c r="K65" i="115"/>
  <c r="J65" i="115"/>
  <c r="I65" i="115"/>
  <c r="H65" i="115"/>
  <c r="G65" i="115"/>
  <c r="F65" i="115"/>
  <c r="E65" i="115"/>
  <c r="D65" i="115"/>
  <c r="C65" i="115"/>
  <c r="S64" i="115"/>
  <c r="R64" i="115"/>
  <c r="Q64" i="115"/>
  <c r="P64" i="115"/>
  <c r="O64" i="115"/>
  <c r="N64" i="115"/>
  <c r="M64" i="115"/>
  <c r="L64" i="115"/>
  <c r="K64" i="115"/>
  <c r="J64" i="115"/>
  <c r="I64" i="115"/>
  <c r="H64" i="115"/>
  <c r="G64" i="115"/>
  <c r="F64" i="115"/>
  <c r="E64" i="115"/>
  <c r="D64" i="115"/>
  <c r="C64" i="115"/>
  <c r="S63" i="115"/>
  <c r="R63" i="115"/>
  <c r="Q63" i="115"/>
  <c r="P63" i="115"/>
  <c r="O63" i="115"/>
  <c r="N63" i="115"/>
  <c r="M63" i="115"/>
  <c r="L63" i="115"/>
  <c r="K63" i="115"/>
  <c r="J63" i="115"/>
  <c r="I63" i="115"/>
  <c r="H63" i="115"/>
  <c r="G63" i="115"/>
  <c r="F63" i="115"/>
  <c r="E63" i="115"/>
  <c r="D63" i="115"/>
  <c r="C63" i="115"/>
  <c r="B61" i="115"/>
  <c r="S59" i="115"/>
  <c r="R59" i="115"/>
  <c r="Q59" i="115"/>
  <c r="P59" i="115"/>
  <c r="O59" i="115"/>
  <c r="N59" i="115"/>
  <c r="M59" i="115"/>
  <c r="L59" i="115"/>
  <c r="K59" i="115"/>
  <c r="J59" i="115"/>
  <c r="I59" i="115"/>
  <c r="H59" i="115"/>
  <c r="G59" i="115"/>
  <c r="F59" i="115"/>
  <c r="E59" i="115"/>
  <c r="D59" i="115"/>
  <c r="C59" i="115"/>
  <c r="S58" i="115"/>
  <c r="R58" i="115"/>
  <c r="Q58" i="115"/>
  <c r="P58" i="115"/>
  <c r="O58" i="115"/>
  <c r="N58" i="115"/>
  <c r="M58" i="115"/>
  <c r="L58" i="115"/>
  <c r="K58" i="115"/>
  <c r="J58" i="115"/>
  <c r="I58" i="115"/>
  <c r="H58" i="115"/>
  <c r="G58" i="115"/>
  <c r="F58" i="115"/>
  <c r="E58" i="115"/>
  <c r="D58" i="115"/>
  <c r="C58" i="115"/>
  <c r="S57" i="115"/>
  <c r="R57" i="115"/>
  <c r="Q57" i="115"/>
  <c r="P57" i="115"/>
  <c r="O57" i="115"/>
  <c r="N57" i="115"/>
  <c r="M57" i="115"/>
  <c r="L57" i="115"/>
  <c r="K57" i="115"/>
  <c r="J57" i="115"/>
  <c r="I57" i="115"/>
  <c r="H57" i="115"/>
  <c r="G57" i="115"/>
  <c r="F57" i="115"/>
  <c r="E57" i="115"/>
  <c r="D57" i="115"/>
  <c r="C57" i="115"/>
  <c r="S56" i="115"/>
  <c r="R56" i="115"/>
  <c r="Q56" i="115"/>
  <c r="P56" i="115"/>
  <c r="O56" i="115"/>
  <c r="N56" i="115"/>
  <c r="M56" i="115"/>
  <c r="L56" i="115"/>
  <c r="K56" i="115"/>
  <c r="J56" i="115"/>
  <c r="I56" i="115"/>
  <c r="H56" i="115"/>
  <c r="G56" i="115"/>
  <c r="F56" i="115"/>
  <c r="E56" i="115"/>
  <c r="D56" i="115"/>
  <c r="C56" i="115"/>
  <c r="B54" i="115"/>
  <c r="S52" i="115"/>
  <c r="R52" i="115"/>
  <c r="Q52" i="115"/>
  <c r="P52" i="115"/>
  <c r="O52" i="115"/>
  <c r="N52" i="115"/>
  <c r="M52" i="115"/>
  <c r="L52" i="115"/>
  <c r="K52" i="115"/>
  <c r="J52" i="115"/>
  <c r="I52" i="115"/>
  <c r="H52" i="115"/>
  <c r="G52" i="115"/>
  <c r="F52" i="115"/>
  <c r="E52" i="115"/>
  <c r="D52" i="115"/>
  <c r="C52" i="115"/>
  <c r="S51" i="115"/>
  <c r="R51" i="115"/>
  <c r="Q51" i="115"/>
  <c r="P51" i="115"/>
  <c r="O51" i="115"/>
  <c r="N51" i="115"/>
  <c r="M51" i="115"/>
  <c r="L51" i="115"/>
  <c r="K51" i="115"/>
  <c r="J51" i="115"/>
  <c r="I51" i="115"/>
  <c r="H51" i="115"/>
  <c r="G51" i="115"/>
  <c r="F51" i="115"/>
  <c r="E51" i="115"/>
  <c r="D51" i="115"/>
  <c r="C51" i="115"/>
  <c r="S50" i="115"/>
  <c r="R50" i="115"/>
  <c r="Q50" i="115"/>
  <c r="P50" i="115"/>
  <c r="O50" i="115"/>
  <c r="N50" i="115"/>
  <c r="M50" i="115"/>
  <c r="L50" i="115"/>
  <c r="K50" i="115"/>
  <c r="J50" i="115"/>
  <c r="I50" i="115"/>
  <c r="H50" i="115"/>
  <c r="G50" i="115"/>
  <c r="F50" i="115"/>
  <c r="E50" i="115"/>
  <c r="D50" i="115"/>
  <c r="C50" i="115"/>
  <c r="S49" i="115"/>
  <c r="R49" i="115"/>
  <c r="Q49" i="115"/>
  <c r="P49" i="115"/>
  <c r="O49" i="115"/>
  <c r="N49" i="115"/>
  <c r="M49" i="115"/>
  <c r="L49" i="115"/>
  <c r="K49" i="115"/>
  <c r="J49" i="115"/>
  <c r="I49" i="115"/>
  <c r="H49" i="115"/>
  <c r="G49" i="115"/>
  <c r="F49" i="115"/>
  <c r="E49" i="115"/>
  <c r="D49" i="115"/>
  <c r="C49" i="115"/>
  <c r="B47" i="115"/>
  <c r="S45" i="115"/>
  <c r="R45" i="115"/>
  <c r="Q45" i="115"/>
  <c r="P45" i="115"/>
  <c r="O45" i="115"/>
  <c r="N45" i="115"/>
  <c r="M45" i="115"/>
  <c r="L45" i="115"/>
  <c r="K45" i="115"/>
  <c r="J45" i="115"/>
  <c r="I45" i="115"/>
  <c r="H45" i="115"/>
  <c r="G45" i="115"/>
  <c r="F45" i="115"/>
  <c r="E45" i="115"/>
  <c r="D45" i="115"/>
  <c r="C45" i="115"/>
  <c r="S44" i="115"/>
  <c r="R44" i="115"/>
  <c r="Q44" i="115"/>
  <c r="P44" i="115"/>
  <c r="O44" i="115"/>
  <c r="N44" i="115"/>
  <c r="M44" i="115"/>
  <c r="L44" i="115"/>
  <c r="K44" i="115"/>
  <c r="J44" i="115"/>
  <c r="I44" i="115"/>
  <c r="H44" i="115"/>
  <c r="G44" i="115"/>
  <c r="F44" i="115"/>
  <c r="E44" i="115"/>
  <c r="D44" i="115"/>
  <c r="C44" i="115"/>
  <c r="S43" i="115"/>
  <c r="R43" i="115"/>
  <c r="Q43" i="115"/>
  <c r="P43" i="115"/>
  <c r="O43" i="115"/>
  <c r="N43" i="115"/>
  <c r="M43" i="115"/>
  <c r="L43" i="115"/>
  <c r="K43" i="115"/>
  <c r="J43" i="115"/>
  <c r="I43" i="115"/>
  <c r="H43" i="115"/>
  <c r="G43" i="115"/>
  <c r="F43" i="115"/>
  <c r="E43" i="115"/>
  <c r="D43" i="115"/>
  <c r="C43" i="115"/>
  <c r="S42" i="115"/>
  <c r="R42" i="115"/>
  <c r="Q42" i="115"/>
  <c r="P42" i="115"/>
  <c r="O42" i="115"/>
  <c r="N42" i="115"/>
  <c r="M42" i="115"/>
  <c r="L42" i="115"/>
  <c r="K42" i="115"/>
  <c r="J42" i="115"/>
  <c r="I42" i="115"/>
  <c r="H42" i="115"/>
  <c r="G42" i="115"/>
  <c r="F42" i="115"/>
  <c r="E42" i="115"/>
  <c r="D42" i="115"/>
  <c r="C42" i="115"/>
  <c r="B40" i="115"/>
  <c r="F29" i="115"/>
  <c r="E29" i="115"/>
  <c r="D29" i="115"/>
  <c r="C29" i="115"/>
  <c r="F28" i="115"/>
  <c r="E28" i="115"/>
  <c r="D28" i="115"/>
  <c r="C28" i="115"/>
  <c r="B28" i="115"/>
  <c r="F23" i="115"/>
  <c r="E23" i="115"/>
  <c r="D23" i="115"/>
  <c r="C23" i="115"/>
  <c r="F22" i="115"/>
  <c r="E22" i="115"/>
  <c r="D22" i="115"/>
  <c r="C22" i="115"/>
  <c r="B22" i="115"/>
  <c r="F17" i="115"/>
  <c r="E17" i="115"/>
  <c r="D17" i="115"/>
  <c r="C17" i="115"/>
  <c r="F16" i="115"/>
  <c r="E16" i="115"/>
  <c r="D16" i="115"/>
  <c r="C16" i="115"/>
  <c r="B16" i="115"/>
  <c r="F10" i="115"/>
  <c r="E10" i="115"/>
  <c r="D10" i="115"/>
  <c r="C10" i="115"/>
  <c r="F9" i="115"/>
  <c r="E9" i="115"/>
  <c r="D9" i="115"/>
  <c r="C9" i="115"/>
  <c r="B9" i="115"/>
  <c r="H48" i="106"/>
  <c r="D48" i="106"/>
  <c r="E48" i="106" s="1"/>
  <c r="H47" i="106"/>
  <c r="D47" i="106"/>
  <c r="E47" i="106" s="1"/>
  <c r="H46" i="106"/>
  <c r="D46" i="106"/>
  <c r="E46" i="106" s="1"/>
  <c r="H45" i="106"/>
  <c r="D45" i="106"/>
  <c r="E45" i="106" s="1"/>
  <c r="H44" i="106"/>
  <c r="D44" i="106"/>
  <c r="E44" i="106" s="1"/>
  <c r="H43" i="106"/>
  <c r="D43" i="106"/>
  <c r="E43" i="106" s="1"/>
  <c r="H42" i="106"/>
  <c r="D42" i="106"/>
  <c r="E42" i="106" s="1"/>
  <c r="H41" i="106"/>
  <c r="D41" i="106"/>
  <c r="E41" i="106" s="1"/>
  <c r="H40" i="106"/>
  <c r="D40" i="106"/>
  <c r="E40" i="106" s="1"/>
  <c r="H39" i="106"/>
  <c r="D39" i="106"/>
  <c r="E39" i="106" s="1"/>
  <c r="H38" i="106"/>
  <c r="D38" i="106"/>
  <c r="E38" i="106" s="1"/>
  <c r="H37" i="106"/>
  <c r="D37" i="106"/>
  <c r="E37" i="106" s="1"/>
  <c r="H36" i="106"/>
  <c r="D36" i="106"/>
  <c r="E36" i="106" s="1"/>
  <c r="H35" i="106"/>
  <c r="D35" i="106"/>
  <c r="E35" i="106" s="1"/>
  <c r="H34" i="106"/>
  <c r="D34" i="106"/>
  <c r="E34" i="106" s="1"/>
  <c r="H33" i="106"/>
  <c r="D33" i="106"/>
  <c r="E33" i="106" s="1"/>
  <c r="H32" i="106"/>
  <c r="D32" i="106"/>
  <c r="E32" i="106" s="1"/>
  <c r="H31" i="106"/>
  <c r="D31" i="106"/>
  <c r="E31" i="106" s="1"/>
  <c r="H30" i="106"/>
  <c r="D30" i="106"/>
  <c r="E30" i="106" s="1"/>
  <c r="H29" i="106"/>
  <c r="D29" i="106"/>
  <c r="E29" i="106" s="1"/>
  <c r="H28" i="106"/>
  <c r="D28" i="106"/>
  <c r="E28" i="106" s="1"/>
  <c r="H27" i="106"/>
  <c r="D27" i="106"/>
  <c r="E27" i="106" s="1"/>
  <c r="H26" i="106"/>
  <c r="D26" i="106"/>
  <c r="E26" i="106" s="1"/>
  <c r="H25" i="106"/>
  <c r="D25" i="106"/>
  <c r="E25" i="106" s="1"/>
  <c r="H24" i="106"/>
  <c r="D24" i="106"/>
  <c r="E24" i="106" s="1"/>
  <c r="H23" i="106"/>
  <c r="D23" i="106"/>
  <c r="E23" i="106" s="1"/>
  <c r="H22" i="106"/>
  <c r="D22" i="106"/>
  <c r="E22" i="106" s="1"/>
  <c r="H21" i="106"/>
  <c r="D21" i="106"/>
  <c r="E21" i="106" s="1"/>
  <c r="H20" i="106"/>
  <c r="D20" i="106"/>
  <c r="E20" i="106" s="1"/>
  <c r="H19" i="106"/>
  <c r="D19" i="106"/>
  <c r="E19" i="106" s="1"/>
  <c r="H18" i="106"/>
  <c r="D18" i="106"/>
  <c r="E18" i="106" s="1"/>
  <c r="H17" i="106"/>
  <c r="D17" i="106"/>
  <c r="E17" i="106" s="1"/>
  <c r="H16" i="106"/>
  <c r="D16" i="106"/>
  <c r="E16" i="106" s="1"/>
  <c r="H15" i="106"/>
  <c r="D15" i="106"/>
  <c r="E15" i="106" s="1"/>
  <c r="H14" i="106"/>
  <c r="D14" i="106"/>
  <c r="E14" i="106" s="1"/>
  <c r="H13" i="106"/>
  <c r="D13" i="106"/>
  <c r="E13" i="106" s="1"/>
  <c r="H12" i="106"/>
  <c r="D12" i="106"/>
  <c r="E12" i="106" s="1"/>
  <c r="H11" i="106"/>
  <c r="D11" i="106"/>
  <c r="E11" i="106" s="1"/>
  <c r="H10" i="106"/>
  <c r="D10" i="106"/>
  <c r="E10" i="106" s="1"/>
  <c r="H9" i="106"/>
  <c r="D9" i="106"/>
  <c r="E9" i="106" s="1"/>
  <c r="H8" i="106"/>
  <c r="D8" i="106"/>
  <c r="E8" i="106" s="1"/>
  <c r="H7" i="106"/>
  <c r="D7" i="106"/>
  <c r="E7" i="106" s="1"/>
  <c r="H6" i="106"/>
  <c r="D6" i="106"/>
  <c r="E6" i="106" s="1"/>
  <c r="U153" i="79"/>
  <c r="T153" i="79"/>
  <c r="R153" i="79"/>
  <c r="Q153" i="79"/>
  <c r="U152" i="79"/>
  <c r="T152" i="79"/>
  <c r="R152" i="79"/>
  <c r="Q152" i="79"/>
  <c r="U151" i="79"/>
  <c r="T151" i="79"/>
  <c r="R151" i="79"/>
  <c r="Q151" i="79"/>
  <c r="U150" i="79"/>
  <c r="T150" i="79"/>
  <c r="R150" i="79"/>
  <c r="Q150" i="79"/>
  <c r="U149" i="79"/>
  <c r="T149" i="79"/>
  <c r="R149" i="79"/>
  <c r="Q149" i="79"/>
  <c r="U148" i="79"/>
  <c r="T148" i="79"/>
  <c r="R148" i="79"/>
  <c r="Q148" i="79"/>
  <c r="U147" i="79"/>
  <c r="T147" i="79"/>
  <c r="R147" i="79"/>
  <c r="Q147" i="79"/>
  <c r="U146" i="79"/>
  <c r="T146" i="79"/>
  <c r="R146" i="79"/>
  <c r="Q146" i="79"/>
  <c r="U145" i="79"/>
  <c r="T145" i="79"/>
  <c r="R145" i="79"/>
  <c r="Q145" i="79"/>
  <c r="U144" i="79"/>
  <c r="T144" i="79"/>
  <c r="R144" i="79"/>
  <c r="Q144" i="79"/>
  <c r="U143" i="79"/>
  <c r="T143" i="79"/>
  <c r="R143" i="79"/>
  <c r="Q143" i="79"/>
  <c r="U142" i="79"/>
  <c r="T142" i="79"/>
  <c r="R142" i="79"/>
  <c r="Q142" i="79"/>
  <c r="U141" i="79"/>
  <c r="T141" i="79"/>
  <c r="R141" i="79"/>
  <c r="Q141" i="79"/>
  <c r="U140" i="79"/>
  <c r="T140" i="79"/>
  <c r="R140" i="79"/>
  <c r="Q140" i="79"/>
  <c r="U139" i="79"/>
  <c r="T139" i="79"/>
  <c r="R139" i="79"/>
  <c r="Q139" i="79"/>
  <c r="U138" i="79"/>
  <c r="T138" i="79"/>
  <c r="R138" i="79"/>
  <c r="Q138" i="79"/>
  <c r="U137" i="79"/>
  <c r="T137" i="79"/>
  <c r="R137" i="79"/>
  <c r="Q137" i="79"/>
  <c r="U136" i="79"/>
  <c r="T136" i="79"/>
  <c r="R136" i="79"/>
  <c r="Q136" i="79"/>
  <c r="U135" i="79"/>
  <c r="T135" i="79"/>
  <c r="R135" i="79"/>
  <c r="Q135" i="79"/>
  <c r="U134" i="79"/>
  <c r="T134" i="79"/>
  <c r="R134" i="79"/>
  <c r="Q134" i="79"/>
  <c r="U133" i="79"/>
  <c r="T133" i="79"/>
  <c r="R133" i="79"/>
  <c r="Q133" i="79"/>
  <c r="U132" i="79"/>
  <c r="T132" i="79"/>
  <c r="R132" i="79"/>
  <c r="Q132" i="79"/>
  <c r="U131" i="79"/>
  <c r="T131" i="79"/>
  <c r="R131" i="79"/>
  <c r="Q131" i="79"/>
  <c r="U130" i="79"/>
  <c r="T130" i="79"/>
  <c r="R130" i="79"/>
  <c r="Q130" i="79"/>
  <c r="U129" i="79"/>
  <c r="T129" i="79"/>
  <c r="R129" i="79"/>
  <c r="Q129" i="79"/>
  <c r="U128" i="79"/>
  <c r="T128" i="79"/>
  <c r="R128" i="79"/>
  <c r="Q128" i="79"/>
  <c r="U127" i="79"/>
  <c r="T127" i="79"/>
  <c r="R127" i="79"/>
  <c r="Q127" i="79"/>
  <c r="U126" i="79"/>
  <c r="T126" i="79"/>
  <c r="R126" i="79"/>
  <c r="Q126" i="79"/>
  <c r="U125" i="79"/>
  <c r="T125" i="79"/>
  <c r="R125" i="79"/>
  <c r="Q125" i="79"/>
  <c r="U124" i="79"/>
  <c r="T124" i="79"/>
  <c r="R124" i="79"/>
  <c r="Q124" i="79"/>
  <c r="U123" i="79"/>
  <c r="T123" i="79"/>
  <c r="R123" i="79"/>
  <c r="Q123" i="79"/>
  <c r="U122" i="79"/>
  <c r="T122" i="79"/>
  <c r="R122" i="79"/>
  <c r="Q122" i="79"/>
  <c r="U121" i="79"/>
  <c r="T121" i="79"/>
  <c r="R121" i="79"/>
  <c r="Q121" i="79"/>
  <c r="U120" i="79"/>
  <c r="T120" i="79"/>
  <c r="R120" i="79"/>
  <c r="Q120" i="79"/>
  <c r="U119" i="79"/>
  <c r="T119" i="79"/>
  <c r="R119" i="79"/>
  <c r="Q119" i="79"/>
  <c r="U118" i="79"/>
  <c r="T118" i="79"/>
  <c r="R118" i="79"/>
  <c r="Q118" i="79"/>
  <c r="U117" i="79"/>
  <c r="T117" i="79"/>
  <c r="R117" i="79"/>
  <c r="Q117" i="79"/>
  <c r="U116" i="79"/>
  <c r="T116" i="79"/>
  <c r="R116" i="79"/>
  <c r="Q116" i="79"/>
  <c r="U115" i="79"/>
  <c r="T115" i="79"/>
  <c r="R115" i="79"/>
  <c r="Q115" i="79"/>
  <c r="U114" i="79"/>
  <c r="T114" i="79"/>
  <c r="R114" i="79"/>
  <c r="Q114" i="79"/>
  <c r="U113" i="79"/>
  <c r="T113" i="79"/>
  <c r="R113" i="79"/>
  <c r="Q113" i="79"/>
  <c r="U112" i="79"/>
  <c r="T112" i="79"/>
  <c r="R112" i="79"/>
  <c r="Q112" i="79"/>
  <c r="U111" i="79"/>
  <c r="T111" i="79"/>
  <c r="R111" i="79"/>
  <c r="Q111" i="79"/>
  <c r="U110" i="79"/>
  <c r="T110" i="79"/>
  <c r="R110" i="79"/>
  <c r="Q110" i="79"/>
  <c r="U109" i="79"/>
  <c r="T109" i="79"/>
  <c r="R109" i="79"/>
  <c r="Q109" i="79"/>
  <c r="U108" i="79"/>
  <c r="T108" i="79"/>
  <c r="R108" i="79"/>
  <c r="Q108" i="79"/>
  <c r="U107" i="79"/>
  <c r="T107" i="79"/>
  <c r="R107" i="79"/>
  <c r="Q107" i="79"/>
  <c r="U106" i="79"/>
  <c r="T106" i="79"/>
  <c r="R106" i="79"/>
  <c r="Q106" i="79"/>
  <c r="U105" i="79"/>
  <c r="T105" i="79"/>
  <c r="R105" i="79"/>
  <c r="Q105" i="79"/>
  <c r="U104" i="79"/>
  <c r="T104" i="79"/>
  <c r="R104" i="79"/>
  <c r="Q104" i="79"/>
  <c r="U103" i="79"/>
  <c r="T103" i="79"/>
  <c r="R103" i="79"/>
  <c r="Q103" i="79"/>
  <c r="U102" i="79"/>
  <c r="T102" i="79"/>
  <c r="R102" i="79"/>
  <c r="Q102" i="79"/>
  <c r="U101" i="79"/>
  <c r="T101" i="79"/>
  <c r="R101" i="79"/>
  <c r="Q101" i="79"/>
  <c r="U100" i="79"/>
  <c r="T100" i="79"/>
  <c r="R100" i="79"/>
  <c r="Q100" i="79"/>
  <c r="U99" i="79"/>
  <c r="T99" i="79"/>
  <c r="R99" i="79"/>
  <c r="Q99" i="79"/>
  <c r="U98" i="79"/>
  <c r="T98" i="79"/>
  <c r="R98" i="79"/>
  <c r="Q98" i="79"/>
  <c r="U97" i="79"/>
  <c r="T97" i="79"/>
  <c r="R97" i="79"/>
  <c r="Q97" i="79"/>
  <c r="U96" i="79"/>
  <c r="T96" i="79"/>
  <c r="R96" i="79"/>
  <c r="Q96" i="79"/>
  <c r="U95" i="79"/>
  <c r="T95" i="79"/>
  <c r="R95" i="79"/>
  <c r="Q95" i="79"/>
  <c r="U94" i="79"/>
  <c r="T94" i="79"/>
  <c r="R94" i="79"/>
  <c r="Q94" i="79"/>
  <c r="U93" i="79"/>
  <c r="T93" i="79"/>
  <c r="R93" i="79"/>
  <c r="Q93" i="79"/>
  <c r="U92" i="79"/>
  <c r="T92" i="79"/>
  <c r="R92" i="79"/>
  <c r="Q92" i="79"/>
  <c r="U91" i="79"/>
  <c r="T91" i="79"/>
  <c r="R91" i="79"/>
  <c r="Q91" i="79"/>
  <c r="U90" i="79"/>
  <c r="T90" i="79"/>
  <c r="R90" i="79"/>
  <c r="Q90" i="79"/>
  <c r="U89" i="79"/>
  <c r="T89" i="79"/>
  <c r="R89" i="79"/>
  <c r="Q89" i="79"/>
  <c r="U88" i="79"/>
  <c r="T88" i="79"/>
  <c r="R88" i="79"/>
  <c r="Q88" i="79"/>
  <c r="U87" i="79"/>
  <c r="T87" i="79"/>
  <c r="R87" i="79"/>
  <c r="Q87" i="79"/>
  <c r="U86" i="79"/>
  <c r="T86" i="79"/>
  <c r="R86" i="79"/>
  <c r="Q86" i="79"/>
  <c r="U85" i="79"/>
  <c r="T85" i="79"/>
  <c r="R85" i="79"/>
  <c r="Q85" i="79"/>
  <c r="U84" i="79"/>
  <c r="T84" i="79"/>
  <c r="R84" i="79"/>
  <c r="Q84" i="79"/>
  <c r="U83" i="79"/>
  <c r="T83" i="79"/>
  <c r="R83" i="79"/>
  <c r="Q83" i="79"/>
  <c r="U82" i="79"/>
  <c r="T82" i="79"/>
  <c r="R82" i="79"/>
  <c r="Q82" i="79"/>
  <c r="U81" i="79"/>
  <c r="T81" i="79"/>
  <c r="R81" i="79"/>
  <c r="Q81" i="79"/>
  <c r="U80" i="79"/>
  <c r="T80" i="79"/>
  <c r="R80" i="79"/>
  <c r="Q80" i="79"/>
  <c r="U79" i="79"/>
  <c r="T79" i="79"/>
  <c r="R79" i="79"/>
  <c r="Q79" i="79"/>
  <c r="U78" i="79"/>
  <c r="T78" i="79"/>
  <c r="R78" i="79"/>
  <c r="Q78" i="79"/>
  <c r="U77" i="79"/>
  <c r="T77" i="79"/>
  <c r="R77" i="79"/>
  <c r="Q77" i="79"/>
  <c r="U76" i="79"/>
  <c r="T76" i="79"/>
  <c r="R76" i="79"/>
  <c r="Q76" i="79"/>
  <c r="U75" i="79"/>
  <c r="T75" i="79"/>
  <c r="R75" i="79"/>
  <c r="Q75" i="79"/>
  <c r="U74" i="79"/>
  <c r="T74" i="79"/>
  <c r="R74" i="79"/>
  <c r="Q74" i="79"/>
  <c r="U73" i="79"/>
  <c r="T73" i="79"/>
  <c r="R73" i="79"/>
  <c r="Q73" i="79"/>
  <c r="U72" i="79"/>
  <c r="T72" i="79"/>
  <c r="R72" i="79"/>
  <c r="Q72" i="79"/>
  <c r="U71" i="79"/>
  <c r="T71" i="79"/>
  <c r="R71" i="79"/>
  <c r="Q71" i="79"/>
  <c r="U70" i="79"/>
  <c r="T70" i="79"/>
  <c r="R70" i="79"/>
  <c r="Q70" i="79"/>
  <c r="U69" i="79"/>
  <c r="T69" i="79"/>
  <c r="R69" i="79"/>
  <c r="Q69" i="79"/>
  <c r="U68" i="79"/>
  <c r="T68" i="79"/>
  <c r="R68" i="79"/>
  <c r="Q68" i="79"/>
  <c r="U67" i="79"/>
  <c r="T67" i="79"/>
  <c r="R67" i="79"/>
  <c r="Q67" i="79"/>
  <c r="U66" i="79"/>
  <c r="T66" i="79"/>
  <c r="R66" i="79"/>
  <c r="Q66" i="79"/>
  <c r="U65" i="79"/>
  <c r="T65" i="79"/>
  <c r="R65" i="79"/>
  <c r="Q65" i="79"/>
  <c r="U64" i="79"/>
  <c r="T64" i="79"/>
  <c r="R64" i="79"/>
  <c r="Q64" i="79"/>
  <c r="U63" i="79"/>
  <c r="T63" i="79"/>
  <c r="R63" i="79"/>
  <c r="Q63" i="79"/>
  <c r="U62" i="79"/>
  <c r="T62" i="79"/>
  <c r="R62" i="79"/>
  <c r="Q62" i="79"/>
  <c r="U61" i="79"/>
  <c r="T61" i="79"/>
  <c r="R61" i="79"/>
  <c r="Q61" i="79"/>
  <c r="U60" i="79"/>
  <c r="T60" i="79"/>
  <c r="R60" i="79"/>
  <c r="Q60" i="79"/>
  <c r="U59" i="79"/>
  <c r="T59" i="79"/>
  <c r="R59" i="79"/>
  <c r="Q59" i="79"/>
  <c r="U58" i="79"/>
  <c r="T58" i="79"/>
  <c r="R58" i="79"/>
  <c r="Q58" i="79"/>
  <c r="U57" i="79"/>
  <c r="T57" i="79"/>
  <c r="R57" i="79"/>
  <c r="Q57" i="79"/>
  <c r="U56" i="79"/>
  <c r="T56" i="79"/>
  <c r="R56" i="79"/>
  <c r="Q56" i="79"/>
  <c r="U55" i="79"/>
  <c r="T55" i="79"/>
  <c r="R55" i="79"/>
  <c r="Q55" i="79"/>
  <c r="U54" i="79"/>
  <c r="T54" i="79"/>
  <c r="R54" i="79"/>
  <c r="Q54" i="79"/>
  <c r="U53" i="79"/>
  <c r="T53" i="79"/>
  <c r="R53" i="79"/>
  <c r="Q53" i="79"/>
  <c r="U52" i="79"/>
  <c r="T52" i="79"/>
  <c r="R52" i="79"/>
  <c r="Q52" i="79"/>
  <c r="U51" i="79"/>
  <c r="T51" i="79"/>
  <c r="R51" i="79"/>
  <c r="Q51" i="79"/>
  <c r="U50" i="79"/>
  <c r="T50" i="79"/>
  <c r="R50" i="79"/>
  <c r="Q50" i="79"/>
  <c r="U49" i="79"/>
  <c r="T49" i="79"/>
  <c r="R49" i="79"/>
  <c r="Q49" i="79"/>
  <c r="U48" i="79"/>
  <c r="T48" i="79"/>
  <c r="R48" i="79"/>
  <c r="Q48" i="79"/>
  <c r="U47" i="79"/>
  <c r="T47" i="79"/>
  <c r="R47" i="79"/>
  <c r="Q47" i="79"/>
  <c r="U46" i="79"/>
  <c r="T46" i="79"/>
  <c r="R46" i="79"/>
  <c r="Q46" i="79"/>
  <c r="U45" i="79"/>
  <c r="T45" i="79"/>
  <c r="R45" i="79"/>
  <c r="Q45" i="79"/>
  <c r="U44" i="79"/>
  <c r="T44" i="79"/>
  <c r="R44" i="79"/>
  <c r="Q44" i="79"/>
  <c r="U43" i="79"/>
  <c r="T43" i="79"/>
  <c r="R43" i="79"/>
  <c r="Q43" i="79"/>
  <c r="U42" i="79"/>
  <c r="T42" i="79"/>
  <c r="R42" i="79"/>
  <c r="Q42" i="79"/>
  <c r="U41" i="79"/>
  <c r="T41" i="79"/>
  <c r="R41" i="79"/>
  <c r="Q41" i="79"/>
  <c r="U40" i="79"/>
  <c r="T40" i="79"/>
  <c r="R40" i="79"/>
  <c r="Q40" i="79"/>
  <c r="U39" i="79"/>
  <c r="T39" i="79"/>
  <c r="R39" i="79"/>
  <c r="Q39" i="79"/>
  <c r="U38" i="79"/>
  <c r="T38" i="79"/>
  <c r="R38" i="79"/>
  <c r="Q38" i="79"/>
  <c r="U37" i="79"/>
  <c r="T37" i="79"/>
  <c r="R37" i="79"/>
  <c r="Q37" i="79"/>
  <c r="U36" i="79"/>
  <c r="T36" i="79"/>
  <c r="R36" i="79"/>
  <c r="Q36" i="79"/>
  <c r="U35" i="79"/>
  <c r="T35" i="79"/>
  <c r="R35" i="79"/>
  <c r="Q35" i="79"/>
  <c r="U34" i="79"/>
  <c r="T34" i="79"/>
  <c r="R34" i="79"/>
  <c r="Q34" i="79"/>
  <c r="U33" i="79"/>
  <c r="T33" i="79"/>
  <c r="R33" i="79"/>
  <c r="Q33" i="79"/>
  <c r="U32" i="79"/>
  <c r="T32" i="79"/>
  <c r="R32" i="79"/>
  <c r="Q32" i="79"/>
  <c r="U31" i="79"/>
  <c r="T31" i="79"/>
  <c r="R31" i="79"/>
  <c r="Q31" i="79"/>
  <c r="U30" i="79"/>
  <c r="T30" i="79"/>
  <c r="R30" i="79"/>
  <c r="Q30" i="79"/>
  <c r="U29" i="79"/>
  <c r="T29" i="79"/>
  <c r="R29" i="79"/>
  <c r="Q29" i="79"/>
  <c r="U28" i="79"/>
  <c r="T28" i="79"/>
  <c r="R28" i="79"/>
  <c r="Q28" i="79"/>
  <c r="U27" i="79"/>
  <c r="T27" i="79"/>
  <c r="R27" i="79"/>
  <c r="Q27" i="79"/>
  <c r="U26" i="79"/>
  <c r="T26" i="79"/>
  <c r="R26" i="79"/>
  <c r="Q26" i="79"/>
  <c r="U25" i="79"/>
  <c r="T25" i="79"/>
  <c r="R25" i="79"/>
  <c r="Q25" i="79"/>
  <c r="U24" i="79"/>
  <c r="T24" i="79"/>
  <c r="R24" i="79"/>
  <c r="Q24" i="79"/>
  <c r="U23" i="79"/>
  <c r="T23" i="79"/>
  <c r="R23" i="79"/>
  <c r="Q23" i="79"/>
  <c r="U22" i="79"/>
  <c r="T22" i="79"/>
  <c r="R22" i="79"/>
  <c r="Q22" i="79"/>
  <c r="U21" i="79"/>
  <c r="T21" i="79"/>
  <c r="R21" i="79"/>
  <c r="Q21" i="79"/>
  <c r="U20" i="79"/>
  <c r="T20" i="79"/>
  <c r="R20" i="79"/>
  <c r="Q20" i="79"/>
  <c r="U19" i="79"/>
  <c r="T19" i="79"/>
  <c r="R19" i="79"/>
  <c r="Q19" i="79"/>
  <c r="U18" i="79"/>
  <c r="T18" i="79"/>
  <c r="R18" i="79"/>
  <c r="Q18" i="79"/>
  <c r="U17" i="79"/>
  <c r="T17" i="79"/>
  <c r="R17" i="79"/>
  <c r="Q17" i="79"/>
  <c r="U16" i="79"/>
  <c r="T16" i="79"/>
  <c r="R16" i="79"/>
  <c r="Q16" i="79"/>
  <c r="U15" i="79"/>
  <c r="T15" i="79"/>
  <c r="R15" i="79"/>
  <c r="Q15" i="79"/>
  <c r="U14" i="79"/>
  <c r="T14" i="79"/>
  <c r="R14" i="79"/>
  <c r="Q14" i="79"/>
  <c r="U13" i="79"/>
  <c r="T13" i="79"/>
  <c r="R13" i="79"/>
  <c r="Q13" i="79"/>
  <c r="U12" i="79"/>
  <c r="T12" i="79"/>
  <c r="R12" i="79"/>
  <c r="Q12" i="79"/>
  <c r="U11" i="79"/>
  <c r="T11" i="79"/>
  <c r="R11" i="79"/>
  <c r="Q11" i="79"/>
  <c r="U10" i="79"/>
  <c r="T10" i="79"/>
  <c r="R10" i="79"/>
  <c r="Q10" i="79"/>
  <c r="U9" i="79"/>
  <c r="T9" i="79"/>
  <c r="R9" i="79"/>
  <c r="Q9" i="79"/>
  <c r="U8" i="79"/>
  <c r="T8" i="79"/>
  <c r="R8" i="79"/>
  <c r="Q8" i="79"/>
  <c r="U7" i="79"/>
  <c r="T7" i="79"/>
  <c r="R7" i="79"/>
  <c r="Q7" i="79"/>
  <c r="U6" i="79"/>
  <c r="T6" i="79"/>
  <c r="R6" i="79"/>
  <c r="Q6" i="79"/>
  <c r="U5" i="79"/>
  <c r="T5" i="79"/>
  <c r="R5" i="79"/>
  <c r="Q5" i="79"/>
  <c r="U4" i="79"/>
  <c r="T4" i="79"/>
  <c r="R4" i="79"/>
  <c r="Q4" i="79"/>
  <c r="U3" i="79"/>
  <c r="T3" i="79"/>
  <c r="R3" i="79"/>
  <c r="Q3" i="79"/>
  <c r="U2" i="79"/>
  <c r="T2" i="79"/>
  <c r="R2" i="79"/>
  <c r="Q2" i="79"/>
  <c r="G41" i="98" l="1"/>
  <c r="AB70" i="100"/>
  <c r="Y91" i="100"/>
  <c r="Y90" i="100"/>
  <c r="Y88" i="100"/>
  <c r="AN71" i="100"/>
  <c r="AN70" i="100"/>
  <c r="AN78" i="100"/>
  <c r="V99" i="98"/>
  <c r="AJ109" i="98"/>
  <c r="AI116" i="98"/>
  <c r="AI121" i="98"/>
  <c r="E22" i="114"/>
  <c r="Y11" i="100"/>
  <c r="AD22" i="100"/>
  <c r="AL22" i="100"/>
  <c r="AL23" i="100"/>
  <c r="AA25" i="100"/>
  <c r="AI25" i="100"/>
  <c r="AE28" i="100"/>
  <c r="AD32" i="100"/>
  <c r="AL32" i="100"/>
  <c r="Y33" i="100"/>
  <c r="AG33" i="100"/>
  <c r="Z36" i="100"/>
  <c r="AH36" i="100"/>
  <c r="Y41" i="100"/>
  <c r="AG41" i="100"/>
  <c r="AE42" i="100"/>
  <c r="AM42" i="100"/>
  <c r="AD50" i="100"/>
  <c r="AL50" i="100"/>
  <c r="AC54" i="100"/>
  <c r="AK51" i="100"/>
  <c r="Z58" i="100"/>
  <c r="AH58" i="100"/>
  <c r="AJ68" i="100"/>
  <c r="AN68" i="100"/>
  <c r="Y70" i="100"/>
  <c r="AC73" i="100"/>
  <c r="AL73" i="100"/>
  <c r="Z75" i="100"/>
  <c r="AG79" i="100"/>
  <c r="Z82" i="100"/>
  <c r="AJ86" i="100"/>
  <c r="AI101" i="100"/>
  <c r="AC102" i="100"/>
  <c r="AI103" i="100"/>
  <c r="AE146" i="100"/>
  <c r="AE148" i="100"/>
  <c r="O92" i="98"/>
  <c r="K93" i="98"/>
  <c r="AH99" i="98"/>
  <c r="AE100" i="98"/>
  <c r="AE101" i="98"/>
  <c r="AI102" i="98"/>
  <c r="AA106" i="98"/>
  <c r="AK106" i="98"/>
  <c r="AE107" i="98"/>
  <c r="W108" i="98"/>
  <c r="AG108" i="98"/>
  <c r="AK109" i="98"/>
  <c r="Z113" i="98"/>
  <c r="AK113" i="98"/>
  <c r="AD114" i="98"/>
  <c r="V115" i="98"/>
  <c r="AG115" i="98"/>
  <c r="Z116" i="98"/>
  <c r="AK116" i="98"/>
  <c r="AB120" i="98"/>
  <c r="AJ121" i="98"/>
  <c r="AE122" i="98"/>
  <c r="Y123" i="98"/>
  <c r="AK123" i="98"/>
  <c r="Z14" i="100"/>
  <c r="AL18" i="100"/>
  <c r="Y19" i="100"/>
  <c r="AG19" i="100"/>
  <c r="AD20" i="100"/>
  <c r="AL20" i="100"/>
  <c r="Z21" i="100"/>
  <c r="AH21" i="100"/>
  <c r="AF21" i="100"/>
  <c r="AM22" i="100"/>
  <c r="AC23" i="100"/>
  <c r="AC24" i="100"/>
  <c r="AK23" i="100"/>
  <c r="Z26" i="100"/>
  <c r="AH26" i="100"/>
  <c r="AA26" i="100"/>
  <c r="AB28" i="100"/>
  <c r="AG28" i="100"/>
  <c r="AE29" i="100"/>
  <c r="AM29" i="100"/>
  <c r="AD31" i="100"/>
  <c r="AF34" i="100"/>
  <c r="AN34" i="100"/>
  <c r="AD37" i="100"/>
  <c r="AL37" i="100"/>
  <c r="AE36" i="100"/>
  <c r="AE37" i="100"/>
  <c r="AM37" i="100"/>
  <c r="AB38" i="100"/>
  <c r="AJ38" i="100"/>
  <c r="AH44" i="100"/>
  <c r="AE45" i="100"/>
  <c r="AM45" i="100"/>
  <c r="AD46" i="100"/>
  <c r="AL46" i="100"/>
  <c r="AJ52" i="100"/>
  <c r="Z59" i="100"/>
  <c r="AH59" i="100"/>
  <c r="Y59" i="100"/>
  <c r="Z70" i="100"/>
  <c r="AD71" i="100"/>
  <c r="AH71" i="100"/>
  <c r="Y72" i="100"/>
  <c r="AG72" i="100"/>
  <c r="AK72" i="100"/>
  <c r="AD73" i="100"/>
  <c r="AA75" i="100"/>
  <c r="AC76" i="100"/>
  <c r="AK77" i="100"/>
  <c r="AF78" i="100"/>
  <c r="AA79" i="100"/>
  <c r="AN79" i="100"/>
  <c r="AC80" i="100"/>
  <c r="AL81" i="100"/>
  <c r="AD84" i="100"/>
  <c r="AD85" i="100"/>
  <c r="AC88" i="100"/>
  <c r="AE90" i="100"/>
  <c r="AB92" i="100"/>
  <c r="AB95" i="100"/>
  <c r="AA96" i="100"/>
  <c r="Y102" i="98"/>
  <c r="AI99" i="98"/>
  <c r="V101" i="98"/>
  <c r="Z102" i="98"/>
  <c r="AK102" i="98"/>
  <c r="AB106" i="98"/>
  <c r="AI106" i="98"/>
  <c r="AF107" i="98"/>
  <c r="X108" i="98"/>
  <c r="AB109" i="98"/>
  <c r="AE114" i="98"/>
  <c r="W115" i="98"/>
  <c r="AH115" i="98"/>
  <c r="AA116" i="98"/>
  <c r="AC123" i="98"/>
  <c r="AK121" i="98"/>
  <c r="AA123" i="98"/>
  <c r="AM20" i="100"/>
  <c r="AN21" i="100"/>
  <c r="AF19" i="100"/>
  <c r="AN19" i="100"/>
  <c r="AA24" i="100"/>
  <c r="AI26" i="100"/>
  <c r="AC30" i="100"/>
  <c r="AK30" i="100"/>
  <c r="AD30" i="100"/>
  <c r="AL30" i="100"/>
  <c r="AN32" i="100"/>
  <c r="AA33" i="100"/>
  <c r="AI33" i="100"/>
  <c r="AG39" i="100"/>
  <c r="AE40" i="100"/>
  <c r="AM40" i="100"/>
  <c r="AA41" i="100"/>
  <c r="AI41" i="100"/>
  <c r="Y42" i="100"/>
  <c r="AC49" i="100"/>
  <c r="AC47" i="100"/>
  <c r="AK47" i="100"/>
  <c r="AG75" i="100"/>
  <c r="AG69" i="100"/>
  <c r="AK74" i="100"/>
  <c r="AF72" i="100"/>
  <c r="AG70" i="100"/>
  <c r="AK73" i="100"/>
  <c r="AF74" i="100"/>
  <c r="AL74" i="100"/>
  <c r="AH75" i="100"/>
  <c r="AD76" i="100"/>
  <c r="AE77" i="100"/>
  <c r="AA78" i="100"/>
  <c r="Z81" i="100"/>
  <c r="AH82" i="100"/>
  <c r="AD83" i="100"/>
  <c r="Y89" i="100"/>
  <c r="AD91" i="100"/>
  <c r="AN93" i="100"/>
  <c r="AB93" i="100"/>
  <c r="AC97" i="100"/>
  <c r="AC104" i="100"/>
  <c r="AN108" i="100"/>
  <c r="AN109" i="100"/>
  <c r="AM111" i="100"/>
  <c r="O93" i="98"/>
  <c r="D92" i="98"/>
  <c r="Z99" i="98"/>
  <c r="AK99" i="98"/>
  <c r="AD100" i="98"/>
  <c r="AH101" i="98"/>
  <c r="AC106" i="98"/>
  <c r="Y108" i="98"/>
  <c r="AJ108" i="98"/>
  <c r="V114" i="98"/>
  <c r="AI115" i="98"/>
  <c r="AC116" i="98"/>
  <c r="AB123" i="98"/>
  <c r="AB11" i="100"/>
  <c r="AJ11" i="100"/>
  <c r="AF15" i="100"/>
  <c r="AN15" i="100"/>
  <c r="AE25" i="100"/>
  <c r="AM25" i="100"/>
  <c r="AI24" i="100"/>
  <c r="AF24" i="100"/>
  <c r="AB23" i="100"/>
  <c r="AJ23" i="100"/>
  <c r="Z30" i="100"/>
  <c r="AH30" i="100"/>
  <c r="AH27" i="100"/>
  <c r="Z27" i="100"/>
  <c r="Y29" i="100"/>
  <c r="AG29" i="100"/>
  <c r="AB33" i="100"/>
  <c r="AA34" i="100"/>
  <c r="Y37" i="100"/>
  <c r="AG37" i="100"/>
  <c r="AF40" i="100"/>
  <c r="AB41" i="100"/>
  <c r="AJ41" i="100"/>
  <c r="AD47" i="100"/>
  <c r="AK62" i="100"/>
  <c r="AB68" i="100"/>
  <c r="AI75" i="100"/>
  <c r="AK76" i="100"/>
  <c r="AF77" i="100"/>
  <c r="AG81" i="100"/>
  <c r="Z84" i="100"/>
  <c r="Z85" i="100"/>
  <c r="Z87" i="100"/>
  <c r="AJ90" i="100"/>
  <c r="AN90" i="100"/>
  <c r="Z91" i="100"/>
  <c r="AI94" i="100"/>
  <c r="AI92" i="100"/>
  <c r="AA98" i="100"/>
  <c r="AD99" i="100"/>
  <c r="AD97" i="100"/>
  <c r="AN103" i="100"/>
  <c r="AH108" i="100"/>
  <c r="AH109" i="100"/>
  <c r="G92" i="98"/>
  <c r="C93" i="98"/>
  <c r="AA99" i="98"/>
  <c r="Y99" i="98"/>
  <c r="AI101" i="98"/>
  <c r="X107" i="98"/>
  <c r="AI107" i="98"/>
  <c r="AA108" i="98"/>
  <c r="AK108" i="98"/>
  <c r="AE109" i="98"/>
  <c r="AD113" i="98"/>
  <c r="AH114" i="98"/>
  <c r="Z115" i="98"/>
  <c r="AK115" i="98"/>
  <c r="AG20" i="100"/>
  <c r="AB24" i="100"/>
  <c r="AJ24" i="100"/>
  <c r="AK24" i="100"/>
  <c r="AC26" i="100"/>
  <c r="AK26" i="100"/>
  <c r="AA29" i="100"/>
  <c r="AI29" i="100"/>
  <c r="AM28" i="100"/>
  <c r="Z32" i="100"/>
  <c r="AH32" i="100"/>
  <c r="AA32" i="100"/>
  <c r="AC33" i="100"/>
  <c r="AK33" i="100"/>
  <c r="AI34" i="100"/>
  <c r="Y35" i="100"/>
  <c r="AG35" i="100"/>
  <c r="AD36" i="100"/>
  <c r="AL36" i="100"/>
  <c r="Z37" i="100"/>
  <c r="AH37" i="100"/>
  <c r="AF37" i="100"/>
  <c r="AM38" i="100"/>
  <c r="AC39" i="100"/>
  <c r="AC40" i="100"/>
  <c r="AK39" i="100"/>
  <c r="AE43" i="100"/>
  <c r="AM43" i="100"/>
  <c r="AK54" i="100"/>
  <c r="AD58" i="100"/>
  <c r="AK59" i="100"/>
  <c r="AD62" i="100"/>
  <c r="AL62" i="100"/>
  <c r="Z73" i="100"/>
  <c r="AA74" i="100"/>
  <c r="AN74" i="100"/>
  <c r="AL76" i="100"/>
  <c r="AL80" i="100"/>
  <c r="AH81" i="100"/>
  <c r="AL83" i="100"/>
  <c r="AI89" i="100"/>
  <c r="AJ91" i="100"/>
  <c r="AJ95" i="100"/>
  <c r="AJ92" i="100"/>
  <c r="AN97" i="100"/>
  <c r="AG98" i="100"/>
  <c r="AC100" i="100"/>
  <c r="AD107" i="100"/>
  <c r="AN111" i="100"/>
  <c r="AC99" i="98"/>
  <c r="V100" i="98"/>
  <c r="AG101" i="98"/>
  <c r="Z101" i="98"/>
  <c r="AK101" i="98"/>
  <c r="AD102" i="98"/>
  <c r="AF106" i="98"/>
  <c r="AJ107" i="98"/>
  <c r="AB108" i="98"/>
  <c r="AF109" i="98"/>
  <c r="Y115" i="98"/>
  <c r="AI114" i="98"/>
  <c r="AE116" i="98"/>
  <c r="AI120" i="98"/>
  <c r="AC121" i="98"/>
  <c r="AK122" i="98"/>
  <c r="AD13" i="100"/>
  <c r="AL13" i="100"/>
  <c r="Z17" i="100"/>
  <c r="AH17" i="100"/>
  <c r="AL15" i="100"/>
  <c r="Z20" i="100"/>
  <c r="AH20" i="100"/>
  <c r="Y23" i="100"/>
  <c r="AF25" i="100"/>
  <c r="AN25" i="100"/>
  <c r="AF28" i="100"/>
  <c r="AN28" i="100"/>
  <c r="AI32" i="100"/>
  <c r="AC32" i="100"/>
  <c r="AB31" i="100"/>
  <c r="AJ31" i="100"/>
  <c r="AM36" i="100"/>
  <c r="AN37" i="100"/>
  <c r="AF35" i="100"/>
  <c r="AN35" i="100"/>
  <c r="AA40" i="100"/>
  <c r="AB39" i="100"/>
  <c r="AJ39" i="100"/>
  <c r="AF43" i="100"/>
  <c r="AN43" i="100"/>
  <c r="AI45" i="100"/>
  <c r="AH46" i="100"/>
  <c r="AF47" i="100"/>
  <c r="AF57" i="100"/>
  <c r="AF55" i="100"/>
  <c r="AC70" i="100"/>
  <c r="AB74" i="100"/>
  <c r="AD75" i="100"/>
  <c r="Z76" i="100"/>
  <c r="AN77" i="100"/>
  <c r="AD82" i="100"/>
  <c r="AK82" i="100"/>
  <c r="Z83" i="100"/>
  <c r="AL84" i="100"/>
  <c r="AL85" i="100"/>
  <c r="AD86" i="100"/>
  <c r="AL87" i="100"/>
  <c r="Z88" i="100"/>
  <c r="AF89" i="100"/>
  <c r="AF88" i="100"/>
  <c r="AK91" i="100"/>
  <c r="AK89" i="100"/>
  <c r="AC99" i="100"/>
  <c r="AF107" i="100"/>
  <c r="F90" i="98"/>
  <c r="AD99" i="98"/>
  <c r="W100" i="98"/>
  <c r="AH100" i="98"/>
  <c r="AC108" i="98"/>
  <c r="V116" i="98"/>
  <c r="W120" i="98"/>
  <c r="AJ120" i="98"/>
  <c r="AE121" i="98"/>
  <c r="AA122" i="98"/>
  <c r="W122" i="98"/>
  <c r="AG123" i="98"/>
  <c r="AH87" i="100"/>
  <c r="AH69" i="100"/>
  <c r="AH73" i="100"/>
  <c r="AA89" i="100"/>
  <c r="Z93" i="100"/>
  <c r="Z92" i="100"/>
  <c r="X109" i="98"/>
  <c r="AI109" i="98"/>
  <c r="W114" i="98"/>
  <c r="AH116" i="98"/>
  <c r="Y122" i="98"/>
  <c r="AE19" i="100"/>
  <c r="AM19" i="100"/>
  <c r="AB20" i="100"/>
  <c r="AG23" i="100"/>
  <c r="Z28" i="100"/>
  <c r="AH28" i="100"/>
  <c r="AC29" i="100"/>
  <c r="AK29" i="100"/>
  <c r="Z43" i="100"/>
  <c r="AD69" i="100"/>
  <c r="AK71" i="100"/>
  <c r="AJ74" i="100"/>
  <c r="AL75" i="100"/>
  <c r="AH76" i="100"/>
  <c r="AF79" i="100"/>
  <c r="AD81" i="100"/>
  <c r="AL82" i="100"/>
  <c r="AH83" i="100"/>
  <c r="AH84" i="100"/>
  <c r="AH85" i="100"/>
  <c r="AM112" i="100"/>
  <c r="AM114" i="100"/>
  <c r="AL47" i="100"/>
  <c r="AF49" i="100"/>
  <c r="AN49" i="100"/>
  <c r="AE50" i="100"/>
  <c r="AM50" i="100"/>
  <c r="AD51" i="100"/>
  <c r="AD54" i="100"/>
  <c r="AL54" i="100"/>
  <c r="AI59" i="100"/>
  <c r="Z79" i="100"/>
  <c r="AD70" i="100"/>
  <c r="AH68" i="100"/>
  <c r="AL86" i="100"/>
  <c r="AD68" i="100"/>
  <c r="Z72" i="100"/>
  <c r="AD72" i="100"/>
  <c r="AH72" i="100"/>
  <c r="AL72" i="100"/>
  <c r="AD88" i="100"/>
  <c r="AH88" i="100"/>
  <c r="AL88" i="100"/>
  <c r="AG89" i="100"/>
  <c r="AA91" i="100"/>
  <c r="AJ93" i="100"/>
  <c r="AF95" i="100"/>
  <c r="AN95" i="100"/>
  <c r="AK97" i="100"/>
  <c r="AK98" i="100"/>
  <c r="AG99" i="100"/>
  <c r="AJ100" i="100"/>
  <c r="AD103" i="100"/>
  <c r="AG104" i="100"/>
  <c r="AC106" i="100"/>
  <c r="AE108" i="100"/>
  <c r="AD109" i="100"/>
  <c r="AD110" i="100"/>
  <c r="AH111" i="100"/>
  <c r="AF113" i="100"/>
  <c r="AH112" i="100"/>
  <c r="AB118" i="100"/>
  <c r="AJ118" i="100"/>
  <c r="AN118" i="100"/>
  <c r="AG11" i="100"/>
  <c r="AC15" i="100"/>
  <c r="AA20" i="100"/>
  <c r="AI20" i="100"/>
  <c r="AB21" i="100"/>
  <c r="AJ21" i="100"/>
  <c r="Y22" i="100"/>
  <c r="AG22" i="100"/>
  <c r="AD26" i="100"/>
  <c r="AL26" i="100"/>
  <c r="Y26" i="100"/>
  <c r="AG26" i="100"/>
  <c r="AE26" i="100"/>
  <c r="AM26" i="100"/>
  <c r="AB27" i="100"/>
  <c r="AJ27" i="100"/>
  <c r="Z33" i="100"/>
  <c r="AH33" i="100"/>
  <c r="AD33" i="100"/>
  <c r="AL33" i="100"/>
  <c r="AA36" i="100"/>
  <c r="AI36" i="100"/>
  <c r="AB37" i="100"/>
  <c r="AJ37" i="100"/>
  <c r="Y38" i="100"/>
  <c r="AG38" i="100"/>
  <c r="AD42" i="100"/>
  <c r="AL42" i="100"/>
  <c r="Y40" i="100"/>
  <c r="AG40" i="100"/>
  <c r="Y43" i="100"/>
  <c r="AG43" i="100"/>
  <c r="AD44" i="100"/>
  <c r="AL44" i="100"/>
  <c r="Z45" i="100"/>
  <c r="AH45" i="100"/>
  <c r="Y46" i="100"/>
  <c r="AG46" i="100"/>
  <c r="AA48" i="100"/>
  <c r="AI48" i="100"/>
  <c r="Y49" i="100"/>
  <c r="AG49" i="100"/>
  <c r="AF50" i="100"/>
  <c r="AE51" i="100"/>
  <c r="AM51" i="100"/>
  <c r="AA51" i="100"/>
  <c r="AI52" i="100"/>
  <c r="AM52" i="100"/>
  <c r="AE54" i="100"/>
  <c r="AM54" i="100"/>
  <c r="AC55" i="100"/>
  <c r="AK55" i="100"/>
  <c r="Y56" i="100"/>
  <c r="AG56" i="100"/>
  <c r="AA57" i="100"/>
  <c r="AI56" i="100"/>
  <c r="AI57" i="100"/>
  <c r="AB61" i="100"/>
  <c r="AJ61" i="100"/>
  <c r="AN88" i="100"/>
  <c r="AA93" i="100"/>
  <c r="AK96" i="100"/>
  <c r="Z96" i="100"/>
  <c r="AL98" i="100"/>
  <c r="AM99" i="100"/>
  <c r="AM100" i="100"/>
  <c r="AC101" i="100"/>
  <c r="AE102" i="100"/>
  <c r="AK102" i="100"/>
  <c r="AE103" i="100"/>
  <c r="AE105" i="100"/>
  <c r="AI106" i="100"/>
  <c r="AM107" i="100"/>
  <c r="Z108" i="100"/>
  <c r="AI111" i="100"/>
  <c r="AB134" i="100"/>
  <c r="AB133" i="100"/>
  <c r="AJ48" i="100"/>
  <c r="AH49" i="100"/>
  <c r="Y50" i="100"/>
  <c r="AG50" i="100"/>
  <c r="AF51" i="100"/>
  <c r="AN51" i="100"/>
  <c r="AB52" i="100"/>
  <c r="AD55" i="100"/>
  <c r="AL55" i="100"/>
  <c r="Z56" i="100"/>
  <c r="AH56" i="100"/>
  <c r="AB57" i="100"/>
  <c r="AJ57" i="100"/>
  <c r="AC61" i="100"/>
  <c r="AK61" i="100"/>
  <c r="Y62" i="100"/>
  <c r="AG62" i="100"/>
  <c r="AL68" i="100"/>
  <c r="AB72" i="100"/>
  <c r="AF69" i="100"/>
  <c r="AJ85" i="100"/>
  <c r="AN69" i="100"/>
  <c r="AJ69" i="100"/>
  <c r="Z71" i="100"/>
  <c r="AL71" i="100"/>
  <c r="AE72" i="100"/>
  <c r="AM72" i="100"/>
  <c r="AH89" i="100"/>
  <c r="AG91" i="100"/>
  <c r="AK93" i="100"/>
  <c r="Y102" i="100"/>
  <c r="AF102" i="100"/>
  <c r="Z103" i="100"/>
  <c r="AH107" i="100"/>
  <c r="AC109" i="100"/>
  <c r="AD111" i="100"/>
  <c r="AJ134" i="100"/>
  <c r="AA136" i="100"/>
  <c r="AI135" i="100"/>
  <c r="AM135" i="100"/>
  <c r="AB6" i="111"/>
  <c r="AJ6" i="111"/>
  <c r="W6" i="111"/>
  <c r="AA13" i="100"/>
  <c r="AI13" i="100"/>
  <c r="AE17" i="100"/>
  <c r="AM17" i="100"/>
  <c r="Z22" i="100"/>
  <c r="AH22" i="100"/>
  <c r="Z19" i="100"/>
  <c r="AC22" i="100"/>
  <c r="AK22" i="100"/>
  <c r="AA22" i="100"/>
  <c r="AI22" i="100"/>
  <c r="AF23" i="100"/>
  <c r="AN23" i="100"/>
  <c r="AD29" i="100"/>
  <c r="AL29" i="100"/>
  <c r="Z29" i="100"/>
  <c r="AH29" i="100"/>
  <c r="AE32" i="100"/>
  <c r="AM32" i="100"/>
  <c r="AF33" i="100"/>
  <c r="AN33" i="100"/>
  <c r="AC34" i="100"/>
  <c r="AK34" i="100"/>
  <c r="Z38" i="100"/>
  <c r="AH38" i="100"/>
  <c r="Z35" i="100"/>
  <c r="AC38" i="100"/>
  <c r="AK38" i="100"/>
  <c r="AA38" i="100"/>
  <c r="AI38" i="100"/>
  <c r="AF39" i="100"/>
  <c r="AN39" i="100"/>
  <c r="AF42" i="100"/>
  <c r="AN42" i="100"/>
  <c r="AA43" i="100"/>
  <c r="AI43" i="100"/>
  <c r="AF44" i="100"/>
  <c r="AB45" i="100"/>
  <c r="AJ45" i="100"/>
  <c r="AA46" i="100"/>
  <c r="AI46" i="100"/>
  <c r="Y47" i="100"/>
  <c r="AG47" i="100"/>
  <c r="AC48" i="100"/>
  <c r="AK48" i="100"/>
  <c r="AA49" i="100"/>
  <c r="AI49" i="100"/>
  <c r="Z50" i="100"/>
  <c r="AH50" i="100"/>
  <c r="Y53" i="100"/>
  <c r="AG51" i="100"/>
  <c r="AC52" i="100"/>
  <c r="Z53" i="100"/>
  <c r="AH53" i="100"/>
  <c r="Y54" i="100"/>
  <c r="AG54" i="100"/>
  <c r="AD61" i="100"/>
  <c r="Z62" i="100"/>
  <c r="AG84" i="100"/>
  <c r="AC91" i="100"/>
  <c r="AC94" i="100"/>
  <c r="AC96" i="100"/>
  <c r="Y98" i="100"/>
  <c r="AF100" i="100"/>
  <c r="AD101" i="100"/>
  <c r="AM101" i="100"/>
  <c r="Z102" i="100"/>
  <c r="AF103" i="100"/>
  <c r="AD104" i="100"/>
  <c r="AM104" i="100"/>
  <c r="AA105" i="100"/>
  <c r="AI107" i="100"/>
  <c r="AB114" i="100"/>
  <c r="AA113" i="100"/>
  <c r="AA112" i="100"/>
  <c r="AC41" i="100"/>
  <c r="AK41" i="100"/>
  <c r="AB43" i="100"/>
  <c r="AJ43" i="100"/>
  <c r="AC45" i="100"/>
  <c r="AK45" i="100"/>
  <c r="AJ46" i="100"/>
  <c r="Z47" i="100"/>
  <c r="AH47" i="100"/>
  <c r="Z51" i="100"/>
  <c r="AH51" i="100"/>
  <c r="AD52" i="100"/>
  <c r="AL53" i="100"/>
  <c r="Z54" i="100"/>
  <c r="AJ55" i="100"/>
  <c r="AJ56" i="100"/>
  <c r="AD57" i="100"/>
  <c r="AL57" i="100"/>
  <c r="AA60" i="100"/>
  <c r="AI60" i="100"/>
  <c r="AE59" i="100"/>
  <c r="AM59" i="100"/>
  <c r="AF83" i="100"/>
  <c r="AJ88" i="100"/>
  <c r="Z89" i="100"/>
  <c r="AI90" i="100"/>
  <c r="AC90" i="100"/>
  <c r="AG90" i="100"/>
  <c r="AK90" i="100"/>
  <c r="AH91" i="100"/>
  <c r="AM92" i="100"/>
  <c r="AD96" i="100"/>
  <c r="AD98" i="100"/>
  <c r="AM98" i="100"/>
  <c r="AN99" i="100"/>
  <c r="AA100" i="100"/>
  <c r="Z101" i="100"/>
  <c r="AI100" i="100"/>
  <c r="AA102" i="100"/>
  <c r="AG102" i="100"/>
  <c r="AL103" i="100"/>
  <c r="Z111" i="100"/>
  <c r="AB113" i="100"/>
  <c r="AN115" i="100"/>
  <c r="AB126" i="100"/>
  <c r="AB125" i="100"/>
  <c r="AF149" i="100"/>
  <c r="AF151" i="100"/>
  <c r="AD116" i="98"/>
  <c r="AG122" i="98"/>
  <c r="AB121" i="98"/>
  <c r="AJ122" i="98"/>
  <c r="AC11" i="100"/>
  <c r="AK11" i="100"/>
  <c r="Y15" i="100"/>
  <c r="AG15" i="100"/>
  <c r="AB19" i="100"/>
  <c r="AJ19" i="100"/>
  <c r="AH19" i="100"/>
  <c r="Z25" i="100"/>
  <c r="AH25" i="100"/>
  <c r="AD25" i="100"/>
  <c r="AL25" i="100"/>
  <c r="AA28" i="100"/>
  <c r="AI28" i="100"/>
  <c r="AB29" i="100"/>
  <c r="AJ29" i="100"/>
  <c r="Y30" i="100"/>
  <c r="AG30" i="100"/>
  <c r="AD34" i="100"/>
  <c r="AL34" i="100"/>
  <c r="Y34" i="100"/>
  <c r="AG34" i="100"/>
  <c r="AE34" i="100"/>
  <c r="AM34" i="100"/>
  <c r="AB35" i="100"/>
  <c r="AJ35" i="100"/>
  <c r="AH35" i="100"/>
  <c r="Z41" i="100"/>
  <c r="AH39" i="100"/>
  <c r="AD41" i="100"/>
  <c r="AL41" i="100"/>
  <c r="Z42" i="100"/>
  <c r="AH42" i="100"/>
  <c r="AK43" i="100"/>
  <c r="AL45" i="100"/>
  <c r="AC43" i="100"/>
  <c r="AK44" i="100"/>
  <c r="AI47" i="100"/>
  <c r="AE47" i="100"/>
  <c r="AM48" i="100"/>
  <c r="AE52" i="100"/>
  <c r="AB53" i="100"/>
  <c r="AJ53" i="100"/>
  <c r="Y58" i="100"/>
  <c r="AG58" i="100"/>
  <c r="AE57" i="100"/>
  <c r="AM55" i="100"/>
  <c r="AB60" i="100"/>
  <c r="AJ60" i="100"/>
  <c r="AN60" i="100"/>
  <c r="AF61" i="100"/>
  <c r="AN61" i="100"/>
  <c r="AN89" i="100"/>
  <c r="Y93" i="100"/>
  <c r="AC95" i="100"/>
  <c r="AJ99" i="100"/>
  <c r="AH100" i="100"/>
  <c r="AE101" i="100"/>
  <c r="AH102" i="100"/>
  <c r="AE104" i="100"/>
  <c r="AN104" i="100"/>
  <c r="AH105" i="100"/>
  <c r="AM105" i="100"/>
  <c r="AA106" i="100"/>
  <c r="AJ107" i="100"/>
  <c r="Z109" i="100"/>
  <c r="AA111" i="100"/>
  <c r="AI113" i="100"/>
  <c r="Z97" i="100"/>
  <c r="AH97" i="100"/>
  <c r="Z98" i="100"/>
  <c r="AH98" i="100"/>
  <c r="Z104" i="100"/>
  <c r="AH104" i="100"/>
  <c r="AL107" i="100"/>
  <c r="AF108" i="100"/>
  <c r="AN110" i="100"/>
  <c r="AA110" i="100"/>
  <c r="AI116" i="100"/>
  <c r="AD117" i="100"/>
  <c r="AG118" i="100"/>
  <c r="AJ126" i="100"/>
  <c r="AA131" i="100"/>
  <c r="AI131" i="100"/>
  <c r="AD133" i="100"/>
  <c r="AL133" i="100"/>
  <c r="AG141" i="100"/>
  <c r="Y146" i="100"/>
  <c r="AG148" i="100"/>
  <c r="AJ12" i="111"/>
  <c r="Z12" i="111"/>
  <c r="AB34" i="111"/>
  <c r="AJ34" i="111"/>
  <c r="AG34" i="111"/>
  <c r="Z34" i="111"/>
  <c r="AD113" i="100"/>
  <c r="AJ113" i="100"/>
  <c r="Z115" i="100"/>
  <c r="AH115" i="100"/>
  <c r="AD116" i="100"/>
  <c r="AF119" i="100"/>
  <c r="AC126" i="100"/>
  <c r="AJ131" i="100"/>
  <c r="AE133" i="100"/>
  <c r="AM133" i="100"/>
  <c r="AH141" i="100"/>
  <c r="AI144" i="100"/>
  <c r="AM152" i="100"/>
  <c r="AD165" i="100"/>
  <c r="L166" i="100"/>
  <c r="AG166" i="100" s="1"/>
  <c r="AF174" i="100"/>
  <c r="AF175" i="100"/>
  <c r="AJ8" i="111"/>
  <c r="AF8" i="111"/>
  <c r="AE8" i="111"/>
  <c r="W12" i="111"/>
  <c r="W26" i="111"/>
  <c r="X26" i="111"/>
  <c r="AH101" i="100"/>
  <c r="AL100" i="100"/>
  <c r="AI104" i="100"/>
  <c r="AA109" i="100"/>
  <c r="AE109" i="100"/>
  <c r="AI109" i="100"/>
  <c r="AM109" i="100"/>
  <c r="AI112" i="100"/>
  <c r="AN112" i="100"/>
  <c r="AE115" i="100"/>
  <c r="AI115" i="100"/>
  <c r="AF118" i="100"/>
  <c r="AL117" i="100"/>
  <c r="AD118" i="100"/>
  <c r="AH118" i="100"/>
  <c r="AL118" i="100"/>
  <c r="AG119" i="100"/>
  <c r="AI128" i="100"/>
  <c r="AF130" i="100"/>
  <c r="AN130" i="100"/>
  <c r="AC131" i="100"/>
  <c r="AK129" i="100"/>
  <c r="AA132" i="100"/>
  <c r="AI132" i="100"/>
  <c r="AD139" i="100"/>
  <c r="AC140" i="100"/>
  <c r="AK138" i="100"/>
  <c r="AK140" i="100"/>
  <c r="AA145" i="100"/>
  <c r="AI145" i="100"/>
  <c r="Z146" i="100"/>
  <c r="AH146" i="100"/>
  <c r="AJ146" i="100"/>
  <c r="AA174" i="100"/>
  <c r="AI174" i="100"/>
  <c r="AH6" i="111"/>
  <c r="AB94" i="100"/>
  <c r="AF94" i="100"/>
  <c r="AJ94" i="100"/>
  <c r="AN94" i="100"/>
  <c r="AD95" i="100"/>
  <c r="AL93" i="100"/>
  <c r="AH96" i="100"/>
  <c r="AA103" i="100"/>
  <c r="AF106" i="100"/>
  <c r="AN106" i="100"/>
  <c r="AL110" i="100"/>
  <c r="Z113" i="100"/>
  <c r="AL113" i="100"/>
  <c r="AA115" i="100"/>
  <c r="Y117" i="100"/>
  <c r="AL116" i="100"/>
  <c r="Z117" i="100"/>
  <c r="AB136" i="100"/>
  <c r="AJ136" i="100"/>
  <c r="AA137" i="100"/>
  <c r="AA139" i="100"/>
  <c r="AI137" i="100"/>
  <c r="Y142" i="100"/>
  <c r="AM143" i="100"/>
  <c r="AM148" i="100"/>
  <c r="Y34" i="111"/>
  <c r="AK40" i="111"/>
  <c r="AC40" i="111"/>
  <c r="AB40" i="111"/>
  <c r="AM95" i="100"/>
  <c r="AM115" i="100"/>
  <c r="AM113" i="100"/>
  <c r="Z114" i="100"/>
  <c r="AD114" i="100"/>
  <c r="AH114" i="100"/>
  <c r="AL114" i="100"/>
  <c r="Z116" i="100"/>
  <c r="AG117" i="100"/>
  <c r="AN117" i="100"/>
  <c r="AM127" i="100"/>
  <c r="Z130" i="100"/>
  <c r="AH130" i="100"/>
  <c r="Z138" i="100"/>
  <c r="AH138" i="100"/>
  <c r="AF139" i="100"/>
  <c r="AC145" i="100"/>
  <c r="Y158" i="100"/>
  <c r="AC24" i="111"/>
  <c r="AK24" i="111"/>
  <c r="AF48" i="111"/>
  <c r="AE48" i="111"/>
  <c r="AI52" i="111"/>
  <c r="Z52" i="111"/>
  <c r="AG114" i="100"/>
  <c r="AH117" i="100"/>
  <c r="AB119" i="100"/>
  <c r="AJ119" i="100"/>
  <c r="AH125" i="100"/>
  <c r="AG126" i="100"/>
  <c r="AF131" i="100"/>
  <c r="AK146" i="100"/>
  <c r="AE149" i="100"/>
  <c r="AM149" i="100"/>
  <c r="AB162" i="100"/>
  <c r="F171" i="100"/>
  <c r="F170" i="100"/>
  <c r="N170" i="100"/>
  <c r="N171" i="100"/>
  <c r="AC6" i="111"/>
  <c r="AK6" i="111"/>
  <c r="W52" i="111"/>
  <c r="AJ114" i="100"/>
  <c r="Y115" i="100"/>
  <c r="AC115" i="100"/>
  <c r="AG115" i="100"/>
  <c r="AK115" i="100"/>
  <c r="AA118" i="100"/>
  <c r="AE117" i="100"/>
  <c r="AI118" i="100"/>
  <c r="AM116" i="100"/>
  <c r="AK126" i="100"/>
  <c r="AA128" i="100"/>
  <c r="AI127" i="100"/>
  <c r="AE128" i="100"/>
  <c r="AM128" i="100"/>
  <c r="AD129" i="100"/>
  <c r="AJ135" i="100"/>
  <c r="AF136" i="100"/>
  <c r="AD140" i="100"/>
  <c r="AA142" i="100"/>
  <c r="AI141" i="100"/>
  <c r="AA144" i="100"/>
  <c r="AI143" i="100"/>
  <c r="AE144" i="100"/>
  <c r="AM144" i="100"/>
  <c r="AK148" i="100"/>
  <c r="AA146" i="100"/>
  <c r="AI146" i="100"/>
  <c r="AE147" i="100"/>
  <c r="AM147" i="100"/>
  <c r="Y152" i="100"/>
  <c r="AA157" i="100"/>
  <c r="AI157" i="100"/>
  <c r="AG157" i="100"/>
  <c r="AC160" i="100"/>
  <c r="AB160" i="100"/>
  <c r="AJ160" i="100"/>
  <c r="AJ166" i="100"/>
  <c r="I167" i="100"/>
  <c r="AD167" i="100" s="1"/>
  <c r="AC176" i="100"/>
  <c r="AK173" i="100"/>
  <c r="AK174" i="100"/>
  <c r="W8" i="111"/>
  <c r="AE12" i="111"/>
  <c r="W24" i="111"/>
  <c r="AE24" i="111"/>
  <c r="Z32" i="111"/>
  <c r="AH32" i="111"/>
  <c r="W34" i="111"/>
  <c r="AE34" i="111"/>
  <c r="W40" i="111"/>
  <c r="AE40" i="111"/>
  <c r="Z45" i="111"/>
  <c r="AH45" i="111"/>
  <c r="AA45" i="111"/>
  <c r="X52" i="111"/>
  <c r="AF52" i="111"/>
  <c r="Z62" i="111"/>
  <c r="AD126" i="100"/>
  <c r="AL126" i="100"/>
  <c r="AJ127" i="100"/>
  <c r="AF128" i="100"/>
  <c r="AE129" i="100"/>
  <c r="AM129" i="100"/>
  <c r="AC130" i="100"/>
  <c r="AC129" i="100"/>
  <c r="AK130" i="100"/>
  <c r="AD134" i="100"/>
  <c r="AL134" i="100"/>
  <c r="Y134" i="100"/>
  <c r="AG133" i="100"/>
  <c r="AF137" i="100"/>
  <c r="AN139" i="100"/>
  <c r="AC138" i="100"/>
  <c r="AE140" i="100"/>
  <c r="AB142" i="100"/>
  <c r="AJ141" i="100"/>
  <c r="AJ143" i="100"/>
  <c r="AE156" i="100"/>
  <c r="AM156" i="100"/>
  <c r="AD159" i="100"/>
  <c r="AA161" i="100"/>
  <c r="Q166" i="100"/>
  <c r="AL166" i="100" s="1"/>
  <c r="J167" i="100"/>
  <c r="AE168" i="100" s="1"/>
  <c r="P171" i="100"/>
  <c r="AK171" i="100" s="1"/>
  <c r="P170" i="100"/>
  <c r="Z170" i="100"/>
  <c r="AN175" i="100"/>
  <c r="AD176" i="100"/>
  <c r="AL176" i="100"/>
  <c r="X6" i="111"/>
  <c r="AF6" i="111"/>
  <c r="AJ7" i="111"/>
  <c r="X8" i="111"/>
  <c r="AH9" i="111"/>
  <c r="AJ10" i="111"/>
  <c r="X12" i="111"/>
  <c r="AF12" i="111"/>
  <c r="AI13" i="111"/>
  <c r="AB15" i="111"/>
  <c r="AK31" i="111"/>
  <c r="X34" i="111"/>
  <c r="W44" i="111"/>
  <c r="AE44" i="111"/>
  <c r="AI49" i="111"/>
  <c r="Y52" i="111"/>
  <c r="AG52" i="111"/>
  <c r="AB58" i="111"/>
  <c r="AJ58" i="111"/>
  <c r="AE67" i="111"/>
  <c r="AB67" i="111"/>
  <c r="Y126" i="100"/>
  <c r="AG125" i="100"/>
  <c r="AF129" i="100"/>
  <c r="AN131" i="100"/>
  <c r="AD132" i="100"/>
  <c r="AH133" i="100"/>
  <c r="Z136" i="100"/>
  <c r="AH136" i="100"/>
  <c r="Y138" i="100"/>
  <c r="AG137" i="100"/>
  <c r="AD138" i="100"/>
  <c r="AL138" i="100"/>
  <c r="AF140" i="100"/>
  <c r="AN140" i="100"/>
  <c r="AK141" i="100"/>
  <c r="AG142" i="100"/>
  <c r="AK143" i="100"/>
  <c r="Y144" i="100"/>
  <c r="AG144" i="100"/>
  <c r="AE145" i="100"/>
  <c r="AM145" i="100"/>
  <c r="AC146" i="100"/>
  <c r="AA152" i="100"/>
  <c r="AI152" i="100"/>
  <c r="AC154" i="100"/>
  <c r="AK154" i="100"/>
  <c r="AM159" i="100"/>
  <c r="AF162" i="100"/>
  <c r="AN162" i="100"/>
  <c r="AM166" i="100"/>
  <c r="AB173" i="100"/>
  <c r="Y8" i="111"/>
  <c r="AG8" i="111"/>
  <c r="AB17" i="111"/>
  <c r="AJ17" i="111"/>
  <c r="AH26" i="111"/>
  <c r="AB32" i="111"/>
  <c r="AJ32" i="111"/>
  <c r="Y40" i="111"/>
  <c r="AG40" i="111"/>
  <c r="Y48" i="111"/>
  <c r="AG48" i="111"/>
  <c r="AJ49" i="111"/>
  <c r="AC119" i="100"/>
  <c r="AK119" i="100"/>
  <c r="AA126" i="100"/>
  <c r="AI125" i="100"/>
  <c r="Z128" i="100"/>
  <c r="AH128" i="100"/>
  <c r="AG129" i="100"/>
  <c r="AE130" i="100"/>
  <c r="AB130" i="100"/>
  <c r="AE132" i="100"/>
  <c r="AA134" i="100"/>
  <c r="AI133" i="100"/>
  <c r="AI136" i="100"/>
  <c r="AE138" i="100"/>
  <c r="AC139" i="100"/>
  <c r="AK137" i="100"/>
  <c r="AD141" i="100"/>
  <c r="AL141" i="100"/>
  <c r="Z143" i="100"/>
  <c r="AH142" i="100"/>
  <c r="Z144" i="100"/>
  <c r="AH144" i="100"/>
  <c r="AD146" i="100"/>
  <c r="AL146" i="100"/>
  <c r="AD148" i="100"/>
  <c r="AD149" i="100"/>
  <c r="AL151" i="100"/>
  <c r="AH153" i="100"/>
  <c r="AD160" i="100"/>
  <c r="AL157" i="100"/>
  <c r="AB158" i="100"/>
  <c r="AJ157" i="100"/>
  <c r="AJ158" i="100"/>
  <c r="AM168" i="100"/>
  <c r="AH170" i="100"/>
  <c r="Z6" i="111"/>
  <c r="AE7" i="111"/>
  <c r="AH8" i="111"/>
  <c r="AH12" i="111"/>
  <c r="AE15" i="111"/>
  <c r="AI15" i="111"/>
  <c r="Z24" i="111"/>
  <c r="AH24" i="111"/>
  <c r="AJ31" i="111"/>
  <c r="AH34" i="111"/>
  <c r="Z40" i="111"/>
  <c r="AC45" i="111"/>
  <c r="AK45" i="111"/>
  <c r="AH48" i="111"/>
  <c r="AC49" i="111"/>
  <c r="AK150" i="100"/>
  <c r="AE151" i="100"/>
  <c r="AA153" i="100"/>
  <c r="AE154" i="100"/>
  <c r="Y163" i="100"/>
  <c r="Z165" i="100"/>
  <c r="AH172" i="100"/>
  <c r="Y176" i="100"/>
  <c r="AA175" i="100"/>
  <c r="AI175" i="100"/>
  <c r="AA6" i="111"/>
  <c r="AI6" i="111"/>
  <c r="AG17" i="111"/>
  <c r="AA34" i="111"/>
  <c r="AI34" i="111"/>
  <c r="AA48" i="111"/>
  <c r="AB52" i="111"/>
  <c r="AJ52" i="111"/>
  <c r="AE119" i="100"/>
  <c r="AK125" i="100"/>
  <c r="Z127" i="100"/>
  <c r="AH126" i="100"/>
  <c r="AB128" i="100"/>
  <c r="AJ128" i="100"/>
  <c r="AA129" i="100"/>
  <c r="AI129" i="100"/>
  <c r="AG130" i="100"/>
  <c r="AD131" i="100"/>
  <c r="AK133" i="100"/>
  <c r="Z135" i="100"/>
  <c r="AH134" i="100"/>
  <c r="Y135" i="100"/>
  <c r="AG135" i="100"/>
  <c r="AE139" i="100"/>
  <c r="AM139" i="100"/>
  <c r="AA140" i="100"/>
  <c r="AI140" i="100"/>
  <c r="AF142" i="100"/>
  <c r="AB144" i="100"/>
  <c r="AJ144" i="100"/>
  <c r="Z145" i="100"/>
  <c r="AH145" i="100"/>
  <c r="AF146" i="100"/>
  <c r="AN146" i="100"/>
  <c r="AB146" i="100"/>
  <c r="AC152" i="100"/>
  <c r="AK152" i="100"/>
  <c r="AD152" i="100"/>
  <c r="AL152" i="100"/>
  <c r="AB153" i="100"/>
  <c r="AI156" i="100"/>
  <c r="AA163" i="100"/>
  <c r="AI162" i="100"/>
  <c r="AF164" i="100"/>
  <c r="AN164" i="100"/>
  <c r="AM167" i="100"/>
  <c r="Y168" i="100"/>
  <c r="Z175" i="100"/>
  <c r="AH175" i="100"/>
  <c r="Z176" i="100"/>
  <c r="AH176" i="100"/>
  <c r="X7" i="111"/>
  <c r="AF7" i="111"/>
  <c r="AA7" i="111"/>
  <c r="AB8" i="111"/>
  <c r="AG9" i="111"/>
  <c r="AF15" i="111"/>
  <c r="Y15" i="111"/>
  <c r="AB24" i="111"/>
  <c r="AJ24" i="111"/>
  <c r="AG25" i="111"/>
  <c r="AK25" i="111"/>
  <c r="AC26" i="111"/>
  <c r="AK26" i="111"/>
  <c r="Y31" i="111"/>
  <c r="W32" i="111"/>
  <c r="AE32" i="111"/>
  <c r="AB35" i="111"/>
  <c r="AI35" i="111"/>
  <c r="AJ40" i="111"/>
  <c r="AA44" i="111"/>
  <c r="AI44" i="111"/>
  <c r="Y46" i="111"/>
  <c r="AG46" i="111"/>
  <c r="AB47" i="111"/>
  <c r="AE49" i="111"/>
  <c r="AB68" i="111"/>
  <c r="AJ68" i="111"/>
  <c r="AG51" i="111"/>
  <c r="AH52" i="111"/>
  <c r="W60" i="111"/>
  <c r="AH63" i="111"/>
  <c r="AH67" i="111"/>
  <c r="AA68" i="111"/>
  <c r="AI68" i="111"/>
  <c r="Y58" i="111"/>
  <c r="AG58" i="111"/>
  <c r="AE59" i="111"/>
  <c r="AA63" i="111"/>
  <c r="AI63" i="111"/>
  <c r="Y65" i="111"/>
  <c r="AG65" i="111"/>
  <c r="AI67" i="111"/>
  <c r="Z151" i="100"/>
  <c r="AH151" i="100"/>
  <c r="AH149" i="100"/>
  <c r="AF150" i="100"/>
  <c r="AN150" i="100"/>
  <c r="AA151" i="100"/>
  <c r="AI151" i="100"/>
  <c r="AH154" i="100"/>
  <c r="AF159" i="100"/>
  <c r="AN157" i="100"/>
  <c r="AD163" i="100"/>
  <c r="AL163" i="100"/>
  <c r="AN163" i="100"/>
  <c r="AD164" i="100"/>
  <c r="AL164" i="100"/>
  <c r="H166" i="100"/>
  <c r="AC166" i="100" s="1"/>
  <c r="H167" i="100"/>
  <c r="P167" i="100"/>
  <c r="AK168" i="100" s="1"/>
  <c r="P166" i="100"/>
  <c r="Y166" i="100"/>
  <c r="AD168" i="100"/>
  <c r="AL175" i="100"/>
  <c r="AM175" i="100"/>
  <c r="AE6" i="111"/>
  <c r="W9" i="111"/>
  <c r="AB11" i="111"/>
  <c r="AJ11" i="111"/>
  <c r="AA12" i="111"/>
  <c r="AI12" i="111"/>
  <c r="X24" i="111"/>
  <c r="Y28" i="111"/>
  <c r="AG28" i="111"/>
  <c r="X30" i="111"/>
  <c r="AA31" i="111"/>
  <c r="AI31" i="111"/>
  <c r="Y32" i="111"/>
  <c r="AG32" i="111"/>
  <c r="AA40" i="111"/>
  <c r="AI40" i="111"/>
  <c r="Y44" i="111"/>
  <c r="AG44" i="111"/>
  <c r="AC46" i="111"/>
  <c r="AK46" i="111"/>
  <c r="Z47" i="111"/>
  <c r="AH47" i="111"/>
  <c r="X48" i="111"/>
  <c r="Z49" i="111"/>
  <c r="AE52" i="111"/>
  <c r="Z57" i="111"/>
  <c r="AJ57" i="111"/>
  <c r="AC58" i="111"/>
  <c r="AC65" i="111"/>
  <c r="AK65" i="111"/>
  <c r="W67" i="111"/>
  <c r="X68" i="111"/>
  <c r="AF68" i="111"/>
  <c r="AC151" i="100"/>
  <c r="Z152" i="100"/>
  <c r="AH152" i="100"/>
  <c r="AA154" i="100"/>
  <c r="AI154" i="100"/>
  <c r="AM157" i="100"/>
  <c r="AJ167" i="100"/>
  <c r="Z168" i="100"/>
  <c r="AC8" i="111"/>
  <c r="AK8" i="111"/>
  <c r="AE9" i="111"/>
  <c r="W10" i="111"/>
  <c r="AE10" i="111"/>
  <c r="Y12" i="111"/>
  <c r="AG12" i="111"/>
  <c r="AH13" i="111"/>
  <c r="AG15" i="111"/>
  <c r="AC17" i="111"/>
  <c r="AK17" i="111"/>
  <c r="Y24" i="111"/>
  <c r="AG24" i="111"/>
  <c r="AA30" i="111"/>
  <c r="AI30" i="111"/>
  <c r="X31" i="111"/>
  <c r="AC32" i="111"/>
  <c r="AK32" i="111"/>
  <c r="AF34" i="111"/>
  <c r="X43" i="111"/>
  <c r="AF43" i="111"/>
  <c r="AB45" i="111"/>
  <c r="AJ45" i="111"/>
  <c r="Y47" i="111"/>
  <c r="AG47" i="111"/>
  <c r="W48" i="111"/>
  <c r="X49" i="111"/>
  <c r="AF49" i="111"/>
  <c r="X51" i="111"/>
  <c r="AA52" i="111"/>
  <c r="AE58" i="111"/>
  <c r="AA60" i="111"/>
  <c r="AI60" i="111"/>
  <c r="X61" i="111"/>
  <c r="X62" i="111"/>
  <c r="W63" i="111"/>
  <c r="AE63" i="111"/>
  <c r="Y66" i="111"/>
  <c r="AJ67" i="111"/>
  <c r="AC164" i="100"/>
  <c r="AK161" i="100"/>
  <c r="AG162" i="100"/>
  <c r="AF173" i="100"/>
  <c r="AN173" i="100"/>
  <c r="Y6" i="111"/>
  <c r="AG6" i="111"/>
  <c r="AA8" i="111"/>
  <c r="AI8" i="111"/>
  <c r="AB9" i="111"/>
  <c r="AJ9" i="111"/>
  <c r="AA10" i="111"/>
  <c r="AI10" i="111"/>
  <c r="AC11" i="111"/>
  <c r="AK11" i="111"/>
  <c r="AB12" i="111"/>
  <c r="AB13" i="111"/>
  <c r="AJ13" i="111"/>
  <c r="AB14" i="111"/>
  <c r="X18" i="111"/>
  <c r="AG23" i="111"/>
  <c r="AA24" i="111"/>
  <c r="AI24" i="111"/>
  <c r="Y26" i="111"/>
  <c r="AG26" i="111"/>
  <c r="AF28" i="111"/>
  <c r="W29" i="111"/>
  <c r="AA32" i="111"/>
  <c r="X40" i="111"/>
  <c r="AF40" i="111"/>
  <c r="Y43" i="111"/>
  <c r="AH44" i="111"/>
  <c r="AI45" i="111"/>
  <c r="Z46" i="111"/>
  <c r="AE47" i="111"/>
  <c r="AB48" i="111"/>
  <c r="AJ48" i="111"/>
  <c r="AA51" i="111"/>
  <c r="AI51" i="111"/>
  <c r="AC52" i="111"/>
  <c r="AK52" i="111"/>
  <c r="AC57" i="111"/>
  <c r="AC62" i="111"/>
  <c r="AB63" i="111"/>
  <c r="AJ63" i="111"/>
  <c r="X65" i="111"/>
  <c r="AC66" i="111"/>
  <c r="X67" i="111"/>
  <c r="AF67" i="111"/>
  <c r="AE68" i="111"/>
  <c r="T66" i="117"/>
  <c r="H117" i="87"/>
  <c r="H6" i="88"/>
  <c r="H17" i="88"/>
  <c r="K17" i="95"/>
  <c r="E7" i="88"/>
  <c r="E12" i="88"/>
  <c r="E14" i="88"/>
  <c r="E15" i="84"/>
  <c r="F15" i="84" s="1"/>
  <c r="E11" i="84"/>
  <c r="N7" i="88"/>
  <c r="N11" i="88"/>
  <c r="N13" i="88"/>
  <c r="E7" i="84"/>
  <c r="F7" i="84" s="1"/>
  <c r="E12" i="84"/>
  <c r="E15" i="88"/>
  <c r="E13" i="95"/>
  <c r="E6" i="84"/>
  <c r="K29" i="95"/>
  <c r="E17" i="84"/>
  <c r="F17" i="84" s="1"/>
  <c r="N8" i="88"/>
  <c r="D100" i="101"/>
  <c r="H102" i="101"/>
  <c r="J108" i="101"/>
  <c r="D116" i="101"/>
  <c r="O124" i="101"/>
  <c r="E100" i="101"/>
  <c r="K102" i="101"/>
  <c r="K108" i="101"/>
  <c r="K116" i="101"/>
  <c r="M100" i="101"/>
  <c r="E103" i="101"/>
  <c r="F109" i="101"/>
  <c r="H114" i="101"/>
  <c r="K117" i="101"/>
  <c r="D21" i="101"/>
  <c r="G28" i="101"/>
  <c r="C110" i="101"/>
  <c r="K114" i="101"/>
  <c r="O117" i="101"/>
  <c r="G101" i="101"/>
  <c r="E110" i="101"/>
  <c r="Q114" i="101"/>
  <c r="O115" i="101"/>
  <c r="F11" i="101"/>
  <c r="J15" i="101"/>
  <c r="E15" i="95"/>
  <c r="E22" i="98"/>
  <c r="E14" i="84"/>
  <c r="F14" i="84" s="1"/>
  <c r="H11" i="88"/>
  <c r="E17" i="88"/>
  <c r="H11" i="101"/>
  <c r="M15" i="98"/>
  <c r="E21" i="114"/>
  <c r="G21" i="114" s="1"/>
  <c r="M37" i="81"/>
  <c r="E14" i="95"/>
  <c r="E25" i="95"/>
  <c r="K26" i="95"/>
  <c r="K34" i="95"/>
  <c r="K7" i="88"/>
  <c r="K8" i="88"/>
  <c r="H15" i="88"/>
  <c r="I11" i="101"/>
  <c r="K11" i="88"/>
  <c r="K12" i="88"/>
  <c r="H18" i="88"/>
  <c r="S84" i="79"/>
  <c r="K11" i="101"/>
  <c r="K29" i="101"/>
  <c r="H12" i="98"/>
  <c r="E10" i="84"/>
  <c r="N6" i="88"/>
  <c r="K14" i="88"/>
  <c r="K15" i="88"/>
  <c r="L11" i="101"/>
  <c r="I12" i="98"/>
  <c r="K15" i="95"/>
  <c r="E24" i="95"/>
  <c r="K25" i="95"/>
  <c r="K33" i="95"/>
  <c r="E8" i="84"/>
  <c r="F8" i="84" s="1"/>
  <c r="E13" i="84"/>
  <c r="F13" i="84" s="1"/>
  <c r="N10" i="88"/>
  <c r="J16" i="98"/>
  <c r="G22" i="114"/>
  <c r="E10" i="88"/>
  <c r="N15" i="88"/>
  <c r="D11" i="101"/>
  <c r="L12" i="98"/>
  <c r="J15" i="98"/>
  <c r="K28" i="114"/>
  <c r="E16" i="95"/>
  <c r="E26" i="95"/>
  <c r="K27" i="95"/>
  <c r="AJ53" i="102"/>
  <c r="J61" i="105"/>
  <c r="H60" i="105"/>
  <c r="J75" i="105"/>
  <c r="D75" i="105"/>
  <c r="Q76" i="105"/>
  <c r="M12" i="102"/>
  <c r="D17" i="102"/>
  <c r="R18" i="102"/>
  <c r="V54" i="102"/>
  <c r="V55" i="102"/>
  <c r="AA60" i="102"/>
  <c r="E66" i="102"/>
  <c r="K67" i="102"/>
  <c r="D31" i="105"/>
  <c r="H34" i="105"/>
  <c r="AE38" i="105"/>
  <c r="C59" i="105"/>
  <c r="K60" i="105"/>
  <c r="I62" i="105"/>
  <c r="F73" i="105"/>
  <c r="AG83" i="105"/>
  <c r="Y82" i="105"/>
  <c r="Y80" i="105"/>
  <c r="V82" i="105"/>
  <c r="G55" i="81"/>
  <c r="K55" i="81"/>
  <c r="W62" i="108"/>
  <c r="AH60" i="108"/>
  <c r="AB60" i="108"/>
  <c r="W60" i="108"/>
  <c r="AE59" i="108"/>
  <c r="AH61" i="108"/>
  <c r="X59" i="108"/>
  <c r="AE61" i="108"/>
  <c r="U59" i="108"/>
  <c r="O33" i="105"/>
  <c r="P61" i="105"/>
  <c r="D25" i="102"/>
  <c r="F26" i="102"/>
  <c r="M27" i="102"/>
  <c r="AJ32" i="102"/>
  <c r="AG33" i="102"/>
  <c r="AD34" i="102"/>
  <c r="N68" i="102"/>
  <c r="F69" i="102"/>
  <c r="Z12" i="105"/>
  <c r="K39" i="81"/>
  <c r="D44" i="81"/>
  <c r="R12" i="102"/>
  <c r="I17" i="102"/>
  <c r="P22" i="102"/>
  <c r="F25" i="102"/>
  <c r="K26" i="102"/>
  <c r="N27" i="102"/>
  <c r="X31" i="102"/>
  <c r="AJ33" i="102"/>
  <c r="AF34" i="102"/>
  <c r="U52" i="102"/>
  <c r="W53" i="102"/>
  <c r="X54" i="102"/>
  <c r="W55" i="102"/>
  <c r="F66" i="102"/>
  <c r="L67" i="102"/>
  <c r="P68" i="102"/>
  <c r="H69" i="102"/>
  <c r="J31" i="105"/>
  <c r="R34" i="105"/>
  <c r="AF38" i="105"/>
  <c r="X41" i="105"/>
  <c r="D59" i="105"/>
  <c r="O60" i="105"/>
  <c r="K62" i="105"/>
  <c r="O73" i="105"/>
  <c r="U80" i="105"/>
  <c r="W82" i="105"/>
  <c r="X89" i="105"/>
  <c r="AF103" i="105"/>
  <c r="AE12" i="100"/>
  <c r="AE13" i="100"/>
  <c r="AM13" i="100"/>
  <c r="F10" i="102"/>
  <c r="C13" i="102"/>
  <c r="Q17" i="102"/>
  <c r="H25" i="102"/>
  <c r="N26" i="102"/>
  <c r="Z31" i="102"/>
  <c r="X32" i="102"/>
  <c r="N33" i="102"/>
  <c r="G34" i="102"/>
  <c r="AG34" i="102"/>
  <c r="H47" i="102"/>
  <c r="V52" i="102"/>
  <c r="Z53" i="102"/>
  <c r="Y54" i="102"/>
  <c r="AB55" i="102"/>
  <c r="AB62" i="102"/>
  <c r="J66" i="102"/>
  <c r="AE66" i="102"/>
  <c r="M67" i="102"/>
  <c r="AH67" i="102"/>
  <c r="R68" i="102"/>
  <c r="J69" i="102"/>
  <c r="AG69" i="102"/>
  <c r="Q75" i="102"/>
  <c r="V80" i="102"/>
  <c r="X82" i="102"/>
  <c r="AD83" i="102"/>
  <c r="AB87" i="102"/>
  <c r="AI88" i="102"/>
  <c r="U90" i="102"/>
  <c r="X94" i="102"/>
  <c r="AD95" i="102"/>
  <c r="Y10" i="105"/>
  <c r="V13" i="105"/>
  <c r="R20" i="105"/>
  <c r="O25" i="105"/>
  <c r="N27" i="105"/>
  <c r="O31" i="105"/>
  <c r="J41" i="105"/>
  <c r="P41" i="105"/>
  <c r="J40" i="105"/>
  <c r="C39" i="105"/>
  <c r="N40" i="105"/>
  <c r="G59" i="105"/>
  <c r="R60" i="105"/>
  <c r="O62" i="105"/>
  <c r="P73" i="105"/>
  <c r="V80" i="105"/>
  <c r="AF82" i="105"/>
  <c r="M13" i="109"/>
  <c r="N12" i="109"/>
  <c r="N10" i="109"/>
  <c r="F12" i="109"/>
  <c r="K10" i="109"/>
  <c r="C12" i="109"/>
  <c r="I10" i="109"/>
  <c r="G13" i="109"/>
  <c r="H10" i="109"/>
  <c r="F13" i="109"/>
  <c r="O11" i="109"/>
  <c r="E13" i="109"/>
  <c r="L11" i="109"/>
  <c r="P8" i="109"/>
  <c r="H97" i="109"/>
  <c r="J95" i="109"/>
  <c r="AE14" i="100"/>
  <c r="R67" i="102"/>
  <c r="D68" i="102"/>
  <c r="AD40" i="105"/>
  <c r="AH47" i="105"/>
  <c r="I74" i="105"/>
  <c r="E99" i="81"/>
  <c r="G99" i="81"/>
  <c r="C99" i="81"/>
  <c r="AB88" i="107"/>
  <c r="W88" i="107"/>
  <c r="AF90" i="107"/>
  <c r="AJ87" i="107"/>
  <c r="AG89" i="107"/>
  <c r="AF87" i="107"/>
  <c r="AF89" i="107"/>
  <c r="AC87" i="107"/>
  <c r="AE89" i="107"/>
  <c r="Y87" i="107"/>
  <c r="AH85" i="107"/>
  <c r="AJ52" i="102"/>
  <c r="AM12" i="100"/>
  <c r="AD31" i="102"/>
  <c r="Z32" i="102"/>
  <c r="AJ34" i="102"/>
  <c r="Y52" i="102"/>
  <c r="AB53" i="102"/>
  <c r="Z54" i="102"/>
  <c r="AE55" i="102"/>
  <c r="M66" i="102"/>
  <c r="L69" i="102"/>
  <c r="H32" i="105"/>
  <c r="J59" i="105"/>
  <c r="D61" i="105"/>
  <c r="Q62" i="105"/>
  <c r="AC16" i="100"/>
  <c r="O10" i="102"/>
  <c r="P13" i="102"/>
  <c r="H24" i="102"/>
  <c r="N25" i="102"/>
  <c r="R26" i="102"/>
  <c r="AF31" i="102"/>
  <c r="AA32" i="102"/>
  <c r="Z33" i="102"/>
  <c r="Z52" i="102"/>
  <c r="AF53" i="102"/>
  <c r="AG54" i="102"/>
  <c r="AG55" i="102"/>
  <c r="N66" i="102"/>
  <c r="AJ66" i="102"/>
  <c r="U67" i="102"/>
  <c r="F68" i="102"/>
  <c r="AD68" i="102"/>
  <c r="M69" i="102"/>
  <c r="AB80" i="102"/>
  <c r="Z81" i="102"/>
  <c r="AF82" i="102"/>
  <c r="AH83" i="102"/>
  <c r="AD87" i="102"/>
  <c r="AC90" i="102"/>
  <c r="AD94" i="102"/>
  <c r="Z97" i="102"/>
  <c r="P22" i="105"/>
  <c r="I32" i="105"/>
  <c r="AE40" i="105"/>
  <c r="L59" i="105"/>
  <c r="F61" i="105"/>
  <c r="U81" i="105"/>
  <c r="W83" i="105"/>
  <c r="AC94" i="105"/>
  <c r="AD101" i="105"/>
  <c r="D21" i="81"/>
  <c r="K27" i="81"/>
  <c r="G27" i="81"/>
  <c r="E108" i="81"/>
  <c r="C108" i="81"/>
  <c r="P69" i="107"/>
  <c r="K69" i="107"/>
  <c r="E69" i="107"/>
  <c r="AF88" i="107"/>
  <c r="H11" i="109"/>
  <c r="X46" i="108"/>
  <c r="AA45" i="108"/>
  <c r="U45" i="108"/>
  <c r="AA47" i="108"/>
  <c r="Y17" i="100"/>
  <c r="AG17" i="100"/>
  <c r="C11" i="102"/>
  <c r="U13" i="102"/>
  <c r="L24" i="102"/>
  <c r="P25" i="102"/>
  <c r="C27" i="102"/>
  <c r="G31" i="102"/>
  <c r="AG31" i="102"/>
  <c r="AB32" i="102"/>
  <c r="AA33" i="102"/>
  <c r="N34" i="102"/>
  <c r="AB40" i="102"/>
  <c r="AC52" i="102"/>
  <c r="AH53" i="102"/>
  <c r="AH54" i="102"/>
  <c r="Y64" i="102"/>
  <c r="P66" i="102"/>
  <c r="D67" i="102"/>
  <c r="V67" i="102"/>
  <c r="H68" i="102"/>
  <c r="AE68" i="102"/>
  <c r="N69" i="102"/>
  <c r="AE80" i="102"/>
  <c r="AB81" i="102"/>
  <c r="AH82" i="102"/>
  <c r="AI87" i="102"/>
  <c r="Z89" i="102"/>
  <c r="AF90" i="102"/>
  <c r="AE94" i="102"/>
  <c r="AD97" i="102"/>
  <c r="H104" i="102"/>
  <c r="X11" i="105"/>
  <c r="AE25" i="105"/>
  <c r="AG27" i="105"/>
  <c r="G33" i="105"/>
  <c r="L38" i="105"/>
  <c r="U39" i="105"/>
  <c r="AG40" i="105"/>
  <c r="AD55" i="105"/>
  <c r="P59" i="105"/>
  <c r="G61" i="105"/>
  <c r="F76" i="105"/>
  <c r="X81" i="105"/>
  <c r="Y83" i="105"/>
  <c r="AB95" i="105"/>
  <c r="K22" i="81"/>
  <c r="D22" i="81"/>
  <c r="D27" i="81"/>
  <c r="G42" i="81"/>
  <c r="J94" i="81"/>
  <c r="C94" i="81"/>
  <c r="AA14" i="100"/>
  <c r="AI14" i="100"/>
  <c r="AM14" i="100"/>
  <c r="AJ17" i="102"/>
  <c r="X19" i="102"/>
  <c r="AH20" i="102"/>
  <c r="R24" i="102"/>
  <c r="D26" i="102"/>
  <c r="N31" i="102"/>
  <c r="AG32" i="102"/>
  <c r="AF33" i="102"/>
  <c r="AC38" i="102"/>
  <c r="AG45" i="102"/>
  <c r="D52" i="102"/>
  <c r="L53" i="102"/>
  <c r="D66" i="102"/>
  <c r="V66" i="102"/>
  <c r="J67" i="102"/>
  <c r="Y67" i="102"/>
  <c r="L68" i="102"/>
  <c r="X69" i="102"/>
  <c r="E80" i="102"/>
  <c r="D81" i="102"/>
  <c r="C82" i="102"/>
  <c r="M83" i="102"/>
  <c r="N87" i="102"/>
  <c r="Z88" i="102"/>
  <c r="AD89" i="102"/>
  <c r="P95" i="102"/>
  <c r="W24" i="105"/>
  <c r="F34" i="105"/>
  <c r="P38" i="105"/>
  <c r="L41" i="105"/>
  <c r="AC52" i="105"/>
  <c r="J60" i="105"/>
  <c r="F62" i="105"/>
  <c r="AD81" i="105"/>
  <c r="G22" i="81"/>
  <c r="AE34" i="109"/>
  <c r="AB33" i="109"/>
  <c r="N75" i="108"/>
  <c r="R73" i="108"/>
  <c r="V32" i="107"/>
  <c r="Y33" i="107"/>
  <c r="AC34" i="107"/>
  <c r="G38" i="107"/>
  <c r="D40" i="107"/>
  <c r="AF38" i="109"/>
  <c r="U41" i="109"/>
  <c r="AG59" i="109"/>
  <c r="R74" i="109"/>
  <c r="O76" i="109"/>
  <c r="D25" i="108"/>
  <c r="K26" i="108"/>
  <c r="R33" i="108"/>
  <c r="AE53" i="108"/>
  <c r="W81" i="108" a="1"/>
  <c r="W81" i="108" s="1"/>
  <c r="Z94" i="108" a="1"/>
  <c r="AJ95" i="108" a="1"/>
  <c r="AE97" i="108" a="1"/>
  <c r="F12" i="110"/>
  <c r="K13" i="110"/>
  <c r="Y75" i="110" a="1"/>
  <c r="H96" i="110" a="1"/>
  <c r="D117" i="81"/>
  <c r="O10" i="107"/>
  <c r="G13" i="107"/>
  <c r="AJ24" i="107"/>
  <c r="AI26" i="107"/>
  <c r="AH29" i="107"/>
  <c r="W32" i="107"/>
  <c r="Z33" i="107"/>
  <c r="AD34" i="107"/>
  <c r="K38" i="107"/>
  <c r="H40" i="107"/>
  <c r="X55" i="107"/>
  <c r="Z66" i="107"/>
  <c r="N73" i="107"/>
  <c r="F76" i="107"/>
  <c r="I95" i="107"/>
  <c r="M102" i="107"/>
  <c r="G19" i="109"/>
  <c r="Z24" i="109"/>
  <c r="AC26" i="109"/>
  <c r="X41" i="109"/>
  <c r="K68" i="109"/>
  <c r="P71" i="109"/>
  <c r="E75" i="109"/>
  <c r="P76" i="109"/>
  <c r="AJ12" i="108"/>
  <c r="P22" i="108" a="1"/>
  <c r="P22" i="108" s="1"/>
  <c r="F25" i="108"/>
  <c r="M26" i="108"/>
  <c r="AB34" i="108"/>
  <c r="U54" i="108"/>
  <c r="Z82" i="108" a="1"/>
  <c r="Z82" i="108" s="1"/>
  <c r="AF94" i="108" a="1"/>
  <c r="AF94" i="108" s="1"/>
  <c r="Y96" i="108" a="1"/>
  <c r="AJ97" i="108" a="1"/>
  <c r="P8" i="110"/>
  <c r="F11" i="110"/>
  <c r="G12" i="110"/>
  <c r="L13" i="110"/>
  <c r="W73" i="110" a="1"/>
  <c r="W73" i="110" s="1"/>
  <c r="G88" i="110" a="1"/>
  <c r="G88" i="110" s="1"/>
  <c r="AE89" i="110" a="1"/>
  <c r="AE89" i="110" s="1"/>
  <c r="P92" i="110" a="1"/>
  <c r="K96" i="110" a="1"/>
  <c r="E117" i="81"/>
  <c r="V31" i="107"/>
  <c r="X32" i="107"/>
  <c r="AB33" i="107"/>
  <c r="AG34" i="107"/>
  <c r="L38" i="107"/>
  <c r="O40" i="107"/>
  <c r="D45" i="107"/>
  <c r="AB39" i="109"/>
  <c r="AA41" i="109"/>
  <c r="F75" i="109"/>
  <c r="G25" i="108"/>
  <c r="Q26" i="108"/>
  <c r="U55" i="108"/>
  <c r="V73" i="108" a="1"/>
  <c r="V73" i="108" s="1"/>
  <c r="AF82" i="108" a="1"/>
  <c r="AI94" i="108" a="1"/>
  <c r="AI94" i="108" s="1"/>
  <c r="AD96" i="108" a="1"/>
  <c r="G11" i="110"/>
  <c r="I12" i="110"/>
  <c r="F48" i="110"/>
  <c r="X73" i="110" a="1"/>
  <c r="AD75" i="110" a="1"/>
  <c r="AD75" i="110" s="1"/>
  <c r="X88" i="110" a="1"/>
  <c r="X88" i="110" s="1"/>
  <c r="AF89" i="110" a="1"/>
  <c r="AF89" i="110" s="1"/>
  <c r="C97" i="110" a="1"/>
  <c r="W69" i="105"/>
  <c r="K45" i="81"/>
  <c r="C70" i="81"/>
  <c r="G117" i="81"/>
  <c r="J11" i="107"/>
  <c r="J13" i="107"/>
  <c r="Y25" i="107"/>
  <c r="V27" i="107"/>
  <c r="X31" i="107"/>
  <c r="Z32" i="107"/>
  <c r="AD33" i="107"/>
  <c r="AJ34" i="107"/>
  <c r="O38" i="107"/>
  <c r="R40" i="107"/>
  <c r="P45" i="107"/>
  <c r="AJ52" i="107"/>
  <c r="L74" i="107"/>
  <c r="I103" i="107"/>
  <c r="AG13" i="109"/>
  <c r="R20" i="109"/>
  <c r="W25" i="109"/>
  <c r="Z27" i="109"/>
  <c r="AE39" i="109"/>
  <c r="R60" i="109"/>
  <c r="J66" i="109"/>
  <c r="O68" i="109"/>
  <c r="I73" i="109"/>
  <c r="N75" i="109"/>
  <c r="AH81" i="109"/>
  <c r="AE10" i="108"/>
  <c r="AF13" i="108"/>
  <c r="C24" i="108"/>
  <c r="K25" i="108"/>
  <c r="D27" i="108"/>
  <c r="K31" i="108"/>
  <c r="Y55" i="108"/>
  <c r="AE73" i="108" a="1"/>
  <c r="AE73" i="108" s="1"/>
  <c r="H80" i="108" a="1"/>
  <c r="Z80" i="108" a="1"/>
  <c r="Z80" i="108" s="1"/>
  <c r="J81" i="108" a="1"/>
  <c r="I82" i="108" a="1"/>
  <c r="AI82" i="108" a="1"/>
  <c r="AI82" i="108" s="1"/>
  <c r="Q83" i="108" a="1"/>
  <c r="V95" i="108" a="1"/>
  <c r="AF96" i="108" a="1"/>
  <c r="G101" i="108" a="1"/>
  <c r="C10" i="110"/>
  <c r="H11" i="110"/>
  <c r="K12" i="110"/>
  <c r="AD34" i="110"/>
  <c r="AD39" i="110"/>
  <c r="AI41" i="110"/>
  <c r="AC67" i="110"/>
  <c r="X69" i="110"/>
  <c r="AH73" i="110" a="1"/>
  <c r="AH73" i="110" s="1"/>
  <c r="AA76" i="110" a="1"/>
  <c r="AA76" i="110" s="1"/>
  <c r="G87" i="110" a="1"/>
  <c r="G87" i="110" s="1"/>
  <c r="Z88" i="110" a="1"/>
  <c r="Z88" i="110" s="1"/>
  <c r="R90" i="110" a="1"/>
  <c r="N94" i="110" a="1"/>
  <c r="N94" i="110" s="1"/>
  <c r="D39" i="107"/>
  <c r="C41" i="107"/>
  <c r="AH39" i="109"/>
  <c r="AE55" i="108"/>
  <c r="W95" i="108" a="1"/>
  <c r="AH96" i="108" a="1"/>
  <c r="C12" i="107"/>
  <c r="AI25" i="107"/>
  <c r="AH27" i="107"/>
  <c r="AD31" i="107"/>
  <c r="AG32" i="107"/>
  <c r="V34" i="107"/>
  <c r="P36" i="107"/>
  <c r="H39" i="107"/>
  <c r="J41" i="107"/>
  <c r="N46" i="107"/>
  <c r="Q74" i="107"/>
  <c r="M104" i="107"/>
  <c r="AB25" i="109"/>
  <c r="AD27" i="109"/>
  <c r="V40" i="109"/>
  <c r="N73" i="109"/>
  <c r="AJ10" i="108"/>
  <c r="F24" i="108"/>
  <c r="Q25" i="108"/>
  <c r="I27" i="108"/>
  <c r="AD52" i="108"/>
  <c r="AF55" i="108"/>
  <c r="K80" i="108" a="1"/>
  <c r="C81" i="108" a="1"/>
  <c r="C81" i="108" s="1"/>
  <c r="M81" i="108" a="1"/>
  <c r="L82" i="108" a="1"/>
  <c r="F83" i="108" a="1"/>
  <c r="AH92" i="108" a="1"/>
  <c r="AH92" i="108" s="1"/>
  <c r="Y95" i="108" a="1"/>
  <c r="W97" i="108" a="1"/>
  <c r="L103" i="108" a="1"/>
  <c r="I10" i="110"/>
  <c r="L11" i="110"/>
  <c r="F13" i="110"/>
  <c r="V40" i="110"/>
  <c r="C68" i="110"/>
  <c r="X74" i="110" a="1"/>
  <c r="X74" i="110" s="1"/>
  <c r="L87" i="110" a="1"/>
  <c r="L87" i="110" s="1"/>
  <c r="AJ88" i="110" a="1"/>
  <c r="AJ88" i="110" s="1"/>
  <c r="Z90" i="110" a="1"/>
  <c r="Z90" i="110" s="1"/>
  <c r="D95" i="110" a="1"/>
  <c r="D95" i="110" s="1"/>
  <c r="AC101" i="110" a="1"/>
  <c r="G64" i="81"/>
  <c r="C68" i="81"/>
  <c r="C78" i="81"/>
  <c r="D12" i="107"/>
  <c r="AG17" i="107"/>
  <c r="U19" i="107"/>
  <c r="V20" i="107"/>
  <c r="U24" i="107"/>
  <c r="AI27" i="107"/>
  <c r="AF31" i="107"/>
  <c r="AH32" i="107"/>
  <c r="L39" i="107"/>
  <c r="M48" i="107"/>
  <c r="E62" i="107"/>
  <c r="J75" i="107"/>
  <c r="Y10" i="109"/>
  <c r="AF22" i="109"/>
  <c r="D26" i="109"/>
  <c r="Y38" i="109"/>
  <c r="J59" i="109"/>
  <c r="M67" i="109"/>
  <c r="C74" i="109"/>
  <c r="I76" i="109"/>
  <c r="X80" i="109"/>
  <c r="AE90" i="109"/>
  <c r="D103" i="109"/>
  <c r="AJ17" i="108"/>
  <c r="I24" i="108"/>
  <c r="E26" i="108"/>
  <c r="L80" i="108" a="1"/>
  <c r="D81" i="108" a="1"/>
  <c r="P81" i="108" a="1"/>
  <c r="M82" i="108" a="1"/>
  <c r="W94" i="108" a="1"/>
  <c r="W94" i="108" s="1"/>
  <c r="Z95" i="108" a="1"/>
  <c r="K10" i="110"/>
  <c r="Q11" i="110"/>
  <c r="N27" i="110"/>
  <c r="W38" i="110"/>
  <c r="Y40" i="110"/>
  <c r="N45" i="110"/>
  <c r="Z66" i="110"/>
  <c r="G68" i="110"/>
  <c r="AE69" i="110"/>
  <c r="AB74" i="110" a="1"/>
  <c r="Z87" i="110" a="1"/>
  <c r="Z87" i="110" s="1"/>
  <c r="X89" i="110" a="1"/>
  <c r="X89" i="110" s="1"/>
  <c r="AE90" i="110" a="1"/>
  <c r="AE90" i="110" s="1"/>
  <c r="O95" i="110" a="1"/>
  <c r="AI102" i="110" a="1"/>
  <c r="F90" i="105"/>
  <c r="J87" i="105"/>
  <c r="N89" i="105"/>
  <c r="R88" i="105"/>
  <c r="N87" i="105"/>
  <c r="O95" i="105"/>
  <c r="K94" i="105"/>
  <c r="P96" i="105"/>
  <c r="J94" i="105"/>
  <c r="M95" i="105"/>
  <c r="D54" i="81"/>
  <c r="L54" i="81"/>
  <c r="I62" i="102"/>
  <c r="G62" i="102"/>
  <c r="G59" i="102"/>
  <c r="N62" i="102"/>
  <c r="AH90" i="105"/>
  <c r="AD90" i="105"/>
  <c r="AG89" i="105"/>
  <c r="AF88" i="105"/>
  <c r="AJ87" i="105"/>
  <c r="AC90" i="105"/>
  <c r="U90" i="105"/>
  <c r="AF90" i="105"/>
  <c r="Z89" i="105"/>
  <c r="AB88" i="105"/>
  <c r="Z87" i="105"/>
  <c r="I88" i="105"/>
  <c r="AI97" i="105"/>
  <c r="AH97" i="105"/>
  <c r="X97" i="105"/>
  <c r="AG96" i="105"/>
  <c r="W96" i="105"/>
  <c r="AF95" i="105"/>
  <c r="U95" i="105"/>
  <c r="AE94" i="105"/>
  <c r="U94" i="105"/>
  <c r="AG97" i="105"/>
  <c r="W97" i="105"/>
  <c r="AF96" i="105"/>
  <c r="V96" i="105"/>
  <c r="AD95" i="105"/>
  <c r="AD94" i="105"/>
  <c r="AD97" i="105"/>
  <c r="AJ96" i="105"/>
  <c r="Z95" i="105"/>
  <c r="AH94" i="105"/>
  <c r="AJ97" i="105"/>
  <c r="U97" i="105"/>
  <c r="Z96" i="105"/>
  <c r="AG95" i="105"/>
  <c r="Y94" i="105"/>
  <c r="AF94" i="105"/>
  <c r="AC95" i="105"/>
  <c r="AC96" i="105"/>
  <c r="AC97" i="105"/>
  <c r="Z13" i="102"/>
  <c r="AE12" i="102"/>
  <c r="U12" i="102"/>
  <c r="AC10" i="102"/>
  <c r="AE11" i="102"/>
  <c r="AD13" i="102"/>
  <c r="AI13" i="105"/>
  <c r="AG13" i="105"/>
  <c r="W13" i="105"/>
  <c r="AE12" i="105"/>
  <c r="U12" i="105"/>
  <c r="Y11" i="105"/>
  <c r="AF10" i="105"/>
  <c r="V10" i="105"/>
  <c r="AJ13" i="105"/>
  <c r="X13" i="105"/>
  <c r="AD12" i="105"/>
  <c r="AG11" i="105"/>
  <c r="V11" i="105"/>
  <c r="AB10" i="105"/>
  <c r="AC13" i="105"/>
  <c r="AH12" i="105"/>
  <c r="W12" i="105"/>
  <c r="AB11" i="105"/>
  <c r="AE10" i="105"/>
  <c r="AD10" i="105"/>
  <c r="AD11" i="105"/>
  <c r="AC12" i="105"/>
  <c r="Z13" i="105"/>
  <c r="AB16" i="100"/>
  <c r="AJ16" i="100"/>
  <c r="AJ27" i="102"/>
  <c r="AA73" i="102"/>
  <c r="AD75" i="102"/>
  <c r="J94" i="102"/>
  <c r="D95" i="102"/>
  <c r="U10" i="105"/>
  <c r="AH11" i="105"/>
  <c r="AJ12" i="105"/>
  <c r="AF13" i="105"/>
  <c r="AD27" i="105"/>
  <c r="AH26" i="105"/>
  <c r="V26" i="105"/>
  <c r="Z25" i="105"/>
  <c r="AG24" i="105"/>
  <c r="AH27" i="105"/>
  <c r="AJ26" i="105"/>
  <c r="U26" i="105"/>
  <c r="X25" i="105"/>
  <c r="AC24" i="105"/>
  <c r="X27" i="105"/>
  <c r="Y26" i="105"/>
  <c r="AF25" i="105"/>
  <c r="AH24" i="105"/>
  <c r="AJ24" i="105"/>
  <c r="AJ25" i="105"/>
  <c r="AG41" i="105"/>
  <c r="V41" i="105"/>
  <c r="Z40" i="105"/>
  <c r="AD39" i="105"/>
  <c r="AJ38" i="105"/>
  <c r="W38" i="105"/>
  <c r="AD41" i="105"/>
  <c r="AF40" i="105"/>
  <c r="AH39" i="105"/>
  <c r="AH38" i="105"/>
  <c r="U38" i="105"/>
  <c r="AH36" i="105"/>
  <c r="W41" i="105"/>
  <c r="W40" i="105"/>
  <c r="Y39" i="105"/>
  <c r="Z38" i="105"/>
  <c r="Y38" i="105"/>
  <c r="AE39" i="105"/>
  <c r="V40" i="105"/>
  <c r="AC41" i="105"/>
  <c r="U61" i="105"/>
  <c r="AI62" i="105"/>
  <c r="V76" i="105"/>
  <c r="Y87" i="105"/>
  <c r="AD88" i="105"/>
  <c r="H90" i="105"/>
  <c r="W94" i="105"/>
  <c r="W95" i="105"/>
  <c r="H96" i="105"/>
  <c r="N97" i="105"/>
  <c r="AD104" i="105"/>
  <c r="U103" i="105"/>
  <c r="Y102" i="105"/>
  <c r="U101" i="105"/>
  <c r="X104" i="105"/>
  <c r="V102" i="105"/>
  <c r="AD102" i="105"/>
  <c r="AH104" i="105"/>
  <c r="AG101" i="105"/>
  <c r="AA102" i="105"/>
  <c r="U104" i="105"/>
  <c r="K30" i="81"/>
  <c r="H30" i="81"/>
  <c r="C30" i="81"/>
  <c r="I38" i="81"/>
  <c r="AE10" i="102"/>
  <c r="K27" i="102"/>
  <c r="L26" i="102"/>
  <c r="R25" i="102"/>
  <c r="C25" i="102"/>
  <c r="E24" i="102"/>
  <c r="D27" i="102"/>
  <c r="E26" i="102"/>
  <c r="J25" i="102"/>
  <c r="J24" i="102"/>
  <c r="AC24" i="102"/>
  <c r="AJ25" i="102"/>
  <c r="AC26" i="102"/>
  <c r="Q34" i="102"/>
  <c r="D34" i="102"/>
  <c r="N32" i="102"/>
  <c r="D33" i="102"/>
  <c r="Q32" i="102"/>
  <c r="I33" i="102"/>
  <c r="Z45" i="102"/>
  <c r="AD46" i="102"/>
  <c r="AG47" i="102"/>
  <c r="AI55" i="102"/>
  <c r="AF55" i="102"/>
  <c r="U55" i="102"/>
  <c r="AD54" i="102"/>
  <c r="Y53" i="102"/>
  <c r="AD52" i="102"/>
  <c r="X55" i="102"/>
  <c r="AF54" i="102"/>
  <c r="X53" i="102"/>
  <c r="AB52" i="102"/>
  <c r="AD55" i="102"/>
  <c r="AJ54" i="102"/>
  <c r="W54" i="102"/>
  <c r="AC53" i="102"/>
  <c r="AH52" i="102"/>
  <c r="AE52" i="102"/>
  <c r="AG53" i="102"/>
  <c r="AE54" i="102"/>
  <c r="AC55" i="102"/>
  <c r="AH59" i="102"/>
  <c r="AH97" i="102"/>
  <c r="W96" i="102"/>
  <c r="U95" i="102"/>
  <c r="AH94" i="102"/>
  <c r="V94" i="102"/>
  <c r="X90" i="102"/>
  <c r="AB89" i="102"/>
  <c r="AF88" i="102"/>
  <c r="U87" i="102"/>
  <c r="AG83" i="102"/>
  <c r="U83" i="102"/>
  <c r="AG82" i="102"/>
  <c r="AD81" i="102"/>
  <c r="AD80" i="102"/>
  <c r="AH69" i="102"/>
  <c r="Z68" i="102"/>
  <c r="AE67" i="102"/>
  <c r="X66" i="102"/>
  <c r="V96" i="102"/>
  <c r="AF95" i="102"/>
  <c r="AC94" i="102"/>
  <c r="AB90" i="102"/>
  <c r="AC89" i="102"/>
  <c r="AD88" i="102"/>
  <c r="AF87" i="102"/>
  <c r="Z83" i="102"/>
  <c r="W82" i="102"/>
  <c r="AE81" i="102"/>
  <c r="X80" i="102"/>
  <c r="U69" i="102"/>
  <c r="U68" i="102"/>
  <c r="W67" i="102"/>
  <c r="AB66" i="102"/>
  <c r="X97" i="102"/>
  <c r="AE96" i="102"/>
  <c r="V95" i="102"/>
  <c r="AG94" i="102"/>
  <c r="AG90" i="102"/>
  <c r="AI89" i="102"/>
  <c r="U88" i="102"/>
  <c r="Z87" i="102"/>
  <c r="AF83" i="102"/>
  <c r="Z82" i="102"/>
  <c r="U81" i="102"/>
  <c r="AF80" i="102"/>
  <c r="Z69" i="102"/>
  <c r="AC68" i="102"/>
  <c r="AC67" i="102"/>
  <c r="AG66" i="102"/>
  <c r="AH66" i="102"/>
  <c r="W68" i="102"/>
  <c r="AD69" i="102"/>
  <c r="AJ73" i="102"/>
  <c r="AG75" i="102"/>
  <c r="H80" i="102"/>
  <c r="AC81" i="102"/>
  <c r="Y82" i="102"/>
  <c r="V83" i="102"/>
  <c r="U89" i="102"/>
  <c r="AA90" i="102"/>
  <c r="L94" i="102"/>
  <c r="F95" i="102"/>
  <c r="AE95" i="102"/>
  <c r="AD96" i="102"/>
  <c r="AC97" i="102"/>
  <c r="W10" i="105"/>
  <c r="U11" i="105"/>
  <c r="V12" i="105"/>
  <c r="AH13" i="105"/>
  <c r="AI18" i="105"/>
  <c r="W27" i="105"/>
  <c r="C31" i="105"/>
  <c r="C38" i="105"/>
  <c r="AB38" i="105"/>
  <c r="M39" i="105"/>
  <c r="AJ39" i="105"/>
  <c r="X40" i="105"/>
  <c r="AF41" i="105"/>
  <c r="AE55" i="105"/>
  <c r="Y53" i="105"/>
  <c r="X53" i="105"/>
  <c r="Z54" i="105"/>
  <c r="U52" i="105"/>
  <c r="AH54" i="105"/>
  <c r="X61" i="105"/>
  <c r="AC67" i="105"/>
  <c r="AH73" i="105"/>
  <c r="AF80" i="105"/>
  <c r="AH81" i="105"/>
  <c r="AG82" i="105"/>
  <c r="AA87" i="105"/>
  <c r="F89" i="105"/>
  <c r="V90" i="105"/>
  <c r="Z94" i="105"/>
  <c r="X95" i="105"/>
  <c r="X96" i="105"/>
  <c r="V97" i="105"/>
  <c r="AH99" i="105"/>
  <c r="AG102" i="105"/>
  <c r="AJ104" i="105"/>
  <c r="J30" i="81"/>
  <c r="AA15" i="100"/>
  <c r="AA16" i="100"/>
  <c r="AA18" i="100"/>
  <c r="AG62" i="102"/>
  <c r="AF60" i="102"/>
  <c r="Z59" i="102"/>
  <c r="AB61" i="102"/>
  <c r="Z60" i="102"/>
  <c r="AJ60" i="102"/>
  <c r="X59" i="102"/>
  <c r="AB60" i="102"/>
  <c r="AD62" i="102"/>
  <c r="R95" i="102"/>
  <c r="K96" i="102"/>
  <c r="F97" i="102"/>
  <c r="AD12" i="102"/>
  <c r="V25" i="102"/>
  <c r="X45" i="102"/>
  <c r="AA46" i="102"/>
  <c r="AF47" i="102"/>
  <c r="AD59" i="102"/>
  <c r="Q61" i="102"/>
  <c r="AH14" i="100"/>
  <c r="AH11" i="100"/>
  <c r="AI18" i="100"/>
  <c r="AD45" i="102"/>
  <c r="AH46" i="102"/>
  <c r="AJ59" i="102"/>
  <c r="AG61" i="102"/>
  <c r="R94" i="102"/>
  <c r="X10" i="105"/>
  <c r="W11" i="105"/>
  <c r="X12" i="105"/>
  <c r="U13" i="105"/>
  <c r="K20" i="105"/>
  <c r="N19" i="105"/>
  <c r="P17" i="105"/>
  <c r="O18" i="105"/>
  <c r="F19" i="105"/>
  <c r="D17" i="105"/>
  <c r="G19" i="105"/>
  <c r="U24" i="105"/>
  <c r="V25" i="105"/>
  <c r="W26" i="105"/>
  <c r="Y27" i="105"/>
  <c r="AD38" i="105"/>
  <c r="AC40" i="105"/>
  <c r="AJ41" i="105"/>
  <c r="AF60" i="105"/>
  <c r="X69" i="105"/>
  <c r="AH69" i="105"/>
  <c r="AE68" i="105"/>
  <c r="V67" i="105"/>
  <c r="AC68" i="105"/>
  <c r="V69" i="105"/>
  <c r="AD67" i="105"/>
  <c r="W66" i="105"/>
  <c r="AE67" i="105"/>
  <c r="AB69" i="105"/>
  <c r="AI83" i="105"/>
  <c r="AF83" i="105"/>
  <c r="V83" i="105"/>
  <c r="AB82" i="105"/>
  <c r="AG81" i="105"/>
  <c r="W81" i="105"/>
  <c r="AB80" i="105"/>
  <c r="AE83" i="105"/>
  <c r="AJ82" i="105"/>
  <c r="X82" i="105"/>
  <c r="AB81" i="105"/>
  <c r="AE80" i="105"/>
  <c r="AH78" i="105"/>
  <c r="AJ83" i="105"/>
  <c r="X83" i="105"/>
  <c r="AC82" i="105"/>
  <c r="AF81" i="105"/>
  <c r="AJ80" i="105"/>
  <c r="W80" i="105"/>
  <c r="AH80" i="105"/>
  <c r="AJ81" i="105"/>
  <c r="AH82" i="105"/>
  <c r="AH83" i="105"/>
  <c r="AG87" i="105"/>
  <c r="G89" i="105"/>
  <c r="AB90" i="105"/>
  <c r="AB94" i="105"/>
  <c r="Y95" i="105"/>
  <c r="Y96" i="105"/>
  <c r="Y97" i="105"/>
  <c r="H9" i="81"/>
  <c r="K9" i="81"/>
  <c r="G86" i="81"/>
  <c r="C86" i="81"/>
  <c r="F49" i="81"/>
  <c r="G49" i="81"/>
  <c r="I49" i="81"/>
  <c r="D49" i="81"/>
  <c r="AH19" i="105"/>
  <c r="E14" i="81"/>
  <c r="D14" i="81"/>
  <c r="C14" i="81"/>
  <c r="G14" i="81"/>
  <c r="K14" i="81"/>
  <c r="D57" i="81"/>
  <c r="I57" i="81"/>
  <c r="Y89" i="105"/>
  <c r="G19" i="81"/>
  <c r="H19" i="81"/>
  <c r="AD48" i="102"/>
  <c r="AA48" i="102"/>
  <c r="AB47" i="102"/>
  <c r="AB46" i="102"/>
  <c r="AF45" i="102"/>
  <c r="AH47" i="102"/>
  <c r="AJ46" i="102"/>
  <c r="AH45" i="102"/>
  <c r="Z48" i="102"/>
  <c r="V46" i="102"/>
  <c r="V47" i="102"/>
  <c r="AG48" i="102"/>
  <c r="AD76" i="102"/>
  <c r="AA76" i="102"/>
  <c r="AB73" i="102"/>
  <c r="AF75" i="102"/>
  <c r="Z76" i="102"/>
  <c r="AF74" i="102"/>
  <c r="V73" i="102"/>
  <c r="AG74" i="102"/>
  <c r="AJ76" i="102"/>
  <c r="J97" i="102"/>
  <c r="D96" i="102"/>
  <c r="P92" i="102"/>
  <c r="M97" i="102"/>
  <c r="N95" i="102"/>
  <c r="H94" i="102"/>
  <c r="F96" i="102"/>
  <c r="M94" i="102"/>
  <c r="AG45" i="105"/>
  <c r="U62" i="105"/>
  <c r="Y61" i="105"/>
  <c r="AD59" i="105"/>
  <c r="AH75" i="105"/>
  <c r="F87" i="105"/>
  <c r="U88" i="105"/>
  <c r="AA89" i="105"/>
  <c r="AH92" i="105"/>
  <c r="AJ94" i="105"/>
  <c r="AH95" i="105"/>
  <c r="AE96" i="105"/>
  <c r="AE97" i="105"/>
  <c r="J14" i="81"/>
  <c r="K19" i="81"/>
  <c r="G23" i="81"/>
  <c r="J23" i="81"/>
  <c r="H23" i="81"/>
  <c r="F38" i="81"/>
  <c r="L38" i="81"/>
  <c r="G38" i="81"/>
  <c r="AE13" i="102"/>
  <c r="X46" i="102"/>
  <c r="AA47" i="102"/>
  <c r="AH48" i="102"/>
  <c r="H59" i="102"/>
  <c r="I61" i="102"/>
  <c r="AF62" i="102"/>
  <c r="N83" i="102"/>
  <c r="P82" i="102"/>
  <c r="M81" i="102"/>
  <c r="J80" i="102"/>
  <c r="C83" i="102"/>
  <c r="J81" i="102"/>
  <c r="L83" i="102"/>
  <c r="D82" i="102"/>
  <c r="P80" i="102"/>
  <c r="L82" i="102"/>
  <c r="D83" i="102"/>
  <c r="P96" i="102"/>
  <c r="N97" i="102"/>
  <c r="AH8" i="105"/>
  <c r="AG10" i="105"/>
  <c r="AE11" i="105"/>
  <c r="AF12" i="105"/>
  <c r="AD13" i="105"/>
  <c r="AD24" i="105"/>
  <c r="AG25" i="105"/>
  <c r="AF26" i="105"/>
  <c r="AJ27" i="105"/>
  <c r="M41" i="105"/>
  <c r="D41" i="105"/>
  <c r="K40" i="105"/>
  <c r="O39" i="105"/>
  <c r="G38" i="105"/>
  <c r="N41" i="105"/>
  <c r="R40" i="105"/>
  <c r="P39" i="105"/>
  <c r="C41" i="105"/>
  <c r="E40" i="105"/>
  <c r="E39" i="105"/>
  <c r="H38" i="105"/>
  <c r="R38" i="105"/>
  <c r="D39" i="105"/>
  <c r="AB39" i="105"/>
  <c r="P40" i="105"/>
  <c r="AJ40" i="105"/>
  <c r="Z41" i="105"/>
  <c r="AC46" i="105"/>
  <c r="AG66" i="105"/>
  <c r="AF68" i="105"/>
  <c r="Z80" i="105"/>
  <c r="Z81" i="105"/>
  <c r="Z82" i="105"/>
  <c r="Z83" i="105"/>
  <c r="G87" i="105"/>
  <c r="V88" i="105"/>
  <c r="AH89" i="105"/>
  <c r="H94" i="105"/>
  <c r="E95" i="105"/>
  <c r="AJ95" i="105"/>
  <c r="AH96" i="105"/>
  <c r="AF97" i="105"/>
  <c r="AI103" i="105"/>
  <c r="H15" i="81"/>
  <c r="K15" i="81"/>
  <c r="K23" i="81"/>
  <c r="C38" i="81"/>
  <c r="I40" i="81"/>
  <c r="K58" i="81"/>
  <c r="L58" i="81"/>
  <c r="G58" i="81"/>
  <c r="F58" i="81"/>
  <c r="AC14" i="100"/>
  <c r="AK14" i="100"/>
  <c r="AI16" i="100"/>
  <c r="V45" i="102"/>
  <c r="Z46" i="102"/>
  <c r="AD47" i="102"/>
  <c r="AJ48" i="102"/>
  <c r="I59" i="102"/>
  <c r="N61" i="102"/>
  <c r="AH62" i="102"/>
  <c r="X73" i="102"/>
  <c r="V75" i="102"/>
  <c r="R82" i="102"/>
  <c r="K83" i="102"/>
  <c r="H89" i="102"/>
  <c r="D88" i="102"/>
  <c r="G87" i="102"/>
  <c r="L89" i="102"/>
  <c r="F94" i="102"/>
  <c r="AH10" i="105"/>
  <c r="AF11" i="105"/>
  <c r="AG12" i="105"/>
  <c r="AE13" i="105"/>
  <c r="C18" i="105"/>
  <c r="AF24" i="105"/>
  <c r="AH25" i="105"/>
  <c r="AG26" i="105"/>
  <c r="N33" i="105"/>
  <c r="Q34" i="105"/>
  <c r="C33" i="105"/>
  <c r="F31" i="105"/>
  <c r="C34" i="105"/>
  <c r="P31" i="105"/>
  <c r="K34" i="105"/>
  <c r="J32" i="105"/>
  <c r="O32" i="105"/>
  <c r="P36" i="105"/>
  <c r="V38" i="105"/>
  <c r="F39" i="105"/>
  <c r="AC39" i="105"/>
  <c r="U40" i="105"/>
  <c r="E41" i="105"/>
  <c r="AB41" i="105"/>
  <c r="AD46" i="105"/>
  <c r="AH66" i="105"/>
  <c r="U69" i="105"/>
  <c r="AC80" i="105"/>
  <c r="AC81" i="105"/>
  <c r="AE82" i="105"/>
  <c r="AB83" i="105"/>
  <c r="X87" i="105"/>
  <c r="AC88" i="105"/>
  <c r="AI89" i="105"/>
  <c r="V94" i="105"/>
  <c r="N95" i="105"/>
  <c r="G96" i="105"/>
  <c r="F97" i="105"/>
  <c r="F104" i="105"/>
  <c r="R103" i="105"/>
  <c r="P101" i="105"/>
  <c r="G104" i="105"/>
  <c r="I101" i="105"/>
  <c r="H103" i="105"/>
  <c r="O102" i="105"/>
  <c r="Q104" i="105"/>
  <c r="J15" i="81"/>
  <c r="D38" i="81"/>
  <c r="E38" i="81" s="1"/>
  <c r="L40" i="81"/>
  <c r="I44" i="81"/>
  <c r="C44" i="81"/>
  <c r="C93" i="81"/>
  <c r="F93" i="81"/>
  <c r="J93" i="81"/>
  <c r="C42" i="81"/>
  <c r="E42" i="81" s="1"/>
  <c r="L42" i="81"/>
  <c r="D93" i="81"/>
  <c r="C101" i="81"/>
  <c r="D101" i="81"/>
  <c r="G101" i="81"/>
  <c r="E101" i="81"/>
  <c r="AF82" i="107"/>
  <c r="AE83" i="107"/>
  <c r="AI81" i="107"/>
  <c r="W80" i="107"/>
  <c r="Z83" i="107"/>
  <c r="Z81" i="107"/>
  <c r="Y83" i="107"/>
  <c r="AC82" i="107"/>
  <c r="AC80" i="107"/>
  <c r="AB82" i="107"/>
  <c r="Z80" i="107"/>
  <c r="AE81" i="107"/>
  <c r="AB81" i="107"/>
  <c r="AJ80" i="107"/>
  <c r="AJ83" i="107"/>
  <c r="AH78" i="107"/>
  <c r="K60" i="81"/>
  <c r="F60" i="81"/>
  <c r="J60" i="81" s="1"/>
  <c r="I72" i="81"/>
  <c r="D90" i="81"/>
  <c r="G90" i="81"/>
  <c r="F90" i="81"/>
  <c r="E104" i="81"/>
  <c r="D104" i="81"/>
  <c r="AD39" i="107"/>
  <c r="X39" i="107"/>
  <c r="Z82" i="107"/>
  <c r="E116" i="81"/>
  <c r="C116" i="81"/>
  <c r="G116" i="81"/>
  <c r="D116" i="81"/>
  <c r="F34" i="107"/>
  <c r="M32" i="107"/>
  <c r="G31" i="107"/>
  <c r="L32" i="107"/>
  <c r="F31" i="107"/>
  <c r="K33" i="107"/>
  <c r="D32" i="107"/>
  <c r="N34" i="107"/>
  <c r="J33" i="107"/>
  <c r="M34" i="107"/>
  <c r="M33" i="107"/>
  <c r="P31" i="107"/>
  <c r="D34" i="107"/>
  <c r="H32" i="107"/>
  <c r="O31" i="107"/>
  <c r="C34" i="107"/>
  <c r="E31" i="107"/>
  <c r="F69" i="107"/>
  <c r="C67" i="107"/>
  <c r="P68" i="107"/>
  <c r="N66" i="107"/>
  <c r="N68" i="107"/>
  <c r="H66" i="107"/>
  <c r="R67" i="107"/>
  <c r="P64" i="107"/>
  <c r="H68" i="107"/>
  <c r="J67" i="107"/>
  <c r="I67" i="107"/>
  <c r="G66" i="107"/>
  <c r="AE82" i="107"/>
  <c r="C73" i="81"/>
  <c r="D73" i="81"/>
  <c r="J83" i="81"/>
  <c r="K83" i="81" s="1"/>
  <c r="I83" i="81"/>
  <c r="AC13" i="100"/>
  <c r="AK13" i="100"/>
  <c r="AA17" i="100"/>
  <c r="AI17" i="100"/>
  <c r="Z18" i="100"/>
  <c r="AH18" i="100"/>
  <c r="R19" i="102"/>
  <c r="H19" i="102"/>
  <c r="I19" i="102"/>
  <c r="AH34" i="102"/>
  <c r="AB34" i="102"/>
  <c r="X33" i="102"/>
  <c r="AF32" i="102"/>
  <c r="AA31" i="102"/>
  <c r="Y29" i="102"/>
  <c r="AB31" i="102"/>
  <c r="AD33" i="102"/>
  <c r="X34" i="102"/>
  <c r="AJ41" i="102"/>
  <c r="U40" i="102"/>
  <c r="Y38" i="102"/>
  <c r="AJ39" i="102"/>
  <c r="M54" i="102"/>
  <c r="D54" i="102"/>
  <c r="E52" i="102"/>
  <c r="H54" i="102"/>
  <c r="Q69" i="102"/>
  <c r="R69" i="102"/>
  <c r="E69" i="102"/>
  <c r="J68" i="102"/>
  <c r="N67" i="102"/>
  <c r="C67" i="102"/>
  <c r="K66" i="102"/>
  <c r="P64" i="102"/>
  <c r="L66" i="102"/>
  <c r="H67" i="102"/>
  <c r="E68" i="102"/>
  <c r="D69" i="102"/>
  <c r="D101" i="102"/>
  <c r="I75" i="102"/>
  <c r="N74" i="102"/>
  <c r="AG102" i="102"/>
  <c r="AH103" i="102"/>
  <c r="J62" i="105"/>
  <c r="L61" i="105"/>
  <c r="Q60" i="105"/>
  <c r="N59" i="105"/>
  <c r="C61" i="105"/>
  <c r="L67" i="105"/>
  <c r="R66" i="105"/>
  <c r="D67" i="105"/>
  <c r="K42" i="81"/>
  <c r="I73" i="81"/>
  <c r="C83" i="81"/>
  <c r="E100" i="81"/>
  <c r="D100" i="81"/>
  <c r="G104" i="81"/>
  <c r="N54" i="107"/>
  <c r="D52" i="107"/>
  <c r="AB83" i="107"/>
  <c r="L62" i="81"/>
  <c r="F62" i="81"/>
  <c r="I62" i="81"/>
  <c r="G62" i="81"/>
  <c r="H62" i="81" s="1"/>
  <c r="C100" i="81"/>
  <c r="V13" i="107"/>
  <c r="R26" i="107"/>
  <c r="P25" i="107"/>
  <c r="D24" i="107"/>
  <c r="K26" i="107"/>
  <c r="G25" i="107"/>
  <c r="I27" i="107"/>
  <c r="R25" i="107"/>
  <c r="AG47" i="107"/>
  <c r="Y46" i="107"/>
  <c r="Z47" i="107"/>
  <c r="V45" i="107"/>
  <c r="AD17" i="100"/>
  <c r="AL17" i="100"/>
  <c r="AG17" i="102"/>
  <c r="X20" i="102"/>
  <c r="J10" i="81"/>
  <c r="F39" i="81"/>
  <c r="L39" i="81"/>
  <c r="D43" i="81"/>
  <c r="C43" i="81"/>
  <c r="O90" i="107"/>
  <c r="M90" i="107"/>
  <c r="Q89" i="107"/>
  <c r="R88" i="107"/>
  <c r="R87" i="107"/>
  <c r="O87" i="107"/>
  <c r="O88" i="107"/>
  <c r="M87" i="107"/>
  <c r="I90" i="107"/>
  <c r="L89" i="107"/>
  <c r="G90" i="107"/>
  <c r="K88" i="107"/>
  <c r="R90" i="107"/>
  <c r="J80" i="81"/>
  <c r="C80" i="81"/>
  <c r="D112" i="81"/>
  <c r="F24" i="107"/>
  <c r="Q20" i="109"/>
  <c r="J19" i="109"/>
  <c r="L18" i="109"/>
  <c r="M17" i="109"/>
  <c r="O18" i="109"/>
  <c r="N17" i="109"/>
  <c r="H19" i="109"/>
  <c r="I20" i="109"/>
  <c r="E19" i="109"/>
  <c r="G20" i="109"/>
  <c r="M18" i="109"/>
  <c r="I17" i="109"/>
  <c r="D18" i="109"/>
  <c r="G17" i="109"/>
  <c r="P19" i="109"/>
  <c r="C18" i="109"/>
  <c r="D17" i="109"/>
  <c r="C85" i="81"/>
  <c r="E85" i="81" s="1"/>
  <c r="G85" i="81"/>
  <c r="C89" i="81"/>
  <c r="D89" i="81"/>
  <c r="L24" i="107"/>
  <c r="N97" i="107"/>
  <c r="R95" i="107"/>
  <c r="J94" i="107"/>
  <c r="C94" i="107"/>
  <c r="F95" i="107"/>
  <c r="M96" i="107"/>
  <c r="K94" i="107"/>
  <c r="N95" i="107"/>
  <c r="C87" i="107"/>
  <c r="AC97" i="107"/>
  <c r="AA95" i="107"/>
  <c r="AG20" i="109"/>
  <c r="J38" i="109"/>
  <c r="N40" i="109"/>
  <c r="O39" i="109"/>
  <c r="K45" i="109"/>
  <c r="AD55" i="109"/>
  <c r="AG54" i="109"/>
  <c r="AF52" i="109"/>
  <c r="W55" i="109"/>
  <c r="AB53" i="109"/>
  <c r="AH53" i="109"/>
  <c r="X54" i="109"/>
  <c r="AC68" i="109"/>
  <c r="AA67" i="109"/>
  <c r="AD76" i="109"/>
  <c r="AA76" i="109"/>
  <c r="AB74" i="109"/>
  <c r="V74" i="109"/>
  <c r="AC95" i="109"/>
  <c r="G18" i="108"/>
  <c r="N20" i="108"/>
  <c r="AH48" i="108"/>
  <c r="AI48" i="108"/>
  <c r="X48" i="108"/>
  <c r="AJ47" i="108"/>
  <c r="Y47" i="108"/>
  <c r="AA46" i="108"/>
  <c r="AD45" i="108"/>
  <c r="AG48" i="108"/>
  <c r="U48" i="108"/>
  <c r="AE47" i="108"/>
  <c r="AD46" i="108"/>
  <c r="AE45" i="108"/>
  <c r="AC48" i="108"/>
  <c r="X47" i="108"/>
  <c r="AG46" i="108"/>
  <c r="AC45" i="108"/>
  <c r="AB48" i="108"/>
  <c r="V47" i="108"/>
  <c r="AE46" i="108"/>
  <c r="AB45" i="108"/>
  <c r="Y48" i="108"/>
  <c r="AG47" i="108"/>
  <c r="AB46" i="108"/>
  <c r="Y45" i="108"/>
  <c r="AH43" i="108" a="1"/>
  <c r="AH43" i="108" s="1"/>
  <c r="AI45" i="108"/>
  <c r="AC46" i="108"/>
  <c r="AC47" i="108"/>
  <c r="AD48" i="108"/>
  <c r="F11" i="107"/>
  <c r="J12" i="107"/>
  <c r="K13" i="107"/>
  <c r="AI34" i="107"/>
  <c r="AE34" i="107"/>
  <c r="U34" i="107"/>
  <c r="AE33" i="107"/>
  <c r="U33" i="107"/>
  <c r="AE32" i="107"/>
  <c r="U32" i="107"/>
  <c r="AE31" i="107"/>
  <c r="U31" i="107"/>
  <c r="W31" i="107"/>
  <c r="AJ31" i="107"/>
  <c r="Y32" i="107"/>
  <c r="AC33" i="107"/>
  <c r="AF34" i="107"/>
  <c r="AE55" i="107"/>
  <c r="X52" i="107"/>
  <c r="AG53" i="107"/>
  <c r="AH55" i="107"/>
  <c r="Y69" i="107"/>
  <c r="O73" i="107"/>
  <c r="D75" i="107"/>
  <c r="AB90" i="107"/>
  <c r="V90" i="107"/>
  <c r="AI87" i="107"/>
  <c r="AG88" i="107"/>
  <c r="AH92" i="107"/>
  <c r="AG95" i="107"/>
  <c r="AB103" i="107"/>
  <c r="AC104" i="107"/>
  <c r="V102" i="107"/>
  <c r="AA103" i="107"/>
  <c r="AF103" i="107"/>
  <c r="W19" i="109"/>
  <c r="AC24" i="109"/>
  <c r="AD25" i="109"/>
  <c r="AD26" i="109"/>
  <c r="Z41" i="109"/>
  <c r="AB40" i="109"/>
  <c r="AD39" i="109"/>
  <c r="AG38" i="109"/>
  <c r="V41" i="109"/>
  <c r="U38" i="109"/>
  <c r="AH38" i="109"/>
  <c r="C40" i="109"/>
  <c r="W41" i="109"/>
  <c r="E46" i="109"/>
  <c r="C52" i="109"/>
  <c r="AC54" i="109"/>
  <c r="AA74" i="109"/>
  <c r="AH95" i="109"/>
  <c r="C102" i="109"/>
  <c r="H18" i="108"/>
  <c r="AJ45" i="108"/>
  <c r="AI46" i="108"/>
  <c r="AD47" i="108"/>
  <c r="AE48" i="108"/>
  <c r="AH67" i="107"/>
  <c r="L76" i="107"/>
  <c r="K76" i="107"/>
  <c r="G75" i="107"/>
  <c r="F74" i="107"/>
  <c r="E73" i="107"/>
  <c r="Q73" i="107"/>
  <c r="E75" i="107"/>
  <c r="N76" i="107"/>
  <c r="AE19" i="109"/>
  <c r="U27" i="109"/>
  <c r="V26" i="109"/>
  <c r="AA25" i="109"/>
  <c r="AE24" i="109"/>
  <c r="W27" i="109"/>
  <c r="U26" i="109"/>
  <c r="Y25" i="109"/>
  <c r="X24" i="109"/>
  <c r="AF24" i="109"/>
  <c r="AH25" i="109"/>
  <c r="AF26" i="109"/>
  <c r="AF27" i="109"/>
  <c r="F38" i="109"/>
  <c r="G39" i="109"/>
  <c r="F46" i="109"/>
  <c r="G52" i="109"/>
  <c r="C55" i="109"/>
  <c r="AA61" i="109"/>
  <c r="AJ46" i="108"/>
  <c r="AI47" i="108"/>
  <c r="AJ48" i="108"/>
  <c r="F81" i="109"/>
  <c r="N83" i="109"/>
  <c r="R80" i="109"/>
  <c r="Y97" i="109"/>
  <c r="AG95" i="109"/>
  <c r="X94" i="109"/>
  <c r="AE97" i="109"/>
  <c r="AD95" i="109"/>
  <c r="AF92" i="109"/>
  <c r="X96" i="109"/>
  <c r="AA94" i="109"/>
  <c r="W96" i="109"/>
  <c r="W94" i="109"/>
  <c r="N18" i="108"/>
  <c r="M19" i="108"/>
  <c r="C18" i="108"/>
  <c r="R20" i="108"/>
  <c r="J19" i="108"/>
  <c r="M17" i="108"/>
  <c r="P20" i="108"/>
  <c r="R18" i="108"/>
  <c r="L19" i="108"/>
  <c r="Y27" i="108"/>
  <c r="X25" i="108"/>
  <c r="F10" i="107"/>
  <c r="K11" i="107"/>
  <c r="P12" i="107"/>
  <c r="AC17" i="107"/>
  <c r="AB18" i="107"/>
  <c r="Z19" i="107"/>
  <c r="W20" i="107"/>
  <c r="AB31" i="107"/>
  <c r="AD32" i="107"/>
  <c r="V33" i="107"/>
  <c r="AH33" i="107"/>
  <c r="X34" i="107"/>
  <c r="G41" i="107"/>
  <c r="R41" i="107"/>
  <c r="L40" i="107"/>
  <c r="K39" i="107"/>
  <c r="D38" i="107"/>
  <c r="R38" i="107"/>
  <c r="G40" i="107"/>
  <c r="Q41" i="107"/>
  <c r="O47" i="107"/>
  <c r="AC52" i="107"/>
  <c r="AB54" i="107"/>
  <c r="I59" i="107"/>
  <c r="D73" i="107"/>
  <c r="G74" i="107"/>
  <c r="K75" i="107"/>
  <c r="Q76" i="107"/>
  <c r="C81" i="107"/>
  <c r="W89" i="107"/>
  <c r="AA90" i="107"/>
  <c r="AC94" i="107"/>
  <c r="U96" i="107"/>
  <c r="AC101" i="107"/>
  <c r="AI104" i="107"/>
  <c r="I12" i="109"/>
  <c r="W17" i="109"/>
  <c r="Z18" i="109"/>
  <c r="G24" i="109"/>
  <c r="AH24" i="109"/>
  <c r="I26" i="109"/>
  <c r="I27" i="109"/>
  <c r="W38" i="109"/>
  <c r="W39" i="109"/>
  <c r="AA40" i="109"/>
  <c r="AF41" i="109"/>
  <c r="C47" i="109"/>
  <c r="AC52" i="109"/>
  <c r="AA55" i="109"/>
  <c r="AF73" i="109"/>
  <c r="AH83" i="109"/>
  <c r="AE81" i="109"/>
  <c r="AC80" i="109"/>
  <c r="AD83" i="109"/>
  <c r="Y82" i="109"/>
  <c r="W81" i="109"/>
  <c r="X82" i="109"/>
  <c r="AG80" i="109"/>
  <c r="AA83" i="109"/>
  <c r="W82" i="109"/>
  <c r="AD80" i="109"/>
  <c r="AB81" i="109"/>
  <c r="Z83" i="109"/>
  <c r="AB94" i="109"/>
  <c r="U97" i="109"/>
  <c r="I103" i="109"/>
  <c r="V45" i="108"/>
  <c r="U46" i="108"/>
  <c r="G47" i="108"/>
  <c r="J10" i="107"/>
  <c r="O11" i="107"/>
  <c r="F13" i="107"/>
  <c r="AE17" i="107"/>
  <c r="AD18" i="107"/>
  <c r="AC19" i="107"/>
  <c r="Y20" i="107"/>
  <c r="AC31" i="107"/>
  <c r="AF32" i="107"/>
  <c r="X33" i="107"/>
  <c r="AJ33" i="107"/>
  <c r="Z34" i="107"/>
  <c r="AH52" i="107"/>
  <c r="AH54" i="107"/>
  <c r="N59" i="107"/>
  <c r="G73" i="107"/>
  <c r="K74" i="107"/>
  <c r="O75" i="107"/>
  <c r="V88" i="107"/>
  <c r="AB89" i="107"/>
  <c r="AD90" i="107"/>
  <c r="Y96" i="107"/>
  <c r="L13" i="109"/>
  <c r="R11" i="109"/>
  <c r="M10" i="109"/>
  <c r="P13" i="109"/>
  <c r="M12" i="109"/>
  <c r="I11" i="109"/>
  <c r="E11" i="109"/>
  <c r="L12" i="109"/>
  <c r="P24" i="109"/>
  <c r="V25" i="109"/>
  <c r="J26" i="109"/>
  <c r="X27" i="109"/>
  <c r="X38" i="109"/>
  <c r="AA39" i="109"/>
  <c r="AC40" i="109"/>
  <c r="AH41" i="109"/>
  <c r="O53" i="109"/>
  <c r="AH94" i="109"/>
  <c r="X97" i="109"/>
  <c r="I17" i="108"/>
  <c r="C20" i="108"/>
  <c r="W45" i="108"/>
  <c r="V46" i="108"/>
  <c r="U47" i="108"/>
  <c r="N52" i="108"/>
  <c r="P48" i="109"/>
  <c r="L48" i="109"/>
  <c r="O45" i="109"/>
  <c r="G48" i="109"/>
  <c r="D45" i="109"/>
  <c r="G47" i="109"/>
  <c r="V62" i="109"/>
  <c r="AG97" i="109"/>
  <c r="N17" i="108"/>
  <c r="D20" i="108"/>
  <c r="V48" i="108"/>
  <c r="AH20" i="109"/>
  <c r="X19" i="109"/>
  <c r="AG17" i="109"/>
  <c r="AD20" i="109"/>
  <c r="F41" i="109"/>
  <c r="AF57" i="109"/>
  <c r="AG60" i="109"/>
  <c r="V95" i="109"/>
  <c r="L104" i="109"/>
  <c r="D102" i="109"/>
  <c r="M102" i="109"/>
  <c r="C104" i="109"/>
  <c r="K101" i="109"/>
  <c r="Q103" i="109"/>
  <c r="D101" i="109"/>
  <c r="F20" i="108"/>
  <c r="E48" i="108"/>
  <c r="D47" i="108"/>
  <c r="G46" i="108"/>
  <c r="Q45" i="108"/>
  <c r="P43" i="108" a="1"/>
  <c r="M47" i="108"/>
  <c r="Q46" i="108"/>
  <c r="N45" i="108"/>
  <c r="L48" i="108"/>
  <c r="R46" i="108"/>
  <c r="L45" i="108"/>
  <c r="C48" i="108"/>
  <c r="O46" i="108"/>
  <c r="J45" i="108"/>
  <c r="J47" i="108"/>
  <c r="E46" i="108"/>
  <c r="AF45" i="108"/>
  <c r="Y46" i="108"/>
  <c r="AB47" i="108"/>
  <c r="AA48" i="108"/>
  <c r="V17" i="110"/>
  <c r="V18" i="110"/>
  <c r="U19" i="110"/>
  <c r="AC17" i="110"/>
  <c r="H97" i="108" a="1"/>
  <c r="H97" i="108" s="1"/>
  <c r="F94" i="108" a="1"/>
  <c r="F94" i="108" s="1"/>
  <c r="O96" i="108" a="1"/>
  <c r="O96" i="108" s="1"/>
  <c r="R94" i="108" a="1"/>
  <c r="R94" i="108" s="1"/>
  <c r="E18" i="110"/>
  <c r="AJ31" i="108"/>
  <c r="AI33" i="108"/>
  <c r="AJ32" i="108"/>
  <c r="AB33" i="108"/>
  <c r="W55" i="108"/>
  <c r="AE54" i="108"/>
  <c r="AH52" i="108"/>
  <c r="AI54" i="108"/>
  <c r="AI53" i="108"/>
  <c r="H62" i="108"/>
  <c r="C62" i="108"/>
  <c r="H61" i="108"/>
  <c r="O60" i="108"/>
  <c r="P57" i="108" a="1"/>
  <c r="M61" i="108"/>
  <c r="I60" i="108"/>
  <c r="E59" i="108"/>
  <c r="AI59" i="108"/>
  <c r="E61" i="108"/>
  <c r="AB80" i="108" a="1"/>
  <c r="AF88" i="108" a="1"/>
  <c r="E96" i="108" a="1"/>
  <c r="E96" i="108" s="1"/>
  <c r="F18" i="110"/>
  <c r="AE62" i="108"/>
  <c r="Y62" i="108"/>
  <c r="Z61" i="108"/>
  <c r="Z60" i="108"/>
  <c r="AA59" i="108"/>
  <c r="U62" i="108"/>
  <c r="AJ59" i="108"/>
  <c r="Z62" i="108"/>
  <c r="AC82" i="108" a="1"/>
  <c r="AC82" i="108" s="1"/>
  <c r="V83" i="108" a="1"/>
  <c r="AG82" i="108" a="1"/>
  <c r="AG82" i="108" s="1"/>
  <c r="AJ80" i="108" a="1"/>
  <c r="W80" i="108" a="1"/>
  <c r="W80" i="108" s="1"/>
  <c r="AE83" i="108" a="1"/>
  <c r="AC80" i="108" a="1"/>
  <c r="AC80" i="108" s="1"/>
  <c r="V80" i="108" a="1"/>
  <c r="AG80" i="108" a="1"/>
  <c r="AG80" i="108" s="1"/>
  <c r="AG81" i="108" a="1"/>
  <c r="AG81" i="108" s="1"/>
  <c r="X83" i="108" a="1"/>
  <c r="AH88" i="108" a="1"/>
  <c r="F95" i="108" a="1"/>
  <c r="F95" i="108" s="1"/>
  <c r="F96" i="108" a="1"/>
  <c r="F96" i="108" s="1"/>
  <c r="W52" i="108"/>
  <c r="X54" i="108"/>
  <c r="AH57" i="108" a="1"/>
  <c r="AH57" i="108" s="1"/>
  <c r="M60" i="108"/>
  <c r="R61" i="108"/>
  <c r="L68" i="108"/>
  <c r="P64" i="108" a="1"/>
  <c r="L74" i="108"/>
  <c r="AH78" i="108" a="1"/>
  <c r="W82" i="108" a="1"/>
  <c r="W82" i="108" s="1"/>
  <c r="AA83" i="108" a="1"/>
  <c r="AA83" i="108" s="1"/>
  <c r="AD89" i="108" a="1"/>
  <c r="I94" i="108" a="1"/>
  <c r="I94" i="108" s="1"/>
  <c r="K96" i="108" a="1"/>
  <c r="K96" i="108" s="1"/>
  <c r="E20" i="110"/>
  <c r="U13" i="109"/>
  <c r="Y12" i="109"/>
  <c r="M62" i="109"/>
  <c r="C62" i="109"/>
  <c r="L60" i="109"/>
  <c r="F59" i="109"/>
  <c r="G61" i="109"/>
  <c r="M59" i="109"/>
  <c r="H60" i="109"/>
  <c r="H62" i="109"/>
  <c r="AH15" i="108" a="1"/>
  <c r="AI18" i="108"/>
  <c r="M27" i="108"/>
  <c r="H27" i="108"/>
  <c r="H26" i="108"/>
  <c r="M25" i="108"/>
  <c r="L24" i="108"/>
  <c r="O26" i="108"/>
  <c r="P25" i="108"/>
  <c r="M24" i="108"/>
  <c r="Q24" i="108"/>
  <c r="C26" i="108"/>
  <c r="G27" i="108"/>
  <c r="AA52" i="108"/>
  <c r="AF54" i="108"/>
  <c r="I59" i="108"/>
  <c r="R60" i="108"/>
  <c r="AC61" i="108"/>
  <c r="V69" i="108"/>
  <c r="AI67" i="108"/>
  <c r="AJ66" i="108"/>
  <c r="AH66" i="108"/>
  <c r="AB69" i="108"/>
  <c r="AH80" i="108" a="1"/>
  <c r="AH80" i="108" s="1"/>
  <c r="X82" i="108" a="1"/>
  <c r="AC83" i="108" a="1"/>
  <c r="AC83" i="108" s="1"/>
  <c r="K94" i="108" a="1"/>
  <c r="K94" i="108" s="1"/>
  <c r="P19" i="110"/>
  <c r="I18" i="110"/>
  <c r="M17" i="110"/>
  <c r="N20" i="110"/>
  <c r="E19" i="110"/>
  <c r="M20" i="110"/>
  <c r="O17" i="110"/>
  <c r="F19" i="110"/>
  <c r="I17" i="110"/>
  <c r="Q18" i="110"/>
  <c r="G17" i="110"/>
  <c r="D18" i="110"/>
  <c r="M19" i="110"/>
  <c r="K19" i="110"/>
  <c r="N17" i="110"/>
  <c r="Q76" i="108"/>
  <c r="C73" i="108"/>
  <c r="K76" i="108"/>
  <c r="AA82" i="108" a="1"/>
  <c r="AA82" i="108" s="1"/>
  <c r="AJ89" i="108" a="1"/>
  <c r="AD87" i="108" a="1"/>
  <c r="V89" i="108" a="1"/>
  <c r="Z90" i="108" a="1"/>
  <c r="X87" i="108" a="1"/>
  <c r="AB90" i="108" a="1"/>
  <c r="P15" i="110" a="1"/>
  <c r="P15" i="110" s="1"/>
  <c r="AE32" i="110"/>
  <c r="P104" i="108" a="1"/>
  <c r="P104" i="108" s="1"/>
  <c r="N102" i="108" a="1"/>
  <c r="W12" i="110"/>
  <c r="U11" i="110"/>
  <c r="Z13" i="110"/>
  <c r="AE12" i="110"/>
  <c r="G24" i="110"/>
  <c r="AG33" i="110"/>
  <c r="AC45" i="110"/>
  <c r="AH48" i="110"/>
  <c r="Q83" i="110" a="1"/>
  <c r="F83" i="110" a="1"/>
  <c r="L82" i="110" a="1"/>
  <c r="P81" i="110" a="1"/>
  <c r="G81" i="110" a="1"/>
  <c r="Q80" i="110" a="1"/>
  <c r="H80" i="110" a="1"/>
  <c r="P83" i="110" a="1"/>
  <c r="E83" i="110" a="1"/>
  <c r="J82" i="110" a="1"/>
  <c r="O81" i="110" a="1"/>
  <c r="O81" i="110" s="1"/>
  <c r="F81" i="110" a="1"/>
  <c r="P80" i="110" a="1"/>
  <c r="F80" i="110" a="1"/>
  <c r="O83" i="110" a="1"/>
  <c r="H82" i="110" a="1"/>
  <c r="E81" i="110" a="1"/>
  <c r="O80" i="110" a="1"/>
  <c r="E80" i="110" a="1"/>
  <c r="N83" i="110" a="1"/>
  <c r="R82" i="110" a="1"/>
  <c r="G82" i="110" a="1"/>
  <c r="N81" i="110" a="1"/>
  <c r="C81" i="110" a="1"/>
  <c r="M80" i="110" a="1"/>
  <c r="D80" i="110" a="1"/>
  <c r="L83" i="110" a="1"/>
  <c r="Q82" i="110" a="1"/>
  <c r="F82" i="110" a="1"/>
  <c r="M81" i="110" a="1"/>
  <c r="K80" i="110" a="1"/>
  <c r="K80" i="110" s="1"/>
  <c r="C80" i="110" a="1"/>
  <c r="N82" i="110" a="1"/>
  <c r="E82" i="110" a="1"/>
  <c r="R80" i="110" a="1"/>
  <c r="C82" i="110" a="1"/>
  <c r="J80" i="110" a="1"/>
  <c r="K83" i="110" a="1"/>
  <c r="Q81" i="110" a="1"/>
  <c r="I80" i="110" a="1"/>
  <c r="I80" i="110" s="1"/>
  <c r="H83" i="110" a="1"/>
  <c r="H83" i="110" s="1"/>
  <c r="L81" i="110" a="1"/>
  <c r="G83" i="110" a="1"/>
  <c r="I81" i="110" a="1"/>
  <c r="O82" i="110" a="1"/>
  <c r="V32" i="110"/>
  <c r="AI31" i="110"/>
  <c r="AJ34" i="110"/>
  <c r="Y31" i="110"/>
  <c r="M27" i="110"/>
  <c r="I27" i="110"/>
  <c r="N25" i="110"/>
  <c r="Q26" i="110"/>
  <c r="R24" i="110"/>
  <c r="P26" i="110"/>
  <c r="N24" i="110"/>
  <c r="R25" i="110"/>
  <c r="V31" i="110"/>
  <c r="Z47" i="110"/>
  <c r="AA48" i="110"/>
  <c r="AG46" i="110"/>
  <c r="V45" i="110"/>
  <c r="V48" i="110"/>
  <c r="AD46" i="110"/>
  <c r="Z46" i="110"/>
  <c r="Y46" i="110"/>
  <c r="AD47" i="110"/>
  <c r="L69" i="109"/>
  <c r="E68" i="109"/>
  <c r="G66" i="109"/>
  <c r="AI13" i="108"/>
  <c r="AF11" i="108"/>
  <c r="AH12" i="108"/>
  <c r="G34" i="108"/>
  <c r="Q31" i="108"/>
  <c r="J83" i="108" a="1"/>
  <c r="G82" i="108" a="1"/>
  <c r="Q81" i="108" a="1"/>
  <c r="N80" i="108" a="1"/>
  <c r="D80" i="108" a="1"/>
  <c r="M83" i="108" a="1"/>
  <c r="C83" i="108" a="1"/>
  <c r="P82" i="108" a="1"/>
  <c r="P82" i="108" s="1"/>
  <c r="F82" i="108" a="1"/>
  <c r="O81" i="108" a="1"/>
  <c r="O81" i="108" s="1"/>
  <c r="F81" i="108" a="1"/>
  <c r="P80" i="108" a="1"/>
  <c r="P80" i="108" s="1"/>
  <c r="G80" i="108" a="1"/>
  <c r="I80" i="108" a="1"/>
  <c r="K81" i="108" a="1"/>
  <c r="D82" i="108" a="1"/>
  <c r="O82" i="108" a="1"/>
  <c r="D83" i="108" a="1"/>
  <c r="P83" i="108" a="1"/>
  <c r="W10" i="110"/>
  <c r="AC11" i="110"/>
  <c r="H26" i="110"/>
  <c r="AB32" i="110"/>
  <c r="AH43" i="110" a="1"/>
  <c r="AH43" i="110" s="1"/>
  <c r="AF47" i="110"/>
  <c r="H81" i="110" a="1"/>
  <c r="H81" i="110" s="1"/>
  <c r="AD97" i="110" a="1"/>
  <c r="AI97" i="110" a="1"/>
  <c r="W97" i="110" a="1"/>
  <c r="AH96" i="110" a="1"/>
  <c r="W96" i="110" a="1"/>
  <c r="AB95" i="110" a="1"/>
  <c r="Z94" i="110" a="1"/>
  <c r="AG97" i="110" a="1"/>
  <c r="U97" i="110" a="1"/>
  <c r="AG96" i="110" a="1"/>
  <c r="V96" i="110" a="1"/>
  <c r="V96" i="110" s="1"/>
  <c r="Z95" i="110" a="1"/>
  <c r="AI94" i="110" a="1"/>
  <c r="Y94" i="110" a="1"/>
  <c r="AF97" i="110" a="1"/>
  <c r="AE96" i="110" a="1"/>
  <c r="AJ95" i="110" a="1"/>
  <c r="Y95" i="110" a="1"/>
  <c r="AH94" i="110" a="1"/>
  <c r="W94" i="110" a="1"/>
  <c r="AE97" i="110" a="1"/>
  <c r="AD96" i="110" a="1"/>
  <c r="AH95" i="110" a="1"/>
  <c r="X95" i="110" a="1"/>
  <c r="AG94" i="110" a="1"/>
  <c r="V94" i="110" a="1"/>
  <c r="AC97" i="110" a="1"/>
  <c r="AC96" i="110" a="1"/>
  <c r="AG95" i="110" a="1"/>
  <c r="V95" i="110" a="1"/>
  <c r="AE94" i="110" a="1"/>
  <c r="U94" i="110" a="1"/>
  <c r="AA97" i="110" a="1"/>
  <c r="AA96" i="110" a="1"/>
  <c r="AF95" i="110" a="1"/>
  <c r="U95" i="110" a="1"/>
  <c r="AD94" i="110" a="1"/>
  <c r="AH92" i="110" a="1"/>
  <c r="AD82" i="110" a="1"/>
  <c r="AD82" i="110" s="1"/>
  <c r="AJ82" i="110" a="1"/>
  <c r="AJ82" i="110" s="1"/>
  <c r="AD80" i="110" a="1"/>
  <c r="AD80" i="110" s="1"/>
  <c r="AC95" i="110" a="1"/>
  <c r="X97" i="110" a="1"/>
  <c r="AD95" i="110" a="1"/>
  <c r="Y97" i="110" a="1"/>
  <c r="AA94" i="110" a="1"/>
  <c r="H104" i="110" a="1"/>
  <c r="N101" i="110" a="1"/>
  <c r="M102" i="110" a="1"/>
  <c r="I101" i="110" a="1"/>
  <c r="I101" i="110" s="1"/>
  <c r="O104" i="110" a="1"/>
  <c r="O104" i="110" s="1"/>
  <c r="O103" i="110" a="1"/>
  <c r="O103" i="110" s="1"/>
  <c r="K102" i="110" a="1"/>
  <c r="K102" i="110" s="1"/>
  <c r="H101" i="110" a="1"/>
  <c r="N104" i="110" a="1"/>
  <c r="N104" i="110" s="1"/>
  <c r="K103" i="110" a="1"/>
  <c r="K103" i="110" s="1"/>
  <c r="H102" i="110" a="1"/>
  <c r="D101" i="110" a="1"/>
  <c r="E104" i="110" a="1"/>
  <c r="E104" i="110" s="1"/>
  <c r="J103" i="110" a="1"/>
  <c r="J103" i="110" s="1"/>
  <c r="D104" i="110" a="1"/>
  <c r="AC94" i="110" a="1"/>
  <c r="K74" i="109"/>
  <c r="M75" i="109"/>
  <c r="V76" i="108" a="1"/>
  <c r="V76" i="108" s="1"/>
  <c r="AA97" i="108" a="1"/>
  <c r="V96" i="108" a="1"/>
  <c r="AE95" i="108" a="1"/>
  <c r="AD94" i="108" a="1"/>
  <c r="AA94" i="108" a="1"/>
  <c r="AA94" i="108" s="1"/>
  <c r="AG95" i="108" a="1"/>
  <c r="Z96" i="108" a="1"/>
  <c r="AH97" i="108" a="1"/>
  <c r="P13" i="110"/>
  <c r="N12" i="110"/>
  <c r="E11" i="110"/>
  <c r="F10" i="110"/>
  <c r="O10" i="110"/>
  <c r="P11" i="110"/>
  <c r="L12" i="110"/>
  <c r="Q13" i="110"/>
  <c r="E55" i="110"/>
  <c r="M53" i="110"/>
  <c r="E53" i="110"/>
  <c r="AA60" i="110"/>
  <c r="AE62" i="110"/>
  <c r="AG59" i="110"/>
  <c r="Z62" i="110"/>
  <c r="AD59" i="110"/>
  <c r="AE83" i="110" a="1"/>
  <c r="AE83" i="110" s="1"/>
  <c r="J89" i="110" a="1"/>
  <c r="Y96" i="110" a="1"/>
  <c r="W80" i="110" a="1"/>
  <c r="W80" i="110" s="1"/>
  <c r="N89" i="110" a="1"/>
  <c r="R88" i="110" a="1"/>
  <c r="L88" i="110" a="1"/>
  <c r="R87" i="110" a="1"/>
  <c r="P85" i="110" a="1"/>
  <c r="P85" i="110" s="1"/>
  <c r="Q89" i="110" a="1"/>
  <c r="J88" i="110" a="1"/>
  <c r="M87" i="110" a="1"/>
  <c r="M87" i="110" s="1"/>
  <c r="O89" i="110" a="1"/>
  <c r="O89" i="110" s="1"/>
  <c r="M90" i="110" a="1"/>
  <c r="M90" i="110" s="1"/>
  <c r="Z96" i="110" a="1"/>
  <c r="AI101" i="110" a="1"/>
  <c r="AE39" i="110"/>
  <c r="W41" i="110"/>
  <c r="P45" i="110"/>
  <c r="AA66" i="110"/>
  <c r="AA67" i="110"/>
  <c r="X68" i="110"/>
  <c r="AJ68" i="110"/>
  <c r="AG69" i="110"/>
  <c r="AE73" i="110" a="1"/>
  <c r="AC74" i="110" a="1"/>
  <c r="AJ75" i="110" a="1"/>
  <c r="AB87" i="110" a="1"/>
  <c r="AB87" i="110" s="1"/>
  <c r="AA89" i="110" a="1"/>
  <c r="AA89" i="110" s="1"/>
  <c r="AG89" i="110" a="1"/>
  <c r="AG89" i="110" s="1"/>
  <c r="U90" i="110" a="1"/>
  <c r="U90" i="110" s="1"/>
  <c r="AA90" i="110" a="1"/>
  <c r="AA90" i="110" s="1"/>
  <c r="AG90" i="110" a="1"/>
  <c r="AG90" i="110" s="1"/>
  <c r="Q94" i="110" a="1"/>
  <c r="F95" i="110" a="1"/>
  <c r="F95" i="110" s="1"/>
  <c r="N96" i="110" a="1"/>
  <c r="N96" i="110" s="1"/>
  <c r="F97" i="110" a="1"/>
  <c r="F97" i="110" s="1"/>
  <c r="AI39" i="110"/>
  <c r="AB41" i="110"/>
  <c r="AC66" i="110"/>
  <c r="AB67" i="110"/>
  <c r="Y68" i="110"/>
  <c r="AJ69" i="110"/>
  <c r="AF73" i="110" a="1"/>
  <c r="AG74" i="110" a="1"/>
  <c r="AG74" i="110" s="1"/>
  <c r="W76" i="110" a="1"/>
  <c r="W76" i="110" s="1"/>
  <c r="AD87" i="110" a="1"/>
  <c r="AD87" i="110" s="1"/>
  <c r="AD88" i="110" a="1"/>
  <c r="AD88" i="110" s="1"/>
  <c r="U89" i="110" a="1"/>
  <c r="U89" i="110" s="1"/>
  <c r="AH89" i="110" a="1"/>
  <c r="AH89" i="110" s="1"/>
  <c r="V90" i="110" a="1"/>
  <c r="V90" i="110" s="1"/>
  <c r="AB90" i="110" a="1"/>
  <c r="AB90" i="110" s="1"/>
  <c r="AH90" i="110" a="1"/>
  <c r="AH90" i="110" s="1"/>
  <c r="E94" i="110" a="1"/>
  <c r="G95" i="110" a="1"/>
  <c r="O96" i="110" a="1"/>
  <c r="J97" i="110" a="1"/>
  <c r="J97" i="110" s="1"/>
  <c r="AF87" i="110" a="1"/>
  <c r="AF87" i="110" s="1"/>
  <c r="AF88" i="110" a="1"/>
  <c r="AF88" i="110" s="1"/>
  <c r="AB89" i="110" a="1"/>
  <c r="AB89" i="110" s="1"/>
  <c r="AI89" i="110" a="1"/>
  <c r="AI89" i="110" s="1"/>
  <c r="AC90" i="110" a="1"/>
  <c r="AC90" i="110" s="1"/>
  <c r="H94" i="110" a="1"/>
  <c r="H94" i="110" s="1"/>
  <c r="H95" i="110" a="1"/>
  <c r="H95" i="110" s="1"/>
  <c r="R96" i="110" a="1"/>
  <c r="R96" i="110" s="1"/>
  <c r="O97" i="110" a="1"/>
  <c r="W103" i="110" a="1"/>
  <c r="V104" i="110" a="1"/>
  <c r="AG66" i="110"/>
  <c r="AE67" i="110"/>
  <c r="AA68" i="110"/>
  <c r="Y69" i="110"/>
  <c r="AI73" i="110" a="1"/>
  <c r="AB76" i="110" a="1"/>
  <c r="AH85" i="110" a="1"/>
  <c r="AH85" i="110" s="1"/>
  <c r="V87" i="110" a="1"/>
  <c r="V87" i="110" s="1"/>
  <c r="V89" i="110" a="1"/>
  <c r="V89" i="110" s="1"/>
  <c r="AC89" i="110" a="1"/>
  <c r="AC89" i="110" s="1"/>
  <c r="W90" i="110" a="1"/>
  <c r="W90" i="110" s="1"/>
  <c r="AD90" i="110" a="1"/>
  <c r="AD90" i="110" s="1"/>
  <c r="AI90" i="110" a="1"/>
  <c r="AI90" i="110" s="1"/>
  <c r="I94" i="110" a="1"/>
  <c r="K95" i="110" a="1"/>
  <c r="P97" i="110" a="1"/>
  <c r="Y102" i="110" a="1"/>
  <c r="Y103" i="110" a="1"/>
  <c r="X104" i="110" a="1"/>
  <c r="M46" i="110"/>
  <c r="AH64" i="110" a="1"/>
  <c r="AI66" i="110"/>
  <c r="AF67" i="110"/>
  <c r="AC68" i="110"/>
  <c r="AA69" i="110"/>
  <c r="AH71" i="110" a="1"/>
  <c r="AH71" i="110" s="1"/>
  <c r="V74" i="110" a="1"/>
  <c r="V74" i="110" s="1"/>
  <c r="AJ74" i="110" a="1"/>
  <c r="AJ74" i="110" s="1"/>
  <c r="AD76" i="110" a="1"/>
  <c r="X87" i="110" a="1"/>
  <c r="X87" i="110" s="1"/>
  <c r="AH87" i="110" a="1"/>
  <c r="AH87" i="110" s="1"/>
  <c r="V88" i="110" a="1"/>
  <c r="V88" i="110" s="1"/>
  <c r="AH88" i="110" a="1"/>
  <c r="AH88" i="110" s="1"/>
  <c r="W89" i="110" a="1"/>
  <c r="W89" i="110" s="1"/>
  <c r="AD89" i="110" a="1"/>
  <c r="AD89" i="110" s="1"/>
  <c r="AJ89" i="110" a="1"/>
  <c r="AJ89" i="110" s="1"/>
  <c r="X90" i="110" a="1"/>
  <c r="X90" i="110" s="1"/>
  <c r="AJ90" i="110" a="1"/>
  <c r="AJ90" i="110" s="1"/>
  <c r="K94" i="110" a="1"/>
  <c r="L95" i="110" a="1"/>
  <c r="C96" i="110" a="1"/>
  <c r="U101" i="110" a="1"/>
  <c r="AA102" i="110" a="1"/>
  <c r="AE103" i="110" a="1"/>
  <c r="AD104" i="110" a="1"/>
  <c r="M94" i="110" a="1"/>
  <c r="C95" i="110" a="1"/>
  <c r="N95" i="110" a="1"/>
  <c r="N95" i="110" s="1"/>
  <c r="F96" i="110" a="1"/>
  <c r="F96" i="110" s="1"/>
  <c r="AA101" i="110" a="1"/>
  <c r="AG102" i="110" a="1"/>
  <c r="AG103" i="110" a="1"/>
  <c r="AF104" i="110" a="1"/>
  <c r="H100" i="101"/>
  <c r="K101" i="101"/>
  <c r="AD100" i="101" s="1"/>
  <c r="P102" i="101"/>
  <c r="I107" i="101"/>
  <c r="AB107" i="101" s="1"/>
  <c r="R108" i="101"/>
  <c r="K110" i="101"/>
  <c r="I114" i="101"/>
  <c r="C116" i="101"/>
  <c r="L117" i="101"/>
  <c r="R124" i="101"/>
  <c r="O100" i="101"/>
  <c r="C102" i="101"/>
  <c r="G103" i="101"/>
  <c r="Z101" i="101" s="1"/>
  <c r="N107" i="101"/>
  <c r="I109" i="101"/>
  <c r="R110" i="101"/>
  <c r="D115" i="101"/>
  <c r="W114" i="101" s="1"/>
  <c r="O116" i="101"/>
  <c r="P100" i="101"/>
  <c r="D102" i="101"/>
  <c r="M103" i="101"/>
  <c r="AF103" i="101" s="1"/>
  <c r="E108" i="101"/>
  <c r="N109" i="101"/>
  <c r="G115" i="101"/>
  <c r="P116" i="101"/>
  <c r="F124" i="101"/>
  <c r="C101" i="101"/>
  <c r="G102" i="101"/>
  <c r="P103" i="101"/>
  <c r="I108" i="101"/>
  <c r="R109" i="101"/>
  <c r="H115" i="101"/>
  <c r="Q116" i="101"/>
  <c r="G124" i="101"/>
  <c r="L100" i="101"/>
  <c r="H101" i="101"/>
  <c r="E102" i="101"/>
  <c r="X102" i="101" s="1"/>
  <c r="C103" i="101"/>
  <c r="O103" i="101"/>
  <c r="J107" i="101"/>
  <c r="F108" i="101"/>
  <c r="C109" i="101"/>
  <c r="Q109" i="101"/>
  <c r="M110" i="101"/>
  <c r="G114" i="101"/>
  <c r="C115" i="101"/>
  <c r="P115" i="101"/>
  <c r="L116" i="101"/>
  <c r="I117" i="101"/>
  <c r="E124" i="101"/>
  <c r="Q124" i="101"/>
  <c r="O101" i="101"/>
  <c r="L102" i="101"/>
  <c r="H103" i="101"/>
  <c r="C107" i="101"/>
  <c r="Q107" i="101"/>
  <c r="M108" i="101"/>
  <c r="J109" i="101"/>
  <c r="F110" i="101"/>
  <c r="L114" i="101"/>
  <c r="I115" i="101"/>
  <c r="G116" i="101"/>
  <c r="C117" i="101"/>
  <c r="P117" i="101"/>
  <c r="J124" i="101"/>
  <c r="G36" i="101"/>
  <c r="G100" i="101"/>
  <c r="D101" i="101"/>
  <c r="W101" i="101" s="1"/>
  <c r="P101" i="101"/>
  <c r="M102" i="101"/>
  <c r="K103" i="101"/>
  <c r="E107" i="101"/>
  <c r="X107" i="101" s="1"/>
  <c r="R107" i="101"/>
  <c r="N108" i="101"/>
  <c r="AG108" i="101" s="1"/>
  <c r="K109" i="101"/>
  <c r="AD109" i="101" s="1"/>
  <c r="I110" i="101"/>
  <c r="AB110" i="101" s="1"/>
  <c r="O114" i="101"/>
  <c r="K115" i="101"/>
  <c r="AD115" i="101" s="1"/>
  <c r="H116" i="101"/>
  <c r="AA116" i="101" s="1"/>
  <c r="D117" i="101"/>
  <c r="W117" i="101" s="1"/>
  <c r="Q117" i="101"/>
  <c r="AJ117" i="101" s="1"/>
  <c r="M124" i="101"/>
  <c r="V102" i="101"/>
  <c r="O102" i="101"/>
  <c r="L103" i="101"/>
  <c r="F107" i="101"/>
  <c r="Y107" i="101" s="1"/>
  <c r="C108" i="101"/>
  <c r="Q108" i="101"/>
  <c r="M109" i="101"/>
  <c r="J110" i="101"/>
  <c r="C114" i="101"/>
  <c r="V114" i="101" s="1"/>
  <c r="P114" i="101"/>
  <c r="L115" i="101"/>
  <c r="I116" i="101"/>
  <c r="AB116" i="101" s="1"/>
  <c r="G117" i="101"/>
  <c r="N124" i="101"/>
  <c r="W102" i="101"/>
  <c r="X108" i="101"/>
  <c r="AG109" i="101"/>
  <c r="AD110" i="101"/>
  <c r="E11" i="95"/>
  <c r="H37" i="81"/>
  <c r="S97" i="79"/>
  <c r="S145" i="79"/>
  <c r="M39" i="81"/>
  <c r="S2" i="79"/>
  <c r="S4" i="79"/>
  <c r="S6" i="79"/>
  <c r="S8" i="79"/>
  <c r="S10" i="79"/>
  <c r="S12" i="79"/>
  <c r="S20" i="79"/>
  <c r="S30" i="79"/>
  <c r="S32" i="79"/>
  <c r="S34" i="79"/>
  <c r="S36" i="79"/>
  <c r="S38" i="79"/>
  <c r="S40" i="79"/>
  <c r="S42" i="79"/>
  <c r="S44" i="79"/>
  <c r="S52" i="79"/>
  <c r="S62" i="79"/>
  <c r="S64" i="79"/>
  <c r="S66" i="79"/>
  <c r="S68" i="79"/>
  <c r="S70" i="79"/>
  <c r="S72" i="79"/>
  <c r="S74" i="79"/>
  <c r="S76" i="79"/>
  <c r="J37" i="81"/>
  <c r="K7" i="95"/>
  <c r="S88" i="79"/>
  <c r="S100" i="79"/>
  <c r="S136" i="79"/>
  <c r="S148" i="79"/>
  <c r="S3" i="79"/>
  <c r="S7" i="79"/>
  <c r="S11" i="79"/>
  <c r="S31" i="79"/>
  <c r="S35" i="79"/>
  <c r="S39" i="79"/>
  <c r="S43" i="79"/>
  <c r="S85" i="79"/>
  <c r="S133" i="79"/>
  <c r="E89" i="81"/>
  <c r="H15" i="114"/>
  <c r="S53" i="79"/>
  <c r="S57" i="79"/>
  <c r="S77" i="79"/>
  <c r="S81" i="79"/>
  <c r="S107" i="79"/>
  <c r="S111" i="79"/>
  <c r="S123" i="79"/>
  <c r="S127" i="79"/>
  <c r="S139" i="79"/>
  <c r="S143" i="79"/>
  <c r="E28" i="101"/>
  <c r="M16" i="114"/>
  <c r="K11" i="95"/>
  <c r="E15" i="98"/>
  <c r="S152" i="79"/>
  <c r="K28" i="98"/>
  <c r="M58" i="81"/>
  <c r="E18" i="95"/>
  <c r="S149" i="79"/>
  <c r="E16" i="114"/>
  <c r="S60" i="79"/>
  <c r="S106" i="79"/>
  <c r="S108" i="79"/>
  <c r="S110" i="79"/>
  <c r="S112" i="79"/>
  <c r="S116" i="79"/>
  <c r="S122" i="79"/>
  <c r="S124" i="79"/>
  <c r="S126" i="79"/>
  <c r="S128" i="79"/>
  <c r="S132" i="79"/>
  <c r="S13" i="79"/>
  <c r="S17" i="79"/>
  <c r="E67" i="81"/>
  <c r="F116" i="81"/>
  <c r="S21" i="79"/>
  <c r="S25" i="79"/>
  <c r="S45" i="79"/>
  <c r="S49" i="79"/>
  <c r="S63" i="79"/>
  <c r="S67" i="79"/>
  <c r="S71" i="79"/>
  <c r="S75" i="79"/>
  <c r="S120" i="79"/>
  <c r="S138" i="79"/>
  <c r="S140" i="79"/>
  <c r="S142" i="79"/>
  <c r="S144" i="79"/>
  <c r="H16" i="101"/>
  <c r="E22" i="101"/>
  <c r="G22" i="101" s="1"/>
  <c r="H88" i="81"/>
  <c r="E8" i="95"/>
  <c r="S104" i="79"/>
  <c r="S91" i="79"/>
  <c r="S95" i="79"/>
  <c r="J16" i="101"/>
  <c r="E28" i="98"/>
  <c r="J15" i="114"/>
  <c r="E7" i="95"/>
  <c r="H29" i="101"/>
  <c r="S28" i="79"/>
  <c r="S117" i="79"/>
  <c r="S129" i="79"/>
  <c r="M15" i="101"/>
  <c r="K29" i="98"/>
  <c r="H89" i="81"/>
  <c r="E6" i="95"/>
  <c r="K12" i="98"/>
  <c r="S101" i="79"/>
  <c r="S113" i="79"/>
  <c r="S90" i="79"/>
  <c r="S92" i="79"/>
  <c r="S94" i="79"/>
  <c r="S96" i="79"/>
  <c r="E16" i="101"/>
  <c r="E21" i="101"/>
  <c r="G21" i="101" s="1"/>
  <c r="M16" i="98"/>
  <c r="M17" i="98" s="1"/>
  <c r="G22" i="98"/>
  <c r="S33" i="79"/>
  <c r="S153" i="79"/>
  <c r="J17" i="98"/>
  <c r="M15" i="114"/>
  <c r="K6" i="95"/>
  <c r="S14" i="79"/>
  <c r="S16" i="79"/>
  <c r="S18" i="79"/>
  <c r="S37" i="79"/>
  <c r="S41" i="79"/>
  <c r="S47" i="79"/>
  <c r="S51" i="79"/>
  <c r="S78" i="79"/>
  <c r="S80" i="79"/>
  <c r="S82" i="79"/>
  <c r="S93" i="79"/>
  <c r="S99" i="79"/>
  <c r="S114" i="79"/>
  <c r="S125" i="79"/>
  <c r="S131" i="79"/>
  <c r="S146" i="79"/>
  <c r="E15" i="101"/>
  <c r="D13" i="117"/>
  <c r="C20" i="117"/>
  <c r="H15" i="98"/>
  <c r="H29" i="98"/>
  <c r="E15" i="114"/>
  <c r="K29" i="114"/>
  <c r="K67" i="81"/>
  <c r="K8" i="95"/>
  <c r="K9" i="95"/>
  <c r="K10" i="95"/>
  <c r="E29" i="95"/>
  <c r="E33" i="95"/>
  <c r="E18" i="84"/>
  <c r="F18" i="84" s="1"/>
  <c r="E6" i="88"/>
  <c r="K9" i="88"/>
  <c r="K10" i="88"/>
  <c r="H12" i="88"/>
  <c r="H13" i="88"/>
  <c r="H14" i="88"/>
  <c r="E16" i="88"/>
  <c r="S89" i="79"/>
  <c r="S121" i="79"/>
  <c r="H16" i="98"/>
  <c r="E29" i="98"/>
  <c r="H28" i="114"/>
  <c r="S22" i="79"/>
  <c r="S24" i="79"/>
  <c r="S26" i="79"/>
  <c r="S55" i="79"/>
  <c r="S59" i="79"/>
  <c r="S86" i="79"/>
  <c r="S103" i="79"/>
  <c r="S118" i="79"/>
  <c r="S135" i="79"/>
  <c r="S150" i="79"/>
  <c r="H15" i="101"/>
  <c r="H101" i="81"/>
  <c r="F6" i="84"/>
  <c r="E16" i="84"/>
  <c r="F16" i="84" s="1"/>
  <c r="N9" i="88"/>
  <c r="E18" i="88"/>
  <c r="K12" i="95"/>
  <c r="K13" i="95"/>
  <c r="K14" i="95"/>
  <c r="E28" i="95"/>
  <c r="E32" i="95"/>
  <c r="E9" i="84"/>
  <c r="F9" i="84" s="1"/>
  <c r="F11" i="84"/>
  <c r="I117" i="87"/>
  <c r="O116" i="87"/>
  <c r="O117" i="87" s="1"/>
  <c r="E8" i="88"/>
  <c r="K13" i="88"/>
  <c r="H16" i="88"/>
  <c r="S61" i="79"/>
  <c r="S65" i="79"/>
  <c r="S137" i="79"/>
  <c r="S5" i="79"/>
  <c r="S9" i="79"/>
  <c r="S15" i="79"/>
  <c r="S19" i="79"/>
  <c r="S46" i="79"/>
  <c r="S48" i="79"/>
  <c r="S50" i="79"/>
  <c r="S69" i="79"/>
  <c r="S73" i="79"/>
  <c r="S79" i="79"/>
  <c r="S83" i="79"/>
  <c r="S98" i="79"/>
  <c r="S109" i="79"/>
  <c r="S115" i="79"/>
  <c r="S130" i="79"/>
  <c r="S141" i="79"/>
  <c r="S147" i="79"/>
  <c r="M16" i="101"/>
  <c r="E29" i="101"/>
  <c r="E16" i="98"/>
  <c r="H16" i="114"/>
  <c r="E28" i="114"/>
  <c r="E29" i="114"/>
  <c r="G41" i="114"/>
  <c r="E37" i="81"/>
  <c r="J39" i="81"/>
  <c r="E93" i="81"/>
  <c r="E9" i="95"/>
  <c r="E10" i="95"/>
  <c r="E27" i="95"/>
  <c r="E31" i="95"/>
  <c r="E35" i="95"/>
  <c r="F12" i="84"/>
  <c r="H7" i="88"/>
  <c r="E9" i="88"/>
  <c r="N12" i="88"/>
  <c r="K16" i="88"/>
  <c r="H12" i="114"/>
  <c r="S105" i="79"/>
  <c r="H28" i="98"/>
  <c r="S23" i="79"/>
  <c r="S27" i="79"/>
  <c r="S54" i="79"/>
  <c r="S56" i="79"/>
  <c r="S58" i="79"/>
  <c r="S87" i="79"/>
  <c r="S102" i="79"/>
  <c r="S119" i="79"/>
  <c r="S134" i="79"/>
  <c r="S151" i="79"/>
  <c r="E21" i="98"/>
  <c r="G21" i="98" s="1"/>
  <c r="J16" i="114"/>
  <c r="H29" i="114"/>
  <c r="H67" i="81"/>
  <c r="H97" i="81"/>
  <c r="I97" i="81" s="1"/>
  <c r="E12" i="95"/>
  <c r="D117" i="87"/>
  <c r="L117" i="87"/>
  <c r="K6" i="88"/>
  <c r="H8" i="88"/>
  <c r="E11" i="88"/>
  <c r="N14" i="88"/>
  <c r="K17" i="88"/>
  <c r="K18" i="88"/>
  <c r="E30" i="95"/>
  <c r="E34" i="95"/>
  <c r="F10" i="84"/>
  <c r="E117" i="87"/>
  <c r="M117" i="87"/>
  <c r="H9" i="88"/>
  <c r="H10" i="88"/>
  <c r="E13" i="88"/>
  <c r="S29" i="79"/>
  <c r="N18" i="88"/>
  <c r="G46" i="98" s="1"/>
  <c r="AF16" i="100"/>
  <c r="AI27" i="102"/>
  <c r="AC27" i="102"/>
  <c r="AE26" i="102"/>
  <c r="V26" i="102"/>
  <c r="AG25" i="102"/>
  <c r="X25" i="102"/>
  <c r="AJ24" i="102"/>
  <c r="Z24" i="102"/>
  <c r="AB27" i="102"/>
  <c r="AD26" i="102"/>
  <c r="U26" i="102"/>
  <c r="AF25" i="102"/>
  <c r="W25" i="102"/>
  <c r="AH24" i="102"/>
  <c r="Y24" i="102"/>
  <c r="Y27" i="102"/>
  <c r="F39" i="102"/>
  <c r="J41" i="102"/>
  <c r="E11" i="105"/>
  <c r="AI20" i="105"/>
  <c r="AG20" i="105"/>
  <c r="AI19" i="105"/>
  <c r="V18" i="105"/>
  <c r="Z17" i="105"/>
  <c r="U20" i="105"/>
  <c r="U19" i="105"/>
  <c r="X18" i="105"/>
  <c r="Y17" i="105"/>
  <c r="X17" i="105"/>
  <c r="AJ17" i="105"/>
  <c r="P50" i="105"/>
  <c r="P78" i="105"/>
  <c r="V10" i="102"/>
  <c r="AF10" i="102"/>
  <c r="V11" i="102"/>
  <c r="AF11" i="102"/>
  <c r="V12" i="102"/>
  <c r="AF12" i="102"/>
  <c r="V13" i="102"/>
  <c r="AG13" i="102"/>
  <c r="Y22" i="102"/>
  <c r="Z25" i="102"/>
  <c r="AG26" i="102"/>
  <c r="AI41" i="102"/>
  <c r="AD41" i="102"/>
  <c r="U41" i="102"/>
  <c r="AF40" i="102"/>
  <c r="W40" i="102"/>
  <c r="AH39" i="102"/>
  <c r="Y39" i="102"/>
  <c r="AB38" i="102"/>
  <c r="AC41" i="102"/>
  <c r="AE40" i="102"/>
  <c r="V40" i="102"/>
  <c r="AG39" i="102"/>
  <c r="X39" i="102"/>
  <c r="AJ38" i="102"/>
  <c r="Z38" i="102"/>
  <c r="M38" i="102"/>
  <c r="AD38" i="102"/>
  <c r="H39" i="102"/>
  <c r="W39" i="102"/>
  <c r="C40" i="102"/>
  <c r="P40" i="102"/>
  <c r="AD40" i="102"/>
  <c r="K41" i="102"/>
  <c r="Y41" i="102"/>
  <c r="I47" i="102"/>
  <c r="J54" i="102"/>
  <c r="R55" i="102"/>
  <c r="P8" i="105"/>
  <c r="AB48" i="105"/>
  <c r="AD48" i="105"/>
  <c r="Z47" i="105"/>
  <c r="AH45" i="105"/>
  <c r="AF48" i="105"/>
  <c r="U47" i="105"/>
  <c r="Z45" i="105"/>
  <c r="AC48" i="105"/>
  <c r="AI46" i="105"/>
  <c r="Y45" i="105"/>
  <c r="AA47" i="105"/>
  <c r="AI55" i="105"/>
  <c r="AF55" i="105"/>
  <c r="W55" i="105"/>
  <c r="AD54" i="105"/>
  <c r="U54" i="105"/>
  <c r="AJ53" i="105"/>
  <c r="Z53" i="105"/>
  <c r="AG52" i="105"/>
  <c r="X52" i="105"/>
  <c r="Z55" i="105"/>
  <c r="AE54" i="105"/>
  <c r="AG53" i="105"/>
  <c r="W53" i="105"/>
  <c r="AB52" i="105"/>
  <c r="AJ55" i="105"/>
  <c r="Y55" i="105"/>
  <c r="AC54" i="105"/>
  <c r="AF53" i="105"/>
  <c r="V53" i="105"/>
  <c r="Z52" i="105"/>
  <c r="W52" i="105"/>
  <c r="E53" i="105"/>
  <c r="AB53" i="105"/>
  <c r="J54" i="105"/>
  <c r="AF54" i="105"/>
  <c r="AG55" i="105"/>
  <c r="P76" i="105"/>
  <c r="K76" i="105"/>
  <c r="P75" i="105"/>
  <c r="C75" i="105"/>
  <c r="H74" i="105"/>
  <c r="L73" i="105"/>
  <c r="O76" i="105"/>
  <c r="O75" i="105"/>
  <c r="R74" i="105"/>
  <c r="D73" i="105"/>
  <c r="J76" i="105"/>
  <c r="N75" i="105"/>
  <c r="Q74" i="105"/>
  <c r="C73" i="105"/>
  <c r="F75" i="105"/>
  <c r="H76" i="105"/>
  <c r="H82" i="105"/>
  <c r="G13" i="81"/>
  <c r="J32" i="81"/>
  <c r="U34" i="105"/>
  <c r="AH33" i="105"/>
  <c r="Z32" i="105"/>
  <c r="AJ31" i="105"/>
  <c r="Z34" i="105"/>
  <c r="AI33" i="105"/>
  <c r="V32" i="105"/>
  <c r="AD31" i="105"/>
  <c r="V34" i="105"/>
  <c r="AD33" i="105"/>
  <c r="U32" i="105"/>
  <c r="AB31" i="105"/>
  <c r="Y31" i="105"/>
  <c r="X32" i="105"/>
  <c r="F55" i="105"/>
  <c r="L53" i="105"/>
  <c r="H52" i="105"/>
  <c r="L55" i="105"/>
  <c r="P54" i="105"/>
  <c r="D53" i="105"/>
  <c r="N52" i="105"/>
  <c r="J55" i="105"/>
  <c r="N54" i="105"/>
  <c r="C53" i="105"/>
  <c r="J52" i="105"/>
  <c r="M55" i="105"/>
  <c r="AG12" i="100"/>
  <c r="Y25" i="102"/>
  <c r="AF26" i="102"/>
  <c r="P36" i="102"/>
  <c r="L38" i="102"/>
  <c r="O13" i="105"/>
  <c r="C13" i="105"/>
  <c r="P12" i="105"/>
  <c r="N11" i="105"/>
  <c r="N10" i="105"/>
  <c r="L13" i="105"/>
  <c r="E12" i="105"/>
  <c r="M11" i="105"/>
  <c r="G10" i="105"/>
  <c r="C12" i="105"/>
  <c r="E10" i="105"/>
  <c r="J13" i="105"/>
  <c r="L11" i="105"/>
  <c r="P10" i="105"/>
  <c r="N13" i="105"/>
  <c r="Z31" i="105"/>
  <c r="AC32" i="105"/>
  <c r="U33" i="105"/>
  <c r="N55" i="105"/>
  <c r="Z11" i="100"/>
  <c r="AJ12" i="100"/>
  <c r="AB14" i="100"/>
  <c r="AJ14" i="100"/>
  <c r="AE24" i="102"/>
  <c r="Z27" i="102"/>
  <c r="Q48" i="102"/>
  <c r="G48" i="102"/>
  <c r="I46" i="102"/>
  <c r="H46" i="102"/>
  <c r="F52" i="102"/>
  <c r="N53" i="102"/>
  <c r="AD101" i="102"/>
  <c r="AD102" i="102"/>
  <c r="F11" i="105"/>
  <c r="G12" i="105"/>
  <c r="P13" i="105"/>
  <c r="AG31" i="105"/>
  <c r="AD32" i="105"/>
  <c r="X33" i="105"/>
  <c r="AN16" i="100"/>
  <c r="AF17" i="100"/>
  <c r="AN17" i="100"/>
  <c r="AC18" i="100"/>
  <c r="AK18" i="100"/>
  <c r="N13" i="102"/>
  <c r="F12" i="102"/>
  <c r="K11" i="102"/>
  <c r="W10" i="102"/>
  <c r="AG10" i="102"/>
  <c r="W11" i="102"/>
  <c r="AG11" i="102"/>
  <c r="W12" i="102"/>
  <c r="AG12" i="102"/>
  <c r="X13" i="102"/>
  <c r="AH13" i="102"/>
  <c r="R17" i="102"/>
  <c r="AH17" i="102"/>
  <c r="Z18" i="102"/>
  <c r="AJ19" i="102"/>
  <c r="U24" i="102"/>
  <c r="AF24" i="102"/>
  <c r="AB25" i="102"/>
  <c r="W26" i="102"/>
  <c r="AH26" i="102"/>
  <c r="AD27" i="102"/>
  <c r="Y36" i="102"/>
  <c r="R38" i="102"/>
  <c r="AE38" i="102"/>
  <c r="J39" i="102"/>
  <c r="Z39" i="102"/>
  <c r="D40" i="102"/>
  <c r="R40" i="102"/>
  <c r="AG40" i="102"/>
  <c r="L41" i="102"/>
  <c r="Z41" i="102"/>
  <c r="I48" i="102"/>
  <c r="H52" i="102"/>
  <c r="C53" i="102"/>
  <c r="P53" i="102"/>
  <c r="K54" i="102"/>
  <c r="E55" i="102"/>
  <c r="V59" i="102"/>
  <c r="G60" i="102"/>
  <c r="AD60" i="102"/>
  <c r="Z61" i="102"/>
  <c r="Z73" i="102"/>
  <c r="Q74" i="102"/>
  <c r="N75" i="102"/>
  <c r="AH75" i="102"/>
  <c r="F80" i="102"/>
  <c r="N81" i="102"/>
  <c r="F82" i="102"/>
  <c r="L97" i="102"/>
  <c r="L96" i="102"/>
  <c r="E97" i="102"/>
  <c r="N96" i="102"/>
  <c r="C96" i="102"/>
  <c r="M95" i="102"/>
  <c r="C95" i="102"/>
  <c r="P94" i="102"/>
  <c r="E94" i="102"/>
  <c r="P97" i="102"/>
  <c r="D97" i="102"/>
  <c r="M96" i="102"/>
  <c r="L95" i="102"/>
  <c r="N94" i="102"/>
  <c r="D94" i="102"/>
  <c r="K94" i="102"/>
  <c r="E95" i="102"/>
  <c r="R96" i="102"/>
  <c r="O97" i="102"/>
  <c r="AG101" i="102"/>
  <c r="K104" i="102"/>
  <c r="J11" i="105"/>
  <c r="J12" i="105"/>
  <c r="X20" i="105"/>
  <c r="AH31" i="105"/>
  <c r="AG32" i="105"/>
  <c r="Z33" i="105"/>
  <c r="X45" i="105"/>
  <c r="AG47" i="105"/>
  <c r="AH50" i="105"/>
  <c r="Y52" i="105"/>
  <c r="F53" i="105"/>
  <c r="AC53" i="105"/>
  <c r="K54" i="105"/>
  <c r="AG54" i="105"/>
  <c r="U55" i="105"/>
  <c r="AH55" i="105"/>
  <c r="AD61" i="105"/>
  <c r="X66" i="105"/>
  <c r="AF67" i="105"/>
  <c r="AD68" i="105"/>
  <c r="AD74" i="105"/>
  <c r="AG73" i="105"/>
  <c r="Y73" i="105"/>
  <c r="F74" i="105"/>
  <c r="G75" i="105"/>
  <c r="I76" i="105"/>
  <c r="F81" i="105"/>
  <c r="P82" i="105"/>
  <c r="L87" i="105"/>
  <c r="O89" i="105"/>
  <c r="C8" i="81"/>
  <c r="K10" i="81"/>
  <c r="E22" i="81"/>
  <c r="J22" i="81"/>
  <c r="G30" i="81"/>
  <c r="K32" i="81"/>
  <c r="G40" i="81"/>
  <c r="F40" i="81"/>
  <c r="J40" i="81" s="1"/>
  <c r="D40" i="81"/>
  <c r="C40" i="81"/>
  <c r="J44" i="81"/>
  <c r="E41" i="102"/>
  <c r="E39" i="102"/>
  <c r="V24" i="102"/>
  <c r="AG24" i="102"/>
  <c r="D53" i="102"/>
  <c r="R53" i="102"/>
  <c r="Z104" i="102"/>
  <c r="AD103" i="102"/>
  <c r="AI102" i="102"/>
  <c r="Y101" i="102"/>
  <c r="AG104" i="102"/>
  <c r="U102" i="102"/>
  <c r="U101" i="102"/>
  <c r="AF104" i="102"/>
  <c r="AI103" i="102"/>
  <c r="AH101" i="102"/>
  <c r="U104" i="102"/>
  <c r="O11" i="105"/>
  <c r="X19" i="105"/>
  <c r="Z20" i="105"/>
  <c r="G8" i="81"/>
  <c r="H33" i="81"/>
  <c r="K33" i="81"/>
  <c r="J38" i="81"/>
  <c r="Q41" i="102"/>
  <c r="H41" i="102"/>
  <c r="K40" i="102"/>
  <c r="M39" i="102"/>
  <c r="C39" i="102"/>
  <c r="P38" i="102"/>
  <c r="E38" i="102"/>
  <c r="R41" i="102"/>
  <c r="F41" i="102"/>
  <c r="J40" i="102"/>
  <c r="L39" i="102"/>
  <c r="N38" i="102"/>
  <c r="D38" i="102"/>
  <c r="K38" i="102"/>
  <c r="AI34" i="105"/>
  <c r="E13" i="81"/>
  <c r="K13" i="81"/>
  <c r="J13" i="81"/>
  <c r="X26" i="102"/>
  <c r="AJ26" i="102"/>
  <c r="C38" i="102"/>
  <c r="E40" i="102"/>
  <c r="M41" i="102"/>
  <c r="L54" i="102"/>
  <c r="J53" i="105"/>
  <c r="Q20" i="102"/>
  <c r="O20" i="102"/>
  <c r="O19" i="102"/>
  <c r="O18" i="102"/>
  <c r="G17" i="102"/>
  <c r="I20" i="102"/>
  <c r="N19" i="102"/>
  <c r="G20" i="102"/>
  <c r="W24" i="102"/>
  <c r="AD25" i="102"/>
  <c r="U27" i="102"/>
  <c r="AF27" i="102"/>
  <c r="F38" i="102"/>
  <c r="V38" i="102"/>
  <c r="AG38" i="102"/>
  <c r="N39" i="102"/>
  <c r="AC39" i="102"/>
  <c r="F40" i="102"/>
  <c r="X40" i="102"/>
  <c r="AJ40" i="102"/>
  <c r="N41" i="102"/>
  <c r="AE41" i="102"/>
  <c r="H45" i="102"/>
  <c r="P50" i="102"/>
  <c r="M52" i="102"/>
  <c r="Q59" i="102"/>
  <c r="Q60" i="102"/>
  <c r="N59" i="102"/>
  <c r="AJ101" i="102"/>
  <c r="X103" i="102"/>
  <c r="V104" i="102"/>
  <c r="C10" i="105"/>
  <c r="P11" i="105"/>
  <c r="D13" i="105"/>
  <c r="AB18" i="105"/>
  <c r="AA19" i="105"/>
  <c r="AB20" i="105"/>
  <c r="AB33" i="105"/>
  <c r="AD34" i="105"/>
  <c r="AJ45" i="105"/>
  <c r="G52" i="105"/>
  <c r="AD52" i="105"/>
  <c r="N53" i="105"/>
  <c r="AE53" i="105"/>
  <c r="W54" i="105"/>
  <c r="AJ54" i="105"/>
  <c r="X55" i="105"/>
  <c r="AD62" i="105"/>
  <c r="AJ61" i="105"/>
  <c r="AB60" i="105"/>
  <c r="X59" i="105"/>
  <c r="AF62" i="105"/>
  <c r="Z60" i="105"/>
  <c r="AB62" i="105"/>
  <c r="V60" i="105"/>
  <c r="AJ59" i="105"/>
  <c r="U59" i="105"/>
  <c r="J66" i="105"/>
  <c r="O69" i="105"/>
  <c r="D69" i="105"/>
  <c r="R68" i="105"/>
  <c r="G73" i="105"/>
  <c r="J74" i="105"/>
  <c r="L75" i="105"/>
  <c r="R76" i="105"/>
  <c r="N80" i="105"/>
  <c r="O81" i="105"/>
  <c r="P90" i="105"/>
  <c r="R90" i="105"/>
  <c r="P89" i="105"/>
  <c r="C89" i="105"/>
  <c r="Q88" i="105"/>
  <c r="O87" i="105"/>
  <c r="Q90" i="105"/>
  <c r="L89" i="105"/>
  <c r="H88" i="105"/>
  <c r="C87" i="105"/>
  <c r="O90" i="105"/>
  <c r="J89" i="105"/>
  <c r="F88" i="105"/>
  <c r="P87" i="105"/>
  <c r="J88" i="105"/>
  <c r="I90" i="105"/>
  <c r="E13" i="105"/>
  <c r="AD17" i="105"/>
  <c r="AC18" i="105"/>
  <c r="AB19" i="105"/>
  <c r="AF20" i="105"/>
  <c r="AF34" i="105"/>
  <c r="Z59" i="105"/>
  <c r="AI69" i="105"/>
  <c r="AJ69" i="105"/>
  <c r="Z69" i="105"/>
  <c r="AJ68" i="105"/>
  <c r="Z68" i="105"/>
  <c r="AJ67" i="105"/>
  <c r="Z67" i="105"/>
  <c r="AJ66" i="105"/>
  <c r="Z66" i="105"/>
  <c r="AD69" i="105"/>
  <c r="AB68" i="105"/>
  <c r="AH67" i="105"/>
  <c r="X67" i="105"/>
  <c r="AF66" i="105"/>
  <c r="V66" i="105"/>
  <c r="AC69" i="105"/>
  <c r="Y68" i="105"/>
  <c r="AG67" i="105"/>
  <c r="W67" i="105"/>
  <c r="AE66" i="105"/>
  <c r="U66" i="105"/>
  <c r="AC66" i="105"/>
  <c r="Y67" i="105"/>
  <c r="U68" i="105"/>
  <c r="AG68" i="105"/>
  <c r="AE69" i="105"/>
  <c r="J73" i="105"/>
  <c r="K74" i="105"/>
  <c r="M40" i="81"/>
  <c r="E83" i="105"/>
  <c r="M83" i="105"/>
  <c r="L83" i="105"/>
  <c r="G82" i="105"/>
  <c r="C81" i="105"/>
  <c r="C83" i="105"/>
  <c r="AE16" i="100"/>
  <c r="AM16" i="100"/>
  <c r="AI13" i="102"/>
  <c r="AF13" i="102"/>
  <c r="W13" i="102"/>
  <c r="AH12" i="102"/>
  <c r="Y12" i="102"/>
  <c r="AB11" i="102"/>
  <c r="AD10" i="102"/>
  <c r="U10" i="102"/>
  <c r="X10" i="102"/>
  <c r="AH10" i="102"/>
  <c r="X11" i="102"/>
  <c r="AH11" i="102"/>
  <c r="X12" i="102"/>
  <c r="AJ12" i="102"/>
  <c r="Y13" i="102"/>
  <c r="AJ13" i="102"/>
  <c r="AC25" i="102"/>
  <c r="AE27" i="102"/>
  <c r="K39" i="102"/>
  <c r="Q55" i="102"/>
  <c r="N55" i="102"/>
  <c r="D55" i="102"/>
  <c r="R54" i="102"/>
  <c r="F54" i="102"/>
  <c r="J53" i="102"/>
  <c r="L52" i="102"/>
  <c r="M55" i="102"/>
  <c r="C55" i="102"/>
  <c r="P54" i="102"/>
  <c r="E54" i="102"/>
  <c r="H53" i="102"/>
  <c r="K52" i="102"/>
  <c r="J52" i="102"/>
  <c r="F55" i="102"/>
  <c r="U103" i="102"/>
  <c r="K12" i="105"/>
  <c r="AI32" i="105"/>
  <c r="AA33" i="105"/>
  <c r="AB34" i="105"/>
  <c r="E52" i="105"/>
  <c r="G80" i="105"/>
  <c r="N81" i="105"/>
  <c r="Z13" i="100"/>
  <c r="AH13" i="100"/>
  <c r="AE18" i="100"/>
  <c r="AM18" i="100"/>
  <c r="Y8" i="102"/>
  <c r="Y10" i="102"/>
  <c r="AJ10" i="102"/>
  <c r="Y11" i="102"/>
  <c r="AJ11" i="102"/>
  <c r="Z12" i="102"/>
  <c r="G18" i="102"/>
  <c r="Y26" i="102"/>
  <c r="E53" i="102"/>
  <c r="H55" i="102"/>
  <c r="I60" i="102"/>
  <c r="Q62" i="102"/>
  <c r="C104" i="102"/>
  <c r="O102" i="102"/>
  <c r="F104" i="102"/>
  <c r="N103" i="102"/>
  <c r="Q76" i="102"/>
  <c r="N73" i="102"/>
  <c r="C103" i="102"/>
  <c r="J102" i="102"/>
  <c r="Q101" i="102"/>
  <c r="N76" i="102"/>
  <c r="I73" i="102"/>
  <c r="I76" i="102"/>
  <c r="L12" i="105"/>
  <c r="AI47" i="105"/>
  <c r="H24" i="81"/>
  <c r="J24" i="81"/>
  <c r="J33" i="81"/>
  <c r="Z12" i="100"/>
  <c r="AH12" i="100"/>
  <c r="Y12" i="100"/>
  <c r="AF11" i="100"/>
  <c r="AN11" i="100"/>
  <c r="AK15" i="100"/>
  <c r="AK16" i="100"/>
  <c r="Y18" i="100"/>
  <c r="AG18" i="100"/>
  <c r="AF18" i="100"/>
  <c r="AN18" i="100"/>
  <c r="Z10" i="102"/>
  <c r="Z11" i="102"/>
  <c r="AB12" i="102"/>
  <c r="AB13" i="102"/>
  <c r="AG20" i="102"/>
  <c r="AF19" i="102"/>
  <c r="AD18" i="102"/>
  <c r="AB17" i="102"/>
  <c r="AF20" i="102"/>
  <c r="AD19" i="102"/>
  <c r="AB18" i="102"/>
  <c r="Z17" i="102"/>
  <c r="N18" i="102"/>
  <c r="AG18" i="102"/>
  <c r="Z19" i="102"/>
  <c r="H20" i="102"/>
  <c r="AJ20" i="102"/>
  <c r="X24" i="102"/>
  <c r="AE25" i="102"/>
  <c r="Z26" i="102"/>
  <c r="V27" i="102"/>
  <c r="AG27" i="102"/>
  <c r="H38" i="102"/>
  <c r="W38" i="102"/>
  <c r="AH38" i="102"/>
  <c r="P39" i="102"/>
  <c r="AD39" i="102"/>
  <c r="H40" i="102"/>
  <c r="Y40" i="102"/>
  <c r="C41" i="102"/>
  <c r="P41" i="102"/>
  <c r="AF41" i="102"/>
  <c r="I45" i="102"/>
  <c r="N52" i="102"/>
  <c r="F53" i="102"/>
  <c r="N54" i="102"/>
  <c r="J55" i="102"/>
  <c r="Z62" i="102"/>
  <c r="AJ61" i="102"/>
  <c r="X61" i="102"/>
  <c r="AH60" i="102"/>
  <c r="V60" i="102"/>
  <c r="AG59" i="102"/>
  <c r="AJ62" i="102"/>
  <c r="X62" i="102"/>
  <c r="AH61" i="102"/>
  <c r="V61" i="102"/>
  <c r="AG60" i="102"/>
  <c r="AF59" i="102"/>
  <c r="AA59" i="102"/>
  <c r="N60" i="102"/>
  <c r="G61" i="102"/>
  <c r="AD61" i="102"/>
  <c r="V62" i="102"/>
  <c r="AG76" i="102"/>
  <c r="AB75" i="102"/>
  <c r="AJ74" i="102"/>
  <c r="X74" i="102"/>
  <c r="AF73" i="102"/>
  <c r="AF76" i="102"/>
  <c r="AA75" i="102"/>
  <c r="AH74" i="102"/>
  <c r="V74" i="102"/>
  <c r="AD73" i="102"/>
  <c r="AG73" i="102"/>
  <c r="AB74" i="102"/>
  <c r="X75" i="102"/>
  <c r="V76" i="102"/>
  <c r="Q83" i="102"/>
  <c r="R83" i="102"/>
  <c r="F83" i="102"/>
  <c r="J82" i="102"/>
  <c r="L81" i="102"/>
  <c r="N80" i="102"/>
  <c r="D80" i="102"/>
  <c r="P83" i="102"/>
  <c r="E83" i="102"/>
  <c r="H82" i="102"/>
  <c r="K81" i="102"/>
  <c r="M80" i="102"/>
  <c r="C80" i="102"/>
  <c r="K80" i="102"/>
  <c r="E81" i="102"/>
  <c r="M82" i="102"/>
  <c r="H83" i="102"/>
  <c r="F101" i="102"/>
  <c r="V102" i="102"/>
  <c r="Z103" i="102"/>
  <c r="AB104" i="102"/>
  <c r="H10" i="105"/>
  <c r="N12" i="105"/>
  <c r="U46" i="105"/>
  <c r="V48" i="105"/>
  <c r="P52" i="105"/>
  <c r="AE52" i="105"/>
  <c r="O53" i="105"/>
  <c r="AH53" i="105"/>
  <c r="X54" i="105"/>
  <c r="C55" i="105"/>
  <c r="AB55" i="105"/>
  <c r="K88" i="105"/>
  <c r="J90" i="105"/>
  <c r="K24" i="81"/>
  <c r="H28" i="81"/>
  <c r="AA12" i="100"/>
  <c r="AI12" i="100"/>
  <c r="AB12" i="100"/>
  <c r="AB13" i="100"/>
  <c r="AJ13" i="100"/>
  <c r="Y14" i="100"/>
  <c r="AG14" i="100"/>
  <c r="AD18" i="100"/>
  <c r="AD15" i="100"/>
  <c r="Z16" i="100"/>
  <c r="AH16" i="100"/>
  <c r="G10" i="102"/>
  <c r="AB10" i="102"/>
  <c r="J11" i="102"/>
  <c r="AC11" i="102"/>
  <c r="P12" i="102"/>
  <c r="AC12" i="102"/>
  <c r="K13" i="102"/>
  <c r="AC13" i="102"/>
  <c r="Y15" i="102"/>
  <c r="AA17" i="102"/>
  <c r="Q18" i="102"/>
  <c r="AH18" i="102"/>
  <c r="AA19" i="102"/>
  <c r="V20" i="102"/>
  <c r="Q27" i="102"/>
  <c r="R27" i="102"/>
  <c r="F27" i="102"/>
  <c r="J26" i="102"/>
  <c r="L25" i="102"/>
  <c r="N24" i="102"/>
  <c r="D24" i="102"/>
  <c r="P27" i="102"/>
  <c r="E27" i="102"/>
  <c r="H26" i="102"/>
  <c r="K25" i="102"/>
  <c r="M24" i="102"/>
  <c r="C24" i="102"/>
  <c r="K24" i="102"/>
  <c r="AB24" i="102"/>
  <c r="E25" i="102"/>
  <c r="U25" i="102"/>
  <c r="AH25" i="102"/>
  <c r="M26" i="102"/>
  <c r="AB26" i="102"/>
  <c r="H27" i="102"/>
  <c r="W27" i="102"/>
  <c r="AH27" i="102"/>
  <c r="J38" i="102"/>
  <c r="X38" i="102"/>
  <c r="D39" i="102"/>
  <c r="R39" i="102"/>
  <c r="AE39" i="102"/>
  <c r="L40" i="102"/>
  <c r="Z40" i="102"/>
  <c r="D41" i="102"/>
  <c r="V41" i="102"/>
  <c r="AG41" i="102"/>
  <c r="G46" i="102"/>
  <c r="C52" i="102"/>
  <c r="P52" i="102"/>
  <c r="K53" i="102"/>
  <c r="C54" i="102"/>
  <c r="K55" i="102"/>
  <c r="Y57" i="102"/>
  <c r="AB59" i="102"/>
  <c r="X60" i="102"/>
  <c r="H61" i="102"/>
  <c r="AF61" i="102"/>
  <c r="AA62" i="102"/>
  <c r="AJ97" i="102"/>
  <c r="Y97" i="102"/>
  <c r="AG96" i="102"/>
  <c r="X96" i="102"/>
  <c r="AJ95" i="102"/>
  <c r="Z95" i="102"/>
  <c r="AG97" i="102"/>
  <c r="U97" i="102"/>
  <c r="AB96" i="102"/>
  <c r="Y95" i="102"/>
  <c r="AB94" i="102"/>
  <c r="AI90" i="102"/>
  <c r="Z90" i="102"/>
  <c r="AH89" i="102"/>
  <c r="Y89" i="102"/>
  <c r="AH88" i="102"/>
  <c r="Y88" i="102"/>
  <c r="AH87" i="102"/>
  <c r="Y87" i="102"/>
  <c r="AC83" i="102"/>
  <c r="AE82" i="102"/>
  <c r="V82" i="102"/>
  <c r="AG81" i="102"/>
  <c r="X81" i="102"/>
  <c r="AJ80" i="102"/>
  <c r="Z80" i="102"/>
  <c r="AF69" i="102"/>
  <c r="W69" i="102"/>
  <c r="AH68" i="102"/>
  <c r="Y68" i="102"/>
  <c r="AB67" i="102"/>
  <c r="AD66" i="102"/>
  <c r="U66" i="102"/>
  <c r="AF97" i="102"/>
  <c r="Z96" i="102"/>
  <c r="AH95" i="102"/>
  <c r="X95" i="102"/>
  <c r="AJ94" i="102"/>
  <c r="Z94" i="102"/>
  <c r="AH90" i="102"/>
  <c r="Y90" i="102"/>
  <c r="AG89" i="102"/>
  <c r="X89" i="102"/>
  <c r="AG88" i="102"/>
  <c r="X88" i="102"/>
  <c r="AG87" i="102"/>
  <c r="X87" i="102"/>
  <c r="AG68" i="102"/>
  <c r="X68" i="102"/>
  <c r="AJ67" i="102"/>
  <c r="Z67" i="102"/>
  <c r="AC66" i="102"/>
  <c r="AB83" i="102"/>
  <c r="AD82" i="102"/>
  <c r="U82" i="102"/>
  <c r="AF81" i="102"/>
  <c r="W81" i="102"/>
  <c r="AH80" i="102"/>
  <c r="Y80" i="102"/>
  <c r="AE69" i="102"/>
  <c r="V69" i="102"/>
  <c r="Y66" i="102"/>
  <c r="AD67" i="102"/>
  <c r="V68" i="102"/>
  <c r="AJ68" i="102"/>
  <c r="AB69" i="102"/>
  <c r="Y71" i="102"/>
  <c r="AH73" i="102"/>
  <c r="AD74" i="102"/>
  <c r="Z75" i="102"/>
  <c r="X76" i="102"/>
  <c r="P78" i="102"/>
  <c r="L80" i="102"/>
  <c r="AC80" i="102"/>
  <c r="F81" i="102"/>
  <c r="V81" i="102"/>
  <c r="AJ81" i="102"/>
  <c r="N82" i="102"/>
  <c r="AC82" i="102"/>
  <c r="J83" i="102"/>
  <c r="X83" i="102"/>
  <c r="AJ83" i="102"/>
  <c r="V87" i="102"/>
  <c r="AJ87" i="102"/>
  <c r="AC88" i="102"/>
  <c r="V89" i="102"/>
  <c r="AJ89" i="102"/>
  <c r="AD90" i="102"/>
  <c r="C94" i="102"/>
  <c r="U94" i="102"/>
  <c r="AF94" i="102"/>
  <c r="K95" i="102"/>
  <c r="AC95" i="102"/>
  <c r="H96" i="102"/>
  <c r="Y96" i="102"/>
  <c r="G97" i="102"/>
  <c r="AB97" i="102"/>
  <c r="J101" i="102"/>
  <c r="X102" i="102"/>
  <c r="AA103" i="102"/>
  <c r="AD104" i="102"/>
  <c r="K10" i="105"/>
  <c r="C11" i="105"/>
  <c r="R12" i="105"/>
  <c r="G13" i="105"/>
  <c r="AG17" i="105"/>
  <c r="AD18" i="105"/>
  <c r="AG19" i="105"/>
  <c r="G27" i="105"/>
  <c r="F27" i="105"/>
  <c r="J26" i="105"/>
  <c r="P26" i="105"/>
  <c r="L25" i="105"/>
  <c r="H26" i="105"/>
  <c r="J25" i="105"/>
  <c r="U31" i="105"/>
  <c r="AG34" i="105"/>
  <c r="V46" i="105"/>
  <c r="Z48" i="105"/>
  <c r="R52" i="105"/>
  <c r="AF52" i="105"/>
  <c r="U53" i="105"/>
  <c r="E54" i="105"/>
  <c r="Y54" i="105"/>
  <c r="E55" i="105"/>
  <c r="AC55" i="105"/>
  <c r="AA59" i="105"/>
  <c r="AH64" i="105"/>
  <c r="AD66" i="105"/>
  <c r="AB67" i="105"/>
  <c r="V68" i="105"/>
  <c r="AH68" i="105"/>
  <c r="AF69" i="105"/>
  <c r="N73" i="105"/>
  <c r="O74" i="105"/>
  <c r="AA75" i="105"/>
  <c r="AD76" i="105"/>
  <c r="D87" i="105"/>
  <c r="O88" i="105"/>
  <c r="D89" i="105"/>
  <c r="K90" i="105"/>
  <c r="AF104" i="105"/>
  <c r="X103" i="105"/>
  <c r="AF102" i="105"/>
  <c r="Z101" i="105"/>
  <c r="AA104" i="105"/>
  <c r="AD103" i="105"/>
  <c r="U102" i="105"/>
  <c r="AB101" i="105"/>
  <c r="Z104" i="105"/>
  <c r="AC103" i="105"/>
  <c r="AI102" i="105"/>
  <c r="V101" i="105"/>
  <c r="AF101" i="105"/>
  <c r="AB102" i="105"/>
  <c r="AA103" i="105"/>
  <c r="AB104" i="105"/>
  <c r="H22" i="81"/>
  <c r="J28" i="81"/>
  <c r="K41" i="81"/>
  <c r="I41" i="81"/>
  <c r="G41" i="81"/>
  <c r="G48" i="81"/>
  <c r="F48" i="81"/>
  <c r="K48" i="81"/>
  <c r="L48" i="81"/>
  <c r="D48" i="81"/>
  <c r="C48" i="81"/>
  <c r="G54" i="105"/>
  <c r="AD24" i="102"/>
  <c r="N40" i="102"/>
  <c r="H54" i="105"/>
  <c r="D13" i="81"/>
  <c r="G18" i="81"/>
  <c r="K18" i="81"/>
  <c r="J18" i="81"/>
  <c r="E30" i="81"/>
  <c r="D30" i="81"/>
  <c r="H32" i="81"/>
  <c r="I48" i="81"/>
  <c r="J48" i="81" s="1"/>
  <c r="D46" i="81"/>
  <c r="C46" i="81"/>
  <c r="G46" i="81"/>
  <c r="D52" i="81"/>
  <c r="I52" i="81"/>
  <c r="J52" i="81" s="1"/>
  <c r="L52" i="81"/>
  <c r="K52" i="81"/>
  <c r="C52" i="81"/>
  <c r="G44" i="81"/>
  <c r="H44" i="81" s="1"/>
  <c r="F46" i="81"/>
  <c r="G52" i="81"/>
  <c r="H52" i="81" s="1"/>
  <c r="C69" i="81"/>
  <c r="G69" i="81"/>
  <c r="D69" i="81"/>
  <c r="G84" i="81"/>
  <c r="C84" i="81"/>
  <c r="I84" i="81"/>
  <c r="D84" i="81"/>
  <c r="Q33" i="102"/>
  <c r="W52" i="102"/>
  <c r="AF52" i="102"/>
  <c r="U53" i="102"/>
  <c r="AD53" i="102"/>
  <c r="AB54" i="102"/>
  <c r="Y55" i="102"/>
  <c r="AH55" i="102"/>
  <c r="E97" i="105"/>
  <c r="L97" i="105"/>
  <c r="M42" i="81"/>
  <c r="K44" i="81"/>
  <c r="I46" i="81"/>
  <c r="F50" i="81"/>
  <c r="L50" i="81"/>
  <c r="K50" i="81"/>
  <c r="I50" i="81"/>
  <c r="D50" i="81"/>
  <c r="F53" i="81"/>
  <c r="D53" i="81"/>
  <c r="F61" i="81"/>
  <c r="I61" i="81"/>
  <c r="D61" i="81"/>
  <c r="R31" i="102"/>
  <c r="R32" i="102"/>
  <c r="AA45" i="102"/>
  <c r="AF46" i="102"/>
  <c r="X47" i="102"/>
  <c r="AJ47" i="102"/>
  <c r="AB48" i="102"/>
  <c r="AI27" i="105"/>
  <c r="AB27" i="105"/>
  <c r="AB26" i="105"/>
  <c r="AD25" i="105"/>
  <c r="U25" i="105"/>
  <c r="AE24" i="105"/>
  <c r="V24" i="105"/>
  <c r="Z24" i="105"/>
  <c r="AB25" i="105"/>
  <c r="AC26" i="105"/>
  <c r="U27" i="105"/>
  <c r="AE27" i="105"/>
  <c r="AF12" i="100"/>
  <c r="AN12" i="100"/>
  <c r="Y13" i="100"/>
  <c r="AG13" i="100"/>
  <c r="AD14" i="100"/>
  <c r="AL14" i="100"/>
  <c r="AD16" i="100"/>
  <c r="AL16" i="100"/>
  <c r="AB15" i="100"/>
  <c r="AJ15" i="100"/>
  <c r="V31" i="102"/>
  <c r="AH31" i="102"/>
  <c r="V32" i="102"/>
  <c r="AH32" i="102"/>
  <c r="V33" i="102"/>
  <c r="AH33" i="102"/>
  <c r="V34" i="102"/>
  <c r="Y43" i="102"/>
  <c r="AB45" i="102"/>
  <c r="AG46" i="102"/>
  <c r="Z47" i="102"/>
  <c r="Y50" i="102"/>
  <c r="X52" i="102"/>
  <c r="AG52" i="102"/>
  <c r="V53" i="102"/>
  <c r="AE53" i="102"/>
  <c r="AC54" i="102"/>
  <c r="Z55" i="102"/>
  <c r="AJ55" i="102"/>
  <c r="H66" i="102"/>
  <c r="E67" i="102"/>
  <c r="P67" i="102"/>
  <c r="C68" i="102"/>
  <c r="M68" i="102"/>
  <c r="K69" i="102"/>
  <c r="AH22" i="105"/>
  <c r="AB24" i="105"/>
  <c r="AC25" i="105"/>
  <c r="AD26" i="105"/>
  <c r="V27" i="105"/>
  <c r="AF27" i="105"/>
  <c r="AI41" i="105"/>
  <c r="AH41" i="105"/>
  <c r="Y41" i="105"/>
  <c r="AH40" i="105"/>
  <c r="Y40" i="105"/>
  <c r="AG39" i="105"/>
  <c r="X39" i="105"/>
  <c r="AG38" i="105"/>
  <c r="X38" i="105"/>
  <c r="AC38" i="105"/>
  <c r="V39" i="105"/>
  <c r="AF39" i="105"/>
  <c r="AB40" i="105"/>
  <c r="U41" i="105"/>
  <c r="AE41" i="105"/>
  <c r="P62" i="105"/>
  <c r="R62" i="105"/>
  <c r="N61" i="105"/>
  <c r="I60" i="105"/>
  <c r="F59" i="105"/>
  <c r="O59" i="105"/>
  <c r="F60" i="105"/>
  <c r="O61" i="105"/>
  <c r="H62" i="105"/>
  <c r="C97" i="105"/>
  <c r="G31" i="81"/>
  <c r="M38" i="81"/>
  <c r="L44" i="81"/>
  <c r="K46" i="81"/>
  <c r="M46" i="81" s="1"/>
  <c r="C50" i="81"/>
  <c r="I53" i="81"/>
  <c r="D56" i="81"/>
  <c r="I56" i="81"/>
  <c r="G56" i="81"/>
  <c r="F56" i="81"/>
  <c r="C56" i="81"/>
  <c r="H58" i="81"/>
  <c r="I74" i="81"/>
  <c r="C74" i="81"/>
  <c r="G74" i="81"/>
  <c r="D74" i="81"/>
  <c r="G50" i="81"/>
  <c r="L56" i="81"/>
  <c r="M56" i="81" s="1"/>
  <c r="F108" i="81"/>
  <c r="G123" i="81"/>
  <c r="C123" i="81"/>
  <c r="D18" i="107"/>
  <c r="N19" i="107"/>
  <c r="J27" i="107"/>
  <c r="P26" i="107"/>
  <c r="F26" i="107"/>
  <c r="K25" i="107"/>
  <c r="R24" i="107"/>
  <c r="G24" i="107"/>
  <c r="R27" i="107"/>
  <c r="G27" i="107"/>
  <c r="J26" i="107"/>
  <c r="N25" i="107"/>
  <c r="O24" i="107"/>
  <c r="C24" i="107"/>
  <c r="Q27" i="107"/>
  <c r="F27" i="107"/>
  <c r="I26" i="107"/>
  <c r="J25" i="107"/>
  <c r="N24" i="107"/>
  <c r="K27" i="107"/>
  <c r="N26" i="107"/>
  <c r="Q25" i="107"/>
  <c r="F25" i="107"/>
  <c r="I24" i="107"/>
  <c r="P24" i="107"/>
  <c r="H25" i="107"/>
  <c r="N27" i="107"/>
  <c r="Z45" i="107"/>
  <c r="AC46" i="107"/>
  <c r="AC47" i="107"/>
  <c r="AF48" i="107"/>
  <c r="I62" i="107"/>
  <c r="Q62" i="107"/>
  <c r="M61" i="107"/>
  <c r="J60" i="107"/>
  <c r="F59" i="107"/>
  <c r="N61" i="107"/>
  <c r="I60" i="107"/>
  <c r="C59" i="107"/>
  <c r="R62" i="107"/>
  <c r="J61" i="107"/>
  <c r="F60" i="107"/>
  <c r="M62" i="107"/>
  <c r="D61" i="107"/>
  <c r="R59" i="107"/>
  <c r="F62" i="107"/>
  <c r="R60" i="107"/>
  <c r="M59" i="107"/>
  <c r="C61" i="107"/>
  <c r="U68" i="107"/>
  <c r="AF67" i="107"/>
  <c r="AA69" i="107"/>
  <c r="AH68" i="107"/>
  <c r="AI67" i="107"/>
  <c r="W68" i="107"/>
  <c r="Y67" i="107"/>
  <c r="AE66" i="107"/>
  <c r="AA45" i="109"/>
  <c r="W47" i="109"/>
  <c r="L47" i="81"/>
  <c r="M47" i="81" s="1"/>
  <c r="I54" i="81"/>
  <c r="C54" i="81"/>
  <c r="E54" i="81" s="1"/>
  <c r="F57" i="81"/>
  <c r="J57" i="81" s="1"/>
  <c r="G57" i="81"/>
  <c r="C64" i="81"/>
  <c r="E64" i="81" s="1"/>
  <c r="H68" i="81"/>
  <c r="G76" i="81"/>
  <c r="H76" i="81" s="1"/>
  <c r="I86" i="81"/>
  <c r="F86" i="81"/>
  <c r="H86" i="81" s="1"/>
  <c r="I88" i="81"/>
  <c r="I90" i="81"/>
  <c r="J90" i="81"/>
  <c r="C90" i="81"/>
  <c r="E124" i="81"/>
  <c r="G124" i="81"/>
  <c r="E18" i="107"/>
  <c r="O19" i="107"/>
  <c r="P22" i="107"/>
  <c r="I25" i="107"/>
  <c r="C26" i="107"/>
  <c r="O27" i="107"/>
  <c r="AB45" i="107"/>
  <c r="AD46" i="107"/>
  <c r="AF47" i="107"/>
  <c r="N55" i="107"/>
  <c r="I55" i="107"/>
  <c r="Q53" i="107"/>
  <c r="I61" i="107"/>
  <c r="X66" i="109"/>
  <c r="F64" i="81"/>
  <c r="H64" i="81" s="1"/>
  <c r="G72" i="81"/>
  <c r="F72" i="81"/>
  <c r="C77" i="81"/>
  <c r="D77" i="81"/>
  <c r="G77" i="81"/>
  <c r="J88" i="81"/>
  <c r="E90" i="81"/>
  <c r="G105" i="81"/>
  <c r="D105" i="81"/>
  <c r="C109" i="81"/>
  <c r="G109" i="81"/>
  <c r="E109" i="81"/>
  <c r="C124" i="81"/>
  <c r="E17" i="107"/>
  <c r="F18" i="107"/>
  <c r="Y27" i="107"/>
  <c r="AH26" i="107"/>
  <c r="Z25" i="107"/>
  <c r="AI24" i="107"/>
  <c r="Y26" i="107"/>
  <c r="AD25" i="107"/>
  <c r="AG24" i="107"/>
  <c r="AJ27" i="107"/>
  <c r="X26" i="107"/>
  <c r="AA25" i="107"/>
  <c r="AF24" i="107"/>
  <c r="AH22" i="107"/>
  <c r="AC27" i="107"/>
  <c r="AF26" i="107"/>
  <c r="AJ25" i="107"/>
  <c r="V24" i="107"/>
  <c r="Y24" i="107"/>
  <c r="O25" i="107"/>
  <c r="D26" i="107"/>
  <c r="AD26" i="107"/>
  <c r="P27" i="107"/>
  <c r="AD45" i="107"/>
  <c r="AF46" i="107"/>
  <c r="AF55" i="107"/>
  <c r="Z54" i="107"/>
  <c r="AF53" i="107"/>
  <c r="Z52" i="107"/>
  <c r="Z55" i="107"/>
  <c r="AG54" i="107"/>
  <c r="AI53" i="107"/>
  <c r="W53" i="107"/>
  <c r="AA52" i="107"/>
  <c r="Y55" i="107"/>
  <c r="AE54" i="107"/>
  <c r="AH53" i="107"/>
  <c r="U53" i="107"/>
  <c r="Y52" i="107"/>
  <c r="AI55" i="107"/>
  <c r="W55" i="107"/>
  <c r="AA54" i="107"/>
  <c r="AC53" i="107"/>
  <c r="AI52" i="107"/>
  <c r="V52" i="107"/>
  <c r="AG55" i="107"/>
  <c r="AJ54" i="107"/>
  <c r="X54" i="107"/>
  <c r="Z53" i="107"/>
  <c r="AG52" i="107"/>
  <c r="AH50" i="107"/>
  <c r="Y53" i="107"/>
  <c r="AI54" i="107"/>
  <c r="E59" i="107"/>
  <c r="O61" i="107"/>
  <c r="X67" i="107"/>
  <c r="Q41" i="109"/>
  <c r="E41" i="109"/>
  <c r="K40" i="109"/>
  <c r="H39" i="109"/>
  <c r="P38" i="109"/>
  <c r="E38" i="109"/>
  <c r="P41" i="109"/>
  <c r="F40" i="109"/>
  <c r="L39" i="109"/>
  <c r="O38" i="109"/>
  <c r="M41" i="109"/>
  <c r="R40" i="109"/>
  <c r="D40" i="109"/>
  <c r="I39" i="109"/>
  <c r="N38" i="109"/>
  <c r="J40" i="109"/>
  <c r="E39" i="109"/>
  <c r="C38" i="109"/>
  <c r="L41" i="109"/>
  <c r="I40" i="109"/>
  <c r="D39" i="109"/>
  <c r="K41" i="109"/>
  <c r="G40" i="109"/>
  <c r="R39" i="109"/>
  <c r="R38" i="109"/>
  <c r="P36" i="109"/>
  <c r="H41" i="109"/>
  <c r="P39" i="109"/>
  <c r="K38" i="109"/>
  <c r="C41" i="109"/>
  <c r="O40" i="109"/>
  <c r="M39" i="109"/>
  <c r="G38" i="109"/>
  <c r="Q40" i="109"/>
  <c r="I41" i="109"/>
  <c r="Z52" i="109"/>
  <c r="AB66" i="109"/>
  <c r="AE69" i="109"/>
  <c r="E120" i="81"/>
  <c r="C120" i="81"/>
  <c r="F17" i="107"/>
  <c r="N18" i="107"/>
  <c r="E20" i="107"/>
  <c r="AI48" i="107"/>
  <c r="AJ48" i="107"/>
  <c r="Z48" i="107"/>
  <c r="AH47" i="107"/>
  <c r="Y47" i="107"/>
  <c r="AG46" i="107"/>
  <c r="X46" i="107"/>
  <c r="AG45" i="107"/>
  <c r="X45" i="107"/>
  <c r="AH48" i="107"/>
  <c r="X48" i="107"/>
  <c r="AE47" i="107"/>
  <c r="U47" i="107"/>
  <c r="AB46" i="107"/>
  <c r="AJ45" i="107"/>
  <c r="Y45" i="107"/>
  <c r="AG48" i="107"/>
  <c r="W48" i="107"/>
  <c r="AD47" i="107"/>
  <c r="Z46" i="107"/>
  <c r="AH45" i="107"/>
  <c r="W45" i="107"/>
  <c r="AE48" i="107"/>
  <c r="U48" i="107"/>
  <c r="AB47" i="107"/>
  <c r="AH46" i="107"/>
  <c r="W46" i="107"/>
  <c r="AE45" i="107"/>
  <c r="U45" i="107"/>
  <c r="AC48" i="107"/>
  <c r="AJ47" i="107"/>
  <c r="X47" i="107"/>
  <c r="AE46" i="107"/>
  <c r="U46" i="107"/>
  <c r="AC45" i="107"/>
  <c r="AF45" i="107"/>
  <c r="AJ46" i="107"/>
  <c r="F54" i="81"/>
  <c r="I58" i="81"/>
  <c r="J58" i="81" s="1"/>
  <c r="C58" i="81"/>
  <c r="G60" i="81"/>
  <c r="H60" i="81" s="1"/>
  <c r="L60" i="81"/>
  <c r="M60" i="81" s="1"/>
  <c r="I64" i="81"/>
  <c r="D72" i="81"/>
  <c r="E72" i="81" s="1"/>
  <c r="F77" i="81"/>
  <c r="G87" i="81"/>
  <c r="F87" i="81"/>
  <c r="F100" i="81"/>
  <c r="E103" i="81"/>
  <c r="H103" i="81" s="1"/>
  <c r="C103" i="81"/>
  <c r="E105" i="81"/>
  <c r="D120" i="81"/>
  <c r="J17" i="107"/>
  <c r="O18" i="107"/>
  <c r="J20" i="107"/>
  <c r="AH43" i="107"/>
  <c r="V48" i="107"/>
  <c r="AE69" i="107"/>
  <c r="R104" i="107"/>
  <c r="C104" i="107"/>
  <c r="E103" i="107"/>
  <c r="G102" i="107"/>
  <c r="I101" i="107"/>
  <c r="G104" i="107"/>
  <c r="O101" i="107"/>
  <c r="R102" i="107"/>
  <c r="N101" i="107"/>
  <c r="L104" i="107"/>
  <c r="Q103" i="107"/>
  <c r="D102" i="107"/>
  <c r="M101" i="107"/>
  <c r="I104" i="107"/>
  <c r="O103" i="107"/>
  <c r="G101" i="107"/>
  <c r="L103" i="107"/>
  <c r="D101" i="107"/>
  <c r="G103" i="107"/>
  <c r="Q102" i="107"/>
  <c r="N104" i="107"/>
  <c r="L102" i="107"/>
  <c r="Y48" i="109"/>
  <c r="AH48" i="109"/>
  <c r="AE46" i="109"/>
  <c r="X45" i="109"/>
  <c r="AG48" i="109"/>
  <c r="U46" i="109"/>
  <c r="AG45" i="109"/>
  <c r="AB48" i="109"/>
  <c r="AH47" i="109"/>
  <c r="AB45" i="109"/>
  <c r="U47" i="109"/>
  <c r="V46" i="109"/>
  <c r="V45" i="109"/>
  <c r="AE47" i="109"/>
  <c r="Z46" i="109"/>
  <c r="X46" i="109"/>
  <c r="V48" i="109"/>
  <c r="G54" i="81"/>
  <c r="H54" i="81" s="1"/>
  <c r="D58" i="81"/>
  <c r="C60" i="81"/>
  <c r="F63" i="81"/>
  <c r="C63" i="81"/>
  <c r="K64" i="81"/>
  <c r="G79" i="81"/>
  <c r="D79" i="81"/>
  <c r="I79" i="81"/>
  <c r="E111" i="81"/>
  <c r="G111" i="81"/>
  <c r="C111" i="81"/>
  <c r="G120" i="81"/>
  <c r="AH13" i="107"/>
  <c r="AJ12" i="107"/>
  <c r="AA11" i="107"/>
  <c r="Y10" i="107"/>
  <c r="AF12" i="107"/>
  <c r="AJ10" i="107"/>
  <c r="AA12" i="107"/>
  <c r="AH10" i="107"/>
  <c r="AA13" i="107"/>
  <c r="AF11" i="107"/>
  <c r="AA10" i="107"/>
  <c r="V11" i="107"/>
  <c r="V12" i="107"/>
  <c r="AF13" i="107"/>
  <c r="K17" i="107"/>
  <c r="K20" i="107"/>
  <c r="J24" i="107"/>
  <c r="L26" i="107"/>
  <c r="D27" i="107"/>
  <c r="V47" i="107"/>
  <c r="Y48" i="107"/>
  <c r="E60" i="107"/>
  <c r="N62" i="107"/>
  <c r="AA66" i="107"/>
  <c r="K33" i="109"/>
  <c r="P32" i="109"/>
  <c r="F32" i="109"/>
  <c r="E34" i="109"/>
  <c r="W69" i="109"/>
  <c r="Y68" i="109"/>
  <c r="AC67" i="109"/>
  <c r="AD66" i="109"/>
  <c r="AF64" i="109"/>
  <c r="AC69" i="109"/>
  <c r="Z68" i="109"/>
  <c r="X67" i="109"/>
  <c r="V66" i="109"/>
  <c r="AB69" i="109"/>
  <c r="W68" i="109"/>
  <c r="W67" i="109"/>
  <c r="U66" i="109"/>
  <c r="U68" i="109"/>
  <c r="AH67" i="109"/>
  <c r="AF67" i="109"/>
  <c r="AG69" i="109"/>
  <c r="AE67" i="109"/>
  <c r="Z69" i="109"/>
  <c r="AG66" i="109"/>
  <c r="AE68" i="109"/>
  <c r="Y66" i="109"/>
  <c r="AH68" i="109"/>
  <c r="J41" i="108"/>
  <c r="C39" i="108"/>
  <c r="C41" i="108"/>
  <c r="C40" i="108"/>
  <c r="C38" i="108"/>
  <c r="P36" i="108" a="1"/>
  <c r="Z10" i="105"/>
  <c r="AJ10" i="105"/>
  <c r="Z11" i="105"/>
  <c r="AJ11" i="105"/>
  <c r="AB12" i="105"/>
  <c r="AB13" i="105"/>
  <c r="H19" i="105"/>
  <c r="Q31" i="105"/>
  <c r="K38" i="105"/>
  <c r="L39" i="105"/>
  <c r="L40" i="105"/>
  <c r="X80" i="105"/>
  <c r="AG80" i="105"/>
  <c r="V81" i="105"/>
  <c r="AE81" i="105"/>
  <c r="U82" i="105"/>
  <c r="AD82" i="105"/>
  <c r="AC83" i="105"/>
  <c r="AI87" i="105"/>
  <c r="AJ89" i="105"/>
  <c r="X94" i="105"/>
  <c r="AG94" i="105"/>
  <c r="V95" i="105"/>
  <c r="AE95" i="105"/>
  <c r="U96" i="105"/>
  <c r="AD96" i="105"/>
  <c r="AB97" i="105"/>
  <c r="H102" i="105"/>
  <c r="N104" i="105"/>
  <c r="E43" i="81"/>
  <c r="K54" i="81"/>
  <c r="M54" i="81" s="1"/>
  <c r="D60" i="81"/>
  <c r="K62" i="81"/>
  <c r="M62" i="81" s="1"/>
  <c r="D62" i="81"/>
  <c r="E62" i="81" s="1"/>
  <c r="G63" i="81"/>
  <c r="L64" i="81"/>
  <c r="J68" i="81"/>
  <c r="K68" i="81" s="1"/>
  <c r="D68" i="81"/>
  <c r="E68" i="81" s="1"/>
  <c r="J72" i="81"/>
  <c r="K72" i="81" s="1"/>
  <c r="J77" i="81"/>
  <c r="K77" i="81" s="1"/>
  <c r="C79" i="81"/>
  <c r="G83" i="81"/>
  <c r="D83" i="81"/>
  <c r="E83" i="81" s="1"/>
  <c r="C88" i="81"/>
  <c r="G91" i="81"/>
  <c r="F91" i="81"/>
  <c r="E107" i="81"/>
  <c r="G107" i="81"/>
  <c r="H107" i="81" s="1"/>
  <c r="C107" i="81"/>
  <c r="E112" i="81"/>
  <c r="F112" i="81" s="1"/>
  <c r="G112" i="81"/>
  <c r="C115" i="81"/>
  <c r="F115" i="81" s="1"/>
  <c r="H117" i="81"/>
  <c r="I117" i="81" s="1"/>
  <c r="G121" i="81"/>
  <c r="D121" i="81"/>
  <c r="E121" i="81"/>
  <c r="C121" i="81"/>
  <c r="AH8" i="107"/>
  <c r="AF10" i="107"/>
  <c r="AJ11" i="107"/>
  <c r="AJ13" i="107"/>
  <c r="O17" i="107"/>
  <c r="H19" i="107"/>
  <c r="K24" i="107"/>
  <c r="D25" i="107"/>
  <c r="O26" i="107"/>
  <c r="H27" i="107"/>
  <c r="AH41" i="107"/>
  <c r="AJ39" i="107"/>
  <c r="AF41" i="107"/>
  <c r="AG38" i="107"/>
  <c r="AA40" i="107"/>
  <c r="AH36" i="107"/>
  <c r="Z38" i="107"/>
  <c r="V46" i="107"/>
  <c r="W47" i="107"/>
  <c r="AB48" i="107"/>
  <c r="M60" i="107"/>
  <c r="C101" i="107"/>
  <c r="D103" i="107"/>
  <c r="AG55" i="109"/>
  <c r="X55" i="109"/>
  <c r="AF54" i="109"/>
  <c r="U54" i="109"/>
  <c r="AA53" i="109"/>
  <c r="AG52" i="109"/>
  <c r="W52" i="109"/>
  <c r="AF55" i="109"/>
  <c r="U55" i="109"/>
  <c r="AA54" i="109"/>
  <c r="AE53" i="109"/>
  <c r="X52" i="109"/>
  <c r="AE55" i="109"/>
  <c r="Y54" i="109"/>
  <c r="AD53" i="109"/>
  <c r="AH52" i="109"/>
  <c r="U52" i="109"/>
  <c r="V55" i="109"/>
  <c r="V54" i="109"/>
  <c r="W53" i="109"/>
  <c r="Y52" i="109"/>
  <c r="V53" i="109"/>
  <c r="AH55" i="109"/>
  <c r="AC55" i="109"/>
  <c r="AD54" i="109"/>
  <c r="AG53" i="109"/>
  <c r="AE52" i="109"/>
  <c r="AF50" i="109"/>
  <c r="Z55" i="109"/>
  <c r="AB54" i="109"/>
  <c r="Z53" i="109"/>
  <c r="AB52" i="109"/>
  <c r="Y53" i="109"/>
  <c r="L63" i="81"/>
  <c r="I78" i="81"/>
  <c r="K78" i="81" s="1"/>
  <c r="D78" i="81"/>
  <c r="E78" i="81" s="1"/>
  <c r="G78" i="81"/>
  <c r="H78" i="81" s="1"/>
  <c r="F79" i="81"/>
  <c r="D88" i="81"/>
  <c r="I94" i="81"/>
  <c r="K94" i="81" s="1"/>
  <c r="D94" i="81"/>
  <c r="E94" i="81" s="1"/>
  <c r="G108" i="81"/>
  <c r="H108" i="81" s="1"/>
  <c r="I108" i="81" s="1"/>
  <c r="D108" i="81"/>
  <c r="G115" i="81"/>
  <c r="H115" i="81" s="1"/>
  <c r="I115" i="81" s="1"/>
  <c r="L20" i="107"/>
  <c r="E19" i="107"/>
  <c r="R18" i="107"/>
  <c r="N17" i="107"/>
  <c r="P15" i="107"/>
  <c r="D19" i="107"/>
  <c r="L18" i="107"/>
  <c r="R20" i="107"/>
  <c r="K18" i="107"/>
  <c r="R17" i="107"/>
  <c r="F20" i="107"/>
  <c r="M19" i="107"/>
  <c r="H17" i="107"/>
  <c r="J19" i="107"/>
  <c r="R90" i="108" a="1"/>
  <c r="R90" i="108" s="1"/>
  <c r="L90" i="108" a="1"/>
  <c r="L90" i="108" s="1"/>
  <c r="G89" i="108" a="1"/>
  <c r="R88" i="108" a="1"/>
  <c r="R88" i="108" s="1"/>
  <c r="F88" i="108" a="1"/>
  <c r="R87" i="108" a="1"/>
  <c r="P85" i="108" a="1"/>
  <c r="P85" i="108" s="1"/>
  <c r="Q90" i="108" a="1"/>
  <c r="J90" i="108" a="1"/>
  <c r="C90" i="108" a="1"/>
  <c r="M89" i="108" a="1"/>
  <c r="M89" i="108" s="1"/>
  <c r="F89" i="108" a="1"/>
  <c r="F89" i="108" s="1"/>
  <c r="O88" i="108" a="1"/>
  <c r="Q87" i="108" a="1"/>
  <c r="J87" i="108" a="1"/>
  <c r="D87" i="108" a="1"/>
  <c r="D87" i="108" s="1"/>
  <c r="O90" i="108" a="1"/>
  <c r="H90" i="108" a="1"/>
  <c r="Q89" i="108" a="1"/>
  <c r="E89" i="108" a="1"/>
  <c r="E89" i="108" s="1"/>
  <c r="G88" i="108" a="1"/>
  <c r="O87" i="108" a="1"/>
  <c r="C87" i="108" a="1"/>
  <c r="E90" i="108" a="1"/>
  <c r="E90" i="108" s="1"/>
  <c r="O89" i="108" a="1"/>
  <c r="I89" i="108" a="1"/>
  <c r="I89" i="108" s="1"/>
  <c r="C89" i="108" a="1"/>
  <c r="K88" i="108" a="1"/>
  <c r="D88" i="108" a="1"/>
  <c r="D88" i="108" s="1"/>
  <c r="M87" i="108" a="1"/>
  <c r="F87" i="108" a="1"/>
  <c r="F87" i="108" s="1"/>
  <c r="F90" i="108" a="1"/>
  <c r="F90" i="108" s="1"/>
  <c r="N89" i="108" a="1"/>
  <c r="N89" i="108" s="1"/>
  <c r="D89" i="108" a="1"/>
  <c r="D89" i="108" s="1"/>
  <c r="L88" i="108" a="1"/>
  <c r="H87" i="108" a="1"/>
  <c r="P90" i="108" a="1"/>
  <c r="J88" i="108" a="1"/>
  <c r="G87" i="108" a="1"/>
  <c r="N90" i="108" a="1"/>
  <c r="N90" i="108" s="1"/>
  <c r="D90" i="108" a="1"/>
  <c r="L89" i="108" a="1"/>
  <c r="L89" i="108" s="1"/>
  <c r="I88" i="108" a="1"/>
  <c r="I88" i="108" s="1"/>
  <c r="P87" i="108" a="1"/>
  <c r="E87" i="108" a="1"/>
  <c r="E87" i="108" s="1"/>
  <c r="K90" i="108" a="1"/>
  <c r="R89" i="108" a="1"/>
  <c r="R89" i="108" s="1"/>
  <c r="P88" i="108" a="1"/>
  <c r="P88" i="108" s="1"/>
  <c r="L87" i="108" a="1"/>
  <c r="L87" i="108" s="1"/>
  <c r="M88" i="108" a="1"/>
  <c r="M88" i="108" s="1"/>
  <c r="G70" i="81"/>
  <c r="H70" i="81" s="1"/>
  <c r="K93" i="81"/>
  <c r="C10" i="107"/>
  <c r="P10" i="107"/>
  <c r="H11" i="107"/>
  <c r="N12" i="107"/>
  <c r="H13" i="107"/>
  <c r="X17" i="107"/>
  <c r="AH17" i="107"/>
  <c r="U18" i="107"/>
  <c r="AE18" i="107"/>
  <c r="AB19" i="107"/>
  <c r="X20" i="107"/>
  <c r="D31" i="107"/>
  <c r="R31" i="107"/>
  <c r="J32" i="107"/>
  <c r="F33" i="107"/>
  <c r="R34" i="107"/>
  <c r="N38" i="107"/>
  <c r="I39" i="107"/>
  <c r="C40" i="107"/>
  <c r="Q40" i="107"/>
  <c r="L41" i="107"/>
  <c r="E66" i="107"/>
  <c r="R69" i="107"/>
  <c r="F73" i="107"/>
  <c r="C74" i="107"/>
  <c r="O74" i="107"/>
  <c r="N75" i="107"/>
  <c r="U80" i="107"/>
  <c r="U81" i="107"/>
  <c r="AA82" i="107"/>
  <c r="AA83" i="107"/>
  <c r="G87" i="107"/>
  <c r="AE87" i="107"/>
  <c r="U88" i="107"/>
  <c r="AJ88" i="107"/>
  <c r="AC89" i="107"/>
  <c r="AG90" i="107"/>
  <c r="AB94" i="107"/>
  <c r="X95" i="107"/>
  <c r="X96" i="107"/>
  <c r="W101" i="107"/>
  <c r="AE102" i="107"/>
  <c r="D20" i="109"/>
  <c r="N19" i="109"/>
  <c r="I18" i="109"/>
  <c r="E17" i="109"/>
  <c r="L20" i="109"/>
  <c r="R19" i="109"/>
  <c r="C19" i="109"/>
  <c r="K18" i="109"/>
  <c r="R17" i="109"/>
  <c r="C17" i="109"/>
  <c r="J20" i="109"/>
  <c r="Q19" i="109"/>
  <c r="F18" i="109"/>
  <c r="O17" i="109"/>
  <c r="N18" i="109"/>
  <c r="M19" i="109"/>
  <c r="O20" i="109"/>
  <c r="C45" i="109"/>
  <c r="C46" i="109"/>
  <c r="D55" i="109"/>
  <c r="J53" i="109"/>
  <c r="P55" i="109"/>
  <c r="D66" i="109"/>
  <c r="N67" i="109"/>
  <c r="F68" i="109"/>
  <c r="Q69" i="109"/>
  <c r="E73" i="109"/>
  <c r="L74" i="109"/>
  <c r="J75" i="109"/>
  <c r="M76" i="109"/>
  <c r="Z97" i="109"/>
  <c r="AE96" i="109"/>
  <c r="U96" i="109"/>
  <c r="AA95" i="109"/>
  <c r="Y94" i="109"/>
  <c r="AD97" i="109"/>
  <c r="AG96" i="109"/>
  <c r="V96" i="109"/>
  <c r="Z95" i="109"/>
  <c r="AG94" i="109"/>
  <c r="AC97" i="109"/>
  <c r="AF96" i="109"/>
  <c r="Y95" i="109"/>
  <c r="AF94" i="109"/>
  <c r="AA97" i="109"/>
  <c r="AD96" i="109"/>
  <c r="W95" i="109"/>
  <c r="AC94" i="109"/>
  <c r="AH97" i="109"/>
  <c r="V97" i="109"/>
  <c r="AA96" i="109"/>
  <c r="AE95" i="109"/>
  <c r="Z94" i="109"/>
  <c r="U95" i="109"/>
  <c r="AB96" i="109"/>
  <c r="K104" i="109"/>
  <c r="I104" i="109"/>
  <c r="M103" i="109"/>
  <c r="N102" i="109"/>
  <c r="O101" i="109"/>
  <c r="C101" i="109"/>
  <c r="H104" i="109"/>
  <c r="H103" i="109"/>
  <c r="H102" i="109"/>
  <c r="I101" i="109"/>
  <c r="G104" i="109"/>
  <c r="G103" i="109"/>
  <c r="G102" i="109"/>
  <c r="H101" i="109"/>
  <c r="D104" i="109"/>
  <c r="E103" i="109"/>
  <c r="E102" i="109"/>
  <c r="E101" i="109"/>
  <c r="O104" i="109"/>
  <c r="O103" i="109"/>
  <c r="O102" i="109"/>
  <c r="N101" i="109"/>
  <c r="Q102" i="109"/>
  <c r="Q104" i="109"/>
  <c r="H17" i="108"/>
  <c r="Z25" i="108"/>
  <c r="G31" i="108"/>
  <c r="U52" i="108"/>
  <c r="V53" i="108"/>
  <c r="W54" i="108"/>
  <c r="AC66" i="108"/>
  <c r="W68" i="108"/>
  <c r="I75" i="108"/>
  <c r="N73" i="108"/>
  <c r="P71" i="108" a="1"/>
  <c r="P71" i="108" s="1"/>
  <c r="I76" i="108"/>
  <c r="J75" i="108"/>
  <c r="K74" i="108"/>
  <c r="M73" i="108"/>
  <c r="D76" i="108"/>
  <c r="F75" i="108"/>
  <c r="I74" i="108"/>
  <c r="K73" i="108"/>
  <c r="C76" i="108"/>
  <c r="E75" i="108"/>
  <c r="F74" i="108"/>
  <c r="E73" i="108"/>
  <c r="AH74" i="108" a="1"/>
  <c r="AH74" i="108" s="1"/>
  <c r="X76" i="108" a="1"/>
  <c r="X76" i="108" s="1"/>
  <c r="AG90" i="108" a="1"/>
  <c r="Z89" i="108" a="1"/>
  <c r="AI88" i="108" a="1"/>
  <c r="AB88" i="108" a="1"/>
  <c r="AI87" i="108" a="1"/>
  <c r="AB87" i="108" a="1"/>
  <c r="AJ90" i="108" a="1"/>
  <c r="AC90" i="108" a="1"/>
  <c r="AI90" i="108" a="1"/>
  <c r="AI90" i="108" s="1"/>
  <c r="AA90" i="108" a="1"/>
  <c r="AA90" i="108" s="1"/>
  <c r="AC89" i="108" a="1"/>
  <c r="U89" i="108" a="1"/>
  <c r="AG88" i="108" a="1"/>
  <c r="Y88" i="108" a="1"/>
  <c r="AJ87" i="108" a="1"/>
  <c r="AJ87" i="108" s="1"/>
  <c r="AC87" i="108" a="1"/>
  <c r="Y90" i="108" a="1"/>
  <c r="AI89" i="108" a="1"/>
  <c r="AA89" i="108" a="1"/>
  <c r="AE88" i="108" a="1"/>
  <c r="W88" i="108" a="1"/>
  <c r="AH87" i="108" a="1"/>
  <c r="AH87" i="108" s="1"/>
  <c r="Z87" i="108" a="1"/>
  <c r="AE90" i="108" a="1"/>
  <c r="V90" i="108" a="1"/>
  <c r="V90" i="108" s="1"/>
  <c r="AF89" i="108" a="1"/>
  <c r="W89" i="108" a="1"/>
  <c r="W89" i="108" s="1"/>
  <c r="AC88" i="108" a="1"/>
  <c r="AE87" i="108" a="1"/>
  <c r="AE87" i="108" s="1"/>
  <c r="W87" i="108" a="1"/>
  <c r="AF90" i="108" a="1"/>
  <c r="AF90" i="108" s="1"/>
  <c r="AB89" i="108" a="1"/>
  <c r="Z88" i="108" a="1"/>
  <c r="V87" i="108" a="1"/>
  <c r="Y89" i="108" a="1"/>
  <c r="X88" i="108" a="1"/>
  <c r="AG87" i="108" a="1"/>
  <c r="AG87" i="108" s="1"/>
  <c r="U87" i="108" a="1"/>
  <c r="AD90" i="108" a="1"/>
  <c r="X89" i="108" a="1"/>
  <c r="AJ88" i="108" a="1"/>
  <c r="AJ88" i="108" s="1"/>
  <c r="V88" i="108" a="1"/>
  <c r="AF87" i="108" a="1"/>
  <c r="X90" i="108" a="1"/>
  <c r="AG89" i="108" a="1"/>
  <c r="AG89" i="108" s="1"/>
  <c r="AD88" i="108" a="1"/>
  <c r="AD88" i="108" s="1"/>
  <c r="AA87" i="108" a="1"/>
  <c r="AH85" i="108" a="1"/>
  <c r="Y87" i="108" a="1"/>
  <c r="N88" i="108" a="1"/>
  <c r="N88" i="108" s="1"/>
  <c r="H89" i="108" a="1"/>
  <c r="AE89" i="108" a="1"/>
  <c r="W90" i="108" a="1"/>
  <c r="W90" i="108" s="1"/>
  <c r="G94" i="108" a="1"/>
  <c r="G94" i="108" s="1"/>
  <c r="L96" i="108" a="1"/>
  <c r="L96" i="108" s="1"/>
  <c r="J104" i="108" a="1"/>
  <c r="F13" i="108"/>
  <c r="I11" i="108"/>
  <c r="D10" i="108"/>
  <c r="P10" i="108"/>
  <c r="F11" i="108"/>
  <c r="N13" i="108"/>
  <c r="AH25" i="108"/>
  <c r="AI75" i="108" a="1"/>
  <c r="AI75" i="108" s="1"/>
  <c r="AE75" i="108" a="1"/>
  <c r="AE75" i="108" s="1"/>
  <c r="AA75" i="108" a="1"/>
  <c r="AA75" i="108" s="1"/>
  <c r="W75" i="108" a="1"/>
  <c r="W75" i="108" s="1"/>
  <c r="AE76" i="108" a="1"/>
  <c r="AE76" i="108" s="1"/>
  <c r="AB76" i="108" a="1"/>
  <c r="AB76" i="108" s="1"/>
  <c r="AG75" i="108" a="1"/>
  <c r="AG75" i="108" s="1"/>
  <c r="X75" i="108" a="1"/>
  <c r="X75" i="108" s="1"/>
  <c r="AG74" i="108" a="1"/>
  <c r="AG74" i="108" s="1"/>
  <c r="X74" i="108" a="1"/>
  <c r="X74" i="108" s="1"/>
  <c r="AG73" i="108" a="1"/>
  <c r="AG73" i="108" s="1"/>
  <c r="X73" i="108" a="1"/>
  <c r="X73" i="108" s="1"/>
  <c r="AG76" i="108" a="1"/>
  <c r="AG76" i="108" s="1"/>
  <c r="W76" i="108" a="1"/>
  <c r="W76" i="108" s="1"/>
  <c r="AB75" i="108" a="1"/>
  <c r="AB75" i="108" s="1"/>
  <c r="AB74" i="108" a="1"/>
  <c r="AB74" i="108" s="1"/>
  <c r="AB73" i="108" a="1"/>
  <c r="AB73" i="108" s="1"/>
  <c r="W73" i="108" a="1"/>
  <c r="W73" i="108" s="1"/>
  <c r="AF76" i="108" a="1"/>
  <c r="AF76" i="108" s="1"/>
  <c r="AA76" i="108" a="1"/>
  <c r="AA76" i="108" s="1"/>
  <c r="AF75" i="108" a="1"/>
  <c r="AF75" i="108" s="1"/>
  <c r="AF74" i="108" a="1"/>
  <c r="AF74" i="108" s="1"/>
  <c r="W74" i="108" a="1"/>
  <c r="W74" i="108" s="1"/>
  <c r="AF73" i="108" a="1"/>
  <c r="AF73" i="108" s="1"/>
  <c r="AA73" i="108" a="1"/>
  <c r="AA73" i="108" s="1"/>
  <c r="AI76" i="108" a="1"/>
  <c r="AI76" i="108" s="1"/>
  <c r="AD76" i="108" a="1"/>
  <c r="AD76" i="108" s="1"/>
  <c r="U76" i="108" a="1"/>
  <c r="U76" i="108" s="1"/>
  <c r="AD75" i="108" a="1"/>
  <c r="AD75" i="108" s="1"/>
  <c r="U75" i="108" a="1"/>
  <c r="U75" i="108" s="1"/>
  <c r="AI74" i="108" a="1"/>
  <c r="AI74" i="108" s="1"/>
  <c r="Z74" i="108" a="1"/>
  <c r="Z74" i="108" s="1"/>
  <c r="U74" i="108" a="1"/>
  <c r="U74" i="108" s="1"/>
  <c r="AD73" i="108" a="1"/>
  <c r="AD73" i="108" s="1"/>
  <c r="U73" i="108" a="1"/>
  <c r="U73" i="108" s="1"/>
  <c r="Y73" i="108" a="1"/>
  <c r="Y73" i="108" s="1"/>
  <c r="AH73" i="108" a="1"/>
  <c r="AH73" i="108" s="1"/>
  <c r="Y74" i="108" a="1"/>
  <c r="Y74" i="108" s="1"/>
  <c r="Y75" i="108" a="1"/>
  <c r="Y75" i="108" s="1"/>
  <c r="AH75" i="108" a="1"/>
  <c r="AH75" i="108" s="1"/>
  <c r="Y76" i="108" a="1"/>
  <c r="Y76" i="108" s="1"/>
  <c r="Q88" i="108" a="1"/>
  <c r="J89" i="108" a="1"/>
  <c r="AH97" i="107"/>
  <c r="AF97" i="107"/>
  <c r="AG96" i="107"/>
  <c r="W95" i="107"/>
  <c r="AF94" i="107"/>
  <c r="AJ97" i="107"/>
  <c r="AJ96" i="107"/>
  <c r="Y94" i="107"/>
  <c r="AI97" i="107"/>
  <c r="AF96" i="107"/>
  <c r="AI95" i="107"/>
  <c r="X94" i="107"/>
  <c r="AJ94" i="107"/>
  <c r="AB95" i="107"/>
  <c r="AA96" i="107"/>
  <c r="X104" i="107"/>
  <c r="Y103" i="107"/>
  <c r="Y102" i="107"/>
  <c r="AB101" i="107"/>
  <c r="AB104" i="107"/>
  <c r="X103" i="107"/>
  <c r="AI102" i="107"/>
  <c r="U102" i="107"/>
  <c r="AG101" i="107"/>
  <c r="Y104" i="107"/>
  <c r="AJ103" i="107"/>
  <c r="U103" i="107"/>
  <c r="AF102" i="107"/>
  <c r="AF101" i="107"/>
  <c r="AA101" i="107"/>
  <c r="AD103" i="107"/>
  <c r="W104" i="107"/>
  <c r="V34" i="109"/>
  <c r="X31" i="109"/>
  <c r="AH32" i="109"/>
  <c r="AG34" i="109"/>
  <c r="W26" i="108"/>
  <c r="AH71" i="108" a="1"/>
  <c r="AH71" i="108" s="1"/>
  <c r="Z73" i="108" a="1"/>
  <c r="Z73" i="108" s="1"/>
  <c r="AI73" i="108" a="1"/>
  <c r="AI73" i="108" s="1"/>
  <c r="Z75" i="108" a="1"/>
  <c r="Z75" i="108" s="1"/>
  <c r="Z76" i="108" a="1"/>
  <c r="Z76" i="108" s="1"/>
  <c r="AJ76" i="108" a="1"/>
  <c r="AJ76" i="108" s="1"/>
  <c r="K89" i="108" a="1"/>
  <c r="K95" i="108" a="1"/>
  <c r="K95" i="108" s="1"/>
  <c r="M102" i="108" a="1"/>
  <c r="M102" i="108" s="1"/>
  <c r="R10" i="108"/>
  <c r="AG27" i="108"/>
  <c r="AI26" i="108"/>
  <c r="AC25" i="108"/>
  <c r="Y24" i="108"/>
  <c r="V27" i="108"/>
  <c r="AE26" i="108"/>
  <c r="AH24" i="108"/>
  <c r="Z26" i="108"/>
  <c r="AF24" i="108"/>
  <c r="Y26" i="108"/>
  <c r="AE24" i="108"/>
  <c r="AD27" i="108"/>
  <c r="AD25" i="108"/>
  <c r="U24" i="108"/>
  <c r="AA27" i="108"/>
  <c r="G55" i="108"/>
  <c r="F55" i="108"/>
  <c r="M54" i="108"/>
  <c r="N53" i="108"/>
  <c r="N55" i="108"/>
  <c r="L54" i="108"/>
  <c r="G53" i="108"/>
  <c r="I52" i="108"/>
  <c r="I55" i="108"/>
  <c r="G54" i="108"/>
  <c r="E53" i="108"/>
  <c r="E52" i="108"/>
  <c r="C55" i="108"/>
  <c r="C54" i="108"/>
  <c r="C52" i="108"/>
  <c r="O52" i="108"/>
  <c r="P50" i="108" a="1"/>
  <c r="AJ73" i="108" a="1"/>
  <c r="AJ73" i="108" s="1"/>
  <c r="AA74" i="108" a="1"/>
  <c r="AA74" i="108" s="1"/>
  <c r="AJ74" i="108" a="1"/>
  <c r="AJ74" i="108" s="1"/>
  <c r="AJ75" i="108" a="1"/>
  <c r="AJ75" i="108" s="1"/>
  <c r="I87" i="108" a="1"/>
  <c r="I87" i="108" s="1"/>
  <c r="C88" i="108" a="1"/>
  <c r="G90" i="108" a="1"/>
  <c r="K10" i="107"/>
  <c r="P11" i="107"/>
  <c r="F12" i="107"/>
  <c r="AI20" i="107"/>
  <c r="AJ20" i="107"/>
  <c r="Z20" i="107"/>
  <c r="AF19" i="107"/>
  <c r="W19" i="107"/>
  <c r="AC18" i="107"/>
  <c r="AJ17" i="107"/>
  <c r="Z17" i="107"/>
  <c r="AD17" i="107"/>
  <c r="Y18" i="107"/>
  <c r="AJ18" i="107"/>
  <c r="V19" i="107"/>
  <c r="AG19" i="107"/>
  <c r="AD20" i="107"/>
  <c r="K31" i="107"/>
  <c r="P33" i="107"/>
  <c r="I38" i="107"/>
  <c r="P39" i="107"/>
  <c r="I40" i="107"/>
  <c r="Q66" i="107"/>
  <c r="K67" i="107"/>
  <c r="I68" i="107"/>
  <c r="I76" i="107"/>
  <c r="M75" i="107"/>
  <c r="C75" i="107"/>
  <c r="I74" i="107"/>
  <c r="M73" i="107"/>
  <c r="C73" i="107"/>
  <c r="R76" i="107"/>
  <c r="G76" i="107"/>
  <c r="L75" i="107"/>
  <c r="R74" i="107"/>
  <c r="L73" i="107"/>
  <c r="J74" i="107"/>
  <c r="F75" i="107"/>
  <c r="E76" i="107"/>
  <c r="AE80" i="107"/>
  <c r="AF81" i="107"/>
  <c r="K90" i="107"/>
  <c r="G89" i="107"/>
  <c r="Q88" i="107"/>
  <c r="F87" i="107"/>
  <c r="F90" i="107"/>
  <c r="F89" i="107"/>
  <c r="J88" i="107"/>
  <c r="L87" i="107"/>
  <c r="C90" i="107"/>
  <c r="E89" i="107"/>
  <c r="F88" i="107"/>
  <c r="I87" i="107"/>
  <c r="V87" i="107"/>
  <c r="D88" i="107"/>
  <c r="AD88" i="107"/>
  <c r="R89" i="107"/>
  <c r="AI89" i="107"/>
  <c r="AH95" i="107"/>
  <c r="AD101" i="107"/>
  <c r="X102" i="107"/>
  <c r="AI103" i="107"/>
  <c r="AD104" i="107"/>
  <c r="Y31" i="109"/>
  <c r="Q45" i="109"/>
  <c r="M46" i="109"/>
  <c r="N47" i="109"/>
  <c r="M48" i="109"/>
  <c r="AB61" i="109"/>
  <c r="AF62" i="109"/>
  <c r="M66" i="109"/>
  <c r="D67" i="109"/>
  <c r="Q68" i="109"/>
  <c r="G69" i="109"/>
  <c r="J12" i="108"/>
  <c r="K20" i="108"/>
  <c r="R19" i="108"/>
  <c r="H19" i="108"/>
  <c r="O18" i="108"/>
  <c r="D18" i="108"/>
  <c r="K17" i="108"/>
  <c r="M20" i="108"/>
  <c r="G19" i="108"/>
  <c r="L18" i="108"/>
  <c r="R17" i="108"/>
  <c r="G17" i="108"/>
  <c r="L20" i="108"/>
  <c r="Q19" i="108"/>
  <c r="D19" i="108"/>
  <c r="K18" i="108"/>
  <c r="Q17" i="108"/>
  <c r="E17" i="108"/>
  <c r="I20" i="108"/>
  <c r="P19" i="108"/>
  <c r="C19" i="108"/>
  <c r="I18" i="108"/>
  <c r="P17" i="108"/>
  <c r="C17" i="108"/>
  <c r="Q20" i="108"/>
  <c r="E20" i="108"/>
  <c r="K19" i="108"/>
  <c r="Q18" i="108"/>
  <c r="F18" i="108"/>
  <c r="J17" i="108"/>
  <c r="P15" i="108" a="1"/>
  <c r="P15" i="108" s="1"/>
  <c r="I19" i="108"/>
  <c r="H20" i="108"/>
  <c r="AH22" i="108" a="1"/>
  <c r="AI27" i="108"/>
  <c r="Z55" i="108"/>
  <c r="AA54" i="108"/>
  <c r="AD53" i="108"/>
  <c r="AF52" i="108"/>
  <c r="V52" i="108"/>
  <c r="AH50" i="108" a="1"/>
  <c r="AH50" i="108" s="1"/>
  <c r="AD55" i="108"/>
  <c r="AD54" i="108"/>
  <c r="AA53" i="108"/>
  <c r="Z52" i="108"/>
  <c r="AC55" i="108"/>
  <c r="Z54" i="108"/>
  <c r="Z53" i="108"/>
  <c r="Y52" i="108"/>
  <c r="AA55" i="108"/>
  <c r="Y54" i="108"/>
  <c r="Y53" i="108"/>
  <c r="AI52" i="108"/>
  <c r="X52" i="108"/>
  <c r="AH55" i="108"/>
  <c r="V55" i="108"/>
  <c r="AG54" i="108"/>
  <c r="V54" i="108"/>
  <c r="AF53" i="108"/>
  <c r="U53" i="108"/>
  <c r="AE52" i="108"/>
  <c r="AG52" i="108"/>
  <c r="AH53" i="108"/>
  <c r="AH54" i="108"/>
  <c r="AI55" i="108"/>
  <c r="Z67" i="108"/>
  <c r="AC73" i="108" a="1"/>
  <c r="AC73" i="108" s="1"/>
  <c r="AC74" i="108" a="1"/>
  <c r="AC74" i="108" s="1"/>
  <c r="AC75" i="108" a="1"/>
  <c r="AC75" i="108" s="1"/>
  <c r="AC76" i="108" a="1"/>
  <c r="AC76" i="108" s="1"/>
  <c r="K87" i="108" a="1"/>
  <c r="K87" i="108" s="1"/>
  <c r="P89" i="108" a="1"/>
  <c r="P89" i="108" s="1"/>
  <c r="I90" i="108" a="1"/>
  <c r="L97" i="108" a="1"/>
  <c r="L97" i="108" s="1"/>
  <c r="G97" i="108" a="1"/>
  <c r="G97" i="108" s="1"/>
  <c r="M97" i="108" a="1"/>
  <c r="M97" i="108" s="1"/>
  <c r="Q96" i="108" a="1"/>
  <c r="Q96" i="108" s="1"/>
  <c r="H96" i="108" a="1"/>
  <c r="H96" i="108" s="1"/>
  <c r="R95" i="108" a="1"/>
  <c r="R95" i="108" s="1"/>
  <c r="I95" i="108" a="1"/>
  <c r="I95" i="108" s="1"/>
  <c r="N94" i="108" a="1"/>
  <c r="N94" i="108" s="1"/>
  <c r="F97" i="108" a="1"/>
  <c r="N96" i="108" a="1"/>
  <c r="N96" i="108" s="1"/>
  <c r="I96" i="108" a="1"/>
  <c r="I96" i="108" s="1"/>
  <c r="D96" i="108" a="1"/>
  <c r="D96" i="108" s="1"/>
  <c r="Q95" i="108" a="1"/>
  <c r="Q95" i="108" s="1"/>
  <c r="L95" i="108" a="1"/>
  <c r="L95" i="108" s="1"/>
  <c r="G95" i="108" a="1"/>
  <c r="G95" i="108" s="1"/>
  <c r="D94" i="108" a="1"/>
  <c r="D94" i="108" s="1"/>
  <c r="N97" i="108" a="1"/>
  <c r="E97" i="108" a="1"/>
  <c r="E97" i="108" s="1"/>
  <c r="P94" i="108" a="1"/>
  <c r="P94" i="108" s="1"/>
  <c r="J94" i="108" a="1"/>
  <c r="J94" i="108" s="1"/>
  <c r="R97" i="108" a="1"/>
  <c r="K97" i="108" a="1"/>
  <c r="K97" i="108" s="1"/>
  <c r="D97" i="108" a="1"/>
  <c r="D97" i="108" s="1"/>
  <c r="P96" i="108" a="1"/>
  <c r="P96" i="108" s="1"/>
  <c r="J96" i="108" a="1"/>
  <c r="J96" i="108" s="1"/>
  <c r="P95" i="108" a="1"/>
  <c r="P95" i="108" s="1"/>
  <c r="J95" i="108" a="1"/>
  <c r="J95" i="108" s="1"/>
  <c r="D95" i="108" a="1"/>
  <c r="D95" i="108" s="1"/>
  <c r="O94" i="108" a="1"/>
  <c r="O94" i="108" s="1"/>
  <c r="H94" i="108" a="1"/>
  <c r="H94" i="108" s="1"/>
  <c r="C94" i="108" a="1"/>
  <c r="C94" i="108" s="1"/>
  <c r="I97" i="108" a="1"/>
  <c r="N95" i="108" a="1"/>
  <c r="N95" i="108" s="1"/>
  <c r="H95" i="108" a="1"/>
  <c r="H95" i="108" s="1"/>
  <c r="L94" i="108" a="1"/>
  <c r="L94" i="108" s="1"/>
  <c r="P97" i="108" a="1"/>
  <c r="P97" i="108" s="1"/>
  <c r="O95" i="108" a="1"/>
  <c r="O95" i="108" s="1"/>
  <c r="E95" i="108" a="1"/>
  <c r="E95" i="108" s="1"/>
  <c r="M94" i="108" a="1"/>
  <c r="M94" i="108" s="1"/>
  <c r="E94" i="108" a="1"/>
  <c r="E94" i="108" s="1"/>
  <c r="O97" i="108" a="1"/>
  <c r="O97" i="108" s="1"/>
  <c r="R96" i="108" a="1"/>
  <c r="R96" i="108" s="1"/>
  <c r="M95" i="108" a="1"/>
  <c r="M95" i="108" s="1"/>
  <c r="C97" i="108" a="1"/>
  <c r="C97" i="108" s="1"/>
  <c r="G96" i="108" a="1"/>
  <c r="G96" i="108" s="1"/>
  <c r="C95" i="108" a="1"/>
  <c r="C95" i="108" s="1"/>
  <c r="J97" i="108" a="1"/>
  <c r="M96" i="108" a="1"/>
  <c r="M96" i="108" s="1"/>
  <c r="C96" i="108" a="1"/>
  <c r="C96" i="108" s="1"/>
  <c r="Q94" i="108" a="1"/>
  <c r="Q94" i="108" s="1"/>
  <c r="P92" i="108" a="1"/>
  <c r="Q97" i="108" a="1"/>
  <c r="Q97" i="108" s="1"/>
  <c r="I104" i="108" a="1"/>
  <c r="R103" i="108" a="1"/>
  <c r="R103" i="108" s="1"/>
  <c r="F103" i="108" a="1"/>
  <c r="P102" i="108" a="1"/>
  <c r="P102" i="108" s="1"/>
  <c r="J102" i="108" a="1"/>
  <c r="J102" i="108" s="1"/>
  <c r="D102" i="108" a="1"/>
  <c r="D102" i="108" s="1"/>
  <c r="O101" i="108" a="1"/>
  <c r="I101" i="108" a="1"/>
  <c r="I101" i="108" s="1"/>
  <c r="D101" i="108" a="1"/>
  <c r="D101" i="108" s="1"/>
  <c r="O104" i="108" a="1"/>
  <c r="O104" i="108" s="1"/>
  <c r="G104" i="108" a="1"/>
  <c r="P103" i="108" a="1"/>
  <c r="P103" i="108" s="1"/>
  <c r="I103" i="108" a="1"/>
  <c r="R102" i="108" a="1"/>
  <c r="R102" i="108" s="1"/>
  <c r="L102" i="108" a="1"/>
  <c r="N101" i="108" a="1"/>
  <c r="H101" i="108" a="1"/>
  <c r="H101" i="108" s="1"/>
  <c r="P99" i="108" a="1"/>
  <c r="P99" i="108" s="1"/>
  <c r="K104" i="108" a="1"/>
  <c r="J103" i="108" a="1"/>
  <c r="E101" i="108" a="1"/>
  <c r="K103" i="108" a="1"/>
  <c r="K103" i="108" s="1"/>
  <c r="Q102" i="108" a="1"/>
  <c r="H102" i="108" a="1"/>
  <c r="P101" i="108" a="1"/>
  <c r="P101" i="108" s="1"/>
  <c r="L104" i="108" a="1"/>
  <c r="Q103" i="108" a="1"/>
  <c r="O102" i="108" a="1"/>
  <c r="F102" i="108" a="1"/>
  <c r="M101" i="108" a="1"/>
  <c r="M101" i="108" s="1"/>
  <c r="F101" i="108" a="1"/>
  <c r="F101" i="108" s="1"/>
  <c r="Q104" i="108" a="1"/>
  <c r="F104" i="108" a="1"/>
  <c r="N103" i="108" a="1"/>
  <c r="D103" i="108" a="1"/>
  <c r="D103" i="108" s="1"/>
  <c r="R101" i="108" a="1"/>
  <c r="R101" i="108" s="1"/>
  <c r="K101" i="108" a="1"/>
  <c r="C101" i="108" a="1"/>
  <c r="H104" i="108" a="1"/>
  <c r="H103" i="108" a="1"/>
  <c r="H103" i="108" s="1"/>
  <c r="K102" i="108" a="1"/>
  <c r="E104" i="108" a="1"/>
  <c r="E104" i="108" s="1"/>
  <c r="G103" i="108" a="1"/>
  <c r="I102" i="108" a="1"/>
  <c r="L101" i="108" a="1"/>
  <c r="L101" i="108" s="1"/>
  <c r="D104" i="108" a="1"/>
  <c r="D104" i="108" s="1"/>
  <c r="E103" i="108" a="1"/>
  <c r="G102" i="108" a="1"/>
  <c r="J101" i="108" a="1"/>
  <c r="R104" i="108" a="1"/>
  <c r="R104" i="108" s="1"/>
  <c r="C104" i="108" a="1"/>
  <c r="E102" i="108" a="1"/>
  <c r="E102" i="108" s="1"/>
  <c r="N104" i="108" a="1"/>
  <c r="N104" i="108" s="1"/>
  <c r="O103" i="108" a="1"/>
  <c r="Q101" i="108" a="1"/>
  <c r="Q101" i="108" s="1"/>
  <c r="C103" i="108" a="1"/>
  <c r="I62" i="110"/>
  <c r="O61" i="110"/>
  <c r="D60" i="110"/>
  <c r="K59" i="110"/>
  <c r="P57" i="110" a="1"/>
  <c r="P57" i="110" s="1"/>
  <c r="Q60" i="110"/>
  <c r="C59" i="110"/>
  <c r="O62" i="110"/>
  <c r="K61" i="110"/>
  <c r="F60" i="110"/>
  <c r="Q61" i="110"/>
  <c r="K60" i="110"/>
  <c r="H59" i="110"/>
  <c r="F61" i="110"/>
  <c r="O60" i="110"/>
  <c r="N62" i="110"/>
  <c r="N59" i="110"/>
  <c r="Q59" i="110"/>
  <c r="N61" i="110"/>
  <c r="N60" i="110"/>
  <c r="O59" i="110"/>
  <c r="H62" i="110"/>
  <c r="M61" i="110"/>
  <c r="I60" i="110"/>
  <c r="L59" i="110"/>
  <c r="E62" i="110"/>
  <c r="C61" i="110"/>
  <c r="F62" i="110"/>
  <c r="F59" i="110"/>
  <c r="D61" i="110"/>
  <c r="D59" i="110"/>
  <c r="G113" i="81"/>
  <c r="E113" i="81"/>
  <c r="E119" i="81"/>
  <c r="H119" i="81" s="1"/>
  <c r="C119" i="81"/>
  <c r="P13" i="107"/>
  <c r="K12" i="107"/>
  <c r="I11" i="107"/>
  <c r="G10" i="107"/>
  <c r="L10" i="107"/>
  <c r="Q11" i="107"/>
  <c r="G12" i="107"/>
  <c r="Q13" i="107"/>
  <c r="O34" i="107"/>
  <c r="J34" i="107"/>
  <c r="G33" i="107"/>
  <c r="N32" i="107"/>
  <c r="N31" i="107"/>
  <c r="M31" i="107"/>
  <c r="C32" i="107"/>
  <c r="R33" i="107"/>
  <c r="H34" i="107"/>
  <c r="I41" i="107"/>
  <c r="N40" i="107"/>
  <c r="J39" i="107"/>
  <c r="P38" i="107"/>
  <c r="F38" i="107"/>
  <c r="J38" i="107"/>
  <c r="C39" i="107"/>
  <c r="R39" i="107"/>
  <c r="K40" i="107"/>
  <c r="H41" i="107"/>
  <c r="I69" i="107"/>
  <c r="M69" i="107"/>
  <c r="F67" i="107"/>
  <c r="K66" i="107"/>
  <c r="R66" i="107"/>
  <c r="P67" i="107"/>
  <c r="K68" i="107"/>
  <c r="G69" i="107"/>
  <c r="AF83" i="107"/>
  <c r="AJ82" i="107"/>
  <c r="X82" i="107"/>
  <c r="AA81" i="107"/>
  <c r="AF80" i="107"/>
  <c r="AI83" i="107"/>
  <c r="U83" i="107"/>
  <c r="U82" i="107"/>
  <c r="Y81" i="107"/>
  <c r="AB80" i="107"/>
  <c r="AH83" i="107"/>
  <c r="AI82" i="107"/>
  <c r="AJ81" i="107"/>
  <c r="W81" i="107"/>
  <c r="AA80" i="107"/>
  <c r="AG80" i="107"/>
  <c r="AG81" i="107"/>
  <c r="X83" i="107"/>
  <c r="AE90" i="107"/>
  <c r="U90" i="107"/>
  <c r="AJ89" i="107"/>
  <c r="Y89" i="107"/>
  <c r="AC88" i="107"/>
  <c r="AG87" i="107"/>
  <c r="W87" i="107"/>
  <c r="X90" i="107"/>
  <c r="AA89" i="107"/>
  <c r="AA88" i="107"/>
  <c r="AB87" i="107"/>
  <c r="AJ90" i="107"/>
  <c r="W90" i="107"/>
  <c r="X89" i="107"/>
  <c r="X88" i="107"/>
  <c r="AA87" i="107"/>
  <c r="X87" i="107"/>
  <c r="AE88" i="107"/>
  <c r="V89" i="107"/>
  <c r="AC90" i="107"/>
  <c r="X97" i="107"/>
  <c r="AJ101" i="107"/>
  <c r="AB102" i="107"/>
  <c r="AE104" i="107"/>
  <c r="R45" i="109"/>
  <c r="P46" i="109"/>
  <c r="O47" i="109"/>
  <c r="AA59" i="109"/>
  <c r="U60" i="109"/>
  <c r="AG61" i="109"/>
  <c r="O66" i="109"/>
  <c r="H67" i="109"/>
  <c r="R68" i="109"/>
  <c r="G76" i="109"/>
  <c r="I75" i="109"/>
  <c r="P74" i="109"/>
  <c r="R73" i="109"/>
  <c r="C76" i="109"/>
  <c r="C75" i="109"/>
  <c r="H74" i="109"/>
  <c r="H73" i="109"/>
  <c r="G74" i="109"/>
  <c r="F73" i="109"/>
  <c r="D76" i="109"/>
  <c r="K12" i="108"/>
  <c r="X24" i="108"/>
  <c r="H34" i="108"/>
  <c r="J34" i="108"/>
  <c r="G33" i="108"/>
  <c r="P33" i="108"/>
  <c r="J32" i="108"/>
  <c r="R34" i="108"/>
  <c r="O33" i="108"/>
  <c r="G32" i="108"/>
  <c r="Q34" i="108"/>
  <c r="I33" i="108"/>
  <c r="P29" i="108" a="1"/>
  <c r="R32" i="108"/>
  <c r="N31" i="108"/>
  <c r="P32" i="108"/>
  <c r="N34" i="108"/>
  <c r="Z69" i="108"/>
  <c r="AB68" i="108"/>
  <c r="AH67" i="108"/>
  <c r="W66" i="108"/>
  <c r="AI69" i="108"/>
  <c r="V68" i="108"/>
  <c r="Y67" i="108"/>
  <c r="AB66" i="108"/>
  <c r="AH69" i="108"/>
  <c r="AJ68" i="108"/>
  <c r="W67" i="108"/>
  <c r="AA66" i="108"/>
  <c r="AG69" i="108"/>
  <c r="AH68" i="108"/>
  <c r="AJ67" i="108"/>
  <c r="V67" i="108"/>
  <c r="V66" i="108"/>
  <c r="AA69" i="108"/>
  <c r="AA68" i="108"/>
  <c r="AC67" i="108"/>
  <c r="AG66" i="108"/>
  <c r="AA67" i="108"/>
  <c r="W69" i="108"/>
  <c r="AD74" i="108" a="1"/>
  <c r="AD74" i="108" s="1"/>
  <c r="E88" i="108" a="1"/>
  <c r="E88" i="108" s="1"/>
  <c r="Y97" i="107"/>
  <c r="AC102" i="107"/>
  <c r="AG104" i="107"/>
  <c r="J48" i="109"/>
  <c r="R47" i="109"/>
  <c r="I46" i="109"/>
  <c r="F45" i="109"/>
  <c r="E48" i="109"/>
  <c r="K47" i="109"/>
  <c r="J45" i="109"/>
  <c r="H47" i="109"/>
  <c r="Q46" i="109"/>
  <c r="G45" i="109"/>
  <c r="Q48" i="109"/>
  <c r="AA62" i="109"/>
  <c r="X59" i="109"/>
  <c r="V61" i="109"/>
  <c r="AF59" i="109"/>
  <c r="AA60" i="109"/>
  <c r="M69" i="109"/>
  <c r="H69" i="109"/>
  <c r="J68" i="109"/>
  <c r="L67" i="109"/>
  <c r="N66" i="109"/>
  <c r="K69" i="109"/>
  <c r="I68" i="109"/>
  <c r="G67" i="109"/>
  <c r="F66" i="109"/>
  <c r="I69" i="109"/>
  <c r="H68" i="109"/>
  <c r="E67" i="109"/>
  <c r="E66" i="109"/>
  <c r="Q66" i="109"/>
  <c r="K67" i="109"/>
  <c r="O69" i="109"/>
  <c r="Z24" i="108"/>
  <c r="L52" i="108"/>
  <c r="H53" i="108"/>
  <c r="N54" i="108"/>
  <c r="Q55" i="108"/>
  <c r="V74" i="108" a="1"/>
  <c r="V74" i="108" s="1"/>
  <c r="AE74" i="108" a="1"/>
  <c r="AE74" i="108" s="1"/>
  <c r="N87" i="108" a="1"/>
  <c r="N87" i="108" s="1"/>
  <c r="H88" i="108" a="1"/>
  <c r="H88" i="108" s="1"/>
  <c r="M90" i="108" a="1"/>
  <c r="M90" i="108" s="1"/>
  <c r="E95" i="109"/>
  <c r="C95" i="109"/>
  <c r="P92" i="109"/>
  <c r="K95" i="109"/>
  <c r="AE41" i="108"/>
  <c r="U40" i="108"/>
  <c r="AH36" i="108" a="1"/>
  <c r="AD40" i="108"/>
  <c r="N48" i="108"/>
  <c r="X81" i="108" a="1"/>
  <c r="AE81" i="108" a="1"/>
  <c r="AE81" i="108" s="1"/>
  <c r="AH82" i="108" a="1"/>
  <c r="AH82" i="108" s="1"/>
  <c r="U83" i="108" a="1"/>
  <c r="U83" i="108" s="1"/>
  <c r="AD83" i="108" a="1"/>
  <c r="AD83" i="108" s="1"/>
  <c r="AH10" i="110"/>
  <c r="AF13" i="110"/>
  <c r="AJ55" i="110"/>
  <c r="X52" i="110"/>
  <c r="AH50" i="110" a="1"/>
  <c r="AA55" i="110"/>
  <c r="X54" i="110"/>
  <c r="U53" i="110"/>
  <c r="W52" i="110"/>
  <c r="AF55" i="110"/>
  <c r="AA54" i="110"/>
  <c r="AC55" i="110"/>
  <c r="AE52" i="110"/>
  <c r="X53" i="110"/>
  <c r="AJ53" i="110"/>
  <c r="M41" i="110"/>
  <c r="I40" i="110"/>
  <c r="Q39" i="110"/>
  <c r="M38" i="110"/>
  <c r="P36" i="110" a="1"/>
  <c r="C40" i="110"/>
  <c r="L39" i="110"/>
  <c r="Q38" i="110"/>
  <c r="E41" i="110"/>
  <c r="J40" i="110"/>
  <c r="J39" i="110"/>
  <c r="G38" i="110"/>
  <c r="M40" i="110"/>
  <c r="N38" i="110"/>
  <c r="J41" i="110"/>
  <c r="Q40" i="110"/>
  <c r="D38" i="110"/>
  <c r="C41" i="110"/>
  <c r="N40" i="110"/>
  <c r="C38" i="110"/>
  <c r="L40" i="110"/>
  <c r="R41" i="110"/>
  <c r="K39" i="110"/>
  <c r="C39" i="110"/>
  <c r="W20" i="109"/>
  <c r="V20" i="109"/>
  <c r="AA18" i="109"/>
  <c r="U17" i="109"/>
  <c r="AD18" i="109"/>
  <c r="F27" i="109"/>
  <c r="P25" i="109"/>
  <c r="F24" i="109"/>
  <c r="J25" i="109"/>
  <c r="AG41" i="109"/>
  <c r="AD41" i="109"/>
  <c r="Y40" i="109"/>
  <c r="AG39" i="109"/>
  <c r="V39" i="109"/>
  <c r="AC38" i="109"/>
  <c r="AB38" i="109"/>
  <c r="Y39" i="109"/>
  <c r="AF40" i="109"/>
  <c r="AC41" i="109"/>
  <c r="I94" i="109"/>
  <c r="C96" i="109"/>
  <c r="AE13" i="108"/>
  <c r="U12" i="108"/>
  <c r="AE12" i="108"/>
  <c r="AG13" i="108"/>
  <c r="AD38" i="108"/>
  <c r="AD41" i="108"/>
  <c r="D45" i="108"/>
  <c r="I46" i="108"/>
  <c r="N47" i="108"/>
  <c r="D48" i="108"/>
  <c r="AI61" i="108"/>
  <c r="X80" i="108" a="1"/>
  <c r="AA81" i="108" a="1"/>
  <c r="AA81" i="108" s="1"/>
  <c r="AH81" i="108" a="1"/>
  <c r="AH81" i="108" s="1"/>
  <c r="Y83" i="108" a="1"/>
  <c r="Y83" i="108" s="1"/>
  <c r="AF11" i="110"/>
  <c r="V12" i="110"/>
  <c r="Z20" i="110"/>
  <c r="AH18" i="110"/>
  <c r="Y17" i="110"/>
  <c r="X18" i="110"/>
  <c r="W20" i="110"/>
  <c r="AD19" i="110"/>
  <c r="AI18" i="110"/>
  <c r="AC20" i="110"/>
  <c r="AA17" i="110"/>
  <c r="AH19" i="110"/>
  <c r="AF18" i="110"/>
  <c r="AE19" i="110"/>
  <c r="Z18" i="110"/>
  <c r="AD17" i="110"/>
  <c r="AH15" i="110" a="1"/>
  <c r="AH15" i="110" s="1"/>
  <c r="AB34" i="110"/>
  <c r="AI33" i="110"/>
  <c r="Y33" i="110"/>
  <c r="AD32" i="110"/>
  <c r="AJ31" i="110"/>
  <c r="Z31" i="110"/>
  <c r="AC34" i="110"/>
  <c r="AH33" i="110"/>
  <c r="V33" i="110"/>
  <c r="AA32" i="110"/>
  <c r="AE31" i="110"/>
  <c r="AH29" i="110" a="1"/>
  <c r="AH29" i="110" s="1"/>
  <c r="AA34" i="110"/>
  <c r="AE33" i="110"/>
  <c r="AI32" i="110"/>
  <c r="U32" i="110"/>
  <c r="W31" i="110"/>
  <c r="AG34" i="110"/>
  <c r="W33" i="110"/>
  <c r="Z32" i="110"/>
  <c r="AB31" i="110"/>
  <c r="AE34" i="110"/>
  <c r="AD33" i="110"/>
  <c r="AC32" i="110"/>
  <c r="AA31" i="110"/>
  <c r="W34" i="110"/>
  <c r="U33" i="110"/>
  <c r="AH31" i="110"/>
  <c r="V34" i="110"/>
  <c r="AJ32" i="110"/>
  <c r="AG31" i="110"/>
  <c r="U34" i="110"/>
  <c r="AG32" i="110"/>
  <c r="AD31" i="110"/>
  <c r="AI34" i="110"/>
  <c r="AB33" i="110"/>
  <c r="W32" i="110"/>
  <c r="U31" i="110"/>
  <c r="Z33" i="110"/>
  <c r="M39" i="110"/>
  <c r="G47" i="110"/>
  <c r="W54" i="110"/>
  <c r="Y31" i="107"/>
  <c r="AH31" i="107"/>
  <c r="AC32" i="107"/>
  <c r="W33" i="107"/>
  <c r="AF33" i="107"/>
  <c r="Y34" i="107"/>
  <c r="AH34" i="107"/>
  <c r="K97" i="107"/>
  <c r="K96" i="107"/>
  <c r="E94" i="107"/>
  <c r="O95" i="107"/>
  <c r="E96" i="107"/>
  <c r="AE13" i="109"/>
  <c r="W12" i="109"/>
  <c r="AE11" i="109"/>
  <c r="W10" i="109"/>
  <c r="AG27" i="109"/>
  <c r="AC27" i="109"/>
  <c r="X26" i="109"/>
  <c r="AE25" i="109"/>
  <c r="AB24" i="109"/>
  <c r="Y24" i="109"/>
  <c r="M25" i="109"/>
  <c r="AG25" i="109"/>
  <c r="AA26" i="109"/>
  <c r="V27" i="109"/>
  <c r="AH27" i="109"/>
  <c r="AF36" i="109"/>
  <c r="AE38" i="109"/>
  <c r="Z39" i="109"/>
  <c r="U40" i="109"/>
  <c r="AG40" i="109"/>
  <c r="AE41" i="109"/>
  <c r="AC87" i="109"/>
  <c r="O94" i="109"/>
  <c r="G96" i="109"/>
  <c r="AH8" i="108"/>
  <c r="U11" i="108"/>
  <c r="AG12" i="108"/>
  <c r="AH13" i="108"/>
  <c r="AJ41" i="108"/>
  <c r="E45" i="108"/>
  <c r="L46" i="108"/>
  <c r="Q47" i="108"/>
  <c r="X62" i="108"/>
  <c r="AI62" i="108"/>
  <c r="U61" i="108"/>
  <c r="AE60" i="108"/>
  <c r="Z59" i="108"/>
  <c r="AH62" i="108"/>
  <c r="AE80" i="108" a="1"/>
  <c r="AB81" i="108" a="1"/>
  <c r="AD20" i="110"/>
  <c r="AA33" i="110"/>
  <c r="J38" i="110"/>
  <c r="N39" i="110"/>
  <c r="I48" i="110"/>
  <c r="L47" i="110"/>
  <c r="O46" i="110"/>
  <c r="C46" i="110"/>
  <c r="E45" i="110"/>
  <c r="C48" i="110"/>
  <c r="Q47" i="110"/>
  <c r="C47" i="110"/>
  <c r="P46" i="110"/>
  <c r="O45" i="110"/>
  <c r="D48" i="110"/>
  <c r="P47" i="110"/>
  <c r="K46" i="110"/>
  <c r="G45" i="110"/>
  <c r="L48" i="110"/>
  <c r="F47" i="110"/>
  <c r="K45" i="110"/>
  <c r="N48" i="110"/>
  <c r="H47" i="110"/>
  <c r="N46" i="110"/>
  <c r="E47" i="110"/>
  <c r="F46" i="110"/>
  <c r="I45" i="110"/>
  <c r="E46" i="110"/>
  <c r="H45" i="110"/>
  <c r="D46" i="110"/>
  <c r="C45" i="110"/>
  <c r="M48" i="110"/>
  <c r="O47" i="110"/>
  <c r="P43" i="110" a="1"/>
  <c r="P43" i="110" s="1"/>
  <c r="G46" i="110"/>
  <c r="I47" i="110"/>
  <c r="O48" i="110"/>
  <c r="AJ54" i="110"/>
  <c r="Q94" i="109"/>
  <c r="V39" i="108"/>
  <c r="I48" i="108"/>
  <c r="I47" i="108"/>
  <c r="J46" i="108"/>
  <c r="K45" i="108"/>
  <c r="I45" i="108"/>
  <c r="M46" i="108"/>
  <c r="C47" i="108"/>
  <c r="R47" i="108"/>
  <c r="F48" i="108"/>
  <c r="R69" i="108"/>
  <c r="M67" i="108"/>
  <c r="I69" i="108"/>
  <c r="AG83" i="108" a="1"/>
  <c r="AG83" i="108" s="1"/>
  <c r="AB83" i="108" a="1"/>
  <c r="W83" i="108" a="1"/>
  <c r="W83" i="108" s="1"/>
  <c r="Y82" i="108" a="1"/>
  <c r="Y82" i="108" s="1"/>
  <c r="AF81" i="108" a="1"/>
  <c r="V81" i="108" a="1"/>
  <c r="AI80" i="108" a="1"/>
  <c r="AI80" i="108" s="1"/>
  <c r="AD80" i="108" a="1"/>
  <c r="AD80" i="108" s="1"/>
  <c r="AI83" i="108" a="1"/>
  <c r="AI83" i="108" s="1"/>
  <c r="AB82" i="108" a="1"/>
  <c r="Z81" i="108" a="1"/>
  <c r="Z81" i="108" s="1"/>
  <c r="U80" i="108" a="1"/>
  <c r="U80" i="108" s="1"/>
  <c r="AH83" i="108" a="1"/>
  <c r="AH83" i="108" s="1"/>
  <c r="U82" i="108" a="1"/>
  <c r="U82" i="108" s="1"/>
  <c r="AJ81" i="108" a="1"/>
  <c r="AD81" i="108" a="1"/>
  <c r="AD81" i="108" s="1"/>
  <c r="Y81" i="108" a="1"/>
  <c r="Y81" i="108" s="1"/>
  <c r="AF83" i="108" a="1"/>
  <c r="Z83" i="108" a="1"/>
  <c r="Z83" i="108" s="1"/>
  <c r="AJ82" i="108" a="1"/>
  <c r="AD82" i="108" a="1"/>
  <c r="AD82" i="108" s="1"/>
  <c r="Y80" i="108" a="1"/>
  <c r="Y80" i="108" s="1"/>
  <c r="AF80" i="108" a="1"/>
  <c r="U81" i="108" a="1"/>
  <c r="U81" i="108" s="1"/>
  <c r="AI81" i="108" a="1"/>
  <c r="AI81" i="108" s="1"/>
  <c r="V82" i="108" a="1"/>
  <c r="AE82" i="108" a="1"/>
  <c r="AJ83" i="108" a="1"/>
  <c r="AH13" i="110"/>
  <c r="AE13" i="110"/>
  <c r="W11" i="110"/>
  <c r="AE10" i="110"/>
  <c r="AF12" i="110"/>
  <c r="AH11" i="110"/>
  <c r="V13" i="110"/>
  <c r="AG10" i="110"/>
  <c r="AD13" i="110"/>
  <c r="AE11" i="110"/>
  <c r="V10" i="110"/>
  <c r="U13" i="110"/>
  <c r="AA11" i="110"/>
  <c r="Z12" i="110"/>
  <c r="AD10" i="110"/>
  <c r="U10" i="110"/>
  <c r="AD12" i="110"/>
  <c r="O38" i="110"/>
  <c r="AI52" i="110"/>
  <c r="K41" i="110"/>
  <c r="AG97" i="108" a="1"/>
  <c r="AG97" i="108" s="1"/>
  <c r="Z97" i="108" a="1"/>
  <c r="AC96" i="108" a="1"/>
  <c r="U96" i="108" a="1"/>
  <c r="AC95" i="108" a="1"/>
  <c r="U95" i="108" a="1"/>
  <c r="U95" i="108" s="1"/>
  <c r="U94" i="108" a="1"/>
  <c r="AD97" i="108" a="1"/>
  <c r="U97" i="108" a="1"/>
  <c r="AJ96" i="108" a="1"/>
  <c r="AA96" i="108" a="1"/>
  <c r="AD95" i="108" a="1"/>
  <c r="AH94" i="108" a="1"/>
  <c r="V94" i="108" a="1"/>
  <c r="V94" i="108" s="1"/>
  <c r="AF97" i="108" a="1"/>
  <c r="V97" i="108" a="1"/>
  <c r="V97" i="108" s="1"/>
  <c r="AG96" i="108" a="1"/>
  <c r="W96" i="108" a="1"/>
  <c r="W96" i="108" s="1"/>
  <c r="AB95" i="108" a="1"/>
  <c r="AC94" i="108" a="1"/>
  <c r="AB94" i="108" a="1"/>
  <c r="AB94" i="108" s="1"/>
  <c r="AJ94" i="108" a="1"/>
  <c r="AJ94" i="108" s="1"/>
  <c r="X95" i="108" a="1"/>
  <c r="AI95" i="108" a="1"/>
  <c r="X96" i="108" a="1"/>
  <c r="AI96" i="108" a="1"/>
  <c r="AB97" i="108" a="1"/>
  <c r="J24" i="110"/>
  <c r="K25" i="110"/>
  <c r="J26" i="110"/>
  <c r="U38" i="110"/>
  <c r="AF39" i="110"/>
  <c r="AA62" i="110"/>
  <c r="AD61" i="110"/>
  <c r="AH60" i="110"/>
  <c r="V60" i="110"/>
  <c r="Y59" i="110"/>
  <c r="AI62" i="110"/>
  <c r="V62" i="110"/>
  <c r="AH61" i="110"/>
  <c r="V61" i="110"/>
  <c r="AI60" i="110"/>
  <c r="AH59" i="110"/>
  <c r="U59" i="110"/>
  <c r="AH62" i="110"/>
  <c r="AC61" i="110"/>
  <c r="Z60" i="110"/>
  <c r="W59" i="110"/>
  <c r="AH57" i="110" a="1"/>
  <c r="AH57" i="110" s="1"/>
  <c r="Y62" i="110"/>
  <c r="AI61" i="110"/>
  <c r="AD60" i="110"/>
  <c r="AC59" i="110"/>
  <c r="AC62" i="110"/>
  <c r="AG61" i="110"/>
  <c r="Z59" i="110"/>
  <c r="X61" i="110"/>
  <c r="AC60" i="110"/>
  <c r="AI59" i="110"/>
  <c r="AE59" i="110"/>
  <c r="AG60" i="110"/>
  <c r="AF61" i="110"/>
  <c r="AG62" i="110"/>
  <c r="W81" i="110" a="1"/>
  <c r="W81" i="110" s="1"/>
  <c r="N69" i="110"/>
  <c r="E67" i="110"/>
  <c r="G67" i="110"/>
  <c r="G66" i="110"/>
  <c r="P64" i="110" a="1"/>
  <c r="E69" i="110"/>
  <c r="AJ83" i="110" a="1"/>
  <c r="AJ83" i="110" s="1"/>
  <c r="AF83" i="110" a="1"/>
  <c r="AF83" i="110" s="1"/>
  <c r="AB83" i="110" a="1"/>
  <c r="AB83" i="110" s="1"/>
  <c r="X83" i="110" a="1"/>
  <c r="X83" i="110" s="1"/>
  <c r="AG81" i="110" a="1"/>
  <c r="AG81" i="110" s="1"/>
  <c r="AC81" i="110" a="1"/>
  <c r="AC81" i="110" s="1"/>
  <c r="AH83" i="110" a="1"/>
  <c r="AH83" i="110" s="1"/>
  <c r="Y83" i="110" a="1"/>
  <c r="Y83" i="110" s="1"/>
  <c r="AE82" i="110" a="1"/>
  <c r="AE82" i="110" s="1"/>
  <c r="V82" i="110" a="1"/>
  <c r="V82" i="110" s="1"/>
  <c r="AB81" i="110" a="1"/>
  <c r="AB81" i="110" s="1"/>
  <c r="X81" i="110" a="1"/>
  <c r="X81" i="110" s="1"/>
  <c r="AG80" i="110" a="1"/>
  <c r="AG80" i="110" s="1"/>
  <c r="AC80" i="110" a="1"/>
  <c r="AC80" i="110" s="1"/>
  <c r="Y80" i="110" a="1"/>
  <c r="Y80" i="110" s="1"/>
  <c r="U80" i="110" a="1"/>
  <c r="U80" i="110" s="1"/>
  <c r="AG83" i="110" a="1"/>
  <c r="AG83" i="110" s="1"/>
  <c r="Z82" i="110" a="1"/>
  <c r="Z82" i="110" s="1"/>
  <c r="U82" i="110" a="1"/>
  <c r="U82" i="110" s="1"/>
  <c r="AI81" i="110" a="1"/>
  <c r="AI81" i="110" s="1"/>
  <c r="AD81" i="110" a="1"/>
  <c r="AD81" i="110" s="1"/>
  <c r="Y81" i="110" a="1"/>
  <c r="Y81" i="110" s="1"/>
  <c r="AJ80" i="110" a="1"/>
  <c r="AJ80" i="110" s="1"/>
  <c r="AA80" i="110" a="1"/>
  <c r="AA80" i="110" s="1"/>
  <c r="V83" i="110" a="1"/>
  <c r="V83" i="110" s="1"/>
  <c r="AC82" i="110" a="1"/>
  <c r="AC82" i="110" s="1"/>
  <c r="W82" i="110" a="1"/>
  <c r="W82" i="110" s="1"/>
  <c r="U83" i="110" a="1"/>
  <c r="U83" i="110" s="1"/>
  <c r="AH81" i="110" a="1"/>
  <c r="AH81" i="110" s="1"/>
  <c r="AF80" i="110" a="1"/>
  <c r="AF80" i="110" s="1"/>
  <c r="Z83" i="110" a="1"/>
  <c r="Z83" i="110" s="1"/>
  <c r="AG82" i="110" a="1"/>
  <c r="AG82" i="110" s="1"/>
  <c r="AA82" i="110" a="1"/>
  <c r="AA82" i="110" s="1"/>
  <c r="AA81" i="110" a="1"/>
  <c r="AA81" i="110" s="1"/>
  <c r="V81" i="110" a="1"/>
  <c r="V81" i="110" s="1"/>
  <c r="Y82" i="110" a="1"/>
  <c r="Y82" i="110" s="1"/>
  <c r="Z81" i="110" a="1"/>
  <c r="Z81" i="110" s="1"/>
  <c r="U81" i="110" a="1"/>
  <c r="U81" i="110" s="1"/>
  <c r="AI83" i="110" a="1"/>
  <c r="AI83" i="110" s="1"/>
  <c r="AC83" i="110" a="1"/>
  <c r="AC83" i="110" s="1"/>
  <c r="W83" i="110" a="1"/>
  <c r="W83" i="110" s="1"/>
  <c r="AI82" i="110" a="1"/>
  <c r="AI82" i="110" s="1"/>
  <c r="AJ81" i="110" a="1"/>
  <c r="AJ81" i="110" s="1"/>
  <c r="AH80" i="110" a="1"/>
  <c r="AH80" i="110" s="1"/>
  <c r="AB82" i="110" a="1"/>
  <c r="AB82" i="110" s="1"/>
  <c r="Z80" i="110" a="1"/>
  <c r="Z80" i="110" s="1"/>
  <c r="AF81" i="110" a="1"/>
  <c r="AF81" i="110" s="1"/>
  <c r="X82" i="110" a="1"/>
  <c r="X82" i="110" s="1"/>
  <c r="AE81" i="110" a="1"/>
  <c r="AE81" i="110" s="1"/>
  <c r="AE80" i="110" a="1"/>
  <c r="AE80" i="110" s="1"/>
  <c r="AD83" i="110" a="1"/>
  <c r="AD83" i="110" s="1"/>
  <c r="AH82" i="110" a="1"/>
  <c r="AH82" i="110" s="1"/>
  <c r="V80" i="110" a="1"/>
  <c r="V80" i="110" s="1"/>
  <c r="AH78" i="110" a="1"/>
  <c r="AH78" i="110" s="1"/>
  <c r="AI80" i="110" a="1"/>
  <c r="AI80" i="110" s="1"/>
  <c r="AF82" i="110" a="1"/>
  <c r="AF82" i="110" s="1"/>
  <c r="AE94" i="108" a="1"/>
  <c r="AE94" i="108" s="1"/>
  <c r="AA95" i="108" a="1"/>
  <c r="AB96" i="108" a="1"/>
  <c r="O27" i="110"/>
  <c r="E27" i="110"/>
  <c r="N26" i="110"/>
  <c r="C26" i="110"/>
  <c r="M25" i="110"/>
  <c r="I24" i="110"/>
  <c r="Q27" i="110"/>
  <c r="F27" i="110"/>
  <c r="M26" i="110"/>
  <c r="G27" i="110"/>
  <c r="K26" i="110"/>
  <c r="Q25" i="110"/>
  <c r="F25" i="110"/>
  <c r="K24" i="110"/>
  <c r="P22" i="110" a="1"/>
  <c r="P22" i="110" s="1"/>
  <c r="K27" i="110"/>
  <c r="R26" i="110"/>
  <c r="E26" i="110"/>
  <c r="I25" i="110"/>
  <c r="P24" i="110"/>
  <c r="C24" i="110"/>
  <c r="G26" i="110"/>
  <c r="G25" i="110"/>
  <c r="H24" i="110"/>
  <c r="Q24" i="110"/>
  <c r="P25" i="110"/>
  <c r="R27" i="110"/>
  <c r="AH41" i="110"/>
  <c r="AJ41" i="110"/>
  <c r="AA41" i="110"/>
  <c r="AF40" i="110"/>
  <c r="W40" i="110"/>
  <c r="AC39" i="110"/>
  <c r="AI38" i="110"/>
  <c r="Y38" i="110"/>
  <c r="AE41" i="110"/>
  <c r="U41" i="110"/>
  <c r="AI40" i="110"/>
  <c r="X40" i="110"/>
  <c r="AA39" i="110"/>
  <c r="AD38" i="110"/>
  <c r="AG41" i="110"/>
  <c r="V41" i="110"/>
  <c r="AG40" i="110"/>
  <c r="U40" i="110"/>
  <c r="AG39" i="110"/>
  <c r="V39" i="110"/>
  <c r="AG38" i="110"/>
  <c r="V38" i="110"/>
  <c r="AH36" i="110" a="1"/>
  <c r="AH36" i="110" s="1"/>
  <c r="Y41" i="110"/>
  <c r="AA40" i="110"/>
  <c r="Y39" i="110"/>
  <c r="AA38" i="110"/>
  <c r="X41" i="110"/>
  <c r="AE40" i="110"/>
  <c r="X39" i="110"/>
  <c r="AF38" i="110"/>
  <c r="AB38" i="110"/>
  <c r="U39" i="110"/>
  <c r="AJ40" i="110"/>
  <c r="AC41" i="110"/>
  <c r="W25" i="110"/>
  <c r="W24" i="110"/>
  <c r="AF25" i="110"/>
  <c r="Y27" i="110"/>
  <c r="Z27" i="110"/>
  <c r="AJ26" i="110"/>
  <c r="AH26" i="110"/>
  <c r="AA27" i="110"/>
  <c r="E66" i="110"/>
  <c r="Y94" i="108" a="1"/>
  <c r="AG94" i="108" a="1"/>
  <c r="AF95" i="108" a="1"/>
  <c r="AE96" i="108" a="1"/>
  <c r="X97" i="108" a="1"/>
  <c r="AI97" i="108" a="1"/>
  <c r="AH22" i="110" a="1"/>
  <c r="C25" i="110"/>
  <c r="AJ25" i="110"/>
  <c r="C27" i="110"/>
  <c r="AE38" i="110"/>
  <c r="AB39" i="110"/>
  <c r="AF41" i="110"/>
  <c r="N55" i="110"/>
  <c r="K55" i="110"/>
  <c r="Q54" i="110"/>
  <c r="Q53" i="110"/>
  <c r="P50" i="110" a="1"/>
  <c r="P50" i="110" s="1"/>
  <c r="L55" i="110"/>
  <c r="G54" i="110"/>
  <c r="F53" i="110"/>
  <c r="F52" i="110"/>
  <c r="P53" i="110"/>
  <c r="Q52" i="110"/>
  <c r="C55" i="110"/>
  <c r="O53" i="110"/>
  <c r="E52" i="110"/>
  <c r="F54" i="110"/>
  <c r="Q55" i="110"/>
  <c r="X60" i="110"/>
  <c r="W61" i="110"/>
  <c r="X62" i="110"/>
  <c r="AB80" i="110" a="1"/>
  <c r="AB80" i="110" s="1"/>
  <c r="N13" i="110"/>
  <c r="C13" i="110"/>
  <c r="O12" i="110"/>
  <c r="E12" i="110"/>
  <c r="I11" i="110"/>
  <c r="N10" i="110"/>
  <c r="D10" i="110"/>
  <c r="O13" i="110"/>
  <c r="M12" i="110"/>
  <c r="O11" i="110"/>
  <c r="C11" i="110"/>
  <c r="P10" i="110"/>
  <c r="E10" i="110"/>
  <c r="L10" i="110"/>
  <c r="N11" i="110"/>
  <c r="C12" i="110"/>
  <c r="P12" i="110"/>
  <c r="G13" i="110"/>
  <c r="AE48" i="110"/>
  <c r="Z48" i="110"/>
  <c r="AC47" i="110"/>
  <c r="AF46" i="110"/>
  <c r="U45" i="110"/>
  <c r="U48" i="110"/>
  <c r="AH45" i="110"/>
  <c r="Y48" i="110"/>
  <c r="AE46" i="110"/>
  <c r="AA45" i="110"/>
  <c r="AF48" i="110"/>
  <c r="Y47" i="110"/>
  <c r="U46" i="110"/>
  <c r="AF45" i="110"/>
  <c r="Z45" i="110"/>
  <c r="AI47" i="110"/>
  <c r="AD48" i="110"/>
  <c r="V73" i="110" a="1"/>
  <c r="V73" i="110" s="1"/>
  <c r="AG73" i="110" a="1"/>
  <c r="AG73" i="110" s="1"/>
  <c r="AI74" i="110" a="1"/>
  <c r="AA75" i="110" a="1"/>
  <c r="AA75" i="110" s="1"/>
  <c r="U76" i="110" a="1"/>
  <c r="U76" i="110" s="1"/>
  <c r="AE76" i="110" a="1"/>
  <c r="AE76" i="110" s="1"/>
  <c r="Q74" i="110"/>
  <c r="P71" i="110" a="1"/>
  <c r="AA73" i="110" a="1"/>
  <c r="AF75" i="110" a="1"/>
  <c r="AF75" i="110" s="1"/>
  <c r="Y76" i="110" a="1"/>
  <c r="AF76" i="110" a="1"/>
  <c r="Z76" i="110" a="1"/>
  <c r="Z76" i="110" s="1"/>
  <c r="AE75" i="110" a="1"/>
  <c r="AE75" i="110" s="1"/>
  <c r="Z75" i="110" a="1"/>
  <c r="Z75" i="110" s="1"/>
  <c r="U75" i="110" a="1"/>
  <c r="AF74" i="110" a="1"/>
  <c r="AF74" i="110" s="1"/>
  <c r="Z74" i="110" a="1"/>
  <c r="U74" i="110" a="1"/>
  <c r="U74" i="110" s="1"/>
  <c r="Z73" i="110" a="1"/>
  <c r="X76" i="110" a="1"/>
  <c r="AH75" i="110" a="1"/>
  <c r="AH75" i="110" s="1"/>
  <c r="AB75" i="110" a="1"/>
  <c r="V75" i="110" a="1"/>
  <c r="V75" i="110" s="1"/>
  <c r="Y74" i="110" a="1"/>
  <c r="Y74" i="110" s="1"/>
  <c r="AD73" i="110" a="1"/>
  <c r="AD73" i="110" s="1"/>
  <c r="AI75" i="110" a="1"/>
  <c r="AI75" i="110" s="1"/>
  <c r="AC75" i="110" a="1"/>
  <c r="AE74" i="110" a="1"/>
  <c r="Y73" i="110" a="1"/>
  <c r="AJ76" i="110" a="1"/>
  <c r="AC76" i="110" a="1"/>
  <c r="V76" i="110" a="1"/>
  <c r="X75" i="110" a="1"/>
  <c r="AA74" i="110" a="1"/>
  <c r="AJ73" i="110" a="1"/>
  <c r="AC73" i="110" a="1"/>
  <c r="U73" i="110" a="1"/>
  <c r="U73" i="110" s="1"/>
  <c r="AB73" i="110" a="1"/>
  <c r="AD74" i="110" a="1"/>
  <c r="AD74" i="110" s="1"/>
  <c r="W75" i="110" a="1"/>
  <c r="W75" i="110" s="1"/>
  <c r="AG75" i="110" a="1"/>
  <c r="AI76" i="110" a="1"/>
  <c r="P34" i="110"/>
  <c r="D87" i="110" a="1"/>
  <c r="K88" i="110" a="1"/>
  <c r="K88" i="110" s="1"/>
  <c r="Q90" i="110" a="1"/>
  <c r="Q90" i="110" s="1"/>
  <c r="L90" i="110" a="1"/>
  <c r="L90" i="110" s="1"/>
  <c r="G90" i="110" a="1"/>
  <c r="G90" i="110" s="1"/>
  <c r="M89" i="110" a="1"/>
  <c r="M89" i="110" s="1"/>
  <c r="H89" i="110" a="1"/>
  <c r="C89" i="110" a="1"/>
  <c r="C89" i="110" s="1"/>
  <c r="M88" i="110" a="1"/>
  <c r="M88" i="110" s="1"/>
  <c r="H88" i="110" a="1"/>
  <c r="H88" i="110" s="1"/>
  <c r="N87" i="110" a="1"/>
  <c r="I87" i="110" a="1"/>
  <c r="C87" i="110" a="1"/>
  <c r="C87" i="110" s="1"/>
  <c r="O90" i="110" a="1"/>
  <c r="J90" i="110" a="1"/>
  <c r="K89" i="110" a="1"/>
  <c r="E89" i="110" a="1"/>
  <c r="E89" i="110" s="1"/>
  <c r="P88" i="110" a="1"/>
  <c r="P88" i="110" s="1"/>
  <c r="F88" i="110" a="1"/>
  <c r="P87" i="110" a="1"/>
  <c r="P87" i="110" s="1"/>
  <c r="F87" i="110" a="1"/>
  <c r="H90" i="110" a="1"/>
  <c r="H90" i="110" s="1"/>
  <c r="R89" i="110" a="1"/>
  <c r="D89" i="110" a="1"/>
  <c r="D89" i="110" s="1"/>
  <c r="O87" i="110" a="1"/>
  <c r="O87" i="110" s="1"/>
  <c r="H87" i="110" a="1"/>
  <c r="H87" i="110" s="1"/>
  <c r="E90" i="110" a="1"/>
  <c r="E90" i="110" s="1"/>
  <c r="G89" i="110" a="1"/>
  <c r="G89" i="110" s="1"/>
  <c r="Q88" i="110" a="1"/>
  <c r="I88" i="110" a="1"/>
  <c r="I88" i="110" s="1"/>
  <c r="C88" i="110" a="1"/>
  <c r="P90" i="110" a="1"/>
  <c r="P90" i="110" s="1"/>
  <c r="L89" i="110" a="1"/>
  <c r="L89" i="110" s="1"/>
  <c r="N88" i="110" a="1"/>
  <c r="N88" i="110" s="1"/>
  <c r="Q87" i="110" a="1"/>
  <c r="J87" i="110" a="1"/>
  <c r="E87" i="110" a="1"/>
  <c r="E87" i="110" s="1"/>
  <c r="D88" i="110" a="1"/>
  <c r="D88" i="110" s="1"/>
  <c r="O88" i="110" a="1"/>
  <c r="F89" i="110" a="1"/>
  <c r="P89" i="110" a="1"/>
  <c r="P89" i="110" s="1"/>
  <c r="C90" i="110" a="1"/>
  <c r="C90" i="110" s="1"/>
  <c r="D90" i="110" a="1"/>
  <c r="D90" i="110" s="1"/>
  <c r="N90" i="110" a="1"/>
  <c r="N13" i="109"/>
  <c r="Q60" i="109"/>
  <c r="M61" i="109"/>
  <c r="AF80" i="109"/>
  <c r="AG81" i="109"/>
  <c r="AF82" i="109"/>
  <c r="H24" i="108"/>
  <c r="H25" i="108"/>
  <c r="L26" i="108"/>
  <c r="P27" i="108"/>
  <c r="X45" i="108"/>
  <c r="AG45" i="108"/>
  <c r="W46" i="108"/>
  <c r="AF46" i="108"/>
  <c r="W47" i="108"/>
  <c r="AF47" i="108"/>
  <c r="W48" i="108"/>
  <c r="AF48" i="108"/>
  <c r="P59" i="108"/>
  <c r="C60" i="108"/>
  <c r="K62" i="108"/>
  <c r="P83" i="108"/>
  <c r="E80" i="108" a="1"/>
  <c r="E80" i="108" s="1"/>
  <c r="M80" i="108" a="1"/>
  <c r="N81" i="108" a="1"/>
  <c r="C82" i="108" a="1"/>
  <c r="K82" i="108" a="1"/>
  <c r="R82" i="108" a="1"/>
  <c r="G83" i="108" a="1"/>
  <c r="G83" i="108" s="1"/>
  <c r="O83" i="108" a="1"/>
  <c r="O83" i="108" s="1"/>
  <c r="O20" i="110"/>
  <c r="L20" i="110"/>
  <c r="Q19" i="110"/>
  <c r="H18" i="110"/>
  <c r="C17" i="110"/>
  <c r="J17" i="110"/>
  <c r="C18" i="110"/>
  <c r="N19" i="110"/>
  <c r="K20" i="110"/>
  <c r="I89" i="110" a="1"/>
  <c r="I89" i="110" s="1"/>
  <c r="F90" i="110" a="1"/>
  <c r="I90" i="110" a="1"/>
  <c r="R83" i="110" a="1"/>
  <c r="J83" i="110" a="1"/>
  <c r="J83" i="110" s="1"/>
  <c r="C83" i="110" a="1"/>
  <c r="C83" i="110" s="1"/>
  <c r="K82" i="110" a="1"/>
  <c r="I83" i="110" a="1"/>
  <c r="M82" i="110" a="1"/>
  <c r="D82" i="110" a="1"/>
  <c r="D82" i="110" s="1"/>
  <c r="R81" i="110" a="1"/>
  <c r="K81" i="110" a="1"/>
  <c r="D81" i="110" a="1"/>
  <c r="L80" i="110" a="1"/>
  <c r="P78" i="110" a="1"/>
  <c r="G80" i="110" a="1"/>
  <c r="G80" i="110" s="1"/>
  <c r="N80" i="110" a="1"/>
  <c r="J81" i="110" a="1"/>
  <c r="I82" i="110" a="1"/>
  <c r="D83" i="110" a="1"/>
  <c r="M83" i="110" a="1"/>
  <c r="E96" i="110" a="1"/>
  <c r="L96" i="110" a="1"/>
  <c r="L96" i="110" s="1"/>
  <c r="H97" i="110" a="1"/>
  <c r="H97" i="110" s="1"/>
  <c r="M96" i="110" a="1"/>
  <c r="G96" i="110" a="1"/>
  <c r="Q95" i="110" a="1"/>
  <c r="J95" i="110" a="1"/>
  <c r="J95" i="110" s="1"/>
  <c r="E95" i="110" a="1"/>
  <c r="O94" i="110" a="1"/>
  <c r="O94" i="110" s="1"/>
  <c r="D94" i="110" a="1"/>
  <c r="D94" i="110" s="1"/>
  <c r="R97" i="110" a="1"/>
  <c r="R97" i="110" s="1"/>
  <c r="L97" i="110" a="1"/>
  <c r="L97" i="110" s="1"/>
  <c r="G97" i="110" a="1"/>
  <c r="Q97" i="110" a="1"/>
  <c r="K97" i="110" a="1"/>
  <c r="P96" i="110" a="1"/>
  <c r="J96" i="110" a="1"/>
  <c r="J96" i="110" s="1"/>
  <c r="D96" i="110" a="1"/>
  <c r="D96" i="110" s="1"/>
  <c r="R94" i="110" a="1"/>
  <c r="R94" i="110" s="1"/>
  <c r="L94" i="110" a="1"/>
  <c r="L94" i="110" s="1"/>
  <c r="G94" i="110" a="1"/>
  <c r="F94" i="110" a="1"/>
  <c r="F94" i="110" s="1"/>
  <c r="I95" i="110" a="1"/>
  <c r="R95" i="110" a="1"/>
  <c r="I96" i="110" a="1"/>
  <c r="Q96" i="110" a="1"/>
  <c r="D97" i="110" a="1"/>
  <c r="M97" i="110" a="1"/>
  <c r="AB66" i="110"/>
  <c r="U67" i="110"/>
  <c r="AH67" i="110"/>
  <c r="AB68" i="110"/>
  <c r="W69" i="110"/>
  <c r="C94" i="110" a="1"/>
  <c r="J94" i="110" a="1"/>
  <c r="J94" i="110" s="1"/>
  <c r="M95" i="110" a="1"/>
  <c r="E97" i="110" a="1"/>
  <c r="N97" i="110" a="1"/>
  <c r="N97" i="110" s="1"/>
  <c r="W87" i="110" a="1"/>
  <c r="W87" i="110" s="1"/>
  <c r="AA87" i="110" a="1"/>
  <c r="AA87" i="110" s="1"/>
  <c r="AE87" i="110" a="1"/>
  <c r="AE87" i="110" s="1"/>
  <c r="AI87" i="110" a="1"/>
  <c r="AI87" i="110" s="1"/>
  <c r="W88" i="110" a="1"/>
  <c r="W88" i="110" s="1"/>
  <c r="AA88" i="110" a="1"/>
  <c r="AA88" i="110" s="1"/>
  <c r="AE88" i="110" a="1"/>
  <c r="AE88" i="110" s="1"/>
  <c r="AI88" i="110" a="1"/>
  <c r="AI88" i="110" s="1"/>
  <c r="AB94" i="110" a="1"/>
  <c r="AJ94" i="110" a="1"/>
  <c r="W95" i="110" a="1"/>
  <c r="W95" i="110" s="1"/>
  <c r="AE95" i="110" a="1"/>
  <c r="X96" i="110" a="1"/>
  <c r="AF96" i="110" a="1"/>
  <c r="Z97" i="110" a="1"/>
  <c r="AH97" i="110" a="1"/>
  <c r="C101" i="110" a="1"/>
  <c r="C101" i="110" s="1"/>
  <c r="M101" i="110" a="1"/>
  <c r="M101" i="110" s="1"/>
  <c r="R101" i="110" a="1"/>
  <c r="R101" i="110" s="1"/>
  <c r="AB101" i="110" a="1"/>
  <c r="AJ101" i="110" a="1"/>
  <c r="G102" i="110" a="1"/>
  <c r="G102" i="110" s="1"/>
  <c r="L102" i="110" a="1"/>
  <c r="L102" i="110" s="1"/>
  <c r="Q102" i="110" a="1"/>
  <c r="Q102" i="110" s="1"/>
  <c r="Z102" i="110" a="1"/>
  <c r="AH102" i="110" a="1"/>
  <c r="F103" i="110" a="1"/>
  <c r="F103" i="110" s="1"/>
  <c r="P103" i="110" a="1"/>
  <c r="X103" i="110" a="1"/>
  <c r="AF103" i="110" a="1"/>
  <c r="I104" i="110" a="1"/>
  <c r="I104" i="110" s="1"/>
  <c r="W104" i="110" a="1"/>
  <c r="AE104" i="110" a="1"/>
  <c r="AB97" i="110" a="1"/>
  <c r="AJ97" i="110" a="1"/>
  <c r="AJ97" i="110" s="1"/>
  <c r="E101" i="110" a="1"/>
  <c r="V101" i="110" a="1"/>
  <c r="AD101" i="110" a="1"/>
  <c r="C102" i="110" a="1"/>
  <c r="C102" i="110" s="1"/>
  <c r="R102" i="110" a="1"/>
  <c r="R102" i="110" s="1"/>
  <c r="AB102" i="110" a="1"/>
  <c r="AJ102" i="110" a="1"/>
  <c r="G103" i="110" a="1"/>
  <c r="G103" i="110" s="1"/>
  <c r="L103" i="110" a="1"/>
  <c r="Q103" i="110" a="1"/>
  <c r="Q103" i="110" s="1"/>
  <c r="Z103" i="110" a="1"/>
  <c r="AH103" i="110" a="1"/>
  <c r="AH103" i="110" s="1"/>
  <c r="J104" i="110" a="1"/>
  <c r="J104" i="110" s="1"/>
  <c r="P104" i="110" a="1"/>
  <c r="Y104" i="110" a="1"/>
  <c r="AG104" i="110" a="1"/>
  <c r="AG104" i="110" s="1"/>
  <c r="J101" i="110" a="1"/>
  <c r="J101" i="110" s="1"/>
  <c r="O101" i="110" a="1"/>
  <c r="O101" i="110" s="1"/>
  <c r="W101" i="110" a="1"/>
  <c r="AE101" i="110" a="1"/>
  <c r="D102" i="110" a="1"/>
  <c r="I102" i="110" a="1"/>
  <c r="I102" i="110" s="1"/>
  <c r="N102" i="110" a="1"/>
  <c r="N102" i="110" s="1"/>
  <c r="U102" i="110" a="1"/>
  <c r="AC102" i="110" a="1"/>
  <c r="H103" i="110" a="1"/>
  <c r="M103" i="110" a="1"/>
  <c r="AA103" i="110" a="1"/>
  <c r="AI103" i="110" a="1"/>
  <c r="AI103" i="110" s="1"/>
  <c r="F104" i="110" a="1"/>
  <c r="F104" i="110" s="1"/>
  <c r="K104" i="110" a="1"/>
  <c r="Q104" i="110" a="1"/>
  <c r="Q104" i="110" s="1"/>
  <c r="Z104" i="110" a="1"/>
  <c r="AH104" i="110" a="1"/>
  <c r="U87" i="110" a="1"/>
  <c r="U87" i="110" s="1"/>
  <c r="Y87" i="110" a="1"/>
  <c r="Y87" i="110" s="1"/>
  <c r="AC87" i="110" a="1"/>
  <c r="AC87" i="110" s="1"/>
  <c r="AG87" i="110" a="1"/>
  <c r="AG87" i="110" s="1"/>
  <c r="U88" i="110" a="1"/>
  <c r="U88" i="110" s="1"/>
  <c r="Y88" i="110" a="1"/>
  <c r="Y88" i="110" s="1"/>
  <c r="AC88" i="110" a="1"/>
  <c r="AC88" i="110" s="1"/>
  <c r="X94" i="110" a="1"/>
  <c r="AF94" i="110" a="1"/>
  <c r="AA95" i="110" a="1"/>
  <c r="AI95" i="110" a="1"/>
  <c r="AI95" i="110" s="1"/>
  <c r="U96" i="110" a="1"/>
  <c r="AB96" i="110" a="1"/>
  <c r="AJ96" i="110" a="1"/>
  <c r="V97" i="110" a="1"/>
  <c r="P99" i="110" a="1"/>
  <c r="F101" i="110" a="1"/>
  <c r="F101" i="110" s="1"/>
  <c r="P101" i="110" a="1"/>
  <c r="X101" i="110" a="1"/>
  <c r="AF101" i="110" a="1"/>
  <c r="E102" i="110" a="1"/>
  <c r="V102" i="110" a="1"/>
  <c r="V102" i="110" s="1"/>
  <c r="AD102" i="110" a="1"/>
  <c r="C103" i="110" a="1"/>
  <c r="C103" i="110" s="1"/>
  <c r="R103" i="110" a="1"/>
  <c r="R103" i="110" s="1"/>
  <c r="AB103" i="110" a="1"/>
  <c r="AB103" i="110" s="1"/>
  <c r="AJ103" i="110" a="1"/>
  <c r="AJ103" i="110" s="1"/>
  <c r="L104" i="110" a="1"/>
  <c r="AA104" i="110" a="1"/>
  <c r="AI104" i="110" a="1"/>
  <c r="AI104" i="110" s="1"/>
  <c r="K101" i="110" a="1"/>
  <c r="K101" i="110" s="1"/>
  <c r="Y101" i="110" a="1"/>
  <c r="AG101" i="110" a="1"/>
  <c r="J102" i="110" a="1"/>
  <c r="J102" i="110" s="1"/>
  <c r="O102" i="110" a="1"/>
  <c r="O102" i="110" s="1"/>
  <c r="W102" i="110" a="1"/>
  <c r="AE102" i="110" a="1"/>
  <c r="D103" i="110" a="1"/>
  <c r="I103" i="110" a="1"/>
  <c r="I103" i="110" s="1"/>
  <c r="N103" i="110" a="1"/>
  <c r="N103" i="110" s="1"/>
  <c r="U103" i="110" a="1"/>
  <c r="AC103" i="110" a="1"/>
  <c r="G104" i="110" a="1"/>
  <c r="G104" i="110" s="1"/>
  <c r="M104" i="110" a="1"/>
  <c r="R104" i="110" a="1"/>
  <c r="R104" i="110" s="1"/>
  <c r="AB104" i="110" a="1"/>
  <c r="AJ104" i="110" a="1"/>
  <c r="AH99" i="110" a="1"/>
  <c r="G101" i="110" a="1"/>
  <c r="G101" i="110" s="1"/>
  <c r="L101" i="110" a="1"/>
  <c r="Q101" i="110" a="1"/>
  <c r="Q101" i="110" s="1"/>
  <c r="Z101" i="110" a="1"/>
  <c r="AH101" i="110" a="1"/>
  <c r="F102" i="110" a="1"/>
  <c r="F102" i="110" s="1"/>
  <c r="P102" i="110" a="1"/>
  <c r="X102" i="110" a="1"/>
  <c r="AF102" i="110" a="1"/>
  <c r="E103" i="110" a="1"/>
  <c r="V103" i="110" a="1"/>
  <c r="V103" i="110" s="1"/>
  <c r="AD103" i="110" a="1"/>
  <c r="C104" i="110" a="1"/>
  <c r="C104" i="110" s="1"/>
  <c r="U104" i="110" a="1"/>
  <c r="D20" i="117"/>
  <c r="T65" i="117"/>
  <c r="T56" i="117"/>
  <c r="E13" i="117"/>
  <c r="C26" i="117"/>
  <c r="T50" i="117"/>
  <c r="F20" i="117"/>
  <c r="E26" i="117"/>
  <c r="D32" i="117"/>
  <c r="T52" i="117"/>
  <c r="F26" i="117"/>
  <c r="E32" i="117"/>
  <c r="T42" i="117"/>
  <c r="T43" i="117"/>
  <c r="F32" i="117"/>
  <c r="T44" i="117"/>
  <c r="T45" i="117"/>
  <c r="C13" i="117"/>
  <c r="T57" i="117"/>
  <c r="T58" i="117"/>
  <c r="T49" i="117"/>
  <c r="T59" i="117"/>
  <c r="F13" i="117"/>
  <c r="E20" i="117"/>
  <c r="D26" i="117"/>
  <c r="C32" i="117"/>
  <c r="T51" i="117"/>
  <c r="T63" i="117"/>
  <c r="T64" i="117"/>
  <c r="F11" i="115"/>
  <c r="E18" i="115"/>
  <c r="D24" i="115"/>
  <c r="C30" i="115"/>
  <c r="F18" i="115"/>
  <c r="D30" i="115"/>
  <c r="E24" i="115"/>
  <c r="E30" i="115"/>
  <c r="F24" i="115"/>
  <c r="E11" i="115"/>
  <c r="F30" i="115"/>
  <c r="T43" i="115"/>
  <c r="T66" i="115"/>
  <c r="D11" i="115"/>
  <c r="D18" i="115"/>
  <c r="C24" i="115"/>
  <c r="T50" i="115"/>
  <c r="T59" i="115"/>
  <c r="T51" i="115"/>
  <c r="T63" i="115"/>
  <c r="T52" i="115"/>
  <c r="T64" i="115"/>
  <c r="T42" i="115"/>
  <c r="T65" i="115"/>
  <c r="T44" i="115"/>
  <c r="T56" i="115"/>
  <c r="C11" i="115"/>
  <c r="T45" i="115"/>
  <c r="T57" i="115"/>
  <c r="C18" i="115"/>
  <c r="T49" i="115"/>
  <c r="T58" i="115"/>
  <c r="J17" i="101"/>
  <c r="G23" i="98"/>
  <c r="E17" i="98"/>
  <c r="D24" i="82"/>
  <c r="C24" i="82" s="1"/>
  <c r="B24" i="82" s="1"/>
  <c r="D22" i="82"/>
  <c r="C22" i="82" s="1"/>
  <c r="B22" i="82" s="1"/>
  <c r="D25" i="82"/>
  <c r="C25" i="82" s="1"/>
  <c r="B25" i="82" s="1"/>
  <c r="D27" i="82"/>
  <c r="C27" i="82" s="1"/>
  <c r="B27" i="82" s="1"/>
  <c r="E30" i="98"/>
  <c r="C15" i="87"/>
  <c r="B15" i="87" s="1"/>
  <c r="C7" i="87"/>
  <c r="B7" i="87" s="1"/>
  <c r="C18" i="87"/>
  <c r="B18" i="87" s="1"/>
  <c r="C10" i="87"/>
  <c r="B10" i="87" s="1"/>
  <c r="C13" i="87"/>
  <c r="B13" i="87" s="1"/>
  <c r="C16" i="87"/>
  <c r="B16" i="87" s="1"/>
  <c r="C8" i="87"/>
  <c r="B8" i="87" s="1"/>
  <c r="C19" i="87"/>
  <c r="B19" i="87" s="1"/>
  <c r="C11" i="87"/>
  <c r="B11" i="87" s="1"/>
  <c r="C14" i="87"/>
  <c r="B14" i="87" s="1"/>
  <c r="C6" i="87"/>
  <c r="C17" i="87"/>
  <c r="B17" i="87" s="1"/>
  <c r="C9" i="87"/>
  <c r="B9" i="87" s="1"/>
  <c r="C20" i="87"/>
  <c r="B20" i="87" s="1"/>
  <c r="C12" i="87"/>
  <c r="B12" i="87" s="1"/>
  <c r="H13" i="82"/>
  <c r="G13" i="82" s="1"/>
  <c r="F13" i="82" s="1"/>
  <c r="H10" i="82"/>
  <c r="G10" i="82" s="1"/>
  <c r="F10" i="82" s="1"/>
  <c r="H7" i="82"/>
  <c r="G7" i="82" s="1"/>
  <c r="F7" i="82" s="1"/>
  <c r="H8" i="82"/>
  <c r="G8" i="82" s="1"/>
  <c r="F8" i="82" s="1"/>
  <c r="H9" i="82"/>
  <c r="G9" i="82" s="1"/>
  <c r="F9" i="82" s="1"/>
  <c r="H11" i="82"/>
  <c r="G11" i="82" s="1"/>
  <c r="F11" i="82" s="1"/>
  <c r="H15" i="82"/>
  <c r="G15" i="82" s="1"/>
  <c r="F15" i="82" s="1"/>
  <c r="H12" i="82"/>
  <c r="G12" i="82" s="1"/>
  <c r="F12" i="82" s="1"/>
  <c r="H6" i="82"/>
  <c r="G6" i="82" s="1"/>
  <c r="F6" i="82" s="1"/>
  <c r="H14" i="82"/>
  <c r="G14" i="82" s="1"/>
  <c r="F14" i="82" s="1"/>
  <c r="F28" i="101"/>
  <c r="H28" i="101" s="1"/>
  <c r="H30" i="101" s="1"/>
  <c r="G82" i="101"/>
  <c r="O82" i="101"/>
  <c r="F83" i="101"/>
  <c r="N83" i="101"/>
  <c r="E84" i="101"/>
  <c r="M84" i="101"/>
  <c r="D85" i="101"/>
  <c r="D92" i="101" s="1"/>
  <c r="L85" i="101"/>
  <c r="L92" i="101" s="1"/>
  <c r="J121" i="101"/>
  <c r="R121" i="101"/>
  <c r="J122" i="101"/>
  <c r="R122" i="101"/>
  <c r="J123" i="101"/>
  <c r="R123" i="101"/>
  <c r="C90" i="98"/>
  <c r="O90" i="98"/>
  <c r="AA100" i="98"/>
  <c r="AA102" i="98"/>
  <c r="AE106" i="98"/>
  <c r="W107" i="98"/>
  <c r="AE108" i="98"/>
  <c r="W109" i="98"/>
  <c r="AA113" i="98"/>
  <c r="AA115" i="98"/>
  <c r="AA120" i="98"/>
  <c r="W121" i="98"/>
  <c r="AI122" i="98"/>
  <c r="AE123" i="98"/>
  <c r="G23" i="114"/>
  <c r="H82" i="101"/>
  <c r="P82" i="101"/>
  <c r="G83" i="101"/>
  <c r="O83" i="101"/>
  <c r="F84" i="101"/>
  <c r="N84" i="101"/>
  <c r="E85" i="101"/>
  <c r="E92" i="101" s="1"/>
  <c r="M85" i="101"/>
  <c r="M92" i="101" s="1"/>
  <c r="I100" i="101"/>
  <c r="Q100" i="101"/>
  <c r="I101" i="101"/>
  <c r="Q101" i="101"/>
  <c r="I102" i="101"/>
  <c r="Q102" i="101"/>
  <c r="I103" i="101"/>
  <c r="Q103" i="101"/>
  <c r="G107" i="101"/>
  <c r="O107" i="101"/>
  <c r="G108" i="101"/>
  <c r="O108" i="101"/>
  <c r="G109" i="101"/>
  <c r="O109" i="101"/>
  <c r="G110" i="101"/>
  <c r="O110" i="101"/>
  <c r="E114" i="101"/>
  <c r="M114" i="101"/>
  <c r="E115" i="101"/>
  <c r="M115" i="101"/>
  <c r="E116" i="101"/>
  <c r="M116" i="101"/>
  <c r="E117" i="101"/>
  <c r="M117" i="101"/>
  <c r="C121" i="101"/>
  <c r="K121" i="101"/>
  <c r="C122" i="101"/>
  <c r="K122" i="101"/>
  <c r="C123" i="101"/>
  <c r="K123" i="101"/>
  <c r="C124" i="101"/>
  <c r="K124" i="101"/>
  <c r="E90" i="98"/>
  <c r="Q90" i="98"/>
  <c r="N90" i="98"/>
  <c r="AC100" i="98"/>
  <c r="AC102" i="98"/>
  <c r="AG106" i="98"/>
  <c r="Y107" i="98"/>
  <c r="Y109" i="98"/>
  <c r="AC113" i="98"/>
  <c r="AC115" i="98"/>
  <c r="AC120" i="98"/>
  <c r="Y121" i="98"/>
  <c r="H29" i="82"/>
  <c r="L26" i="82"/>
  <c r="H21" i="82"/>
  <c r="H20" i="82"/>
  <c r="H24" i="82"/>
  <c r="L29" i="82"/>
  <c r="H28" i="82"/>
  <c r="L22" i="82"/>
  <c r="H26" i="82"/>
  <c r="H23" i="82"/>
  <c r="L24" i="82"/>
  <c r="L21" i="82"/>
  <c r="L25" i="82"/>
  <c r="L27" i="82"/>
  <c r="L23" i="82"/>
  <c r="L20" i="82"/>
  <c r="H22" i="82"/>
  <c r="L28" i="82"/>
  <c r="H25" i="82"/>
  <c r="H27" i="82"/>
  <c r="I82" i="101"/>
  <c r="Q82" i="101"/>
  <c r="H83" i="101"/>
  <c r="P83" i="101"/>
  <c r="G84" i="101"/>
  <c r="O84" i="101"/>
  <c r="F85" i="101"/>
  <c r="F92" i="101" s="1"/>
  <c r="N85" i="101"/>
  <c r="N92" i="101" s="1"/>
  <c r="J100" i="101"/>
  <c r="R100" i="101"/>
  <c r="J101" i="101"/>
  <c r="R101" i="101"/>
  <c r="J102" i="101"/>
  <c r="R102" i="101"/>
  <c r="J103" i="101"/>
  <c r="R103" i="101"/>
  <c r="H107" i="101"/>
  <c r="P107" i="101"/>
  <c r="H108" i="101"/>
  <c r="P108" i="101"/>
  <c r="H109" i="101"/>
  <c r="P109" i="101"/>
  <c r="H110" i="101"/>
  <c r="P110" i="101"/>
  <c r="F114" i="101"/>
  <c r="N114" i="101"/>
  <c r="F115" i="101"/>
  <c r="N115" i="101"/>
  <c r="F116" i="101"/>
  <c r="N116" i="101"/>
  <c r="F117" i="101"/>
  <c r="N117" i="101"/>
  <c r="D121" i="101"/>
  <c r="L121" i="101"/>
  <c r="D122" i="101"/>
  <c r="L122" i="101"/>
  <c r="D123" i="101"/>
  <c r="L123" i="101"/>
  <c r="D124" i="101"/>
  <c r="L124" i="101"/>
  <c r="W99" i="98"/>
  <c r="W101" i="98"/>
  <c r="J82" i="101"/>
  <c r="R82" i="101"/>
  <c r="I83" i="101"/>
  <c r="Q83" i="101"/>
  <c r="H84" i="101"/>
  <c r="P84" i="101"/>
  <c r="G85" i="101"/>
  <c r="G92" i="101" s="1"/>
  <c r="O85" i="101"/>
  <c r="O92" i="101" s="1"/>
  <c r="E121" i="101"/>
  <c r="M121" i="101"/>
  <c r="E122" i="101"/>
  <c r="M122" i="101"/>
  <c r="E123" i="101"/>
  <c r="M123" i="101"/>
  <c r="AG100" i="98"/>
  <c r="AG113" i="98"/>
  <c r="AG120" i="98"/>
  <c r="D49" i="106"/>
  <c r="H49" i="106"/>
  <c r="I10" i="106" s="1"/>
  <c r="J28" i="101"/>
  <c r="K28" i="101" s="1"/>
  <c r="K30" i="101" s="1"/>
  <c r="C82" i="101"/>
  <c r="K82" i="101"/>
  <c r="S82" i="101"/>
  <c r="J83" i="101"/>
  <c r="R83" i="101"/>
  <c r="I84" i="101"/>
  <c r="Q84" i="101"/>
  <c r="H85" i="101"/>
  <c r="H92" i="101" s="1"/>
  <c r="P85" i="101"/>
  <c r="P92" i="101" s="1"/>
  <c r="F121" i="101"/>
  <c r="N121" i="101"/>
  <c r="F122" i="101"/>
  <c r="N122" i="101"/>
  <c r="F123" i="101"/>
  <c r="N123" i="101"/>
  <c r="I90" i="98"/>
  <c r="M92" i="98"/>
  <c r="H30" i="114"/>
  <c r="D42" i="82"/>
  <c r="D38" i="82"/>
  <c r="H43" i="82"/>
  <c r="D44" i="82"/>
  <c r="H40" i="82"/>
  <c r="D37" i="82"/>
  <c r="D43" i="82"/>
  <c r="D39" i="82"/>
  <c r="H36" i="82"/>
  <c r="D41" i="82"/>
  <c r="H38" i="82"/>
  <c r="H44" i="82"/>
  <c r="H42" i="82"/>
  <c r="D40" i="82"/>
  <c r="H35" i="82"/>
  <c r="D35" i="82"/>
  <c r="H39" i="82"/>
  <c r="H41" i="82"/>
  <c r="H37" i="82"/>
  <c r="D36" i="82"/>
  <c r="D82" i="101"/>
  <c r="L82" i="101"/>
  <c r="C83" i="101"/>
  <c r="K83" i="101"/>
  <c r="S83" i="101"/>
  <c r="J84" i="101"/>
  <c r="R84" i="101"/>
  <c r="I85" i="101"/>
  <c r="I92" i="101" s="1"/>
  <c r="Q85" i="101"/>
  <c r="Q92" i="101" s="1"/>
  <c r="G121" i="101"/>
  <c r="O121" i="101"/>
  <c r="G122" i="101"/>
  <c r="O122" i="101"/>
  <c r="G123" i="101"/>
  <c r="O123" i="101"/>
  <c r="K90" i="98"/>
  <c r="C92" i="98"/>
  <c r="AG107" i="98"/>
  <c r="AG121" i="98"/>
  <c r="AC122" i="98"/>
  <c r="E82" i="101"/>
  <c r="E89" i="101" s="1"/>
  <c r="M82" i="101"/>
  <c r="D83" i="101"/>
  <c r="L83" i="101"/>
  <c r="C84" i="101"/>
  <c r="K84" i="101"/>
  <c r="S84" i="101"/>
  <c r="J85" i="101"/>
  <c r="J92" i="101" s="1"/>
  <c r="R85" i="101"/>
  <c r="R92" i="101" s="1"/>
  <c r="F100" i="101"/>
  <c r="N100" i="101"/>
  <c r="F101" i="101"/>
  <c r="N101" i="101"/>
  <c r="F102" i="101"/>
  <c r="N102" i="101"/>
  <c r="F103" i="101"/>
  <c r="N103" i="101"/>
  <c r="D107" i="101"/>
  <c r="L107" i="101"/>
  <c r="D108" i="101"/>
  <c r="L108" i="101"/>
  <c r="D109" i="101"/>
  <c r="L109" i="101"/>
  <c r="D110" i="101"/>
  <c r="L110" i="101"/>
  <c r="J114" i="101"/>
  <c r="R114" i="101"/>
  <c r="J115" i="101"/>
  <c r="R115" i="101"/>
  <c r="J116" i="101"/>
  <c r="R116" i="101"/>
  <c r="J117" i="101"/>
  <c r="R117" i="101"/>
  <c r="H121" i="101"/>
  <c r="P121" i="101"/>
  <c r="H122" i="101"/>
  <c r="P122" i="101"/>
  <c r="H123" i="101"/>
  <c r="P123" i="101"/>
  <c r="H124" i="101"/>
  <c r="M90" i="98"/>
  <c r="Q92" i="98"/>
  <c r="H17" i="114"/>
  <c r="D14" i="82"/>
  <c r="C14" i="82" s="1"/>
  <c r="B14" i="82" s="1"/>
  <c r="D10" i="82"/>
  <c r="C10" i="82" s="1"/>
  <c r="B10" i="82" s="1"/>
  <c r="D6" i="82"/>
  <c r="C6" i="82" s="1"/>
  <c r="B6" i="82" s="1"/>
  <c r="D15" i="82"/>
  <c r="C15" i="82" s="1"/>
  <c r="B15" i="82" s="1"/>
  <c r="D12" i="82"/>
  <c r="C12" i="82" s="1"/>
  <c r="B12" i="82" s="1"/>
  <c r="D9" i="82"/>
  <c r="C9" i="82" s="1"/>
  <c r="B9" i="82" s="1"/>
  <c r="D13" i="82"/>
  <c r="C13" i="82" s="1"/>
  <c r="B13" i="82" s="1"/>
  <c r="D7" i="82"/>
  <c r="C7" i="82" s="1"/>
  <c r="B7" i="82" s="1"/>
  <c r="D8" i="82"/>
  <c r="C8" i="82" s="1"/>
  <c r="B8" i="82" s="1"/>
  <c r="D11" i="82"/>
  <c r="C11" i="82" s="1"/>
  <c r="B11" i="82" s="1"/>
  <c r="F82" i="101"/>
  <c r="N82" i="101"/>
  <c r="E83" i="101"/>
  <c r="M83" i="101"/>
  <c r="M90" i="101" s="1"/>
  <c r="D84" i="101"/>
  <c r="L84" i="101"/>
  <c r="L91" i="101" s="1"/>
  <c r="C85" i="101"/>
  <c r="C92" i="101" s="1"/>
  <c r="K85" i="101"/>
  <c r="K92" i="101" s="1"/>
  <c r="I121" i="101"/>
  <c r="Q121" i="101"/>
  <c r="I122" i="101"/>
  <c r="Q122" i="101"/>
  <c r="I123" i="101"/>
  <c r="AG99" i="98"/>
  <c r="Y100" i="98"/>
  <c r="Y113" i="98"/>
  <c r="AG114" i="98"/>
  <c r="K30" i="114"/>
  <c r="AA45" i="100"/>
  <c r="AB46" i="100"/>
  <c r="AK46" i="100"/>
  <c r="AE48" i="100"/>
  <c r="AA52" i="100"/>
  <c r="AA53" i="100"/>
  <c r="AH60" i="100"/>
  <c r="AA80" i="100"/>
  <c r="AA84" i="100"/>
  <c r="AE69" i="100"/>
  <c r="AE80" i="100"/>
  <c r="AE86" i="100"/>
  <c r="AE85" i="100"/>
  <c r="AE84" i="100"/>
  <c r="AI83" i="100"/>
  <c r="AI80" i="100"/>
  <c r="AI76" i="100"/>
  <c r="AM69" i="100"/>
  <c r="AM83" i="100"/>
  <c r="AM81" i="100"/>
  <c r="AM80" i="100"/>
  <c r="AE68" i="100"/>
  <c r="AI74" i="100"/>
  <c r="AE75" i="100"/>
  <c r="AM75" i="100"/>
  <c r="Y80" i="100"/>
  <c r="Y81" i="100"/>
  <c r="Y82" i="100"/>
  <c r="Y83" i="100"/>
  <c r="Y85" i="100"/>
  <c r="AI88" i="100"/>
  <c r="AE89" i="100"/>
  <c r="Z90" i="100"/>
  <c r="AD90" i="100"/>
  <c r="AH90" i="100"/>
  <c r="AL90" i="100"/>
  <c r="AI91" i="100"/>
  <c r="AK94" i="100"/>
  <c r="AK95" i="100"/>
  <c r="Y105" i="100"/>
  <c r="AG105" i="100"/>
  <c r="AK105" i="100"/>
  <c r="AB107" i="100"/>
  <c r="Y113" i="100"/>
  <c r="AC113" i="100"/>
  <c r="AK113" i="100"/>
  <c r="Y114" i="100"/>
  <c r="AC114" i="100"/>
  <c r="AK114" i="100"/>
  <c r="AK118" i="100"/>
  <c r="AK127" i="100"/>
  <c r="AF134" i="100"/>
  <c r="Z137" i="100"/>
  <c r="AH137" i="100"/>
  <c r="AG145" i="100"/>
  <c r="AH147" i="100"/>
  <c r="AL145" i="100"/>
  <c r="AL148" i="100"/>
  <c r="AB151" i="100"/>
  <c r="AJ151" i="100"/>
  <c r="AB155" i="100"/>
  <c r="Z161" i="100"/>
  <c r="Z162" i="100"/>
  <c r="AH163" i="100"/>
  <c r="AH161" i="100"/>
  <c r="AK165" i="100"/>
  <c r="AH169" i="100"/>
  <c r="AD172" i="100"/>
  <c r="AB175" i="100"/>
  <c r="AJ175" i="100"/>
  <c r="D83" i="98"/>
  <c r="D90" i="98" s="1"/>
  <c r="L83" i="98"/>
  <c r="L90" i="98" s="1"/>
  <c r="C84" i="98"/>
  <c r="C91" i="98" s="1"/>
  <c r="K84" i="98"/>
  <c r="S84" i="98"/>
  <c r="R91" i="98" s="1"/>
  <c r="J85" i="98"/>
  <c r="J92" i="98" s="1"/>
  <c r="R85" i="98"/>
  <c r="R92" i="98" s="1"/>
  <c r="I86" i="98"/>
  <c r="I93" i="98" s="1"/>
  <c r="Q86" i="98"/>
  <c r="Q93" i="98" s="1"/>
  <c r="E99" i="98"/>
  <c r="M99" i="98"/>
  <c r="E100" i="98"/>
  <c r="M100" i="98"/>
  <c r="E101" i="98"/>
  <c r="M101" i="98"/>
  <c r="E102" i="98"/>
  <c r="M102" i="98"/>
  <c r="AF102" i="98" s="1"/>
  <c r="C106" i="98"/>
  <c r="K106" i="98"/>
  <c r="C107" i="98"/>
  <c r="K107" i="98"/>
  <c r="C108" i="98"/>
  <c r="K108" i="98"/>
  <c r="C109" i="98"/>
  <c r="K109" i="98"/>
  <c r="AD109" i="98" s="1"/>
  <c r="I113" i="98"/>
  <c r="Q113" i="98"/>
  <c r="I114" i="98"/>
  <c r="Q114" i="98"/>
  <c r="I115" i="98"/>
  <c r="Q115" i="98"/>
  <c r="I116" i="98"/>
  <c r="Q116" i="98"/>
  <c r="AJ116" i="98" s="1"/>
  <c r="G120" i="98"/>
  <c r="O120" i="98"/>
  <c r="G121" i="98"/>
  <c r="O121" i="98"/>
  <c r="G122" i="98"/>
  <c r="O122" i="98"/>
  <c r="G123" i="98"/>
  <c r="O123" i="98"/>
  <c r="AH123" i="98" s="1"/>
  <c r="AA11" i="100"/>
  <c r="AI11" i="100"/>
  <c r="AF14" i="100"/>
  <c r="AN14" i="100"/>
  <c r="AE15" i="100"/>
  <c r="AM15" i="100"/>
  <c r="AB18" i="100"/>
  <c r="AJ18" i="100"/>
  <c r="AA19" i="100"/>
  <c r="AI19" i="100"/>
  <c r="AF22" i="100"/>
  <c r="AN22" i="100"/>
  <c r="AE23" i="100"/>
  <c r="AM23" i="100"/>
  <c r="AB26" i="100"/>
  <c r="AJ26" i="100"/>
  <c r="AA27" i="100"/>
  <c r="AI27" i="100"/>
  <c r="AF30" i="100"/>
  <c r="AN30" i="100"/>
  <c r="AE31" i="100"/>
  <c r="AM31" i="100"/>
  <c r="AB34" i="100"/>
  <c r="AJ34" i="100"/>
  <c r="AA35" i="100"/>
  <c r="AI35" i="100"/>
  <c r="AF38" i="100"/>
  <c r="AN38" i="100"/>
  <c r="AE39" i="100"/>
  <c r="AM39" i="100"/>
  <c r="AB42" i="100"/>
  <c r="AJ42" i="100"/>
  <c r="AC46" i="100"/>
  <c r="AN47" i="100"/>
  <c r="AJ51" i="100"/>
  <c r="AK52" i="100"/>
  <c r="AC53" i="100"/>
  <c r="AK53" i="100"/>
  <c r="AD53" i="100"/>
  <c r="AG55" i="100"/>
  <c r="AD56" i="100"/>
  <c r="Y57" i="100"/>
  <c r="AK57" i="100"/>
  <c r="AA59" i="100"/>
  <c r="AN59" i="100"/>
  <c r="AF68" i="100"/>
  <c r="Y69" i="100"/>
  <c r="AK69" i="100"/>
  <c r="AF70" i="100"/>
  <c r="Y71" i="100"/>
  <c r="AA73" i="100"/>
  <c r="AM73" i="100"/>
  <c r="AB77" i="100"/>
  <c r="Z78" i="100"/>
  <c r="AH78" i="100"/>
  <c r="AL78" i="100"/>
  <c r="AD79" i="100"/>
  <c r="AH79" i="100"/>
  <c r="Z80" i="100"/>
  <c r="AB82" i="100"/>
  <c r="AB83" i="100"/>
  <c r="Z86" i="100"/>
  <c r="AA90" i="100"/>
  <c r="AL94" i="100"/>
  <c r="AE95" i="100"/>
  <c r="AL95" i="100"/>
  <c r="AB96" i="100"/>
  <c r="AF98" i="100"/>
  <c r="AF96" i="100"/>
  <c r="AJ98" i="100"/>
  <c r="AJ96" i="100"/>
  <c r="AF97" i="100"/>
  <c r="AJ97" i="100"/>
  <c r="AE98" i="100"/>
  <c r="Y106" i="100"/>
  <c r="AG106" i="100"/>
  <c r="AK106" i="100"/>
  <c r="AB109" i="100"/>
  <c r="AB108" i="100"/>
  <c r="AB111" i="100"/>
  <c r="AB110" i="100"/>
  <c r="AJ111" i="100"/>
  <c r="AJ110" i="100"/>
  <c r="AJ108" i="100"/>
  <c r="Y112" i="100"/>
  <c r="AC112" i="100"/>
  <c r="AK112" i="100"/>
  <c r="Y119" i="100"/>
  <c r="AC125" i="100"/>
  <c r="AC127" i="100"/>
  <c r="AG131" i="100"/>
  <c r="AJ130" i="100"/>
  <c r="AJ132" i="100"/>
  <c r="AG146" i="100"/>
  <c r="AB150" i="100"/>
  <c r="AD153" i="100"/>
  <c r="AL155" i="100"/>
  <c r="AE166" i="100"/>
  <c r="AE165" i="100"/>
  <c r="Y172" i="100"/>
  <c r="Y169" i="100"/>
  <c r="Y170" i="100"/>
  <c r="AA171" i="100"/>
  <c r="X11" i="111"/>
  <c r="Z50" i="111"/>
  <c r="AE46" i="100"/>
  <c r="AM46" i="100"/>
  <c r="AN46" i="100"/>
  <c r="AA50" i="100"/>
  <c r="AI50" i="100"/>
  <c r="AJ50" i="100"/>
  <c r="AL52" i="100"/>
  <c r="AA54" i="100"/>
  <c r="AI54" i="100"/>
  <c r="AN54" i="100"/>
  <c r="AN58" i="100"/>
  <c r="AC56" i="100"/>
  <c r="AK56" i="100"/>
  <c r="AE58" i="100"/>
  <c r="AM58" i="100"/>
  <c r="AB62" i="100"/>
  <c r="AJ62" i="100"/>
  <c r="AB59" i="100"/>
  <c r="Y60" i="100"/>
  <c r="AG60" i="100"/>
  <c r="AE61" i="100"/>
  <c r="AA62" i="100"/>
  <c r="AI62" i="100"/>
  <c r="AB79" i="100"/>
  <c r="AB78" i="100"/>
  <c r="AJ77" i="100"/>
  <c r="AI68" i="100"/>
  <c r="AH70" i="100"/>
  <c r="AJ72" i="100"/>
  <c r="AB75" i="100"/>
  <c r="AF75" i="100"/>
  <c r="AJ75" i="100"/>
  <c r="AN75" i="100"/>
  <c r="AA76" i="100"/>
  <c r="AE76" i="100"/>
  <c r="AM76" i="100"/>
  <c r="AF76" i="100"/>
  <c r="AF80" i="100"/>
  <c r="AA81" i="100"/>
  <c r="AE81" i="100"/>
  <c r="AF81" i="100"/>
  <c r="AA82" i="100"/>
  <c r="AI82" i="100"/>
  <c r="AM82" i="100"/>
  <c r="AE82" i="100"/>
  <c r="AA83" i="100"/>
  <c r="AE83" i="100"/>
  <c r="AA86" i="100"/>
  <c r="AD87" i="100"/>
  <c r="AM90" i="100"/>
  <c r="AK92" i="100"/>
  <c r="AM94" i="100"/>
  <c r="AE99" i="100"/>
  <c r="Y107" i="100"/>
  <c r="AC107" i="100"/>
  <c r="AG107" i="100"/>
  <c r="AK107" i="100"/>
  <c r="AF110" i="100"/>
  <c r="AD125" i="100"/>
  <c r="AL125" i="100"/>
  <c r="Y129" i="100"/>
  <c r="Y131" i="100"/>
  <c r="AK134" i="100"/>
  <c r="AB138" i="100"/>
  <c r="AJ152" i="100"/>
  <c r="AJ149" i="100"/>
  <c r="AJ150" i="100"/>
  <c r="AE158" i="100"/>
  <c r="AE157" i="100"/>
  <c r="AC158" i="100"/>
  <c r="AB161" i="100"/>
  <c r="AB174" i="100"/>
  <c r="AB176" i="100"/>
  <c r="AD45" i="100"/>
  <c r="Y48" i="100"/>
  <c r="Z49" i="100"/>
  <c r="AB50" i="100"/>
  <c r="AK50" i="100"/>
  <c r="AC51" i="100"/>
  <c r="AG53" i="100"/>
  <c r="AB54" i="100"/>
  <c r="AJ54" i="100"/>
  <c r="AG57" i="100"/>
  <c r="AF56" i="100"/>
  <c r="AM57" i="100"/>
  <c r="AF58" i="100"/>
  <c r="AC59" i="100"/>
  <c r="Z60" i="100"/>
  <c r="AG61" i="100"/>
  <c r="AC62" i="100"/>
  <c r="AA69" i="100"/>
  <c r="AI69" i="100"/>
  <c r="AA71" i="100"/>
  <c r="AE71" i="100"/>
  <c r="AI71" i="100"/>
  <c r="AM71" i="100"/>
  <c r="AC71" i="100"/>
  <c r="AG76" i="100"/>
  <c r="AA77" i="100"/>
  <c r="AI77" i="100"/>
  <c r="AM77" i="100"/>
  <c r="AE78" i="100"/>
  <c r="AI78" i="100"/>
  <c r="AM78" i="100"/>
  <c r="AI79" i="100"/>
  <c r="AM79" i="100"/>
  <c r="AG80" i="100"/>
  <c r="AG82" i="100"/>
  <c r="AG83" i="100"/>
  <c r="AG85" i="100"/>
  <c r="AL91" i="100"/>
  <c r="AC93" i="100"/>
  <c r="AC92" i="100"/>
  <c r="AG95" i="100"/>
  <c r="AG93" i="100"/>
  <c r="AB101" i="100"/>
  <c r="AF101" i="100"/>
  <c r="AJ101" i="100"/>
  <c r="AN101" i="100"/>
  <c r="Y110" i="100"/>
  <c r="Y108" i="100"/>
  <c r="AC110" i="100"/>
  <c r="AG110" i="100"/>
  <c r="AK108" i="100"/>
  <c r="AL119" i="100"/>
  <c r="AF126" i="100"/>
  <c r="Z129" i="100"/>
  <c r="AH129" i="100"/>
  <c r="AG138" i="100"/>
  <c r="AC141" i="100"/>
  <c r="AC143" i="100"/>
  <c r="AN142" i="100"/>
  <c r="AN144" i="100"/>
  <c r="AD145" i="100"/>
  <c r="AB152" i="100"/>
  <c r="AB154" i="100"/>
  <c r="AC159" i="100"/>
  <c r="AM160" i="100"/>
  <c r="AB163" i="100"/>
  <c r="AJ163" i="100"/>
  <c r="Z164" i="100"/>
  <c r="AH164" i="100"/>
  <c r="AE167" i="100"/>
  <c r="AH168" i="100"/>
  <c r="AJ176" i="100"/>
  <c r="AJ173" i="100"/>
  <c r="AJ174" i="100"/>
  <c r="AE174" i="100"/>
  <c r="AE175" i="100"/>
  <c r="Z11" i="111"/>
  <c r="Z17" i="111"/>
  <c r="AH17" i="111"/>
  <c r="AA41" i="111"/>
  <c r="AD11" i="100"/>
  <c r="AL11" i="100"/>
  <c r="AC12" i="100"/>
  <c r="AK12" i="100"/>
  <c r="Z15" i="100"/>
  <c r="AH15" i="100"/>
  <c r="Y16" i="100"/>
  <c r="AG16" i="100"/>
  <c r="AD19" i="100"/>
  <c r="AL19" i="100"/>
  <c r="AC20" i="100"/>
  <c r="AK20" i="100"/>
  <c r="Z23" i="100"/>
  <c r="AH23" i="100"/>
  <c r="Y24" i="100"/>
  <c r="AG24" i="100"/>
  <c r="AD27" i="100"/>
  <c r="AL27" i="100"/>
  <c r="AC28" i="100"/>
  <c r="AK28" i="100"/>
  <c r="Z31" i="100"/>
  <c r="AH31" i="100"/>
  <c r="Y32" i="100"/>
  <c r="AG32" i="100"/>
  <c r="AD35" i="100"/>
  <c r="AL35" i="100"/>
  <c r="AC36" i="100"/>
  <c r="AK36" i="100"/>
  <c r="Z39" i="100"/>
  <c r="AN44" i="100"/>
  <c r="AF45" i="100"/>
  <c r="AN45" i="100"/>
  <c r="AB49" i="100"/>
  <c r="AJ49" i="100"/>
  <c r="AK49" i="100"/>
  <c r="AF53" i="100"/>
  <c r="AN53" i="100"/>
  <c r="Z55" i="100"/>
  <c r="AH55" i="100"/>
  <c r="Y55" i="100"/>
  <c r="AC57" i="100"/>
  <c r="AJ58" i="100"/>
  <c r="AD60" i="100"/>
  <c r="AD59" i="100"/>
  <c r="AL60" i="100"/>
  <c r="AL59" i="100"/>
  <c r="Y78" i="100"/>
  <c r="Y68" i="100"/>
  <c r="Y74" i="100"/>
  <c r="AC86" i="100"/>
  <c r="AC85" i="100"/>
  <c r="AC78" i="100"/>
  <c r="AC68" i="100"/>
  <c r="AG68" i="100"/>
  <c r="AG74" i="100"/>
  <c r="AK87" i="100"/>
  <c r="AK86" i="100"/>
  <c r="AK85" i="100"/>
  <c r="AK68" i="100"/>
  <c r="AK78" i="100"/>
  <c r="AC69" i="100"/>
  <c r="AJ70" i="100"/>
  <c r="AB73" i="100"/>
  <c r="AF73" i="100"/>
  <c r="AJ73" i="100"/>
  <c r="AN73" i="100"/>
  <c r="AE73" i="100"/>
  <c r="Z74" i="100"/>
  <c r="AD74" i="100"/>
  <c r="AH74" i="100"/>
  <c r="AC75" i="100"/>
  <c r="AK75" i="100"/>
  <c r="AB76" i="100"/>
  <c r="AJ76" i="100"/>
  <c r="AH77" i="100"/>
  <c r="AG78" i="100"/>
  <c r="AH80" i="100"/>
  <c r="AB81" i="100"/>
  <c r="AJ81" i="100"/>
  <c r="AN81" i="100"/>
  <c r="AI81" i="100"/>
  <c r="AJ82" i="100"/>
  <c r="AJ83" i="100"/>
  <c r="AN83" i="100"/>
  <c r="AB84" i="100"/>
  <c r="AF84" i="100"/>
  <c r="AJ84" i="100"/>
  <c r="AN84" i="100"/>
  <c r="AI84" i="100"/>
  <c r="AB85" i="100"/>
  <c r="AF85" i="100"/>
  <c r="AN85" i="100"/>
  <c r="AH86" i="100"/>
  <c r="AA87" i="100"/>
  <c r="AC87" i="100"/>
  <c r="AA88" i="100"/>
  <c r="Y94" i="100"/>
  <c r="AG94" i="100"/>
  <c r="AN98" i="100"/>
  <c r="AN100" i="100"/>
  <c r="AB102" i="100"/>
  <c r="AJ102" i="100"/>
  <c r="Y111" i="100"/>
  <c r="AC111" i="100"/>
  <c r="AG111" i="100"/>
  <c r="AK111" i="100"/>
  <c r="AG112" i="100"/>
  <c r="AG113" i="100"/>
  <c r="AN134" i="100"/>
  <c r="AN136" i="100"/>
  <c r="AD171" i="100"/>
  <c r="K171" i="100"/>
  <c r="K170" i="100"/>
  <c r="S170" i="100"/>
  <c r="S171" i="100"/>
  <c r="AN171" i="100" s="1"/>
  <c r="H83" i="98"/>
  <c r="H90" i="98" s="1"/>
  <c r="P83" i="98"/>
  <c r="P90" i="98" s="1"/>
  <c r="G84" i="98"/>
  <c r="G91" i="98" s="1"/>
  <c r="O84" i="98"/>
  <c r="O91" i="98" s="1"/>
  <c r="F85" i="98"/>
  <c r="F92" i="98" s="1"/>
  <c r="N85" i="98"/>
  <c r="N92" i="98" s="1"/>
  <c r="E86" i="98"/>
  <c r="E93" i="98" s="1"/>
  <c r="M86" i="98"/>
  <c r="M93" i="98" s="1"/>
  <c r="I99" i="98"/>
  <c r="Q99" i="98"/>
  <c r="I100" i="98"/>
  <c r="AB100" i="98" s="1"/>
  <c r="Q100" i="98"/>
  <c r="I101" i="98"/>
  <c r="Q101" i="98"/>
  <c r="I102" i="98"/>
  <c r="Q102" i="98"/>
  <c r="G106" i="98"/>
  <c r="O106" i="98"/>
  <c r="G107" i="98"/>
  <c r="Z107" i="98" s="1"/>
  <c r="O107" i="98"/>
  <c r="G108" i="98"/>
  <c r="O108" i="98"/>
  <c r="G109" i="98"/>
  <c r="O109" i="98"/>
  <c r="E113" i="98"/>
  <c r="M113" i="98"/>
  <c r="E114" i="98"/>
  <c r="X114" i="98" s="1"/>
  <c r="M114" i="98"/>
  <c r="E115" i="98"/>
  <c r="M115" i="98"/>
  <c r="E116" i="98"/>
  <c r="C120" i="98"/>
  <c r="K120" i="98"/>
  <c r="C121" i="98"/>
  <c r="K121" i="98"/>
  <c r="AD121" i="98" s="1"/>
  <c r="C122" i="98"/>
  <c r="K122" i="98"/>
  <c r="C123" i="98"/>
  <c r="K123" i="98"/>
  <c r="AG45" i="100"/>
  <c r="AF54" i="100"/>
  <c r="AA55" i="100"/>
  <c r="AI55" i="100"/>
  <c r="AN55" i="100"/>
  <c r="AI61" i="100"/>
  <c r="AA68" i="100"/>
  <c r="AM68" i="100"/>
  <c r="AB71" i="100"/>
  <c r="AJ71" i="100"/>
  <c r="AN72" i="100"/>
  <c r="AJ78" i="100"/>
  <c r="AJ79" i="100"/>
  <c r="AN80" i="100"/>
  <c r="AK83" i="100"/>
  <c r="AM84" i="100"/>
  <c r="AB86" i="100"/>
  <c r="AF86" i="100"/>
  <c r="AN86" i="100"/>
  <c r="AI86" i="100"/>
  <c r="AG87" i="100"/>
  <c r="AD89" i="100"/>
  <c r="AL89" i="100"/>
  <c r="AE91" i="100"/>
  <c r="AD92" i="100"/>
  <c r="AD93" i="100"/>
  <c r="AH92" i="100"/>
  <c r="AH94" i="100"/>
  <c r="AL92" i="100"/>
  <c r="AA92" i="100"/>
  <c r="AH93" i="100"/>
  <c r="AA95" i="100"/>
  <c r="AI95" i="100"/>
  <c r="Y101" i="100"/>
  <c r="AG101" i="100"/>
  <c r="AK101" i="100"/>
  <c r="AK100" i="100"/>
  <c r="AB103" i="100"/>
  <c r="AJ103" i="100"/>
  <c r="AC116" i="100"/>
  <c r="AC117" i="100"/>
  <c r="AC118" i="100"/>
  <c r="Y118" i="100"/>
  <c r="AK135" i="100"/>
  <c r="Y149" i="100"/>
  <c r="Y150" i="100"/>
  <c r="AG150" i="100"/>
  <c r="AG149" i="100"/>
  <c r="AG152" i="100"/>
  <c r="AD154" i="100"/>
  <c r="AD155" i="100"/>
  <c r="AD156" i="100"/>
  <c r="AL154" i="100"/>
  <c r="AL153" i="100"/>
  <c r="AL156" i="100"/>
  <c r="Y155" i="100"/>
  <c r="Y156" i="100"/>
  <c r="Y153" i="100"/>
  <c r="AG156" i="100"/>
  <c r="AG154" i="100"/>
  <c r="AG155" i="100"/>
  <c r="AH159" i="100"/>
  <c r="Y173" i="100"/>
  <c r="Y174" i="100"/>
  <c r="AG174" i="100"/>
  <c r="AG173" i="100"/>
  <c r="AG176" i="100"/>
  <c r="AC41" i="111"/>
  <c r="AK41" i="111"/>
  <c r="X50" i="111"/>
  <c r="AB50" i="111"/>
  <c r="Y50" i="111"/>
  <c r="AI50" i="111"/>
  <c r="AF50" i="111"/>
  <c r="Y44" i="100"/>
  <c r="AG44" i="100"/>
  <c r="Y45" i="100"/>
  <c r="Z46" i="100"/>
  <c r="AB48" i="100"/>
  <c r="AL48" i="100"/>
  <c r="AM49" i="100"/>
  <c r="AN50" i="100"/>
  <c r="Y52" i="100"/>
  <c r="AG52" i="100"/>
  <c r="AH52" i="100"/>
  <c r="AL56" i="100"/>
  <c r="AA58" i="100"/>
  <c r="AI58" i="100"/>
  <c r="AL58" i="100"/>
  <c r="AC60" i="100"/>
  <c r="AK60" i="100"/>
  <c r="AE60" i="100"/>
  <c r="AE62" i="100"/>
  <c r="AM62" i="100"/>
  <c r="Y73" i="100"/>
  <c r="AG73" i="100"/>
  <c r="AI73" i="100"/>
  <c r="AE74" i="100"/>
  <c r="AM74" i="100"/>
  <c r="AC74" i="100"/>
  <c r="Y75" i="100"/>
  <c r="AK81" i="100"/>
  <c r="AC82" i="100"/>
  <c r="AC83" i="100"/>
  <c r="AC84" i="100"/>
  <c r="AK84" i="100"/>
  <c r="AM85" i="100"/>
  <c r="AB87" i="100"/>
  <c r="AF87" i="100"/>
  <c r="AJ87" i="100"/>
  <c r="AN87" i="100"/>
  <c r="Z94" i="100"/>
  <c r="AB97" i="100"/>
  <c r="AN102" i="100"/>
  <c r="AJ104" i="100"/>
  <c r="AB105" i="100"/>
  <c r="AF105" i="100"/>
  <c r="AJ105" i="100"/>
  <c r="AN105" i="100"/>
  <c r="AC133" i="100"/>
  <c r="AC135" i="100"/>
  <c r="Y148" i="100"/>
  <c r="Y145" i="100"/>
  <c r="Y147" i="100"/>
  <c r="AK160" i="100"/>
  <c r="AK157" i="100"/>
  <c r="AK158" i="100"/>
  <c r="AK159" i="100"/>
  <c r="AE164" i="100"/>
  <c r="AE162" i="100"/>
  <c r="AE163" i="100"/>
  <c r="AM164" i="100"/>
  <c r="AM163" i="100"/>
  <c r="AH166" i="100"/>
  <c r="AH165" i="100"/>
  <c r="AI169" i="100"/>
  <c r="AI170" i="100"/>
  <c r="AI171" i="100"/>
  <c r="AB41" i="111"/>
  <c r="Y41" i="111"/>
  <c r="AJ41" i="111"/>
  <c r="W41" i="111"/>
  <c r="AG41" i="111"/>
  <c r="AH50" i="111"/>
  <c r="J83" i="98"/>
  <c r="J90" i="98" s="1"/>
  <c r="R83" i="98"/>
  <c r="R90" i="98" s="1"/>
  <c r="I84" i="98"/>
  <c r="I91" i="98" s="1"/>
  <c r="Q84" i="98"/>
  <c r="Q91" i="98" s="1"/>
  <c r="H85" i="98"/>
  <c r="H92" i="98" s="1"/>
  <c r="P85" i="98"/>
  <c r="P92" i="98" s="1"/>
  <c r="G86" i="98"/>
  <c r="G93" i="98" s="1"/>
  <c r="E120" i="98"/>
  <c r="M120" i="98"/>
  <c r="AF123" i="98" s="1"/>
  <c r="E121" i="98"/>
  <c r="M121" i="98"/>
  <c r="E122" i="98"/>
  <c r="X122" i="98" s="1"/>
  <c r="M122" i="98"/>
  <c r="E123" i="98"/>
  <c r="AH43" i="100"/>
  <c r="AD48" i="100"/>
  <c r="Z52" i="100"/>
  <c r="AM53" i="100"/>
  <c r="AH54" i="100"/>
  <c r="AJ59" i="100"/>
  <c r="Z61" i="100"/>
  <c r="AH62" i="100"/>
  <c r="AA72" i="100"/>
  <c r="AI72" i="100"/>
  <c r="Y76" i="100"/>
  <c r="Y77" i="100"/>
  <c r="AC77" i="100"/>
  <c r="AG77" i="100"/>
  <c r="Y79" i="100"/>
  <c r="AC79" i="100"/>
  <c r="AK79" i="100"/>
  <c r="AK80" i="100"/>
  <c r="Y84" i="100"/>
  <c r="AM86" i="100"/>
  <c r="AI87" i="100"/>
  <c r="AM89" i="100"/>
  <c r="AM88" i="100"/>
  <c r="AE92" i="100"/>
  <c r="AE94" i="100"/>
  <c r="AE93" i="100"/>
  <c r="AM93" i="100"/>
  <c r="AD94" i="100"/>
  <c r="AI96" i="100"/>
  <c r="AI98" i="100"/>
  <c r="AI97" i="100"/>
  <c r="AA97" i="100"/>
  <c r="AB98" i="100"/>
  <c r="Y103" i="100"/>
  <c r="AC103" i="100"/>
  <c r="AG103" i="100"/>
  <c r="AK103" i="100"/>
  <c r="AB106" i="100"/>
  <c r="AJ106" i="100"/>
  <c r="AN126" i="100"/>
  <c r="AN128" i="100"/>
  <c r="AC134" i="100"/>
  <c r="Y137" i="100"/>
  <c r="Y139" i="100"/>
  <c r="AG139" i="100"/>
  <c r="AJ138" i="100"/>
  <c r="AJ140" i="100"/>
  <c r="AG147" i="100"/>
  <c r="AJ154" i="100"/>
  <c r="AJ155" i="100"/>
  <c r="AJ153" i="100"/>
  <c r="Z158" i="100"/>
  <c r="Z157" i="100"/>
  <c r="Z159" i="100"/>
  <c r="AH158" i="100"/>
  <c r="AH157" i="100"/>
  <c r="AH160" i="100"/>
  <c r="AJ161" i="100"/>
  <c r="AJ162" i="100"/>
  <c r="AM162" i="100"/>
  <c r="AK167" i="100"/>
  <c r="AK166" i="100"/>
  <c r="AA11" i="111"/>
  <c r="AI11" i="111"/>
  <c r="AG11" i="111"/>
  <c r="W11" i="111"/>
  <c r="AE11" i="111"/>
  <c r="AA17" i="111"/>
  <c r="AI17" i="111"/>
  <c r="Y17" i="111"/>
  <c r="W17" i="111"/>
  <c r="AH41" i="111"/>
  <c r="AL77" i="100"/>
  <c r="AL79" i="100"/>
  <c r="AD80" i="100"/>
  <c r="AF82" i="100"/>
  <c r="AN82" i="100"/>
  <c r="Y95" i="100"/>
  <c r="AA108" i="100"/>
  <c r="AI108" i="100"/>
  <c r="AC108" i="100"/>
  <c r="AL108" i="100"/>
  <c r="AL109" i="100"/>
  <c r="AK110" i="100"/>
  <c r="AF114" i="100"/>
  <c r="AN114" i="100"/>
  <c r="AE116" i="100"/>
  <c r="AF117" i="100"/>
  <c r="Z119" i="100"/>
  <c r="AH119" i="100"/>
  <c r="AI119" i="100"/>
  <c r="Y125" i="100"/>
  <c r="Z126" i="100"/>
  <c r="AA127" i="100"/>
  <c r="AC128" i="100"/>
  <c r="AK128" i="100"/>
  <c r="AL128" i="100"/>
  <c r="Y132" i="100"/>
  <c r="AG132" i="100"/>
  <c r="AH132" i="100"/>
  <c r="Y133" i="100"/>
  <c r="Z134" i="100"/>
  <c r="AA135" i="100"/>
  <c r="AC136" i="100"/>
  <c r="AK136" i="100"/>
  <c r="AL136" i="100"/>
  <c r="Y140" i="100"/>
  <c r="AG140" i="100"/>
  <c r="AH140" i="100"/>
  <c r="Y141" i="100"/>
  <c r="Z142" i="100"/>
  <c r="AA143" i="100"/>
  <c r="AC144" i="100"/>
  <c r="AK144" i="100"/>
  <c r="AL144" i="100"/>
  <c r="AA148" i="100"/>
  <c r="AL149" i="100"/>
  <c r="AE152" i="100"/>
  <c r="AG153" i="100"/>
  <c r="AB157" i="100"/>
  <c r="AM158" i="100"/>
  <c r="AE161" i="100"/>
  <c r="AM161" i="100"/>
  <c r="AD161" i="100"/>
  <c r="Y162" i="100"/>
  <c r="Z167" i="100"/>
  <c r="Y165" i="100"/>
  <c r="AJ165" i="100"/>
  <c r="F167" i="100"/>
  <c r="AA165" i="100" s="1"/>
  <c r="AG168" i="100"/>
  <c r="H170" i="100"/>
  <c r="AC172" i="100" s="1"/>
  <c r="AA169" i="100"/>
  <c r="Z169" i="100"/>
  <c r="AK169" i="100"/>
  <c r="H171" i="100"/>
  <c r="AI172" i="100"/>
  <c r="AA172" i="100"/>
  <c r="AE173" i="100"/>
  <c r="AM176" i="100"/>
  <c r="AI7" i="111"/>
  <c r="AF18" i="111"/>
  <c r="Y23" i="111"/>
  <c r="AJ26" i="111"/>
  <c r="AC27" i="111"/>
  <c r="W31" i="111"/>
  <c r="AG31" i="111"/>
  <c r="AI41" i="111"/>
  <c r="AK43" i="111"/>
  <c r="W47" i="111"/>
  <c r="AI47" i="111"/>
  <c r="AA50" i="111"/>
  <c r="AK57" i="111"/>
  <c r="Z58" i="111"/>
  <c r="AH58" i="111"/>
  <c r="AA58" i="111"/>
  <c r="Z65" i="111"/>
  <c r="C10" i="102"/>
  <c r="P10" i="102"/>
  <c r="F11" i="102"/>
  <c r="H12" i="102"/>
  <c r="M13" i="102"/>
  <c r="N17" i="102"/>
  <c r="H18" i="102"/>
  <c r="D19" i="102"/>
  <c r="M34" i="102"/>
  <c r="E34" i="102"/>
  <c r="M33" i="102"/>
  <c r="E33" i="102"/>
  <c r="M32" i="102"/>
  <c r="E32" i="102"/>
  <c r="M31" i="102"/>
  <c r="E31" i="102"/>
  <c r="K34" i="102"/>
  <c r="C34" i="102"/>
  <c r="K33" i="102"/>
  <c r="C33" i="102"/>
  <c r="K32" i="102"/>
  <c r="C32" i="102"/>
  <c r="K31" i="102"/>
  <c r="C31" i="102"/>
  <c r="L34" i="102"/>
  <c r="L33" i="102"/>
  <c r="L32" i="102"/>
  <c r="L31" i="102"/>
  <c r="J34" i="102"/>
  <c r="J33" i="102"/>
  <c r="J32" i="102"/>
  <c r="J31" i="102"/>
  <c r="P29" i="102"/>
  <c r="P34" i="102"/>
  <c r="F34" i="102"/>
  <c r="P33" i="102"/>
  <c r="F33" i="102"/>
  <c r="P32" i="102"/>
  <c r="F32" i="102"/>
  <c r="P31" i="102"/>
  <c r="F31" i="102"/>
  <c r="O31" i="102"/>
  <c r="I32" i="102"/>
  <c r="G33" i="102"/>
  <c r="R34" i="102"/>
  <c r="G73" i="102"/>
  <c r="G74" i="102"/>
  <c r="G75" i="102"/>
  <c r="G76" i="102"/>
  <c r="H87" i="102"/>
  <c r="P88" i="102"/>
  <c r="D89" i="102"/>
  <c r="P90" i="102"/>
  <c r="H102" i="102"/>
  <c r="O103" i="102"/>
  <c r="I18" i="105"/>
  <c r="L24" i="105"/>
  <c r="D25" i="105"/>
  <c r="L45" i="105"/>
  <c r="F46" i="105"/>
  <c r="Q69" i="105"/>
  <c r="I69" i="105"/>
  <c r="Q68" i="105"/>
  <c r="I68" i="105"/>
  <c r="Q67" i="105"/>
  <c r="I67" i="105"/>
  <c r="Q66" i="105"/>
  <c r="I66" i="105"/>
  <c r="P69" i="105"/>
  <c r="G69" i="105"/>
  <c r="L68" i="105"/>
  <c r="C68" i="105"/>
  <c r="P67" i="105"/>
  <c r="G67" i="105"/>
  <c r="L66" i="105"/>
  <c r="C66" i="105"/>
  <c r="K69" i="105"/>
  <c r="O68" i="105"/>
  <c r="F68" i="105"/>
  <c r="K67" i="105"/>
  <c r="O66" i="105"/>
  <c r="F66" i="105"/>
  <c r="R69" i="105"/>
  <c r="H69" i="105"/>
  <c r="M68" i="105"/>
  <c r="D68" i="105"/>
  <c r="R67" i="105"/>
  <c r="H67" i="105"/>
  <c r="M66" i="105"/>
  <c r="D66" i="105"/>
  <c r="F69" i="105"/>
  <c r="G68" i="105"/>
  <c r="O67" i="105"/>
  <c r="C67" i="105"/>
  <c r="P66" i="105"/>
  <c r="E69" i="105"/>
  <c r="E68" i="105"/>
  <c r="N67" i="105"/>
  <c r="N66" i="105"/>
  <c r="P64" i="105"/>
  <c r="N69" i="105"/>
  <c r="N68" i="105"/>
  <c r="J67" i="105"/>
  <c r="H66" i="105"/>
  <c r="M69" i="105"/>
  <c r="K68" i="105"/>
  <c r="F67" i="105"/>
  <c r="G66" i="105"/>
  <c r="L69" i="105"/>
  <c r="J68" i="105"/>
  <c r="E67" i="105"/>
  <c r="E66" i="105"/>
  <c r="J69" i="105"/>
  <c r="E11" i="81"/>
  <c r="J11" i="81"/>
  <c r="D11" i="81"/>
  <c r="K11" i="81"/>
  <c r="H11" i="81"/>
  <c r="G11" i="81"/>
  <c r="C11" i="81"/>
  <c r="AD77" i="100"/>
  <c r="AB80" i="100"/>
  <c r="AJ80" i="100"/>
  <c r="Y86" i="100"/>
  <c r="AG86" i="100"/>
  <c r="AE97" i="100"/>
  <c r="AM97" i="100"/>
  <c r="AA99" i="100"/>
  <c r="AI99" i="100"/>
  <c r="AL104" i="100"/>
  <c r="AD108" i="100"/>
  <c r="AM108" i="100"/>
  <c r="AB112" i="100"/>
  <c r="AJ112" i="100"/>
  <c r="AE112" i="100"/>
  <c r="AE113" i="100"/>
  <c r="AF116" i="100"/>
  <c r="AA119" i="100"/>
  <c r="Z125" i="100"/>
  <c r="AB127" i="100"/>
  <c r="AD128" i="100"/>
  <c r="AN129" i="100"/>
  <c r="Z132" i="100"/>
  <c r="Z133" i="100"/>
  <c r="AB135" i="100"/>
  <c r="AD136" i="100"/>
  <c r="AN137" i="100"/>
  <c r="Z140" i="100"/>
  <c r="Z141" i="100"/>
  <c r="AB143" i="100"/>
  <c r="AD144" i="100"/>
  <c r="AN145" i="100"/>
  <c r="AC148" i="100"/>
  <c r="Z150" i="100"/>
  <c r="AH150" i="100"/>
  <c r="AM151" i="100"/>
  <c r="AF155" i="100"/>
  <c r="AC157" i="100"/>
  <c r="AD157" i="100"/>
  <c r="AG158" i="100"/>
  <c r="AF161" i="100"/>
  <c r="AH162" i="100"/>
  <c r="AC163" i="100"/>
  <c r="AK163" i="100"/>
  <c r="AG164" i="100"/>
  <c r="K166" i="100"/>
  <c r="J171" i="100"/>
  <c r="Z174" i="100"/>
  <c r="AH174" i="100"/>
  <c r="AF176" i="100"/>
  <c r="AN176" i="100"/>
  <c r="Z7" i="111"/>
  <c r="AH7" i="111"/>
  <c r="Y7" i="111"/>
  <c r="Z13" i="111"/>
  <c r="Y13" i="111"/>
  <c r="AK13" i="111"/>
  <c r="AK14" i="111"/>
  <c r="W15" i="111"/>
  <c r="AH23" i="111"/>
  <c r="W25" i="111"/>
  <c r="AA26" i="111"/>
  <c r="AI26" i="111"/>
  <c r="Z26" i="111"/>
  <c r="AC35" i="111"/>
  <c r="AA46" i="111"/>
  <c r="AI46" i="111"/>
  <c r="AF47" i="111"/>
  <c r="X47" i="111"/>
  <c r="AJ50" i="111"/>
  <c r="Z60" i="111"/>
  <c r="AB62" i="111"/>
  <c r="AE62" i="111"/>
  <c r="Z66" i="111"/>
  <c r="AH66" i="111"/>
  <c r="AA66" i="111"/>
  <c r="E10" i="102"/>
  <c r="G11" i="102"/>
  <c r="L12" i="102"/>
  <c r="M20" i="102"/>
  <c r="E20" i="102"/>
  <c r="M19" i="102"/>
  <c r="E19" i="102"/>
  <c r="M18" i="102"/>
  <c r="E18" i="102"/>
  <c r="M17" i="102"/>
  <c r="E17" i="102"/>
  <c r="K20" i="102"/>
  <c r="C20" i="102"/>
  <c r="K19" i="102"/>
  <c r="C19" i="102"/>
  <c r="K18" i="102"/>
  <c r="C18" i="102"/>
  <c r="K17" i="102"/>
  <c r="C17" i="102"/>
  <c r="L20" i="102"/>
  <c r="L19" i="102"/>
  <c r="L18" i="102"/>
  <c r="L17" i="102"/>
  <c r="J20" i="102"/>
  <c r="J19" i="102"/>
  <c r="J18" i="102"/>
  <c r="J17" i="102"/>
  <c r="P15" i="102"/>
  <c r="P20" i="102"/>
  <c r="F20" i="102"/>
  <c r="P19" i="102"/>
  <c r="F19" i="102"/>
  <c r="P18" i="102"/>
  <c r="F18" i="102"/>
  <c r="P17" i="102"/>
  <c r="F17" i="102"/>
  <c r="O17" i="102"/>
  <c r="I18" i="102"/>
  <c r="G19" i="102"/>
  <c r="R20" i="102"/>
  <c r="H73" i="102"/>
  <c r="H74" i="102"/>
  <c r="H75" i="102"/>
  <c r="H76" i="102"/>
  <c r="I87" i="102"/>
  <c r="Q88" i="102"/>
  <c r="C101" i="102"/>
  <c r="I102" i="102"/>
  <c r="M20" i="105"/>
  <c r="E20" i="105"/>
  <c r="M19" i="105"/>
  <c r="E19" i="105"/>
  <c r="M18" i="105"/>
  <c r="E18" i="105"/>
  <c r="M17" i="105"/>
  <c r="E17" i="105"/>
  <c r="P20" i="105"/>
  <c r="G20" i="105"/>
  <c r="K19" i="105"/>
  <c r="P18" i="105"/>
  <c r="G18" i="105"/>
  <c r="K17" i="105"/>
  <c r="N20" i="105"/>
  <c r="D20" i="105"/>
  <c r="R19" i="105"/>
  <c r="I19" i="105"/>
  <c r="N18" i="105"/>
  <c r="D18" i="105"/>
  <c r="R17" i="105"/>
  <c r="I17" i="105"/>
  <c r="P15" i="105"/>
  <c r="Q20" i="105"/>
  <c r="C20" i="105"/>
  <c r="L19" i="105"/>
  <c r="H18" i="105"/>
  <c r="O17" i="105"/>
  <c r="C17" i="105"/>
  <c r="O20" i="105"/>
  <c r="J19" i="105"/>
  <c r="R18" i="105"/>
  <c r="F18" i="105"/>
  <c r="N17" i="105"/>
  <c r="I20" i="105"/>
  <c r="P19" i="105"/>
  <c r="D19" i="105"/>
  <c r="K18" i="105"/>
  <c r="G17" i="105"/>
  <c r="H20" i="105"/>
  <c r="O19" i="105"/>
  <c r="C19" i="105"/>
  <c r="J18" i="105"/>
  <c r="Q17" i="105"/>
  <c r="F17" i="105"/>
  <c r="L18" i="105"/>
  <c r="L20" i="105"/>
  <c r="Q27" i="105"/>
  <c r="I27" i="105"/>
  <c r="Q26" i="105"/>
  <c r="I26" i="105"/>
  <c r="Q25" i="105"/>
  <c r="I25" i="105"/>
  <c r="Q24" i="105"/>
  <c r="I24" i="105"/>
  <c r="K27" i="105"/>
  <c r="O26" i="105"/>
  <c r="F26" i="105"/>
  <c r="K25" i="105"/>
  <c r="O24" i="105"/>
  <c r="F24" i="105"/>
  <c r="R27" i="105"/>
  <c r="H27" i="105"/>
  <c r="M26" i="105"/>
  <c r="D26" i="105"/>
  <c r="R25" i="105"/>
  <c r="H25" i="105"/>
  <c r="M24" i="105"/>
  <c r="D24" i="105"/>
  <c r="M27" i="105"/>
  <c r="N26" i="105"/>
  <c r="N25" i="105"/>
  <c r="C25" i="105"/>
  <c r="P24" i="105"/>
  <c r="C24" i="105"/>
  <c r="L27" i="105"/>
  <c r="L26" i="105"/>
  <c r="M25" i="105"/>
  <c r="N24" i="105"/>
  <c r="P27" i="105"/>
  <c r="E27" i="105"/>
  <c r="G26" i="105"/>
  <c r="F25" i="105"/>
  <c r="H24" i="105"/>
  <c r="O27" i="105"/>
  <c r="D27" i="105"/>
  <c r="R26" i="105"/>
  <c r="E26" i="105"/>
  <c r="P25" i="105"/>
  <c r="E25" i="105"/>
  <c r="G24" i="105"/>
  <c r="R24" i="105"/>
  <c r="G25" i="105"/>
  <c r="J27" i="105"/>
  <c r="P45" i="105"/>
  <c r="H46" i="105"/>
  <c r="C47" i="105"/>
  <c r="AE76" i="105"/>
  <c r="W76" i="105"/>
  <c r="AE75" i="105"/>
  <c r="W75" i="105"/>
  <c r="AE74" i="105"/>
  <c r="W74" i="105"/>
  <c r="AE73" i="105"/>
  <c r="W73" i="105"/>
  <c r="AG76" i="105"/>
  <c r="X76" i="105"/>
  <c r="AB75" i="105"/>
  <c r="AG74" i="105"/>
  <c r="X74" i="105"/>
  <c r="AB73" i="105"/>
  <c r="AJ76" i="105"/>
  <c r="AA76" i="105"/>
  <c r="AF75" i="105"/>
  <c r="V75" i="105"/>
  <c r="AJ74" i="105"/>
  <c r="AA74" i="105"/>
  <c r="AF73" i="105"/>
  <c r="V73" i="105"/>
  <c r="AH71" i="105"/>
  <c r="AH76" i="105"/>
  <c r="Y76" i="105"/>
  <c r="AC75" i="105"/>
  <c r="AH74" i="105"/>
  <c r="Y74" i="105"/>
  <c r="AC73" i="105"/>
  <c r="AC76" i="105"/>
  <c r="AG75" i="105"/>
  <c r="AI74" i="105"/>
  <c r="AJ73" i="105"/>
  <c r="X73" i="105"/>
  <c r="AB76" i="105"/>
  <c r="AD75" i="105"/>
  <c r="AF74" i="105"/>
  <c r="AI73" i="105"/>
  <c r="U73" i="105"/>
  <c r="U76" i="105"/>
  <c r="Y75" i="105"/>
  <c r="AB74" i="105"/>
  <c r="AD73" i="105"/>
  <c r="AI76" i="105"/>
  <c r="AJ75" i="105"/>
  <c r="X75" i="105"/>
  <c r="Z74" i="105"/>
  <c r="AA73" i="105"/>
  <c r="AF76" i="105"/>
  <c r="AI75" i="105"/>
  <c r="U75" i="105"/>
  <c r="V74" i="105"/>
  <c r="Z73" i="105"/>
  <c r="AK116" i="100"/>
  <c r="AD127" i="100"/>
  <c r="AL127" i="100"/>
  <c r="Z131" i="100"/>
  <c r="AH131" i="100"/>
  <c r="AD135" i="100"/>
  <c r="AL135" i="100"/>
  <c r="Z139" i="100"/>
  <c r="AH139" i="100"/>
  <c r="AD143" i="100"/>
  <c r="AL143" i="100"/>
  <c r="AF145" i="100"/>
  <c r="Z147" i="100"/>
  <c r="AN148" i="100"/>
  <c r="AD151" i="100"/>
  <c r="AA156" i="100"/>
  <c r="AL159" i="100"/>
  <c r="AE160" i="100"/>
  <c r="AA162" i="100"/>
  <c r="AE170" i="100"/>
  <c r="AK170" i="100"/>
  <c r="AF30" i="111"/>
  <c r="AG35" i="111"/>
  <c r="AK62" i="111"/>
  <c r="AF62" i="111"/>
  <c r="K46" i="105"/>
  <c r="AG62" i="111"/>
  <c r="M48" i="105"/>
  <c r="E48" i="105"/>
  <c r="M47" i="105"/>
  <c r="E47" i="105"/>
  <c r="M46" i="105"/>
  <c r="E46" i="105"/>
  <c r="M45" i="105"/>
  <c r="E45" i="105"/>
  <c r="L48" i="105"/>
  <c r="C48" i="105"/>
  <c r="Q47" i="105"/>
  <c r="H47" i="105"/>
  <c r="L46" i="105"/>
  <c r="C46" i="105"/>
  <c r="P48" i="105"/>
  <c r="G48" i="105"/>
  <c r="K47" i="105"/>
  <c r="P46" i="105"/>
  <c r="G46" i="105"/>
  <c r="K45" i="105"/>
  <c r="N48" i="105"/>
  <c r="D48" i="105"/>
  <c r="R47" i="105"/>
  <c r="I47" i="105"/>
  <c r="N46" i="105"/>
  <c r="D46" i="105"/>
  <c r="R45" i="105"/>
  <c r="I45" i="105"/>
  <c r="P43" i="105"/>
  <c r="F48" i="105"/>
  <c r="G47" i="105"/>
  <c r="J46" i="105"/>
  <c r="O45" i="105"/>
  <c r="C45" i="105"/>
  <c r="R48" i="105"/>
  <c r="F47" i="105"/>
  <c r="I46" i="105"/>
  <c r="N45" i="105"/>
  <c r="J48" i="105"/>
  <c r="N47" i="105"/>
  <c r="Q46" i="105"/>
  <c r="G45" i="105"/>
  <c r="I48" i="105"/>
  <c r="L47" i="105"/>
  <c r="O46" i="105"/>
  <c r="Q45" i="105"/>
  <c r="F45" i="105"/>
  <c r="R46" i="105"/>
  <c r="J47" i="105"/>
  <c r="AG108" i="100"/>
  <c r="AD115" i="100"/>
  <c r="AL115" i="100"/>
  <c r="AK117" i="100"/>
  <c r="AM119" i="100"/>
  <c r="AE126" i="100"/>
  <c r="AM126" i="100"/>
  <c r="AF127" i="100"/>
  <c r="AG128" i="100"/>
  <c r="AA130" i="100"/>
  <c r="AI130" i="100"/>
  <c r="AB131" i="100"/>
  <c r="AC132" i="100"/>
  <c r="AE134" i="100"/>
  <c r="AM134" i="100"/>
  <c r="AF135" i="100"/>
  <c r="AG136" i="100"/>
  <c r="AA138" i="100"/>
  <c r="AI138" i="100"/>
  <c r="AB139" i="100"/>
  <c r="AL140" i="100"/>
  <c r="AE142" i="100"/>
  <c r="AM142" i="100"/>
  <c r="AF143" i="100"/>
  <c r="AB147" i="100"/>
  <c r="AF148" i="100"/>
  <c r="AC150" i="100"/>
  <c r="AN151" i="100"/>
  <c r="AK156" i="100"/>
  <c r="AF154" i="100"/>
  <c r="AA158" i="100"/>
  <c r="AC162" i="100"/>
  <c r="AG163" i="100"/>
  <c r="AA164" i="100"/>
  <c r="S166" i="100"/>
  <c r="AN167" i="100" s="1"/>
  <c r="AL165" i="100"/>
  <c r="AL168" i="100"/>
  <c r="AE169" i="100"/>
  <c r="L171" i="100"/>
  <c r="AG171" i="100" s="1"/>
  <c r="O170" i="100"/>
  <c r="AJ169" i="100" s="1"/>
  <c r="Y171" i="100"/>
  <c r="AC174" i="100"/>
  <c r="AD174" i="100"/>
  <c r="AG14" i="111"/>
  <c r="AA15" i="111"/>
  <c r="AK15" i="111"/>
  <c r="AE17" i="111"/>
  <c r="AI25" i="111"/>
  <c r="AA25" i="111"/>
  <c r="AE26" i="111"/>
  <c r="Y30" i="111"/>
  <c r="AB31" i="111"/>
  <c r="AF35" i="111"/>
  <c r="X35" i="111"/>
  <c r="AJ35" i="111"/>
  <c r="AE41" i="111"/>
  <c r="W50" i="111"/>
  <c r="AE50" i="111"/>
  <c r="W62" i="111"/>
  <c r="AI62" i="111"/>
  <c r="AB65" i="111"/>
  <c r="AJ65" i="111"/>
  <c r="AH65" i="111"/>
  <c r="M90" i="102"/>
  <c r="E90" i="102"/>
  <c r="M89" i="102"/>
  <c r="E89" i="102"/>
  <c r="M88" i="102"/>
  <c r="E88" i="102"/>
  <c r="M87" i="102"/>
  <c r="E87" i="102"/>
  <c r="K90" i="102"/>
  <c r="C90" i="102"/>
  <c r="K89" i="102"/>
  <c r="C89" i="102"/>
  <c r="K88" i="102"/>
  <c r="C88" i="102"/>
  <c r="K87" i="102"/>
  <c r="C87" i="102"/>
  <c r="O90" i="102"/>
  <c r="D90" i="102"/>
  <c r="Q89" i="102"/>
  <c r="G89" i="102"/>
  <c r="I88" i="102"/>
  <c r="L87" i="102"/>
  <c r="N90" i="102"/>
  <c r="P89" i="102"/>
  <c r="F89" i="102"/>
  <c r="R88" i="102"/>
  <c r="H88" i="102"/>
  <c r="J87" i="102"/>
  <c r="P85" i="102"/>
  <c r="R90" i="102"/>
  <c r="H90" i="102"/>
  <c r="J89" i="102"/>
  <c r="N88" i="102"/>
  <c r="P87" i="102"/>
  <c r="F87" i="102"/>
  <c r="Q90" i="102"/>
  <c r="G90" i="102"/>
  <c r="I89" i="102"/>
  <c r="L88" i="102"/>
  <c r="O87" i="102"/>
  <c r="D87" i="102"/>
  <c r="R87" i="102"/>
  <c r="F88" i="102"/>
  <c r="O89" i="102"/>
  <c r="F90" i="102"/>
  <c r="O47" i="105"/>
  <c r="H48" i="105"/>
  <c r="Z77" i="100"/>
  <c r="AA85" i="100"/>
  <c r="AI85" i="100"/>
  <c r="AE87" i="100"/>
  <c r="AM87" i="100"/>
  <c r="AB88" i="100"/>
  <c r="AK88" i="100"/>
  <c r="AC89" i="100"/>
  <c r="AB91" i="100"/>
  <c r="AA116" i="100"/>
  <c r="AM118" i="100"/>
  <c r="AN119" i="100"/>
  <c r="Y128" i="100"/>
  <c r="AL131" i="100"/>
  <c r="AM132" i="100"/>
  <c r="Y136" i="100"/>
  <c r="AL139" i="100"/>
  <c r="AM140" i="100"/>
  <c r="AD147" i="100"/>
  <c r="AA149" i="100"/>
  <c r="AI149" i="100"/>
  <c r="Z149" i="100"/>
  <c r="AK149" i="100"/>
  <c r="AD150" i="100"/>
  <c r="Y151" i="100"/>
  <c r="AG151" i="100"/>
  <c r="AN153" i="100"/>
  <c r="AI155" i="100"/>
  <c r="AL158" i="100"/>
  <c r="AE159" i="100"/>
  <c r="Y160" i="100"/>
  <c r="AI160" i="100"/>
  <c r="AD162" i="100"/>
  <c r="AL162" i="100"/>
  <c r="AG167" i="100"/>
  <c r="Z166" i="100"/>
  <c r="AD166" i="100"/>
  <c r="O171" i="100"/>
  <c r="AJ171" i="100" s="1"/>
  <c r="AA173" i="100"/>
  <c r="AI173" i="100"/>
  <c r="Z173" i="100"/>
  <c r="AL173" i="100"/>
  <c r="AL174" i="100"/>
  <c r="Y175" i="100"/>
  <c r="AG175" i="100"/>
  <c r="AK176" i="100"/>
  <c r="AH14" i="111"/>
  <c r="X17" i="111"/>
  <c r="AF17" i="111"/>
  <c r="AB25" i="111"/>
  <c r="AJ25" i="111"/>
  <c r="AC25" i="111"/>
  <c r="AF26" i="111"/>
  <c r="AG29" i="111"/>
  <c r="AG30" i="111"/>
  <c r="Z30" i="111"/>
  <c r="AJ30" i="111"/>
  <c r="AC31" i="111"/>
  <c r="AK35" i="111"/>
  <c r="X41" i="111"/>
  <c r="AF41" i="111"/>
  <c r="AE46" i="111"/>
  <c r="W46" i="111"/>
  <c r="AH46" i="111"/>
  <c r="W58" i="111"/>
  <c r="AI58" i="111"/>
  <c r="AH60" i="111"/>
  <c r="AJ62" i="111"/>
  <c r="AE65" i="111"/>
  <c r="W65" i="111"/>
  <c r="AI66" i="111"/>
  <c r="Q13" i="102"/>
  <c r="I13" i="102"/>
  <c r="Q12" i="102"/>
  <c r="I12" i="102"/>
  <c r="Q11" i="102"/>
  <c r="I11" i="102"/>
  <c r="Q10" i="102"/>
  <c r="I10" i="102"/>
  <c r="O13" i="102"/>
  <c r="G13" i="102"/>
  <c r="O12" i="102"/>
  <c r="G12" i="102"/>
  <c r="H13" i="102"/>
  <c r="K12" i="102"/>
  <c r="N11" i="102"/>
  <c r="E11" i="102"/>
  <c r="J10" i="102"/>
  <c r="R13" i="102"/>
  <c r="F13" i="102"/>
  <c r="J12" i="102"/>
  <c r="M11" i="102"/>
  <c r="D11" i="102"/>
  <c r="R10" i="102"/>
  <c r="H10" i="102"/>
  <c r="P8" i="102"/>
  <c r="L13" i="102"/>
  <c r="N12" i="102"/>
  <c r="D12" i="102"/>
  <c r="R11" i="102"/>
  <c r="H11" i="102"/>
  <c r="M10" i="102"/>
  <c r="D10" i="102"/>
  <c r="L10" i="102"/>
  <c r="O11" i="102"/>
  <c r="C12" i="102"/>
  <c r="E13" i="102"/>
  <c r="N45" i="102"/>
  <c r="N46" i="102"/>
  <c r="N47" i="102"/>
  <c r="N48" i="102"/>
  <c r="M104" i="102"/>
  <c r="E104" i="102"/>
  <c r="M103" i="102"/>
  <c r="E103" i="102"/>
  <c r="M102" i="102"/>
  <c r="E102" i="102"/>
  <c r="M101" i="102"/>
  <c r="E101" i="102"/>
  <c r="P104" i="102"/>
  <c r="G104" i="102"/>
  <c r="K103" i="102"/>
  <c r="P102" i="102"/>
  <c r="G102" i="102"/>
  <c r="K101" i="102"/>
  <c r="M76" i="102"/>
  <c r="E76" i="102"/>
  <c r="M75" i="102"/>
  <c r="E75" i="102"/>
  <c r="M74" i="102"/>
  <c r="E74" i="102"/>
  <c r="M73" i="102"/>
  <c r="E73" i="102"/>
  <c r="N104" i="102"/>
  <c r="D104" i="102"/>
  <c r="R103" i="102"/>
  <c r="I103" i="102"/>
  <c r="N102" i="102"/>
  <c r="D102" i="102"/>
  <c r="R101" i="102"/>
  <c r="I101" i="102"/>
  <c r="K76" i="102"/>
  <c r="C76" i="102"/>
  <c r="K75" i="102"/>
  <c r="C75" i="102"/>
  <c r="K74" i="102"/>
  <c r="C74" i="102"/>
  <c r="K73" i="102"/>
  <c r="C73" i="102"/>
  <c r="J104" i="102"/>
  <c r="Q103" i="102"/>
  <c r="F103" i="102"/>
  <c r="L102" i="102"/>
  <c r="H101" i="102"/>
  <c r="L76" i="102"/>
  <c r="L75" i="102"/>
  <c r="L74" i="102"/>
  <c r="L73" i="102"/>
  <c r="I104" i="102"/>
  <c r="P103" i="102"/>
  <c r="D103" i="102"/>
  <c r="K102" i="102"/>
  <c r="G101" i="102"/>
  <c r="J76" i="102"/>
  <c r="J75" i="102"/>
  <c r="J74" i="102"/>
  <c r="J73" i="102"/>
  <c r="P71" i="102"/>
  <c r="O104" i="102"/>
  <c r="J103" i="102"/>
  <c r="R102" i="102"/>
  <c r="F102" i="102"/>
  <c r="N101" i="102"/>
  <c r="P76" i="102"/>
  <c r="F76" i="102"/>
  <c r="P75" i="102"/>
  <c r="F75" i="102"/>
  <c r="P74" i="102"/>
  <c r="F74" i="102"/>
  <c r="P73" i="102"/>
  <c r="F73" i="102"/>
  <c r="L104" i="102"/>
  <c r="H103" i="102"/>
  <c r="Q102" i="102"/>
  <c r="C102" i="102"/>
  <c r="L101" i="102"/>
  <c r="O76" i="102"/>
  <c r="D76" i="102"/>
  <c r="O75" i="102"/>
  <c r="D75" i="102"/>
  <c r="O74" i="102"/>
  <c r="D74" i="102"/>
  <c r="O73" i="102"/>
  <c r="D73" i="102"/>
  <c r="R73" i="102"/>
  <c r="R74" i="102"/>
  <c r="R75" i="102"/>
  <c r="R76" i="102"/>
  <c r="G88" i="102"/>
  <c r="R89" i="102"/>
  <c r="I90" i="102"/>
  <c r="O101" i="102"/>
  <c r="G103" i="102"/>
  <c r="Q104" i="102"/>
  <c r="D45" i="105"/>
  <c r="P47" i="105"/>
  <c r="K48" i="105"/>
  <c r="Z68" i="100"/>
  <c r="AL70" i="100"/>
  <c r="AF91" i="100"/>
  <c r="AN91" i="100"/>
  <c r="AN92" i="100"/>
  <c r="Y96" i="100"/>
  <c r="AG96" i="100"/>
  <c r="AG97" i="100"/>
  <c r="AD102" i="100"/>
  <c r="AL102" i="100"/>
  <c r="AD106" i="100"/>
  <c r="AL106" i="100"/>
  <c r="AE118" i="100"/>
  <c r="AF125" i="100"/>
  <c r="AN125" i="100"/>
  <c r="AB129" i="100"/>
  <c r="AJ129" i="100"/>
  <c r="AF133" i="100"/>
  <c r="AN133" i="100"/>
  <c r="AB137" i="100"/>
  <c r="AJ137" i="100"/>
  <c r="AF141" i="100"/>
  <c r="AN141" i="100"/>
  <c r="AB145" i="100"/>
  <c r="AJ145" i="100"/>
  <c r="AK145" i="100"/>
  <c r="AM150" i="100"/>
  <c r="AE153" i="100"/>
  <c r="AM153" i="100"/>
  <c r="Y154" i="100"/>
  <c r="AN159" i="100"/>
  <c r="AK164" i="100"/>
  <c r="AL161" i="100"/>
  <c r="Z163" i="100"/>
  <c r="AG165" i="100"/>
  <c r="G166" i="100"/>
  <c r="AB167" i="100" s="1"/>
  <c r="N167" i="100"/>
  <c r="AI167" i="100" s="1"/>
  <c r="G170" i="100"/>
  <c r="AC173" i="100"/>
  <c r="AF10" i="111"/>
  <c r="Y11" i="111"/>
  <c r="AJ14" i="111"/>
  <c r="AC15" i="111"/>
  <c r="W23" i="111"/>
  <c r="AA27" i="111"/>
  <c r="AE29" i="111"/>
  <c r="AE31" i="111"/>
  <c r="AI33" i="111"/>
  <c r="Z35" i="111"/>
  <c r="AH35" i="111"/>
  <c r="AA35" i="111"/>
  <c r="AJ46" i="111"/>
  <c r="AC47" i="111"/>
  <c r="AG50" i="111"/>
  <c r="AA57" i="111"/>
  <c r="AI57" i="111"/>
  <c r="AF58" i="111"/>
  <c r="AE60" i="111"/>
  <c r="AJ61" i="111"/>
  <c r="Y62" i="111"/>
  <c r="W66" i="111"/>
  <c r="AJ66" i="111"/>
  <c r="N10" i="102"/>
  <c r="P11" i="102"/>
  <c r="E12" i="102"/>
  <c r="J13" i="102"/>
  <c r="H17" i="102"/>
  <c r="D18" i="102"/>
  <c r="Q19" i="102"/>
  <c r="N20" i="102"/>
  <c r="I31" i="102"/>
  <c r="G32" i="102"/>
  <c r="R33" i="102"/>
  <c r="O34" i="102"/>
  <c r="Q45" i="102"/>
  <c r="Q46" i="102"/>
  <c r="Q47" i="102"/>
  <c r="M62" i="102"/>
  <c r="E62" i="102"/>
  <c r="M61" i="102"/>
  <c r="E61" i="102"/>
  <c r="M60" i="102"/>
  <c r="E60" i="102"/>
  <c r="M59" i="102"/>
  <c r="E59" i="102"/>
  <c r="K62" i="102"/>
  <c r="C62" i="102"/>
  <c r="K61" i="102"/>
  <c r="C61" i="102"/>
  <c r="K60" i="102"/>
  <c r="C60" i="102"/>
  <c r="K59" i="102"/>
  <c r="C59" i="102"/>
  <c r="L62" i="102"/>
  <c r="L61" i="102"/>
  <c r="L60" i="102"/>
  <c r="L59" i="102"/>
  <c r="J62" i="102"/>
  <c r="J61" i="102"/>
  <c r="J60" i="102"/>
  <c r="J59" i="102"/>
  <c r="P57" i="102"/>
  <c r="P62" i="102"/>
  <c r="F62" i="102"/>
  <c r="P61" i="102"/>
  <c r="F61" i="102"/>
  <c r="P60" i="102"/>
  <c r="F60" i="102"/>
  <c r="P59" i="102"/>
  <c r="F59" i="102"/>
  <c r="O62" i="102"/>
  <c r="D62" i="102"/>
  <c r="O61" i="102"/>
  <c r="D61" i="102"/>
  <c r="O60" i="102"/>
  <c r="D60" i="102"/>
  <c r="O59" i="102"/>
  <c r="D59" i="102"/>
  <c r="R59" i="102"/>
  <c r="R60" i="102"/>
  <c r="R61" i="102"/>
  <c r="R62" i="102"/>
  <c r="J88" i="102"/>
  <c r="J90" i="102"/>
  <c r="P101" i="102"/>
  <c r="L103" i="102"/>
  <c r="R104" i="102"/>
  <c r="L17" i="105"/>
  <c r="Q19" i="105"/>
  <c r="F20" i="105"/>
  <c r="J24" i="105"/>
  <c r="K26" i="105"/>
  <c r="C27" i="105"/>
  <c r="H45" i="105"/>
  <c r="O48" i="105"/>
  <c r="M67" i="105"/>
  <c r="P68" i="105"/>
  <c r="C69" i="105"/>
  <c r="U74" i="105"/>
  <c r="Z76" i="105"/>
  <c r="Z95" i="100"/>
  <c r="AH95" i="100"/>
  <c r="AE110" i="100"/>
  <c r="AM110" i="100"/>
  <c r="AL112" i="100"/>
  <c r="AB117" i="100"/>
  <c r="AJ117" i="100"/>
  <c r="AI148" i="100"/>
  <c r="AC155" i="100"/>
  <c r="AK155" i="100"/>
  <c r="AD158" i="100"/>
  <c r="Y159" i="100"/>
  <c r="AG159" i="100"/>
  <c r="AI159" i="100"/>
  <c r="AA160" i="100"/>
  <c r="AI163" i="100"/>
  <c r="AD170" i="100"/>
  <c r="R171" i="100"/>
  <c r="Z172" i="100"/>
  <c r="AK172" i="100"/>
  <c r="AK175" i="100"/>
  <c r="AH11" i="111"/>
  <c r="AA14" i="111"/>
  <c r="AI14" i="111"/>
  <c r="Z14" i="111"/>
  <c r="AB30" i="111"/>
  <c r="Z41" i="111"/>
  <c r="AH62" i="111"/>
  <c r="M48" i="102"/>
  <c r="E48" i="102"/>
  <c r="M47" i="102"/>
  <c r="E47" i="102"/>
  <c r="M46" i="102"/>
  <c r="E46" i="102"/>
  <c r="M45" i="102"/>
  <c r="E45" i="102"/>
  <c r="K48" i="102"/>
  <c r="C48" i="102"/>
  <c r="K47" i="102"/>
  <c r="C47" i="102"/>
  <c r="K46" i="102"/>
  <c r="C46" i="102"/>
  <c r="K45" i="102"/>
  <c r="C45" i="102"/>
  <c r="L48" i="102"/>
  <c r="L47" i="102"/>
  <c r="L46" i="102"/>
  <c r="L45" i="102"/>
  <c r="J48" i="102"/>
  <c r="J47" i="102"/>
  <c r="J46" i="102"/>
  <c r="J45" i="102"/>
  <c r="P43" i="102"/>
  <c r="P48" i="102"/>
  <c r="F48" i="102"/>
  <c r="P47" i="102"/>
  <c r="F47" i="102"/>
  <c r="P46" i="102"/>
  <c r="F46" i="102"/>
  <c r="P45" i="102"/>
  <c r="F45" i="102"/>
  <c r="O48" i="102"/>
  <c r="D48" i="102"/>
  <c r="O47" i="102"/>
  <c r="D47" i="102"/>
  <c r="O46" i="102"/>
  <c r="D46" i="102"/>
  <c r="O45" i="102"/>
  <c r="D45" i="102"/>
  <c r="R45" i="102"/>
  <c r="R46" i="102"/>
  <c r="R47" i="102"/>
  <c r="R48" i="102"/>
  <c r="J45" i="105"/>
  <c r="Q48" i="105"/>
  <c r="E17" i="81"/>
  <c r="G17" i="81"/>
  <c r="J17" i="81"/>
  <c r="K17" i="81"/>
  <c r="H17" i="81"/>
  <c r="D17" i="81"/>
  <c r="C17" i="81"/>
  <c r="M34" i="105"/>
  <c r="E34" i="105"/>
  <c r="M33" i="105"/>
  <c r="E33" i="105"/>
  <c r="M32" i="105"/>
  <c r="E32" i="105"/>
  <c r="M31" i="105"/>
  <c r="E31" i="105"/>
  <c r="P34" i="105"/>
  <c r="G34" i="105"/>
  <c r="K33" i="105"/>
  <c r="P32" i="105"/>
  <c r="G32" i="105"/>
  <c r="K31" i="105"/>
  <c r="N34" i="105"/>
  <c r="D34" i="105"/>
  <c r="R33" i="105"/>
  <c r="I33" i="105"/>
  <c r="N32" i="105"/>
  <c r="D32" i="105"/>
  <c r="R31" i="105"/>
  <c r="I31" i="105"/>
  <c r="P29" i="105"/>
  <c r="L31" i="105"/>
  <c r="C32" i="105"/>
  <c r="Q32" i="105"/>
  <c r="H33" i="105"/>
  <c r="L34" i="105"/>
  <c r="AI60" i="105"/>
  <c r="AG61" i="105"/>
  <c r="AC62" i="105"/>
  <c r="H80" i="105"/>
  <c r="J81" i="105"/>
  <c r="R82" i="105"/>
  <c r="D83" i="105"/>
  <c r="F95" i="105"/>
  <c r="R96" i="105"/>
  <c r="D97" i="105"/>
  <c r="F101" i="105"/>
  <c r="D102" i="105"/>
  <c r="C103" i="105"/>
  <c r="C104" i="105"/>
  <c r="E8" i="81"/>
  <c r="D8" i="81"/>
  <c r="J8" i="81"/>
  <c r="K8" i="81"/>
  <c r="E20" i="81"/>
  <c r="K20" i="81"/>
  <c r="D20" i="81"/>
  <c r="J20" i="81"/>
  <c r="H20" i="81"/>
  <c r="G20" i="81"/>
  <c r="C26" i="81"/>
  <c r="AE104" i="102"/>
  <c r="W104" i="102"/>
  <c r="AE103" i="102"/>
  <c r="W103" i="102"/>
  <c r="AE102" i="102"/>
  <c r="W102" i="102"/>
  <c r="AE101" i="102"/>
  <c r="W101" i="102"/>
  <c r="AJ104" i="102"/>
  <c r="AA104" i="102"/>
  <c r="AF103" i="102"/>
  <c r="V103" i="102"/>
  <c r="AJ102" i="102"/>
  <c r="AA102" i="102"/>
  <c r="AF101" i="102"/>
  <c r="V101" i="102"/>
  <c r="Y99" i="102"/>
  <c r="AH104" i="102"/>
  <c r="Y104" i="102"/>
  <c r="AC103" i="102"/>
  <c r="AH102" i="102"/>
  <c r="Y102" i="102"/>
  <c r="AC101" i="102"/>
  <c r="AA101" i="102"/>
  <c r="AF102" i="102"/>
  <c r="Y103" i="102"/>
  <c r="AJ103" i="102"/>
  <c r="AC104" i="102"/>
  <c r="U17" i="105"/>
  <c r="AH17" i="105"/>
  <c r="Z18" i="105"/>
  <c r="AD19" i="105"/>
  <c r="V20" i="105"/>
  <c r="AE34" i="105"/>
  <c r="W34" i="105"/>
  <c r="AE33" i="105"/>
  <c r="W33" i="105"/>
  <c r="AE32" i="105"/>
  <c r="W32" i="105"/>
  <c r="AE31" i="105"/>
  <c r="W31" i="105"/>
  <c r="AJ34" i="105"/>
  <c r="AA34" i="105"/>
  <c r="AF33" i="105"/>
  <c r="V33" i="105"/>
  <c r="AJ32" i="105"/>
  <c r="AA32" i="105"/>
  <c r="AF31" i="105"/>
  <c r="V31" i="105"/>
  <c r="AH29" i="105"/>
  <c r="AH34" i="105"/>
  <c r="Y34" i="105"/>
  <c r="AC33" i="105"/>
  <c r="AH32" i="105"/>
  <c r="Y32" i="105"/>
  <c r="AC31" i="105"/>
  <c r="N31" i="105"/>
  <c r="AA31" i="105"/>
  <c r="F32" i="105"/>
  <c r="R32" i="105"/>
  <c r="AF32" i="105"/>
  <c r="J33" i="105"/>
  <c r="Y33" i="105"/>
  <c r="AJ33" i="105"/>
  <c r="O34" i="105"/>
  <c r="AC34" i="105"/>
  <c r="U45" i="105"/>
  <c r="AI45" i="105"/>
  <c r="AF46" i="105"/>
  <c r="AD47" i="105"/>
  <c r="Y59" i="105"/>
  <c r="U60" i="105"/>
  <c r="AH61" i="105"/>
  <c r="J80" i="105"/>
  <c r="L81" i="105"/>
  <c r="G94" i="105"/>
  <c r="L95" i="105"/>
  <c r="G101" i="105"/>
  <c r="F102" i="105"/>
  <c r="F103" i="105"/>
  <c r="D104" i="105"/>
  <c r="D26" i="81"/>
  <c r="E34" i="81"/>
  <c r="H34" i="81"/>
  <c r="D34" i="81"/>
  <c r="K34" i="81"/>
  <c r="J34" i="81"/>
  <c r="G34" i="81"/>
  <c r="Q83" i="105"/>
  <c r="I83" i="105"/>
  <c r="Q82" i="105"/>
  <c r="I82" i="105"/>
  <c r="Q81" i="105"/>
  <c r="I81" i="105"/>
  <c r="Q80" i="105"/>
  <c r="I80" i="105"/>
  <c r="P83" i="105"/>
  <c r="G83" i="105"/>
  <c r="L82" i="105"/>
  <c r="C82" i="105"/>
  <c r="P81" i="105"/>
  <c r="G81" i="105"/>
  <c r="L80" i="105"/>
  <c r="C80" i="105"/>
  <c r="K83" i="105"/>
  <c r="O82" i="105"/>
  <c r="F82" i="105"/>
  <c r="K81" i="105"/>
  <c r="O80" i="105"/>
  <c r="F80" i="105"/>
  <c r="J83" i="105"/>
  <c r="N82" i="105"/>
  <c r="E82" i="105"/>
  <c r="R83" i="105"/>
  <c r="H83" i="105"/>
  <c r="M82" i="105"/>
  <c r="D82" i="105"/>
  <c r="R81" i="105"/>
  <c r="H81" i="105"/>
  <c r="M80" i="105"/>
  <c r="D80" i="105"/>
  <c r="K80" i="105"/>
  <c r="M81" i="105"/>
  <c r="F83" i="105"/>
  <c r="E16" i="81"/>
  <c r="D16" i="81"/>
  <c r="G16" i="81"/>
  <c r="K16" i="81"/>
  <c r="J16" i="81"/>
  <c r="H16" i="81"/>
  <c r="E21" i="81"/>
  <c r="H21" i="81"/>
  <c r="K21" i="81"/>
  <c r="J21" i="81"/>
  <c r="C34" i="81"/>
  <c r="E29" i="81"/>
  <c r="D29" i="81"/>
  <c r="J29" i="81"/>
  <c r="H29" i="81"/>
  <c r="G29" i="81"/>
  <c r="AA65" i="111"/>
  <c r="AI65" i="111"/>
  <c r="AE20" i="105"/>
  <c r="W20" i="105"/>
  <c r="AE19" i="105"/>
  <c r="W19" i="105"/>
  <c r="AE18" i="105"/>
  <c r="W18" i="105"/>
  <c r="AE17" i="105"/>
  <c r="W17" i="105"/>
  <c r="AJ20" i="105"/>
  <c r="AA20" i="105"/>
  <c r="AF19" i="105"/>
  <c r="V19" i="105"/>
  <c r="AJ18" i="105"/>
  <c r="AA18" i="105"/>
  <c r="AF17" i="105"/>
  <c r="V17" i="105"/>
  <c r="AH15" i="105"/>
  <c r="AH20" i="105"/>
  <c r="Y20" i="105"/>
  <c r="AC19" i="105"/>
  <c r="AH18" i="105"/>
  <c r="Y18" i="105"/>
  <c r="AC17" i="105"/>
  <c r="AA17" i="105"/>
  <c r="AF18" i="105"/>
  <c r="Y19" i="105"/>
  <c r="AJ19" i="105"/>
  <c r="AC20" i="105"/>
  <c r="G31" i="105"/>
  <c r="K32" i="105"/>
  <c r="D33" i="105"/>
  <c r="P33" i="105"/>
  <c r="I34" i="105"/>
  <c r="AE48" i="105"/>
  <c r="W48" i="105"/>
  <c r="AE47" i="105"/>
  <c r="W47" i="105"/>
  <c r="AE46" i="105"/>
  <c r="W46" i="105"/>
  <c r="AE45" i="105"/>
  <c r="W45" i="105"/>
  <c r="AG48" i="105"/>
  <c r="X48" i="105"/>
  <c r="AB47" i="105"/>
  <c r="AG46" i="105"/>
  <c r="X46" i="105"/>
  <c r="AB45" i="105"/>
  <c r="AJ48" i="105"/>
  <c r="AA48" i="105"/>
  <c r="AF47" i="105"/>
  <c r="V47" i="105"/>
  <c r="AJ46" i="105"/>
  <c r="AA46" i="105"/>
  <c r="AF45" i="105"/>
  <c r="V45" i="105"/>
  <c r="AH43" i="105"/>
  <c r="AH48" i="105"/>
  <c r="Y48" i="105"/>
  <c r="AC47" i="105"/>
  <c r="AH46" i="105"/>
  <c r="Y46" i="105"/>
  <c r="AC45" i="105"/>
  <c r="AA45" i="105"/>
  <c r="Z46" i="105"/>
  <c r="X47" i="105"/>
  <c r="AJ47" i="105"/>
  <c r="AI48" i="105"/>
  <c r="AE62" i="105"/>
  <c r="W62" i="105"/>
  <c r="AE61" i="105"/>
  <c r="W61" i="105"/>
  <c r="AE60" i="105"/>
  <c r="W60" i="105"/>
  <c r="AE59" i="105"/>
  <c r="W59" i="105"/>
  <c r="AG62" i="105"/>
  <c r="X62" i="105"/>
  <c r="AB61" i="105"/>
  <c r="AG60" i="105"/>
  <c r="X60" i="105"/>
  <c r="AB59" i="105"/>
  <c r="AJ62" i="105"/>
  <c r="AA62" i="105"/>
  <c r="AF61" i="105"/>
  <c r="V61" i="105"/>
  <c r="AJ60" i="105"/>
  <c r="AA60" i="105"/>
  <c r="AF59" i="105"/>
  <c r="V59" i="105"/>
  <c r="AH57" i="105"/>
  <c r="AH62" i="105"/>
  <c r="Y62" i="105"/>
  <c r="AC61" i="105"/>
  <c r="AH60" i="105"/>
  <c r="Y60" i="105"/>
  <c r="AC59" i="105"/>
  <c r="AG59" i="105"/>
  <c r="AC60" i="105"/>
  <c r="Z61" i="105"/>
  <c r="V62" i="105"/>
  <c r="R80" i="105"/>
  <c r="D81" i="105"/>
  <c r="J82" i="105"/>
  <c r="N83" i="105"/>
  <c r="Q97" i="105"/>
  <c r="I97" i="105"/>
  <c r="Q96" i="105"/>
  <c r="I96" i="105"/>
  <c r="Q95" i="105"/>
  <c r="I95" i="105"/>
  <c r="Q94" i="105"/>
  <c r="I94" i="105"/>
  <c r="M97" i="105"/>
  <c r="R97" i="105"/>
  <c r="G97" i="105"/>
  <c r="L96" i="105"/>
  <c r="C96" i="105"/>
  <c r="P95" i="105"/>
  <c r="G95" i="105"/>
  <c r="L94" i="105"/>
  <c r="C94" i="105"/>
  <c r="K97" i="105"/>
  <c r="O96" i="105"/>
  <c r="F96" i="105"/>
  <c r="K95" i="105"/>
  <c r="O94" i="105"/>
  <c r="F94" i="105"/>
  <c r="J97" i="105"/>
  <c r="N96" i="105"/>
  <c r="E96" i="105"/>
  <c r="J95" i="105"/>
  <c r="N94" i="105"/>
  <c r="E94" i="105"/>
  <c r="H97" i="105"/>
  <c r="M96" i="105"/>
  <c r="D96" i="105"/>
  <c r="R95" i="105"/>
  <c r="H95" i="105"/>
  <c r="M94" i="105"/>
  <c r="D94" i="105"/>
  <c r="P94" i="105"/>
  <c r="C95" i="105"/>
  <c r="J96" i="105"/>
  <c r="O97" i="105"/>
  <c r="M104" i="105"/>
  <c r="E104" i="105"/>
  <c r="M103" i="105"/>
  <c r="E103" i="105"/>
  <c r="M102" i="105"/>
  <c r="E102" i="105"/>
  <c r="M101" i="105"/>
  <c r="E101" i="105"/>
  <c r="R104" i="105"/>
  <c r="I104" i="105"/>
  <c r="N103" i="105"/>
  <c r="D103" i="105"/>
  <c r="R102" i="105"/>
  <c r="I102" i="105"/>
  <c r="N101" i="105"/>
  <c r="D101" i="105"/>
  <c r="H104" i="105"/>
  <c r="I103" i="105"/>
  <c r="J102" i="105"/>
  <c r="J101" i="105"/>
  <c r="P99" i="105"/>
  <c r="L104" i="105"/>
  <c r="L103" i="105"/>
  <c r="N102" i="105"/>
  <c r="C102" i="105"/>
  <c r="O101" i="105"/>
  <c r="C101" i="105"/>
  <c r="K104" i="105"/>
  <c r="K103" i="105"/>
  <c r="L102" i="105"/>
  <c r="L101" i="105"/>
  <c r="J104" i="105"/>
  <c r="J103" i="105"/>
  <c r="K102" i="105"/>
  <c r="K101" i="105"/>
  <c r="Q101" i="105"/>
  <c r="P102" i="105"/>
  <c r="P103" i="105"/>
  <c r="O104" i="105"/>
  <c r="G21" i="81"/>
  <c r="E25" i="81"/>
  <c r="G25" i="81"/>
  <c r="D25" i="81"/>
  <c r="K25" i="81"/>
  <c r="J25" i="81"/>
  <c r="H25" i="81"/>
  <c r="K29" i="81"/>
  <c r="E31" i="81"/>
  <c r="C31" i="81"/>
  <c r="J31" i="81"/>
  <c r="K31" i="81"/>
  <c r="E44" i="81"/>
  <c r="AB148" i="100"/>
  <c r="AJ148" i="100"/>
  <c r="AF152" i="100"/>
  <c r="AN152" i="100"/>
  <c r="AB156" i="100"/>
  <c r="AJ156" i="100"/>
  <c r="AF160" i="100"/>
  <c r="AN160" i="100"/>
  <c r="AB164" i="100"/>
  <c r="AJ164" i="100"/>
  <c r="AC165" i="100"/>
  <c r="Y167" i="100"/>
  <c r="Q170" i="100"/>
  <c r="AL170" i="100" s="1"/>
  <c r="AE20" i="102"/>
  <c r="W20" i="102"/>
  <c r="AE19" i="102"/>
  <c r="W19" i="102"/>
  <c r="AE18" i="102"/>
  <c r="W18" i="102"/>
  <c r="AE17" i="102"/>
  <c r="W17" i="102"/>
  <c r="AC20" i="102"/>
  <c r="U20" i="102"/>
  <c r="AC19" i="102"/>
  <c r="U19" i="102"/>
  <c r="AC18" i="102"/>
  <c r="U18" i="102"/>
  <c r="AC17" i="102"/>
  <c r="U17" i="102"/>
  <c r="Y17" i="102"/>
  <c r="AI17" i="102"/>
  <c r="Y18" i="102"/>
  <c r="AI18" i="102"/>
  <c r="Y19" i="102"/>
  <c r="AI19" i="102"/>
  <c r="Y20" i="102"/>
  <c r="AI20" i="102"/>
  <c r="AE34" i="102"/>
  <c r="W34" i="102"/>
  <c r="AE33" i="102"/>
  <c r="W33" i="102"/>
  <c r="AE32" i="102"/>
  <c r="W32" i="102"/>
  <c r="AE31" i="102"/>
  <c r="W31" i="102"/>
  <c r="AC34" i="102"/>
  <c r="U34" i="102"/>
  <c r="AC33" i="102"/>
  <c r="U33" i="102"/>
  <c r="AC32" i="102"/>
  <c r="U32" i="102"/>
  <c r="AC31" i="102"/>
  <c r="U31" i="102"/>
  <c r="Y31" i="102"/>
  <c r="AI31" i="102"/>
  <c r="Y32" i="102"/>
  <c r="AI32" i="102"/>
  <c r="Y33" i="102"/>
  <c r="AI33" i="102"/>
  <c r="Y34" i="102"/>
  <c r="AI34" i="102"/>
  <c r="AE48" i="102"/>
  <c r="W48" i="102"/>
  <c r="AE47" i="102"/>
  <c r="W47" i="102"/>
  <c r="AE46" i="102"/>
  <c r="W46" i="102"/>
  <c r="AE45" i="102"/>
  <c r="W45" i="102"/>
  <c r="AC48" i="102"/>
  <c r="U48" i="102"/>
  <c r="AC47" i="102"/>
  <c r="U47" i="102"/>
  <c r="AC46" i="102"/>
  <c r="U46" i="102"/>
  <c r="AC45" i="102"/>
  <c r="U45" i="102"/>
  <c r="Y45" i="102"/>
  <c r="AI45" i="102"/>
  <c r="Y46" i="102"/>
  <c r="AI46" i="102"/>
  <c r="Y47" i="102"/>
  <c r="AI47" i="102"/>
  <c r="Y48" i="102"/>
  <c r="AI48" i="102"/>
  <c r="AE62" i="102"/>
  <c r="W62" i="102"/>
  <c r="AE61" i="102"/>
  <c r="W61" i="102"/>
  <c r="AE60" i="102"/>
  <c r="W60" i="102"/>
  <c r="AE59" i="102"/>
  <c r="W59" i="102"/>
  <c r="AC62" i="102"/>
  <c r="U62" i="102"/>
  <c r="AC61" i="102"/>
  <c r="U61" i="102"/>
  <c r="AC60" i="102"/>
  <c r="U60" i="102"/>
  <c r="AC59" i="102"/>
  <c r="U59" i="102"/>
  <c r="Y59" i="102"/>
  <c r="AI59" i="102"/>
  <c r="Y60" i="102"/>
  <c r="AI60" i="102"/>
  <c r="Y61" i="102"/>
  <c r="AI61" i="102"/>
  <c r="Y62" i="102"/>
  <c r="AI62" i="102"/>
  <c r="AE76" i="102"/>
  <c r="W76" i="102"/>
  <c r="AE75" i="102"/>
  <c r="W75" i="102"/>
  <c r="AE74" i="102"/>
  <c r="W74" i="102"/>
  <c r="AE73" i="102"/>
  <c r="W73" i="102"/>
  <c r="AC76" i="102"/>
  <c r="U76" i="102"/>
  <c r="AC75" i="102"/>
  <c r="U75" i="102"/>
  <c r="AC74" i="102"/>
  <c r="U74" i="102"/>
  <c r="AC73" i="102"/>
  <c r="U73" i="102"/>
  <c r="Y73" i="102"/>
  <c r="AI73" i="102"/>
  <c r="Y74" i="102"/>
  <c r="AI74" i="102"/>
  <c r="Y75" i="102"/>
  <c r="AI75" i="102"/>
  <c r="Y76" i="102"/>
  <c r="AI76" i="102"/>
  <c r="X101" i="102"/>
  <c r="AI101" i="102"/>
  <c r="AB102" i="102"/>
  <c r="AG103" i="102"/>
  <c r="X104" i="102"/>
  <c r="Q13" i="105"/>
  <c r="I13" i="105"/>
  <c r="Q12" i="105"/>
  <c r="I12" i="105"/>
  <c r="Q11" i="105"/>
  <c r="I11" i="105"/>
  <c r="Q10" i="105"/>
  <c r="I10" i="105"/>
  <c r="K13" i="105"/>
  <c r="O12" i="105"/>
  <c r="F12" i="105"/>
  <c r="K11" i="105"/>
  <c r="O10" i="105"/>
  <c r="F10" i="105"/>
  <c r="R13" i="105"/>
  <c r="H13" i="105"/>
  <c r="M12" i="105"/>
  <c r="D12" i="105"/>
  <c r="R11" i="105"/>
  <c r="H11" i="105"/>
  <c r="M10" i="105"/>
  <c r="D10" i="105"/>
  <c r="J10" i="105"/>
  <c r="G11" i="105"/>
  <c r="H12" i="105"/>
  <c r="F13" i="105"/>
  <c r="AB17" i="105"/>
  <c r="U18" i="105"/>
  <c r="AG18" i="105"/>
  <c r="Z19" i="105"/>
  <c r="AD20" i="105"/>
  <c r="H31" i="105"/>
  <c r="X31" i="105"/>
  <c r="AI31" i="105"/>
  <c r="L32" i="105"/>
  <c r="AB32" i="105"/>
  <c r="F33" i="105"/>
  <c r="Q33" i="105"/>
  <c r="AG33" i="105"/>
  <c r="J34" i="105"/>
  <c r="X34" i="105"/>
  <c r="Q41" i="105"/>
  <c r="I41" i="105"/>
  <c r="Q40" i="105"/>
  <c r="I40" i="105"/>
  <c r="Q39" i="105"/>
  <c r="I39" i="105"/>
  <c r="Q38" i="105"/>
  <c r="I38" i="105"/>
  <c r="K41" i="105"/>
  <c r="O40" i="105"/>
  <c r="F40" i="105"/>
  <c r="K39" i="105"/>
  <c r="O38" i="105"/>
  <c r="F38" i="105"/>
  <c r="R41" i="105"/>
  <c r="H41" i="105"/>
  <c r="M40" i="105"/>
  <c r="D40" i="105"/>
  <c r="R39" i="105"/>
  <c r="H39" i="105"/>
  <c r="M38" i="105"/>
  <c r="D38" i="105"/>
  <c r="J38" i="105"/>
  <c r="G39" i="105"/>
  <c r="H40" i="105"/>
  <c r="F41" i="105"/>
  <c r="AD45" i="105"/>
  <c r="AB46" i="105"/>
  <c r="Y47" i="105"/>
  <c r="U48" i="105"/>
  <c r="Q55" i="105"/>
  <c r="I55" i="105"/>
  <c r="Q54" i="105"/>
  <c r="I54" i="105"/>
  <c r="Q53" i="105"/>
  <c r="I53" i="105"/>
  <c r="Q52" i="105"/>
  <c r="I52" i="105"/>
  <c r="P55" i="105"/>
  <c r="G55" i="105"/>
  <c r="L54" i="105"/>
  <c r="C54" i="105"/>
  <c r="P53" i="105"/>
  <c r="G53" i="105"/>
  <c r="L52" i="105"/>
  <c r="C52" i="105"/>
  <c r="K55" i="105"/>
  <c r="O54" i="105"/>
  <c r="F54" i="105"/>
  <c r="K53" i="105"/>
  <c r="O52" i="105"/>
  <c r="F52" i="105"/>
  <c r="R55" i="105"/>
  <c r="H55" i="105"/>
  <c r="M54" i="105"/>
  <c r="D54" i="105"/>
  <c r="R53" i="105"/>
  <c r="H53" i="105"/>
  <c r="M52" i="105"/>
  <c r="D52" i="105"/>
  <c r="K52" i="105"/>
  <c r="M53" i="105"/>
  <c r="R54" i="105"/>
  <c r="D55" i="105"/>
  <c r="AH59" i="105"/>
  <c r="AD60" i="105"/>
  <c r="AA61" i="105"/>
  <c r="Z62" i="105"/>
  <c r="E80" i="105"/>
  <c r="E81" i="105"/>
  <c r="K82" i="105"/>
  <c r="O83" i="105"/>
  <c r="P92" i="105"/>
  <c r="R94" i="105"/>
  <c r="D95" i="105"/>
  <c r="K96" i="105"/>
  <c r="P97" i="105"/>
  <c r="R101" i="105"/>
  <c r="Q102" i="105"/>
  <c r="Q103" i="105"/>
  <c r="P104" i="105"/>
  <c r="E12" i="81"/>
  <c r="K12" i="81"/>
  <c r="H12" i="81"/>
  <c r="J12" i="81"/>
  <c r="C25" i="81"/>
  <c r="D31" i="81"/>
  <c r="E26" i="81"/>
  <c r="H26" i="81"/>
  <c r="J26" i="81"/>
  <c r="K26" i="81"/>
  <c r="F43" i="81"/>
  <c r="G43" i="81"/>
  <c r="L43" i="81"/>
  <c r="K43" i="81"/>
  <c r="I43" i="81"/>
  <c r="G24" i="102"/>
  <c r="O24" i="102"/>
  <c r="G25" i="102"/>
  <c r="O25" i="102"/>
  <c r="G26" i="102"/>
  <c r="O26" i="102"/>
  <c r="G27" i="102"/>
  <c r="O27" i="102"/>
  <c r="G38" i="102"/>
  <c r="O38" i="102"/>
  <c r="G39" i="102"/>
  <c r="O39" i="102"/>
  <c r="G40" i="102"/>
  <c r="O40" i="102"/>
  <c r="G41" i="102"/>
  <c r="O41" i="102"/>
  <c r="G52" i="102"/>
  <c r="O52" i="102"/>
  <c r="G53" i="102"/>
  <c r="O53" i="102"/>
  <c r="G54" i="102"/>
  <c r="O54" i="102"/>
  <c r="G55" i="102"/>
  <c r="O55" i="102"/>
  <c r="G66" i="102"/>
  <c r="O66" i="102"/>
  <c r="G67" i="102"/>
  <c r="O67" i="102"/>
  <c r="G68" i="102"/>
  <c r="O68" i="102"/>
  <c r="G69" i="102"/>
  <c r="O69" i="102"/>
  <c r="G80" i="102"/>
  <c r="O80" i="102"/>
  <c r="G81" i="102"/>
  <c r="O81" i="102"/>
  <c r="G82" i="102"/>
  <c r="O82" i="102"/>
  <c r="G83" i="102"/>
  <c r="O83" i="102"/>
  <c r="Q97" i="102"/>
  <c r="I97" i="102"/>
  <c r="G94" i="102"/>
  <c r="O94" i="102"/>
  <c r="G95" i="102"/>
  <c r="O95" i="102"/>
  <c r="G96" i="102"/>
  <c r="O96" i="102"/>
  <c r="H97" i="102"/>
  <c r="R97" i="102"/>
  <c r="P57" i="105"/>
  <c r="I59" i="105"/>
  <c r="R59" i="105"/>
  <c r="D60" i="105"/>
  <c r="N60" i="105"/>
  <c r="I61" i="105"/>
  <c r="R61" i="105"/>
  <c r="D62" i="105"/>
  <c r="N62" i="105"/>
  <c r="P71" i="105"/>
  <c r="I73" i="105"/>
  <c r="R73" i="105"/>
  <c r="D74" i="105"/>
  <c r="N74" i="105"/>
  <c r="I75" i="105"/>
  <c r="R75" i="105"/>
  <c r="D76" i="105"/>
  <c r="N76" i="105"/>
  <c r="P85" i="105"/>
  <c r="I87" i="105"/>
  <c r="R87" i="105"/>
  <c r="AC87" i="105"/>
  <c r="D88" i="105"/>
  <c r="N88" i="105"/>
  <c r="Y88" i="105"/>
  <c r="AH88" i="105"/>
  <c r="I89" i="105"/>
  <c r="R89" i="105"/>
  <c r="AC89" i="105"/>
  <c r="D90" i="105"/>
  <c r="N90" i="105"/>
  <c r="Y90" i="105"/>
  <c r="AE104" i="105"/>
  <c r="W104" i="105"/>
  <c r="AE103" i="105"/>
  <c r="W103" i="105"/>
  <c r="AE102" i="105"/>
  <c r="W102" i="105"/>
  <c r="AE101" i="105"/>
  <c r="W101" i="105"/>
  <c r="AC104" i="105"/>
  <c r="AH103" i="105"/>
  <c r="Y103" i="105"/>
  <c r="AC102" i="105"/>
  <c r="AH101" i="105"/>
  <c r="Y101" i="105"/>
  <c r="X101" i="105"/>
  <c r="AI101" i="105"/>
  <c r="X102" i="105"/>
  <c r="AH102" i="105"/>
  <c r="V103" i="105"/>
  <c r="AG103" i="105"/>
  <c r="V104" i="105"/>
  <c r="AG104" i="105"/>
  <c r="C10" i="81"/>
  <c r="D15" i="81"/>
  <c r="C19" i="81"/>
  <c r="C24" i="81"/>
  <c r="C28" i="81"/>
  <c r="C33" i="81"/>
  <c r="D39" i="81"/>
  <c r="J42" i="81"/>
  <c r="D45" i="81"/>
  <c r="F47" i="81"/>
  <c r="H47" i="81" s="1"/>
  <c r="I47" i="81"/>
  <c r="G51" i="81"/>
  <c r="AE90" i="105"/>
  <c r="W90" i="105"/>
  <c r="AE89" i="105"/>
  <c r="W89" i="105"/>
  <c r="AE88" i="105"/>
  <c r="W88" i="105"/>
  <c r="AE87" i="105"/>
  <c r="W87" i="105"/>
  <c r="U87" i="105"/>
  <c r="AD87" i="105"/>
  <c r="Z88" i="105"/>
  <c r="AI88" i="105"/>
  <c r="U89" i="105"/>
  <c r="AD89" i="105"/>
  <c r="Z90" i="105"/>
  <c r="AI90" i="105"/>
  <c r="E9" i="81"/>
  <c r="G9" i="81"/>
  <c r="D10" i="81"/>
  <c r="G15" i="81"/>
  <c r="E18" i="81"/>
  <c r="H18" i="81"/>
  <c r="D19" i="81"/>
  <c r="E23" i="81"/>
  <c r="C23" i="81"/>
  <c r="G24" i="81"/>
  <c r="E27" i="81"/>
  <c r="J27" i="81"/>
  <c r="D28" i="81"/>
  <c r="E32" i="81"/>
  <c r="D32" i="81"/>
  <c r="D33" i="81"/>
  <c r="G39" i="81"/>
  <c r="H39" i="81" s="1"/>
  <c r="C47" i="81"/>
  <c r="E47" i="81" s="1"/>
  <c r="E48" i="81"/>
  <c r="AA10" i="102"/>
  <c r="AI10" i="102"/>
  <c r="AA11" i="102"/>
  <c r="AI11" i="102"/>
  <c r="AA12" i="102"/>
  <c r="AI12" i="102"/>
  <c r="AA13" i="102"/>
  <c r="I24" i="102"/>
  <c r="Q24" i="102"/>
  <c r="AA24" i="102"/>
  <c r="AI24" i="102"/>
  <c r="I25" i="102"/>
  <c r="Q25" i="102"/>
  <c r="AA25" i="102"/>
  <c r="AI25" i="102"/>
  <c r="I26" i="102"/>
  <c r="Q26" i="102"/>
  <c r="AA26" i="102"/>
  <c r="AI26" i="102"/>
  <c r="I27" i="102"/>
  <c r="AA27" i="102"/>
  <c r="I38" i="102"/>
  <c r="Q38" i="102"/>
  <c r="AA38" i="102"/>
  <c r="AI38" i="102"/>
  <c r="I39" i="102"/>
  <c r="Q39" i="102"/>
  <c r="AA39" i="102"/>
  <c r="AI39" i="102"/>
  <c r="I40" i="102"/>
  <c r="Q40" i="102"/>
  <c r="AA40" i="102"/>
  <c r="AI40" i="102"/>
  <c r="I41" i="102"/>
  <c r="AA41" i="102"/>
  <c r="I52" i="102"/>
  <c r="Q52" i="102"/>
  <c r="AA52" i="102"/>
  <c r="AI52" i="102"/>
  <c r="I53" i="102"/>
  <c r="Q53" i="102"/>
  <c r="AA53" i="102"/>
  <c r="AI53" i="102"/>
  <c r="I54" i="102"/>
  <c r="Q54" i="102"/>
  <c r="AA54" i="102"/>
  <c r="AI54" i="102"/>
  <c r="I55" i="102"/>
  <c r="AA55" i="102"/>
  <c r="AI97" i="102"/>
  <c r="AA97" i="102"/>
  <c r="AI96" i="102"/>
  <c r="I66" i="102"/>
  <c r="Q66" i="102"/>
  <c r="AA66" i="102"/>
  <c r="AI66" i="102"/>
  <c r="I67" i="102"/>
  <c r="Q67" i="102"/>
  <c r="AA67" i="102"/>
  <c r="AI67" i="102"/>
  <c r="I68" i="102"/>
  <c r="Q68" i="102"/>
  <c r="AA68" i="102"/>
  <c r="AI68" i="102"/>
  <c r="I69" i="102"/>
  <c r="AA69" i="102"/>
  <c r="AI69" i="102"/>
  <c r="I80" i="102"/>
  <c r="Q80" i="102"/>
  <c r="AA80" i="102"/>
  <c r="AI80" i="102"/>
  <c r="I81" i="102"/>
  <c r="Q81" i="102"/>
  <c r="AA81" i="102"/>
  <c r="AI81" i="102"/>
  <c r="I82" i="102"/>
  <c r="Q82" i="102"/>
  <c r="AA82" i="102"/>
  <c r="AI82" i="102"/>
  <c r="I83" i="102"/>
  <c r="AA83" i="102"/>
  <c r="AI83" i="102"/>
  <c r="W87" i="102"/>
  <c r="AE87" i="102"/>
  <c r="W88" i="102"/>
  <c r="AE88" i="102"/>
  <c r="W89" i="102"/>
  <c r="AE89" i="102"/>
  <c r="W90" i="102"/>
  <c r="AE90" i="102"/>
  <c r="I94" i="102"/>
  <c r="Q94" i="102"/>
  <c r="AA94" i="102"/>
  <c r="AI94" i="102"/>
  <c r="I95" i="102"/>
  <c r="Q95" i="102"/>
  <c r="AA95" i="102"/>
  <c r="AI95" i="102"/>
  <c r="I96" i="102"/>
  <c r="Q96" i="102"/>
  <c r="AA96" i="102"/>
  <c r="AJ96" i="102"/>
  <c r="K97" i="102"/>
  <c r="V97" i="102"/>
  <c r="AE97" i="102"/>
  <c r="K59" i="105"/>
  <c r="G60" i="105"/>
  <c r="P60" i="105"/>
  <c r="K61" i="105"/>
  <c r="G62" i="105"/>
  <c r="K73" i="105"/>
  <c r="G74" i="105"/>
  <c r="P74" i="105"/>
  <c r="K75" i="105"/>
  <c r="G76" i="105"/>
  <c r="AH85" i="105"/>
  <c r="K87" i="105"/>
  <c r="V87" i="105"/>
  <c r="AF87" i="105"/>
  <c r="G88" i="105"/>
  <c r="P88" i="105"/>
  <c r="AA88" i="105"/>
  <c r="AJ88" i="105"/>
  <c r="K89" i="105"/>
  <c r="V89" i="105"/>
  <c r="AF89" i="105"/>
  <c r="G90" i="105"/>
  <c r="AA90" i="105"/>
  <c r="AJ90" i="105"/>
  <c r="AA101" i="105"/>
  <c r="Z102" i="105"/>
  <c r="AJ102" i="105"/>
  <c r="Z103" i="105"/>
  <c r="AJ103" i="105"/>
  <c r="Y104" i="105"/>
  <c r="AI104" i="105"/>
  <c r="C9" i="81"/>
  <c r="C13" i="81"/>
  <c r="C18" i="81"/>
  <c r="D23" i="81"/>
  <c r="C27" i="81"/>
  <c r="C32" i="81"/>
  <c r="H38" i="81"/>
  <c r="F41" i="81"/>
  <c r="J41" i="81" s="1"/>
  <c r="L41" i="81"/>
  <c r="M41" i="81" s="1"/>
  <c r="C41" i="81"/>
  <c r="E41" i="81" s="1"/>
  <c r="F55" i="81"/>
  <c r="H55" i="81" s="1"/>
  <c r="L55" i="81"/>
  <c r="M55" i="81" s="1"/>
  <c r="C55" i="81"/>
  <c r="I55" i="81"/>
  <c r="D55" i="81"/>
  <c r="E52" i="81"/>
  <c r="H99" i="81"/>
  <c r="I99" i="81" s="1"/>
  <c r="F99" i="81"/>
  <c r="H104" i="81"/>
  <c r="I104" i="81" s="1"/>
  <c r="F104" i="81"/>
  <c r="M50" i="81"/>
  <c r="M62" i="105"/>
  <c r="E62" i="105"/>
  <c r="M61" i="105"/>
  <c r="E61" i="105"/>
  <c r="M60" i="105"/>
  <c r="E60" i="105"/>
  <c r="M59" i="105"/>
  <c r="E59" i="105"/>
  <c r="H59" i="105"/>
  <c r="Q59" i="105"/>
  <c r="C60" i="105"/>
  <c r="L60" i="105"/>
  <c r="H61" i="105"/>
  <c r="Q61" i="105"/>
  <c r="C62" i="105"/>
  <c r="L62" i="105"/>
  <c r="M76" i="105"/>
  <c r="E76" i="105"/>
  <c r="M75" i="105"/>
  <c r="E75" i="105"/>
  <c r="M74" i="105"/>
  <c r="E74" i="105"/>
  <c r="M73" i="105"/>
  <c r="E73" i="105"/>
  <c r="H73" i="105"/>
  <c r="Q73" i="105"/>
  <c r="C74" i="105"/>
  <c r="L74" i="105"/>
  <c r="H75" i="105"/>
  <c r="Q75" i="105"/>
  <c r="C76" i="105"/>
  <c r="L76" i="105"/>
  <c r="M90" i="105"/>
  <c r="E90" i="105"/>
  <c r="M89" i="105"/>
  <c r="E89" i="105"/>
  <c r="M88" i="105"/>
  <c r="E88" i="105"/>
  <c r="M87" i="105"/>
  <c r="E87" i="105"/>
  <c r="H87" i="105"/>
  <c r="Q87" i="105"/>
  <c r="AB87" i="105"/>
  <c r="C88" i="105"/>
  <c r="L88" i="105"/>
  <c r="X88" i="105"/>
  <c r="AG88" i="105"/>
  <c r="H89" i="105"/>
  <c r="Q89" i="105"/>
  <c r="AB89" i="105"/>
  <c r="C90" i="105"/>
  <c r="L90" i="105"/>
  <c r="X90" i="105"/>
  <c r="AG90" i="105"/>
  <c r="E10" i="81"/>
  <c r="H10" i="81"/>
  <c r="E15" i="81"/>
  <c r="C15" i="81"/>
  <c r="E19" i="81"/>
  <c r="J19" i="81"/>
  <c r="E24" i="81"/>
  <c r="D24" i="81"/>
  <c r="E28" i="81"/>
  <c r="K28" i="81"/>
  <c r="E33" i="81"/>
  <c r="G33" i="81"/>
  <c r="C39" i="81"/>
  <c r="H42" i="81"/>
  <c r="F45" i="81"/>
  <c r="J45" i="81" s="1"/>
  <c r="L45" i="81"/>
  <c r="M45" i="81" s="1"/>
  <c r="C45" i="81"/>
  <c r="F51" i="81"/>
  <c r="D51" i="81"/>
  <c r="L51" i="81"/>
  <c r="M51" i="81" s="1"/>
  <c r="C51" i="81"/>
  <c r="I51" i="81"/>
  <c r="I101" i="81"/>
  <c r="K53" i="81"/>
  <c r="I59" i="81"/>
  <c r="J59" i="81" s="1"/>
  <c r="K61" i="81"/>
  <c r="D63" i="81"/>
  <c r="D70" i="81"/>
  <c r="E70" i="81" s="1"/>
  <c r="C71" i="81"/>
  <c r="J73" i="81"/>
  <c r="K73" i="81" s="1"/>
  <c r="J74" i="81"/>
  <c r="K74" i="81" s="1"/>
  <c r="I75" i="81"/>
  <c r="D80" i="81"/>
  <c r="E80" i="81" s="1"/>
  <c r="D81" i="81"/>
  <c r="E81" i="81" s="1"/>
  <c r="C82" i="81"/>
  <c r="J84" i="81"/>
  <c r="K84" i="81" s="1"/>
  <c r="I85" i="81"/>
  <c r="D91" i="81"/>
  <c r="E91" i="81" s="1"/>
  <c r="C92" i="81"/>
  <c r="C98" i="81"/>
  <c r="D99" i="81"/>
  <c r="H100" i="81"/>
  <c r="I100" i="81" s="1"/>
  <c r="F101" i="81"/>
  <c r="G102" i="81"/>
  <c r="H102" i="81" s="1"/>
  <c r="C106" i="81"/>
  <c r="D107" i="81"/>
  <c r="G110" i="81"/>
  <c r="H110" i="81" s="1"/>
  <c r="C114" i="81"/>
  <c r="D115" i="81"/>
  <c r="H116" i="81"/>
  <c r="I116" i="81" s="1"/>
  <c r="F117" i="81"/>
  <c r="G118" i="81"/>
  <c r="H118" i="81" s="1"/>
  <c r="C122" i="81"/>
  <c r="D123" i="81"/>
  <c r="H124" i="81"/>
  <c r="I124" i="81" s="1"/>
  <c r="X10" i="107"/>
  <c r="AG10" i="107"/>
  <c r="AB11" i="107"/>
  <c r="X12" i="107"/>
  <c r="AG12" i="107"/>
  <c r="AB13" i="107"/>
  <c r="Q20" i="107"/>
  <c r="I20" i="107"/>
  <c r="Q19" i="107"/>
  <c r="I19" i="107"/>
  <c r="Q18" i="107"/>
  <c r="I18" i="107"/>
  <c r="Q17" i="107"/>
  <c r="I17" i="107"/>
  <c r="P20" i="107"/>
  <c r="G20" i="107"/>
  <c r="L19" i="107"/>
  <c r="C19" i="107"/>
  <c r="P18" i="107"/>
  <c r="G18" i="107"/>
  <c r="G17" i="107"/>
  <c r="P17" i="107"/>
  <c r="C18" i="107"/>
  <c r="M18" i="107"/>
  <c r="K19" i="107"/>
  <c r="H20" i="107"/>
  <c r="AE27" i="107"/>
  <c r="W27" i="107"/>
  <c r="AE26" i="107"/>
  <c r="W26" i="107"/>
  <c r="AE25" i="107"/>
  <c r="W25" i="107"/>
  <c r="AE24" i="107"/>
  <c r="W24" i="107"/>
  <c r="AG27" i="107"/>
  <c r="X27" i="107"/>
  <c r="AB26" i="107"/>
  <c r="AG25" i="107"/>
  <c r="X25" i="107"/>
  <c r="AB24" i="107"/>
  <c r="X24" i="107"/>
  <c r="AH24" i="107"/>
  <c r="V25" i="107"/>
  <c r="AH25" i="107"/>
  <c r="V26" i="107"/>
  <c r="AG26" i="107"/>
  <c r="U27" i="107"/>
  <c r="AF27" i="107"/>
  <c r="K32" i="107"/>
  <c r="H33" i="107"/>
  <c r="E34" i="107"/>
  <c r="V38" i="107"/>
  <c r="AH38" i="107"/>
  <c r="Y39" i="107"/>
  <c r="AC40" i="107"/>
  <c r="U41" i="107"/>
  <c r="AG41" i="107"/>
  <c r="F45" i="107"/>
  <c r="R45" i="107"/>
  <c r="D46" i="107"/>
  <c r="O46" i="107"/>
  <c r="D47" i="107"/>
  <c r="P47" i="107"/>
  <c r="C48" i="107"/>
  <c r="N48" i="107"/>
  <c r="F52" i="107"/>
  <c r="O54" i="107"/>
  <c r="M55" i="107"/>
  <c r="V59" i="107"/>
  <c r="AD60" i="107"/>
  <c r="AJ61" i="107"/>
  <c r="U62" i="107"/>
  <c r="AD69" i="107"/>
  <c r="V69" i="107"/>
  <c r="AD68" i="107"/>
  <c r="V68" i="107"/>
  <c r="AD67" i="107"/>
  <c r="V67" i="107"/>
  <c r="AD66" i="107"/>
  <c r="V66" i="107"/>
  <c r="AB69" i="107"/>
  <c r="AG68" i="107"/>
  <c r="X68" i="107"/>
  <c r="AB67" i="107"/>
  <c r="AG66" i="107"/>
  <c r="X66" i="107"/>
  <c r="AJ69" i="107"/>
  <c r="Z69" i="107"/>
  <c r="AA68" i="107"/>
  <c r="AA67" i="107"/>
  <c r="AB66" i="107"/>
  <c r="AC69" i="107"/>
  <c r="AJ68" i="107"/>
  <c r="Y68" i="107"/>
  <c r="AG67" i="107"/>
  <c r="U67" i="107"/>
  <c r="AC66" i="107"/>
  <c r="AH64" i="107"/>
  <c r="AI69" i="107"/>
  <c r="X69" i="107"/>
  <c r="AF68" i="107"/>
  <c r="AC67" i="107"/>
  <c r="AJ66" i="107"/>
  <c r="Y66" i="107"/>
  <c r="AH69" i="107"/>
  <c r="W69" i="107"/>
  <c r="AE68" i="107"/>
  <c r="Z67" i="107"/>
  <c r="AI66" i="107"/>
  <c r="W66" i="107"/>
  <c r="U66" i="107"/>
  <c r="AE67" i="107"/>
  <c r="AI68" i="107"/>
  <c r="U69" i="107"/>
  <c r="AD73" i="107"/>
  <c r="Y74" i="107"/>
  <c r="AE76" i="107"/>
  <c r="I80" i="107"/>
  <c r="F81" i="107"/>
  <c r="P83" i="107"/>
  <c r="C53" i="81"/>
  <c r="E53" i="81" s="1"/>
  <c r="L53" i="81"/>
  <c r="C61" i="81"/>
  <c r="E61" i="81" s="1"/>
  <c r="L61" i="81"/>
  <c r="F69" i="81"/>
  <c r="H69" i="81" s="1"/>
  <c r="D71" i="81"/>
  <c r="J75" i="81"/>
  <c r="I76" i="81"/>
  <c r="F80" i="81"/>
  <c r="H80" i="81" s="1"/>
  <c r="D82" i="81"/>
  <c r="J85" i="81"/>
  <c r="J86" i="81"/>
  <c r="K86" i="81" s="1"/>
  <c r="I87" i="81"/>
  <c r="D92" i="81"/>
  <c r="D98" i="81"/>
  <c r="D106" i="81"/>
  <c r="D114" i="81"/>
  <c r="D122" i="81"/>
  <c r="E123" i="81"/>
  <c r="AC11" i="107"/>
  <c r="Y12" i="107"/>
  <c r="AH12" i="107"/>
  <c r="AC13" i="107"/>
  <c r="X38" i="107"/>
  <c r="AI38" i="107"/>
  <c r="AA39" i="107"/>
  <c r="AF40" i="107"/>
  <c r="V41" i="107"/>
  <c r="G45" i="107"/>
  <c r="E46" i="107"/>
  <c r="R46" i="107"/>
  <c r="F47" i="107"/>
  <c r="R47" i="107"/>
  <c r="D48" i="107"/>
  <c r="O48" i="107"/>
  <c r="H52" i="107"/>
  <c r="P54" i="107"/>
  <c r="AA59" i="107"/>
  <c r="AE60" i="107"/>
  <c r="AA62" i="107"/>
  <c r="AI73" i="107"/>
  <c r="AB74" i="107"/>
  <c r="U75" i="107"/>
  <c r="AF76" i="107"/>
  <c r="J80" i="107"/>
  <c r="G81" i="107"/>
  <c r="E97" i="107"/>
  <c r="AA13" i="109"/>
  <c r="K59" i="81"/>
  <c r="J62" i="81"/>
  <c r="J76" i="81"/>
  <c r="F81" i="81"/>
  <c r="J87" i="81"/>
  <c r="F92" i="81"/>
  <c r="E98" i="81"/>
  <c r="E106" i="81"/>
  <c r="E114" i="81"/>
  <c r="E122" i="81"/>
  <c r="Z10" i="107"/>
  <c r="AI10" i="107"/>
  <c r="U11" i="107"/>
  <c r="AD11" i="107"/>
  <c r="Z12" i="107"/>
  <c r="AI12" i="107"/>
  <c r="U13" i="107"/>
  <c r="AD13" i="107"/>
  <c r="AE41" i="107"/>
  <c r="W41" i="107"/>
  <c r="AE40" i="107"/>
  <c r="W40" i="107"/>
  <c r="AE39" i="107"/>
  <c r="W39" i="107"/>
  <c r="AE38" i="107"/>
  <c r="W38" i="107"/>
  <c r="AI41" i="107"/>
  <c r="Z41" i="107"/>
  <c r="AD40" i="107"/>
  <c r="U40" i="107"/>
  <c r="AI39" i="107"/>
  <c r="Z39" i="107"/>
  <c r="AD38" i="107"/>
  <c r="U38" i="107"/>
  <c r="AB41" i="107"/>
  <c r="AB40" i="107"/>
  <c r="AC39" i="107"/>
  <c r="AC38" i="107"/>
  <c r="Y38" i="107"/>
  <c r="AJ38" i="107"/>
  <c r="AB39" i="107"/>
  <c r="AG40" i="107"/>
  <c r="X41" i="107"/>
  <c r="AJ41" i="107"/>
  <c r="H45" i="107"/>
  <c r="G46" i="107"/>
  <c r="G47" i="107"/>
  <c r="E48" i="107"/>
  <c r="L55" i="107"/>
  <c r="D55" i="107"/>
  <c r="L54" i="107"/>
  <c r="D54" i="107"/>
  <c r="L53" i="107"/>
  <c r="D53" i="107"/>
  <c r="P55" i="107"/>
  <c r="G55" i="107"/>
  <c r="K54" i="107"/>
  <c r="P53" i="107"/>
  <c r="G53" i="107"/>
  <c r="M52" i="107"/>
  <c r="E52" i="107"/>
  <c r="Q55" i="107"/>
  <c r="F55" i="107"/>
  <c r="Q54" i="107"/>
  <c r="G54" i="107"/>
  <c r="R53" i="107"/>
  <c r="H53" i="107"/>
  <c r="J52" i="107"/>
  <c r="O55" i="107"/>
  <c r="C55" i="107"/>
  <c r="M54" i="107"/>
  <c r="I53" i="107"/>
  <c r="Q52" i="107"/>
  <c r="G52" i="107"/>
  <c r="K55" i="107"/>
  <c r="H54" i="107"/>
  <c r="O53" i="107"/>
  <c r="C53" i="107"/>
  <c r="N52" i="107"/>
  <c r="J55" i="107"/>
  <c r="R54" i="107"/>
  <c r="F54" i="107"/>
  <c r="N53" i="107"/>
  <c r="L52" i="107"/>
  <c r="I52" i="107"/>
  <c r="E53" i="107"/>
  <c r="R55" i="107"/>
  <c r="AC59" i="107"/>
  <c r="AJ60" i="107"/>
  <c r="V61" i="107"/>
  <c r="AB62" i="107"/>
  <c r="AJ73" i="107"/>
  <c r="AC74" i="107"/>
  <c r="X75" i="107"/>
  <c r="L83" i="107"/>
  <c r="D83" i="107"/>
  <c r="L82" i="107"/>
  <c r="D82" i="107"/>
  <c r="L81" i="107"/>
  <c r="D81" i="107"/>
  <c r="L80" i="107"/>
  <c r="D80" i="107"/>
  <c r="R83" i="107"/>
  <c r="I83" i="107"/>
  <c r="N82" i="107"/>
  <c r="E82" i="107"/>
  <c r="R81" i="107"/>
  <c r="I81" i="107"/>
  <c r="N80" i="107"/>
  <c r="E80" i="107"/>
  <c r="J83" i="107"/>
  <c r="J82" i="107"/>
  <c r="K81" i="107"/>
  <c r="K80" i="107"/>
  <c r="M83" i="107"/>
  <c r="H82" i="107"/>
  <c r="P81" i="107"/>
  <c r="E81" i="107"/>
  <c r="M80" i="107"/>
  <c r="G83" i="107"/>
  <c r="P82" i="107"/>
  <c r="C82" i="107"/>
  <c r="M81" i="107"/>
  <c r="H80" i="107"/>
  <c r="Q83" i="107"/>
  <c r="F83" i="107"/>
  <c r="O82" i="107"/>
  <c r="J81" i="107"/>
  <c r="R80" i="107"/>
  <c r="G80" i="107"/>
  <c r="O80" i="107"/>
  <c r="H81" i="107"/>
  <c r="G82" i="107"/>
  <c r="C83" i="107"/>
  <c r="C59" i="81"/>
  <c r="L59" i="81"/>
  <c r="F71" i="81"/>
  <c r="H71" i="81" s="1"/>
  <c r="G81" i="81"/>
  <c r="F82" i="81"/>
  <c r="G92" i="81"/>
  <c r="H105" i="81"/>
  <c r="I105" i="81" s="1"/>
  <c r="V40" i="107"/>
  <c r="AH40" i="107"/>
  <c r="Y41" i="107"/>
  <c r="Q48" i="107"/>
  <c r="I48" i="107"/>
  <c r="Q47" i="107"/>
  <c r="I47" i="107"/>
  <c r="Q46" i="107"/>
  <c r="I46" i="107"/>
  <c r="Q45" i="107"/>
  <c r="I45" i="107"/>
  <c r="J48" i="107"/>
  <c r="N47" i="107"/>
  <c r="E47" i="107"/>
  <c r="J46" i="107"/>
  <c r="N45" i="107"/>
  <c r="E45" i="107"/>
  <c r="K48" i="107"/>
  <c r="M47" i="107"/>
  <c r="C47" i="107"/>
  <c r="P46" i="107"/>
  <c r="F46" i="107"/>
  <c r="J45" i="107"/>
  <c r="P43" i="107"/>
  <c r="K45" i="107"/>
  <c r="H46" i="107"/>
  <c r="H47" i="107"/>
  <c r="F48" i="107"/>
  <c r="R48" i="107"/>
  <c r="P50" i="107"/>
  <c r="K52" i="107"/>
  <c r="F53" i="107"/>
  <c r="C54" i="107"/>
  <c r="AE59" i="107"/>
  <c r="X61" i="107"/>
  <c r="AD62" i="107"/>
  <c r="AE74" i="107"/>
  <c r="Y75" i="107"/>
  <c r="P78" i="107"/>
  <c r="P80" i="107"/>
  <c r="N81" i="107"/>
  <c r="I82" i="107"/>
  <c r="E83" i="107"/>
  <c r="K49" i="81"/>
  <c r="G53" i="81"/>
  <c r="H53" i="81" s="1"/>
  <c r="K57" i="81"/>
  <c r="D59" i="81"/>
  <c r="G61" i="81"/>
  <c r="H61" i="81" s="1"/>
  <c r="I63" i="81"/>
  <c r="I69" i="81"/>
  <c r="F73" i="81"/>
  <c r="D75" i="81"/>
  <c r="E75" i="81" s="1"/>
  <c r="C76" i="81"/>
  <c r="J79" i="81"/>
  <c r="I80" i="81"/>
  <c r="K80" i="81" s="1"/>
  <c r="G82" i="81"/>
  <c r="F83" i="81"/>
  <c r="F84" i="81"/>
  <c r="H84" i="81" s="1"/>
  <c r="D86" i="81"/>
  <c r="E86" i="81" s="1"/>
  <c r="C87" i="81"/>
  <c r="J89" i="81"/>
  <c r="K89" i="81" s="1"/>
  <c r="I91" i="81"/>
  <c r="G93" i="81"/>
  <c r="H93" i="81" s="1"/>
  <c r="F94" i="81"/>
  <c r="F97" i="81"/>
  <c r="C102" i="81"/>
  <c r="F102" i="81" s="1"/>
  <c r="D103" i="81"/>
  <c r="F105" i="81"/>
  <c r="C110" i="81"/>
  <c r="F110" i="81" s="1"/>
  <c r="D111" i="81"/>
  <c r="C118" i="81"/>
  <c r="F118" i="81" s="1"/>
  <c r="D119" i="81"/>
  <c r="M13" i="107"/>
  <c r="E13" i="107"/>
  <c r="M12" i="107"/>
  <c r="E12" i="107"/>
  <c r="M11" i="107"/>
  <c r="E11" i="107"/>
  <c r="M10" i="107"/>
  <c r="E10" i="107"/>
  <c r="H10" i="107"/>
  <c r="Q10" i="107"/>
  <c r="AB10" i="107"/>
  <c r="C11" i="107"/>
  <c r="L11" i="107"/>
  <c r="X11" i="107"/>
  <c r="AG11" i="107"/>
  <c r="H12" i="107"/>
  <c r="Q12" i="107"/>
  <c r="AB12" i="107"/>
  <c r="C13" i="107"/>
  <c r="L13" i="107"/>
  <c r="X13" i="107"/>
  <c r="AG13" i="107"/>
  <c r="C17" i="107"/>
  <c r="L17" i="107"/>
  <c r="H18" i="107"/>
  <c r="F19" i="107"/>
  <c r="P19" i="107"/>
  <c r="C20" i="107"/>
  <c r="M20" i="107"/>
  <c r="AC24" i="107"/>
  <c r="AB25" i="107"/>
  <c r="AA26" i="107"/>
  <c r="AA27" i="107"/>
  <c r="Q34" i="107"/>
  <c r="I34" i="107"/>
  <c r="Q33" i="107"/>
  <c r="I33" i="107"/>
  <c r="Q32" i="107"/>
  <c r="I32" i="107"/>
  <c r="Q31" i="107"/>
  <c r="I31" i="107"/>
  <c r="P34" i="107"/>
  <c r="G34" i="107"/>
  <c r="L33" i="107"/>
  <c r="C33" i="107"/>
  <c r="P32" i="107"/>
  <c r="G32" i="107"/>
  <c r="L31" i="107"/>
  <c r="C31" i="107"/>
  <c r="H31" i="107"/>
  <c r="E32" i="107"/>
  <c r="O32" i="107"/>
  <c r="D33" i="107"/>
  <c r="N33" i="107"/>
  <c r="K34" i="107"/>
  <c r="AA38" i="107"/>
  <c r="AF39" i="107"/>
  <c r="X40" i="107"/>
  <c r="AI40" i="107"/>
  <c r="AA41" i="107"/>
  <c r="L45" i="107"/>
  <c r="K46" i="107"/>
  <c r="J47" i="107"/>
  <c r="G48" i="107"/>
  <c r="O52" i="107"/>
  <c r="J53" i="107"/>
  <c r="E54" i="107"/>
  <c r="AF59" i="107"/>
  <c r="AA61" i="107"/>
  <c r="AE62" i="107"/>
  <c r="AF66" i="107"/>
  <c r="AJ67" i="107"/>
  <c r="Z68" i="107"/>
  <c r="AF69" i="107"/>
  <c r="W73" i="107"/>
  <c r="AJ74" i="107"/>
  <c r="AB75" i="107"/>
  <c r="U76" i="107"/>
  <c r="Q80" i="107"/>
  <c r="O81" i="107"/>
  <c r="K82" i="107"/>
  <c r="H83" i="107"/>
  <c r="L97" i="107"/>
  <c r="D97" i="107"/>
  <c r="L96" i="107"/>
  <c r="D96" i="107"/>
  <c r="L95" i="107"/>
  <c r="D95" i="107"/>
  <c r="L94" i="107"/>
  <c r="D94" i="107"/>
  <c r="J97" i="107"/>
  <c r="O96" i="107"/>
  <c r="F96" i="107"/>
  <c r="J95" i="107"/>
  <c r="O94" i="107"/>
  <c r="F94" i="107"/>
  <c r="P97" i="107"/>
  <c r="F97" i="107"/>
  <c r="Q96" i="107"/>
  <c r="G96" i="107"/>
  <c r="Q95" i="107"/>
  <c r="G95" i="107"/>
  <c r="R94" i="107"/>
  <c r="H94" i="107"/>
  <c r="M97" i="107"/>
  <c r="I96" i="107"/>
  <c r="P95" i="107"/>
  <c r="E95" i="107"/>
  <c r="M94" i="107"/>
  <c r="I97" i="107"/>
  <c r="H97" i="107"/>
  <c r="P96" i="107"/>
  <c r="C96" i="107"/>
  <c r="M95" i="107"/>
  <c r="I94" i="107"/>
  <c r="R97" i="107"/>
  <c r="G97" i="107"/>
  <c r="N96" i="107"/>
  <c r="K95" i="107"/>
  <c r="G94" i="107"/>
  <c r="N94" i="107"/>
  <c r="H96" i="107"/>
  <c r="O97" i="107"/>
  <c r="AB13" i="109"/>
  <c r="AH12" i="109"/>
  <c r="Z12" i="109"/>
  <c r="AF11" i="109"/>
  <c r="X11" i="109"/>
  <c r="AD10" i="109"/>
  <c r="V10" i="109"/>
  <c r="AC13" i="109"/>
  <c r="AE12" i="109"/>
  <c r="V12" i="109"/>
  <c r="AH11" i="109"/>
  <c r="Y11" i="109"/>
  <c r="AA10" i="109"/>
  <c r="AF13" i="109"/>
  <c r="V13" i="109"/>
  <c r="AD12" i="109"/>
  <c r="AC11" i="109"/>
  <c r="AB10" i="109"/>
  <c r="AD13" i="109"/>
  <c r="X12" i="109"/>
  <c r="AD11" i="109"/>
  <c r="X10" i="109"/>
  <c r="Z13" i="109"/>
  <c r="AG12" i="109"/>
  <c r="U12" i="109"/>
  <c r="AA11" i="109"/>
  <c r="AG10" i="109"/>
  <c r="U10" i="109"/>
  <c r="Y13" i="109"/>
  <c r="AF12" i="109"/>
  <c r="Z11" i="109"/>
  <c r="AF10" i="109"/>
  <c r="X13" i="109"/>
  <c r="AC12" i="109"/>
  <c r="W11" i="109"/>
  <c r="AE10" i="109"/>
  <c r="AH13" i="109"/>
  <c r="W13" i="109"/>
  <c r="AB12" i="109"/>
  <c r="V11" i="109"/>
  <c r="AC10" i="109"/>
  <c r="AF8" i="109"/>
  <c r="Z10" i="109"/>
  <c r="U11" i="109"/>
  <c r="C49" i="81"/>
  <c r="E49" i="81" s="1"/>
  <c r="L49" i="81"/>
  <c r="C57" i="81"/>
  <c r="E57" i="81" s="1"/>
  <c r="L57" i="81"/>
  <c r="J69" i="81"/>
  <c r="J70" i="81"/>
  <c r="K70" i="81" s="1"/>
  <c r="I71" i="81"/>
  <c r="G73" i="81"/>
  <c r="F74" i="81"/>
  <c r="H74" i="81" s="1"/>
  <c r="D76" i="81"/>
  <c r="I81" i="81"/>
  <c r="F85" i="81"/>
  <c r="H85" i="81" s="1"/>
  <c r="D87" i="81"/>
  <c r="J91" i="81"/>
  <c r="I92" i="81"/>
  <c r="K92" i="81" s="1"/>
  <c r="G94" i="81"/>
  <c r="D102" i="81"/>
  <c r="D110" i="81"/>
  <c r="D118" i="81"/>
  <c r="P8" i="107"/>
  <c r="I10" i="107"/>
  <c r="R10" i="107"/>
  <c r="AC10" i="107"/>
  <c r="D11" i="107"/>
  <c r="N11" i="107"/>
  <c r="Y11" i="107"/>
  <c r="AH11" i="107"/>
  <c r="I12" i="107"/>
  <c r="R12" i="107"/>
  <c r="AC12" i="107"/>
  <c r="D13" i="107"/>
  <c r="N13" i="107"/>
  <c r="Y13" i="107"/>
  <c r="D17" i="107"/>
  <c r="M17" i="107"/>
  <c r="J18" i="107"/>
  <c r="G19" i="107"/>
  <c r="R19" i="107"/>
  <c r="D20" i="107"/>
  <c r="N20" i="107"/>
  <c r="AD24" i="107"/>
  <c r="AC25" i="107"/>
  <c r="AC26" i="107"/>
  <c r="AB27" i="107"/>
  <c r="P29" i="107"/>
  <c r="J31" i="107"/>
  <c r="F32" i="107"/>
  <c r="R32" i="107"/>
  <c r="E33" i="107"/>
  <c r="O33" i="107"/>
  <c r="L34" i="107"/>
  <c r="AB38" i="107"/>
  <c r="U39" i="107"/>
  <c r="AG39" i="107"/>
  <c r="Y40" i="107"/>
  <c r="AJ40" i="107"/>
  <c r="AC41" i="107"/>
  <c r="M45" i="107"/>
  <c r="L46" i="107"/>
  <c r="K47" i="107"/>
  <c r="H48" i="107"/>
  <c r="P52" i="107"/>
  <c r="K53" i="107"/>
  <c r="I54" i="107"/>
  <c r="E55" i="107"/>
  <c r="AG59" i="107"/>
  <c r="V60" i="107"/>
  <c r="AC61" i="107"/>
  <c r="AI62" i="107"/>
  <c r="AH66" i="107"/>
  <c r="W67" i="107"/>
  <c r="AB68" i="107"/>
  <c r="AG69" i="107"/>
  <c r="X73" i="107"/>
  <c r="AE75" i="107"/>
  <c r="Y76" i="107"/>
  <c r="Q81" i="107"/>
  <c r="M82" i="107"/>
  <c r="K83" i="107"/>
  <c r="P92" i="107"/>
  <c r="P94" i="107"/>
  <c r="C95" i="107"/>
  <c r="J96" i="107"/>
  <c r="Q97" i="107"/>
  <c r="AH10" i="109"/>
  <c r="AB11" i="109"/>
  <c r="G59" i="81"/>
  <c r="H59" i="81" s="1"/>
  <c r="K63" i="81"/>
  <c r="J71" i="81"/>
  <c r="F75" i="81"/>
  <c r="H75" i="81" s="1"/>
  <c r="J81" i="81"/>
  <c r="K81" i="81" s="1"/>
  <c r="J82" i="81"/>
  <c r="K82" i="81" s="1"/>
  <c r="AE13" i="107"/>
  <c r="W13" i="107"/>
  <c r="AE12" i="107"/>
  <c r="W12" i="107"/>
  <c r="AE11" i="107"/>
  <c r="W11" i="107"/>
  <c r="AE10" i="107"/>
  <c r="W10" i="107"/>
  <c r="U10" i="107"/>
  <c r="AD10" i="107"/>
  <c r="Z11" i="107"/>
  <c r="AI11" i="107"/>
  <c r="U12" i="107"/>
  <c r="AD12" i="107"/>
  <c r="Z13" i="107"/>
  <c r="AI13" i="107"/>
  <c r="AF38" i="107"/>
  <c r="V39" i="107"/>
  <c r="AH39" i="107"/>
  <c r="Z40" i="107"/>
  <c r="AD41" i="107"/>
  <c r="C45" i="107"/>
  <c r="O45" i="107"/>
  <c r="M46" i="107"/>
  <c r="L47" i="107"/>
  <c r="L48" i="107"/>
  <c r="C52" i="107"/>
  <c r="R52" i="107"/>
  <c r="M53" i="107"/>
  <c r="J54" i="107"/>
  <c r="H55" i="107"/>
  <c r="Y60" i="107"/>
  <c r="AA73" i="107"/>
  <c r="AF75" i="107"/>
  <c r="C80" i="107"/>
  <c r="Q82" i="107"/>
  <c r="N83" i="107"/>
  <c r="AH62" i="107"/>
  <c r="Z62" i="107"/>
  <c r="AH61" i="107"/>
  <c r="Z61" i="107"/>
  <c r="AH60" i="107"/>
  <c r="Z60" i="107"/>
  <c r="AH59" i="107"/>
  <c r="Z59" i="107"/>
  <c r="AF62" i="107"/>
  <c r="W62" i="107"/>
  <c r="AB61" i="107"/>
  <c r="AF60" i="107"/>
  <c r="W60" i="107"/>
  <c r="AB59" i="107"/>
  <c r="AG62" i="107"/>
  <c r="V62" i="107"/>
  <c r="AG61" i="107"/>
  <c r="W61" i="107"/>
  <c r="AI60" i="107"/>
  <c r="X60" i="107"/>
  <c r="AI59" i="107"/>
  <c r="X59" i="107"/>
  <c r="AH57" i="107"/>
  <c r="AC62" i="107"/>
  <c r="Y61" i="107"/>
  <c r="AG60" i="107"/>
  <c r="U60" i="107"/>
  <c r="AD59" i="107"/>
  <c r="Y62" i="107"/>
  <c r="AF61" i="107"/>
  <c r="U61" i="107"/>
  <c r="AC60" i="107"/>
  <c r="Y59" i="107"/>
  <c r="AJ62" i="107"/>
  <c r="X62" i="107"/>
  <c r="AE61" i="107"/>
  <c r="AB60" i="107"/>
  <c r="AJ59" i="107"/>
  <c r="W59" i="107"/>
  <c r="U59" i="107"/>
  <c r="AA60" i="107"/>
  <c r="AI61" i="107"/>
  <c r="AH76" i="107"/>
  <c r="Z76" i="107"/>
  <c r="AH75" i="107"/>
  <c r="Z75" i="107"/>
  <c r="AH74" i="107"/>
  <c r="Z74" i="107"/>
  <c r="AH73" i="107"/>
  <c r="Z73" i="107"/>
  <c r="AG76" i="107"/>
  <c r="X76" i="107"/>
  <c r="AC75" i="107"/>
  <c r="AG74" i="107"/>
  <c r="X74" i="107"/>
  <c r="AC73" i="107"/>
  <c r="AC76" i="107"/>
  <c r="AD75" i="107"/>
  <c r="AD74" i="107"/>
  <c r="AE73" i="107"/>
  <c r="U73" i="107"/>
  <c r="AB76" i="107"/>
  <c r="AA75" i="107"/>
  <c r="AA74" i="107"/>
  <c r="Y73" i="107"/>
  <c r="AH71" i="107"/>
  <c r="AJ76" i="107"/>
  <c r="W76" i="107"/>
  <c r="AI75" i="107"/>
  <c r="W75" i="107"/>
  <c r="AI74" i="107"/>
  <c r="V74" i="107"/>
  <c r="AG73" i="107"/>
  <c r="V73" i="107"/>
  <c r="AI76" i="107"/>
  <c r="V76" i="107"/>
  <c r="AG75" i="107"/>
  <c r="V75" i="107"/>
  <c r="AF74" i="107"/>
  <c r="U74" i="107"/>
  <c r="AF73" i="107"/>
  <c r="AB73" i="107"/>
  <c r="W74" i="107"/>
  <c r="AJ75" i="107"/>
  <c r="AD76" i="107"/>
  <c r="R82" i="107"/>
  <c r="O83" i="107"/>
  <c r="K34" i="109"/>
  <c r="C34" i="109"/>
  <c r="Q33" i="109"/>
  <c r="I33" i="109"/>
  <c r="O32" i="109"/>
  <c r="G32" i="109"/>
  <c r="M31" i="109"/>
  <c r="E31" i="109"/>
  <c r="N34" i="109"/>
  <c r="F34" i="109"/>
  <c r="L33" i="109"/>
  <c r="D33" i="109"/>
  <c r="R32" i="109"/>
  <c r="J32" i="109"/>
  <c r="P31" i="109"/>
  <c r="H31" i="109"/>
  <c r="P29" i="109"/>
  <c r="L34" i="109"/>
  <c r="J33" i="109"/>
  <c r="H32" i="109"/>
  <c r="Q31" i="109"/>
  <c r="F31" i="109"/>
  <c r="I34" i="109"/>
  <c r="O33" i="109"/>
  <c r="C33" i="109"/>
  <c r="I32" i="109"/>
  <c r="N31" i="109"/>
  <c r="P34" i="109"/>
  <c r="D34" i="109"/>
  <c r="H33" i="109"/>
  <c r="N32" i="109"/>
  <c r="C32" i="109"/>
  <c r="I31" i="109"/>
  <c r="M34" i="109"/>
  <c r="R33" i="109"/>
  <c r="F33" i="109"/>
  <c r="L32" i="109"/>
  <c r="R31" i="109"/>
  <c r="D31" i="109"/>
  <c r="J34" i="109"/>
  <c r="P33" i="109"/>
  <c r="E33" i="109"/>
  <c r="K32" i="109"/>
  <c r="O31" i="109"/>
  <c r="C31" i="109"/>
  <c r="Q32" i="109"/>
  <c r="M33" i="109"/>
  <c r="G34" i="109"/>
  <c r="O27" i="109"/>
  <c r="G27" i="109"/>
  <c r="M26" i="109"/>
  <c r="E26" i="109"/>
  <c r="K25" i="109"/>
  <c r="C25" i="109"/>
  <c r="Q24" i="109"/>
  <c r="I24" i="109"/>
  <c r="R27" i="109"/>
  <c r="J27" i="109"/>
  <c r="P26" i="109"/>
  <c r="H26" i="109"/>
  <c r="N25" i="109"/>
  <c r="F25" i="109"/>
  <c r="L24" i="109"/>
  <c r="D24" i="109"/>
  <c r="H27" i="109"/>
  <c r="Q26" i="109"/>
  <c r="F26" i="109"/>
  <c r="O25" i="109"/>
  <c r="D25" i="109"/>
  <c r="M24" i="109"/>
  <c r="Q27" i="109"/>
  <c r="E27" i="109"/>
  <c r="L26" i="109"/>
  <c r="P27" i="109"/>
  <c r="D27" i="109"/>
  <c r="K26" i="109"/>
  <c r="R25" i="109"/>
  <c r="G25" i="109"/>
  <c r="N24" i="109"/>
  <c r="H24" i="109"/>
  <c r="Q25" i="109"/>
  <c r="N26" i="109"/>
  <c r="K27" i="109"/>
  <c r="AC34" i="109"/>
  <c r="U34" i="109"/>
  <c r="AA33" i="109"/>
  <c r="AG32" i="109"/>
  <c r="Y32" i="109"/>
  <c r="AE31" i="109"/>
  <c r="W31" i="109"/>
  <c r="AF34" i="109"/>
  <c r="X34" i="109"/>
  <c r="AD33" i="109"/>
  <c r="V33" i="109"/>
  <c r="AB32" i="109"/>
  <c r="AH31" i="109"/>
  <c r="Z31" i="109"/>
  <c r="Y34" i="109"/>
  <c r="AG33" i="109"/>
  <c r="W33" i="109"/>
  <c r="AE32" i="109"/>
  <c r="U32" i="109"/>
  <c r="AC31" i="109"/>
  <c r="W34" i="109"/>
  <c r="AC33" i="109"/>
  <c r="W32" i="109"/>
  <c r="AB31" i="109"/>
  <c r="AF29" i="109"/>
  <c r="AD34" i="109"/>
  <c r="X33" i="109"/>
  <c r="AC32" i="109"/>
  <c r="V31" i="109"/>
  <c r="AA34" i="109"/>
  <c r="AF33" i="109"/>
  <c r="Z32" i="109"/>
  <c r="AF31" i="109"/>
  <c r="Z34" i="109"/>
  <c r="AE33" i="109"/>
  <c r="X32" i="109"/>
  <c r="AD31" i="109"/>
  <c r="AA31" i="109"/>
  <c r="V32" i="109"/>
  <c r="N33" i="109"/>
  <c r="H34" i="109"/>
  <c r="AH34" i="109"/>
  <c r="M27" i="107"/>
  <c r="E27" i="107"/>
  <c r="M26" i="107"/>
  <c r="E26" i="107"/>
  <c r="M25" i="107"/>
  <c r="E25" i="107"/>
  <c r="M24" i="107"/>
  <c r="E24" i="107"/>
  <c r="H24" i="107"/>
  <c r="Q24" i="107"/>
  <c r="C25" i="107"/>
  <c r="L25" i="107"/>
  <c r="H26" i="107"/>
  <c r="Q26" i="107"/>
  <c r="C27" i="107"/>
  <c r="L27" i="107"/>
  <c r="M41" i="107"/>
  <c r="E41" i="107"/>
  <c r="M40" i="107"/>
  <c r="E40" i="107"/>
  <c r="M39" i="107"/>
  <c r="E39" i="107"/>
  <c r="M38" i="107"/>
  <c r="E38" i="107"/>
  <c r="O41" i="107"/>
  <c r="F41" i="107"/>
  <c r="J40" i="107"/>
  <c r="O39" i="107"/>
  <c r="F39" i="107"/>
  <c r="H38" i="107"/>
  <c r="Q38" i="107"/>
  <c r="G39" i="107"/>
  <c r="Q39" i="107"/>
  <c r="F40" i="107"/>
  <c r="P40" i="107"/>
  <c r="D41" i="107"/>
  <c r="P41" i="107"/>
  <c r="J59" i="107"/>
  <c r="N60" i="107"/>
  <c r="E61" i="107"/>
  <c r="R61" i="107"/>
  <c r="I66" i="107"/>
  <c r="M67" i="107"/>
  <c r="F68" i="107"/>
  <c r="Q68" i="107"/>
  <c r="E87" i="107"/>
  <c r="Q87" i="107"/>
  <c r="G88" i="107"/>
  <c r="I89" i="107"/>
  <c r="J90" i="107"/>
  <c r="U94" i="107"/>
  <c r="AG94" i="107"/>
  <c r="Y95" i="107"/>
  <c r="AJ95" i="107"/>
  <c r="AB96" i="107"/>
  <c r="AG97" i="107"/>
  <c r="E101" i="107"/>
  <c r="Q101" i="107"/>
  <c r="I102" i="107"/>
  <c r="M103" i="107"/>
  <c r="D104" i="107"/>
  <c r="Q104" i="107"/>
  <c r="C10" i="109"/>
  <c r="Q10" i="109"/>
  <c r="J11" i="109"/>
  <c r="D12" i="109"/>
  <c r="O12" i="109"/>
  <c r="K13" i="109"/>
  <c r="K20" i="109"/>
  <c r="C20" i="109"/>
  <c r="N20" i="109"/>
  <c r="F20" i="109"/>
  <c r="L19" i="109"/>
  <c r="D19" i="109"/>
  <c r="R18" i="109"/>
  <c r="J18" i="109"/>
  <c r="P17" i="109"/>
  <c r="H17" i="109"/>
  <c r="P15" i="109"/>
  <c r="P20" i="109"/>
  <c r="E20" i="109"/>
  <c r="O19" i="109"/>
  <c r="F19" i="109"/>
  <c r="Q18" i="109"/>
  <c r="H18" i="109"/>
  <c r="K17" i="109"/>
  <c r="M20" i="109"/>
  <c r="I19" i="109"/>
  <c r="G18" i="109"/>
  <c r="Q17" i="109"/>
  <c r="F17" i="109"/>
  <c r="L17" i="109"/>
  <c r="Y17" i="109"/>
  <c r="E18" i="109"/>
  <c r="P18" i="109"/>
  <c r="AF18" i="109"/>
  <c r="K19" i="109"/>
  <c r="Y19" i="109"/>
  <c r="H20" i="109"/>
  <c r="P22" i="109"/>
  <c r="J24" i="109"/>
  <c r="E25" i="109"/>
  <c r="O26" i="109"/>
  <c r="L27" i="109"/>
  <c r="G31" i="109"/>
  <c r="AG31" i="109"/>
  <c r="AA32" i="109"/>
  <c r="U33" i="109"/>
  <c r="O34" i="109"/>
  <c r="P62" i="107"/>
  <c r="H62" i="107"/>
  <c r="P61" i="107"/>
  <c r="H61" i="107"/>
  <c r="P60" i="107"/>
  <c r="H60" i="107"/>
  <c r="P59" i="107"/>
  <c r="H59" i="107"/>
  <c r="P57" i="107"/>
  <c r="L62" i="107"/>
  <c r="C62" i="107"/>
  <c r="Q61" i="107"/>
  <c r="G61" i="107"/>
  <c r="L60" i="107"/>
  <c r="C60" i="107"/>
  <c r="Q59" i="107"/>
  <c r="G59" i="107"/>
  <c r="J62" i="107"/>
  <c r="K61" i="107"/>
  <c r="K60" i="107"/>
  <c r="L59" i="107"/>
  <c r="K59" i="107"/>
  <c r="D60" i="107"/>
  <c r="O60" i="107"/>
  <c r="F61" i="107"/>
  <c r="K62" i="107"/>
  <c r="L69" i="107"/>
  <c r="D69" i="107"/>
  <c r="L68" i="107"/>
  <c r="D68" i="107"/>
  <c r="L67" i="107"/>
  <c r="D67" i="107"/>
  <c r="L66" i="107"/>
  <c r="D66" i="107"/>
  <c r="Q69" i="107"/>
  <c r="H69" i="107"/>
  <c r="M68" i="107"/>
  <c r="C68" i="107"/>
  <c r="Q67" i="107"/>
  <c r="H67" i="107"/>
  <c r="M66" i="107"/>
  <c r="C66" i="107"/>
  <c r="N69" i="107"/>
  <c r="C69" i="107"/>
  <c r="O68" i="107"/>
  <c r="E68" i="107"/>
  <c r="O67" i="107"/>
  <c r="E67" i="107"/>
  <c r="P66" i="107"/>
  <c r="F66" i="107"/>
  <c r="J66" i="107"/>
  <c r="N67" i="107"/>
  <c r="G68" i="107"/>
  <c r="R68" i="107"/>
  <c r="J69" i="107"/>
  <c r="I88" i="107"/>
  <c r="K89" i="107"/>
  <c r="W94" i="107"/>
  <c r="AH94" i="107"/>
  <c r="Z95" i="107"/>
  <c r="AE96" i="107"/>
  <c r="W97" i="107"/>
  <c r="F101" i="107"/>
  <c r="R101" i="107"/>
  <c r="J102" i="107"/>
  <c r="C103" i="107"/>
  <c r="N103" i="107"/>
  <c r="E104" i="107"/>
  <c r="F10" i="109"/>
  <c r="R10" i="109"/>
  <c r="K11" i="109"/>
  <c r="E12" i="109"/>
  <c r="Q12" i="109"/>
  <c r="AC20" i="109"/>
  <c r="U20" i="109"/>
  <c r="AA19" i="109"/>
  <c r="AF20" i="109"/>
  <c r="X20" i="109"/>
  <c r="AD19" i="109"/>
  <c r="V19" i="109"/>
  <c r="AB18" i="109"/>
  <c r="AH17" i="109"/>
  <c r="Z17" i="109"/>
  <c r="AB20" i="109"/>
  <c r="Z19" i="109"/>
  <c r="AC18" i="109"/>
  <c r="AE17" i="109"/>
  <c r="V17" i="109"/>
  <c r="AF15" i="109"/>
  <c r="AA20" i="109"/>
  <c r="AG19" i="109"/>
  <c r="U19" i="109"/>
  <c r="AE18" i="109"/>
  <c r="U18" i="109"/>
  <c r="AC17" i="109"/>
  <c r="AA17" i="109"/>
  <c r="V18" i="109"/>
  <c r="AG18" i="109"/>
  <c r="AB19" i="109"/>
  <c r="Y20" i="109"/>
  <c r="K24" i="109"/>
  <c r="H25" i="109"/>
  <c r="R26" i="109"/>
  <c r="M27" i="109"/>
  <c r="J31" i="109"/>
  <c r="D32" i="109"/>
  <c r="AD32" i="109"/>
  <c r="Y33" i="109"/>
  <c r="Q34" i="109"/>
  <c r="AB17" i="109"/>
  <c r="W18" i="109"/>
  <c r="AH18" i="109"/>
  <c r="AC19" i="109"/>
  <c r="Z20" i="109"/>
  <c r="O24" i="109"/>
  <c r="I25" i="109"/>
  <c r="C26" i="109"/>
  <c r="N27" i="109"/>
  <c r="K31" i="109"/>
  <c r="E32" i="109"/>
  <c r="AF32" i="109"/>
  <c r="Z33" i="109"/>
  <c r="R34" i="109"/>
  <c r="D59" i="107"/>
  <c r="O59" i="107"/>
  <c r="G60" i="107"/>
  <c r="L61" i="107"/>
  <c r="D62" i="107"/>
  <c r="O62" i="107"/>
  <c r="O66" i="107"/>
  <c r="G67" i="107"/>
  <c r="J68" i="107"/>
  <c r="O69" i="107"/>
  <c r="P90" i="107"/>
  <c r="H90" i="107"/>
  <c r="P89" i="107"/>
  <c r="H89" i="107"/>
  <c r="P88" i="107"/>
  <c r="H88" i="107"/>
  <c r="P87" i="107"/>
  <c r="H87" i="107"/>
  <c r="P85" i="107"/>
  <c r="N90" i="107"/>
  <c r="E90" i="107"/>
  <c r="J89" i="107"/>
  <c r="N88" i="107"/>
  <c r="E88" i="107"/>
  <c r="J87" i="107"/>
  <c r="L90" i="107"/>
  <c r="M89" i="107"/>
  <c r="C89" i="107"/>
  <c r="M88" i="107"/>
  <c r="C88" i="107"/>
  <c r="N87" i="107"/>
  <c r="D87" i="107"/>
  <c r="K87" i="107"/>
  <c r="L88" i="107"/>
  <c r="D89" i="107"/>
  <c r="O89" i="107"/>
  <c r="D90" i="107"/>
  <c r="Q90" i="107"/>
  <c r="AD97" i="107"/>
  <c r="V97" i="107"/>
  <c r="AD96" i="107"/>
  <c r="V96" i="107"/>
  <c r="AD95" i="107"/>
  <c r="V95" i="107"/>
  <c r="AD94" i="107"/>
  <c r="V94" i="107"/>
  <c r="AE97" i="107"/>
  <c r="U97" i="107"/>
  <c r="AI96" i="107"/>
  <c r="Z96" i="107"/>
  <c r="AE95" i="107"/>
  <c r="U95" i="107"/>
  <c r="AI94" i="107"/>
  <c r="Z94" i="107"/>
  <c r="AB97" i="107"/>
  <c r="AC96" i="107"/>
  <c r="AC95" i="107"/>
  <c r="AE94" i="107"/>
  <c r="AA94" i="107"/>
  <c r="AF95" i="107"/>
  <c r="W96" i="107"/>
  <c r="AH96" i="107"/>
  <c r="Z97" i="107"/>
  <c r="P104" i="107"/>
  <c r="H104" i="107"/>
  <c r="P103" i="107"/>
  <c r="H103" i="107"/>
  <c r="P102" i="107"/>
  <c r="H102" i="107"/>
  <c r="P101" i="107"/>
  <c r="H101" i="107"/>
  <c r="P99" i="107"/>
  <c r="O104" i="107"/>
  <c r="F104" i="107"/>
  <c r="K103" i="107"/>
  <c r="O102" i="107"/>
  <c r="F102" i="107"/>
  <c r="K101" i="107"/>
  <c r="J104" i="107"/>
  <c r="J103" i="107"/>
  <c r="K102" i="107"/>
  <c r="L101" i="107"/>
  <c r="J101" i="107"/>
  <c r="C102" i="107"/>
  <c r="N102" i="107"/>
  <c r="F103" i="107"/>
  <c r="R103" i="107"/>
  <c r="K104" i="107"/>
  <c r="R13" i="109"/>
  <c r="J13" i="109"/>
  <c r="P12" i="109"/>
  <c r="H12" i="109"/>
  <c r="N11" i="109"/>
  <c r="F11" i="109"/>
  <c r="L10" i="109"/>
  <c r="D10" i="109"/>
  <c r="Q13" i="109"/>
  <c r="H13" i="109"/>
  <c r="K12" i="109"/>
  <c r="M11" i="109"/>
  <c r="D11" i="109"/>
  <c r="P10" i="109"/>
  <c r="G10" i="109"/>
  <c r="I13" i="109"/>
  <c r="R12" i="109"/>
  <c r="G12" i="109"/>
  <c r="Q11" i="109"/>
  <c r="G11" i="109"/>
  <c r="O10" i="109"/>
  <c r="E10" i="109"/>
  <c r="J10" i="109"/>
  <c r="C11" i="109"/>
  <c r="P11" i="109"/>
  <c r="J12" i="109"/>
  <c r="D13" i="109"/>
  <c r="O13" i="109"/>
  <c r="AF17" i="109"/>
  <c r="Y18" i="109"/>
  <c r="AF19" i="109"/>
  <c r="AE20" i="109"/>
  <c r="E24" i="109"/>
  <c r="R24" i="109"/>
  <c r="L25" i="109"/>
  <c r="G26" i="109"/>
  <c r="C27" i="109"/>
  <c r="U31" i="109"/>
  <c r="M32" i="109"/>
  <c r="G33" i="109"/>
  <c r="AH33" i="109"/>
  <c r="AB34" i="109"/>
  <c r="AD55" i="107"/>
  <c r="V55" i="107"/>
  <c r="AD54" i="107"/>
  <c r="V54" i="107"/>
  <c r="AD53" i="107"/>
  <c r="V53" i="107"/>
  <c r="AD52" i="107"/>
  <c r="AJ55" i="107"/>
  <c r="AA55" i="107"/>
  <c r="AF54" i="107"/>
  <c r="W54" i="107"/>
  <c r="AJ53" i="107"/>
  <c r="AA53" i="107"/>
  <c r="AF52" i="107"/>
  <c r="W52" i="107"/>
  <c r="U52" i="107"/>
  <c r="AE52" i="107"/>
  <c r="AE53" i="107"/>
  <c r="AC54" i="107"/>
  <c r="AC55" i="107"/>
  <c r="AD83" i="107"/>
  <c r="V83" i="107"/>
  <c r="AD82" i="107"/>
  <c r="V82" i="107"/>
  <c r="AD81" i="107"/>
  <c r="V81" i="107"/>
  <c r="AD80" i="107"/>
  <c r="V80" i="107"/>
  <c r="AC83" i="107"/>
  <c r="AH82" i="107"/>
  <c r="Y82" i="107"/>
  <c r="AC81" i="107"/>
  <c r="AH80" i="107"/>
  <c r="Y80" i="107"/>
  <c r="X80" i="107"/>
  <c r="AI80" i="107"/>
  <c r="X81" i="107"/>
  <c r="AH81" i="107"/>
  <c r="W82" i="107"/>
  <c r="AG82" i="107"/>
  <c r="W83" i="107"/>
  <c r="AG83" i="107"/>
  <c r="AH104" i="107"/>
  <c r="Z104" i="107"/>
  <c r="AH103" i="107"/>
  <c r="Z103" i="107"/>
  <c r="AH102" i="107"/>
  <c r="Z102" i="107"/>
  <c r="AH101" i="107"/>
  <c r="Z101" i="107"/>
  <c r="AJ104" i="107"/>
  <c r="AA104" i="107"/>
  <c r="AE103" i="107"/>
  <c r="V103" i="107"/>
  <c r="AJ102" i="107"/>
  <c r="AA102" i="107"/>
  <c r="AE101" i="107"/>
  <c r="V101" i="107"/>
  <c r="AH99" i="107"/>
  <c r="X101" i="107"/>
  <c r="AI101" i="107"/>
  <c r="W102" i="107"/>
  <c r="AG102" i="107"/>
  <c r="W103" i="107"/>
  <c r="AG103" i="107"/>
  <c r="V104" i="107"/>
  <c r="AF104" i="107"/>
  <c r="K48" i="109"/>
  <c r="C48" i="109"/>
  <c r="Q47" i="109"/>
  <c r="I47" i="109"/>
  <c r="O46" i="109"/>
  <c r="G46" i="109"/>
  <c r="M45" i="109"/>
  <c r="E45" i="109"/>
  <c r="N48" i="109"/>
  <c r="F48" i="109"/>
  <c r="L47" i="109"/>
  <c r="D47" i="109"/>
  <c r="R46" i="109"/>
  <c r="J46" i="109"/>
  <c r="P45" i="109"/>
  <c r="H45" i="109"/>
  <c r="P43" i="109"/>
  <c r="R48" i="109"/>
  <c r="H48" i="109"/>
  <c r="P47" i="109"/>
  <c r="F47" i="109"/>
  <c r="N46" i="109"/>
  <c r="D46" i="109"/>
  <c r="L45" i="109"/>
  <c r="O48" i="109"/>
  <c r="D48" i="109"/>
  <c r="M47" i="109"/>
  <c r="K46" i="109"/>
  <c r="I45" i="109"/>
  <c r="N45" i="109"/>
  <c r="AC45" i="109"/>
  <c r="L46" i="109"/>
  <c r="AC46" i="109"/>
  <c r="J47" i="109"/>
  <c r="Z47" i="109"/>
  <c r="I48" i="109"/>
  <c r="N52" i="109"/>
  <c r="H53" i="109"/>
  <c r="Q54" i="109"/>
  <c r="I55" i="109"/>
  <c r="R62" i="109"/>
  <c r="J62" i="109"/>
  <c r="P61" i="109"/>
  <c r="H61" i="109"/>
  <c r="N60" i="109"/>
  <c r="F60" i="109"/>
  <c r="L59" i="109"/>
  <c r="O62" i="109"/>
  <c r="F62" i="109"/>
  <c r="R61" i="109"/>
  <c r="I61" i="109"/>
  <c r="K60" i="109"/>
  <c r="N59" i="109"/>
  <c r="E59" i="109"/>
  <c r="I62" i="109"/>
  <c r="L61" i="109"/>
  <c r="C61" i="109"/>
  <c r="O60" i="109"/>
  <c r="E60" i="109"/>
  <c r="Q59" i="109"/>
  <c r="H59" i="109"/>
  <c r="P57" i="109"/>
  <c r="P62" i="109"/>
  <c r="D62" i="109"/>
  <c r="J61" i="109"/>
  <c r="P60" i="109"/>
  <c r="C60" i="109"/>
  <c r="I59" i="109"/>
  <c r="L62" i="109"/>
  <c r="Q61" i="109"/>
  <c r="E61" i="109"/>
  <c r="J60" i="109"/>
  <c r="P59" i="109"/>
  <c r="D59" i="109"/>
  <c r="K62" i="109"/>
  <c r="O61" i="109"/>
  <c r="D61" i="109"/>
  <c r="I60" i="109"/>
  <c r="O59" i="109"/>
  <c r="C59" i="109"/>
  <c r="R59" i="109"/>
  <c r="G60" i="109"/>
  <c r="AB60" i="109"/>
  <c r="N61" i="109"/>
  <c r="E62" i="109"/>
  <c r="U73" i="109"/>
  <c r="W75" i="109"/>
  <c r="D80" i="109"/>
  <c r="G82" i="109"/>
  <c r="N87" i="109"/>
  <c r="Z88" i="109"/>
  <c r="AH89" i="109"/>
  <c r="AC48" i="109"/>
  <c r="U48" i="109"/>
  <c r="AA47" i="109"/>
  <c r="AG46" i="109"/>
  <c r="Y46" i="109"/>
  <c r="AE45" i="109"/>
  <c r="W45" i="109"/>
  <c r="AF48" i="109"/>
  <c r="X48" i="109"/>
  <c r="AD47" i="109"/>
  <c r="V47" i="109"/>
  <c r="AB46" i="109"/>
  <c r="AH45" i="109"/>
  <c r="Z45" i="109"/>
  <c r="AE48" i="109"/>
  <c r="AC47" i="109"/>
  <c r="AA46" i="109"/>
  <c r="Y45" i="109"/>
  <c r="AF43" i="109"/>
  <c r="AA48" i="109"/>
  <c r="Y47" i="109"/>
  <c r="AH46" i="109"/>
  <c r="W46" i="109"/>
  <c r="AF45" i="109"/>
  <c r="U45" i="109"/>
  <c r="AD45" i="109"/>
  <c r="AD46" i="109"/>
  <c r="AB47" i="109"/>
  <c r="Z48" i="109"/>
  <c r="P52" i="109"/>
  <c r="I53" i="109"/>
  <c r="C54" i="109"/>
  <c r="R54" i="109"/>
  <c r="L55" i="109"/>
  <c r="AB62" i="109"/>
  <c r="AH61" i="109"/>
  <c r="Z61" i="109"/>
  <c r="AF60" i="109"/>
  <c r="X60" i="109"/>
  <c r="AD59" i="109"/>
  <c r="V59" i="109"/>
  <c r="Z62" i="109"/>
  <c r="AC61" i="109"/>
  <c r="AE60" i="109"/>
  <c r="V60" i="109"/>
  <c r="AH59" i="109"/>
  <c r="Y59" i="109"/>
  <c r="AD62" i="109"/>
  <c r="U62" i="109"/>
  <c r="AF61" i="109"/>
  <c r="W61" i="109"/>
  <c r="Z60" i="109"/>
  <c r="AB59" i="109"/>
  <c r="AE62" i="109"/>
  <c r="X61" i="109"/>
  <c r="AC60" i="109"/>
  <c r="W59" i="109"/>
  <c r="Y62" i="109"/>
  <c r="AE61" i="109"/>
  <c r="Y60" i="109"/>
  <c r="AE59" i="109"/>
  <c r="X62" i="109"/>
  <c r="AD61" i="109"/>
  <c r="W60" i="109"/>
  <c r="AC59" i="109"/>
  <c r="U59" i="109"/>
  <c r="AD60" i="109"/>
  <c r="U61" i="109"/>
  <c r="AC62" i="109"/>
  <c r="AB73" i="109"/>
  <c r="AC75" i="109"/>
  <c r="E80" i="109"/>
  <c r="J82" i="109"/>
  <c r="W87" i="109"/>
  <c r="AC88" i="109"/>
  <c r="E90" i="109"/>
  <c r="L80" i="109"/>
  <c r="Q82" i="109"/>
  <c r="E83" i="109"/>
  <c r="C89" i="109"/>
  <c r="I90" i="109"/>
  <c r="AF46" i="109"/>
  <c r="AF47" i="109"/>
  <c r="AD48" i="109"/>
  <c r="F52" i="109"/>
  <c r="L53" i="109"/>
  <c r="G54" i="109"/>
  <c r="N55" i="109"/>
  <c r="Z59" i="109"/>
  <c r="AH60" i="109"/>
  <c r="Y61" i="109"/>
  <c r="AG62" i="109"/>
  <c r="AH73" i="109"/>
  <c r="W76" i="109"/>
  <c r="O80" i="109"/>
  <c r="G83" i="109"/>
  <c r="H89" i="109"/>
  <c r="N90" i="109"/>
  <c r="F90" i="109"/>
  <c r="L89" i="109"/>
  <c r="D89" i="109"/>
  <c r="R88" i="109"/>
  <c r="J88" i="109"/>
  <c r="P87" i="109"/>
  <c r="H87" i="109"/>
  <c r="P85" i="109"/>
  <c r="Q90" i="109"/>
  <c r="H90" i="109"/>
  <c r="J89" i="109"/>
  <c r="M88" i="109"/>
  <c r="D88" i="109"/>
  <c r="O87" i="109"/>
  <c r="F87" i="109"/>
  <c r="R90" i="109"/>
  <c r="G90" i="109"/>
  <c r="P89" i="109"/>
  <c r="F89" i="109"/>
  <c r="O88" i="109"/>
  <c r="E88" i="109"/>
  <c r="M87" i="109"/>
  <c r="C87" i="109"/>
  <c r="K90" i="109"/>
  <c r="I89" i="109"/>
  <c r="H88" i="109"/>
  <c r="R87" i="109"/>
  <c r="G87" i="109"/>
  <c r="D90" i="109"/>
  <c r="G89" i="109"/>
  <c r="I88" i="109"/>
  <c r="K87" i="109"/>
  <c r="P90" i="109"/>
  <c r="C90" i="109"/>
  <c r="R89" i="109"/>
  <c r="E89" i="109"/>
  <c r="G88" i="109"/>
  <c r="J87" i="109"/>
  <c r="M90" i="109"/>
  <c r="O89" i="109"/>
  <c r="Q88" i="109"/>
  <c r="C88" i="109"/>
  <c r="E87" i="109"/>
  <c r="L90" i="109"/>
  <c r="N89" i="109"/>
  <c r="P88" i="109"/>
  <c r="D87" i="109"/>
  <c r="J90" i="109"/>
  <c r="M89" i="109"/>
  <c r="N88" i="109"/>
  <c r="Q87" i="109"/>
  <c r="F88" i="109"/>
  <c r="K89" i="109"/>
  <c r="H52" i="109"/>
  <c r="P53" i="109"/>
  <c r="K54" i="109"/>
  <c r="AF90" i="109"/>
  <c r="X90" i="109"/>
  <c r="AD89" i="109"/>
  <c r="V89" i="109"/>
  <c r="AB88" i="109"/>
  <c r="AH87" i="109"/>
  <c r="Z87" i="109"/>
  <c r="AB90" i="109"/>
  <c r="AE89" i="109"/>
  <c r="U89" i="109"/>
  <c r="AG88" i="109"/>
  <c r="X88" i="109"/>
  <c r="AA87" i="109"/>
  <c r="AD90" i="109"/>
  <c r="AB89" i="109"/>
  <c r="AA88" i="109"/>
  <c r="Y87" i="109"/>
  <c r="AH90" i="109"/>
  <c r="W90" i="109"/>
  <c r="AG89" i="109"/>
  <c r="W89" i="109"/>
  <c r="AE88" i="109"/>
  <c r="U88" i="109"/>
  <c r="AD87" i="109"/>
  <c r="U90" i="109"/>
  <c r="X89" i="109"/>
  <c r="Y88" i="109"/>
  <c r="AB87" i="109"/>
  <c r="AG90" i="109"/>
  <c r="W88" i="109"/>
  <c r="X87" i="109"/>
  <c r="AC90" i="109"/>
  <c r="AF89" i="109"/>
  <c r="AH88" i="109"/>
  <c r="V87" i="109"/>
  <c r="AA90" i="109"/>
  <c r="AC89" i="109"/>
  <c r="AF88" i="109"/>
  <c r="AG87" i="109"/>
  <c r="U87" i="109"/>
  <c r="Z90" i="109"/>
  <c r="AA89" i="109"/>
  <c r="AD88" i="109"/>
  <c r="AF87" i="109"/>
  <c r="AF85" i="109"/>
  <c r="K88" i="109"/>
  <c r="Q89" i="109"/>
  <c r="Y90" i="109"/>
  <c r="O55" i="109"/>
  <c r="G55" i="109"/>
  <c r="M54" i="109"/>
  <c r="E54" i="109"/>
  <c r="K53" i="109"/>
  <c r="C53" i="109"/>
  <c r="Q52" i="109"/>
  <c r="I52" i="109"/>
  <c r="R55" i="109"/>
  <c r="J55" i="109"/>
  <c r="P54" i="109"/>
  <c r="H54" i="109"/>
  <c r="N53" i="109"/>
  <c r="F53" i="109"/>
  <c r="L52" i="109"/>
  <c r="D52" i="109"/>
  <c r="K55" i="109"/>
  <c r="I54" i="109"/>
  <c r="Q53" i="109"/>
  <c r="G53" i="109"/>
  <c r="O52" i="109"/>
  <c r="E52" i="109"/>
  <c r="Q55" i="109"/>
  <c r="F55" i="109"/>
  <c r="O54" i="109"/>
  <c r="D54" i="109"/>
  <c r="M53" i="109"/>
  <c r="K52" i="109"/>
  <c r="J52" i="109"/>
  <c r="D53" i="109"/>
  <c r="R53" i="109"/>
  <c r="L54" i="109"/>
  <c r="E55" i="109"/>
  <c r="R83" i="109"/>
  <c r="J83" i="109"/>
  <c r="P82" i="109"/>
  <c r="H82" i="109"/>
  <c r="M83" i="109"/>
  <c r="D83" i="109"/>
  <c r="O82" i="109"/>
  <c r="F82" i="109"/>
  <c r="R81" i="109"/>
  <c r="J81" i="109"/>
  <c r="P80" i="109"/>
  <c r="H80" i="109"/>
  <c r="P78" i="109"/>
  <c r="P83" i="109"/>
  <c r="F83" i="109"/>
  <c r="N82" i="109"/>
  <c r="D82" i="109"/>
  <c r="N81" i="109"/>
  <c r="E81" i="109"/>
  <c r="Q80" i="109"/>
  <c r="G80" i="109"/>
  <c r="I83" i="109"/>
  <c r="I82" i="109"/>
  <c r="Q81" i="109"/>
  <c r="H81" i="109"/>
  <c r="K80" i="109"/>
  <c r="Q83" i="109"/>
  <c r="C83" i="109"/>
  <c r="E82" i="109"/>
  <c r="I81" i="109"/>
  <c r="N80" i="109"/>
  <c r="C80" i="109"/>
  <c r="O83" i="109"/>
  <c r="R82" i="109"/>
  <c r="C82" i="109"/>
  <c r="G81" i="109"/>
  <c r="M80" i="109"/>
  <c r="L83" i="109"/>
  <c r="M82" i="109"/>
  <c r="P81" i="109"/>
  <c r="D81" i="109"/>
  <c r="J80" i="109"/>
  <c r="K83" i="109"/>
  <c r="L82" i="109"/>
  <c r="O81" i="109"/>
  <c r="C81" i="109"/>
  <c r="I80" i="109"/>
  <c r="H83" i="109"/>
  <c r="K82" i="109"/>
  <c r="M81" i="109"/>
  <c r="F80" i="109"/>
  <c r="K81" i="109"/>
  <c r="I87" i="109"/>
  <c r="L88" i="109"/>
  <c r="X47" i="109"/>
  <c r="W48" i="109"/>
  <c r="P50" i="109"/>
  <c r="M52" i="109"/>
  <c r="E53" i="109"/>
  <c r="N54" i="109"/>
  <c r="H55" i="109"/>
  <c r="W62" i="109"/>
  <c r="AB76" i="109"/>
  <c r="AH75" i="109"/>
  <c r="Z75" i="109"/>
  <c r="AF74" i="109"/>
  <c r="X74" i="109"/>
  <c r="AD73" i="109"/>
  <c r="V73" i="109"/>
  <c r="AH76" i="109"/>
  <c r="Y76" i="109"/>
  <c r="AB75" i="109"/>
  <c r="AD74" i="109"/>
  <c r="U74" i="109"/>
  <c r="AG73" i="109"/>
  <c r="X73" i="109"/>
  <c r="AC76" i="109"/>
  <c r="AE75" i="109"/>
  <c r="V75" i="109"/>
  <c r="AH74" i="109"/>
  <c r="Y74" i="109"/>
  <c r="AA73" i="109"/>
  <c r="Z76" i="109"/>
  <c r="AF75" i="109"/>
  <c r="Z74" i="109"/>
  <c r="AE73" i="109"/>
  <c r="X76" i="109"/>
  <c r="AD75" i="109"/>
  <c r="W74" i="109"/>
  <c r="AC73" i="109"/>
  <c r="AF71" i="109"/>
  <c r="AG76" i="109"/>
  <c r="V76" i="109"/>
  <c r="AA75" i="109"/>
  <c r="AG74" i="109"/>
  <c r="Z73" i="109"/>
  <c r="AF76" i="109"/>
  <c r="U76" i="109"/>
  <c r="Y75" i="109"/>
  <c r="AE74" i="109"/>
  <c r="Y73" i="109"/>
  <c r="AE76" i="109"/>
  <c r="X75" i="109"/>
  <c r="AC74" i="109"/>
  <c r="W73" i="109"/>
  <c r="U75" i="109"/>
  <c r="L81" i="109"/>
  <c r="L87" i="109"/>
  <c r="V88" i="109"/>
  <c r="Z89" i="109"/>
  <c r="R94" i="109"/>
  <c r="M95" i="109"/>
  <c r="I96" i="109"/>
  <c r="M97" i="109"/>
  <c r="AF69" i="109"/>
  <c r="X69" i="109"/>
  <c r="AD68" i="109"/>
  <c r="V68" i="109"/>
  <c r="AB67" i="109"/>
  <c r="AH66" i="109"/>
  <c r="Z66" i="109"/>
  <c r="AD69" i="109"/>
  <c r="U69" i="109"/>
  <c r="AG68" i="109"/>
  <c r="X68" i="109"/>
  <c r="Z67" i="109"/>
  <c r="AC66" i="109"/>
  <c r="AH69" i="109"/>
  <c r="Y69" i="109"/>
  <c r="AA68" i="109"/>
  <c r="AD67" i="109"/>
  <c r="U67" i="109"/>
  <c r="AF66" i="109"/>
  <c r="W66" i="109"/>
  <c r="AA66" i="109"/>
  <c r="V67" i="109"/>
  <c r="AG67" i="109"/>
  <c r="AB68" i="109"/>
  <c r="V69" i="109"/>
  <c r="R76" i="109"/>
  <c r="J76" i="109"/>
  <c r="P75" i="109"/>
  <c r="H75" i="109"/>
  <c r="N74" i="109"/>
  <c r="F74" i="109"/>
  <c r="L73" i="109"/>
  <c r="D73" i="109"/>
  <c r="N76" i="109"/>
  <c r="E76" i="109"/>
  <c r="Q75" i="109"/>
  <c r="G75" i="109"/>
  <c r="J74" i="109"/>
  <c r="M73" i="109"/>
  <c r="C73" i="109"/>
  <c r="Q76" i="109"/>
  <c r="H76" i="109"/>
  <c r="K75" i="109"/>
  <c r="M74" i="109"/>
  <c r="D74" i="109"/>
  <c r="P73" i="109"/>
  <c r="G73" i="109"/>
  <c r="J73" i="109"/>
  <c r="E74" i="109"/>
  <c r="Q74" i="109"/>
  <c r="L75" i="109"/>
  <c r="F76" i="109"/>
  <c r="F94" i="109"/>
  <c r="P95" i="109"/>
  <c r="J96" i="109"/>
  <c r="N97" i="109"/>
  <c r="G94" i="109"/>
  <c r="R95" i="109"/>
  <c r="M96" i="109"/>
  <c r="O96" i="109"/>
  <c r="AA10" i="105"/>
  <c r="AI10" i="105"/>
  <c r="AA11" i="105"/>
  <c r="AI11" i="105"/>
  <c r="AA12" i="105"/>
  <c r="AI12" i="105"/>
  <c r="AA13" i="105"/>
  <c r="AA24" i="105"/>
  <c r="AI24" i="105"/>
  <c r="AA25" i="105"/>
  <c r="AI25" i="105"/>
  <c r="AA26" i="105"/>
  <c r="AI26" i="105"/>
  <c r="AA27" i="105"/>
  <c r="AA38" i="105"/>
  <c r="AI38" i="105"/>
  <c r="AA39" i="105"/>
  <c r="AI39" i="105"/>
  <c r="AA40" i="105"/>
  <c r="AI40" i="105"/>
  <c r="AA41" i="105"/>
  <c r="AA52" i="105"/>
  <c r="AI52" i="105"/>
  <c r="AA53" i="105"/>
  <c r="AI53" i="105"/>
  <c r="AA54" i="105"/>
  <c r="AI54" i="105"/>
  <c r="AA55" i="105"/>
  <c r="AA66" i="105"/>
  <c r="AI66" i="105"/>
  <c r="AA67" i="105"/>
  <c r="AI67" i="105"/>
  <c r="AA68" i="105"/>
  <c r="AI68" i="105"/>
  <c r="AA69" i="105"/>
  <c r="AA80" i="105"/>
  <c r="AI80" i="105"/>
  <c r="AA81" i="105"/>
  <c r="AI81" i="105"/>
  <c r="AA82" i="105"/>
  <c r="AI82" i="105"/>
  <c r="AA83" i="105"/>
  <c r="AA94" i="105"/>
  <c r="AI94" i="105"/>
  <c r="AA95" i="105"/>
  <c r="AI95" i="105"/>
  <c r="AA96" i="105"/>
  <c r="AI96" i="105"/>
  <c r="AA97" i="105"/>
  <c r="AA17" i="107"/>
  <c r="AI17" i="107"/>
  <c r="AA18" i="107"/>
  <c r="AI18" i="107"/>
  <c r="AA19" i="107"/>
  <c r="AI19" i="107"/>
  <c r="AA20" i="107"/>
  <c r="AA31" i="107"/>
  <c r="AI31" i="107"/>
  <c r="AA32" i="107"/>
  <c r="AI32" i="107"/>
  <c r="AA33" i="107"/>
  <c r="AI33" i="107"/>
  <c r="AA34" i="107"/>
  <c r="AA45" i="107"/>
  <c r="AI45" i="107"/>
  <c r="AA46" i="107"/>
  <c r="AI46" i="107"/>
  <c r="AA47" i="107"/>
  <c r="AI47" i="107"/>
  <c r="AA48" i="107"/>
  <c r="P76" i="107"/>
  <c r="H76" i="107"/>
  <c r="P75" i="107"/>
  <c r="H75" i="107"/>
  <c r="P74" i="107"/>
  <c r="H74" i="107"/>
  <c r="P73" i="107"/>
  <c r="H73" i="107"/>
  <c r="P71" i="107"/>
  <c r="I73" i="107"/>
  <c r="R73" i="107"/>
  <c r="D74" i="107"/>
  <c r="M74" i="107"/>
  <c r="I75" i="107"/>
  <c r="R75" i="107"/>
  <c r="D76" i="107"/>
  <c r="M76" i="107"/>
  <c r="AH90" i="107"/>
  <c r="Z90" i="107"/>
  <c r="AH89" i="107"/>
  <c r="Z89" i="107"/>
  <c r="AH88" i="107"/>
  <c r="Z88" i="107"/>
  <c r="AH87" i="107"/>
  <c r="Z87" i="107"/>
  <c r="U87" i="107"/>
  <c r="AD87" i="107"/>
  <c r="Y88" i="107"/>
  <c r="AI88" i="107"/>
  <c r="U89" i="107"/>
  <c r="AD89" i="107"/>
  <c r="Y90" i="107"/>
  <c r="AI90" i="107"/>
  <c r="O41" i="109"/>
  <c r="G41" i="109"/>
  <c r="M40" i="109"/>
  <c r="E40" i="109"/>
  <c r="K39" i="109"/>
  <c r="C39" i="109"/>
  <c r="Q38" i="109"/>
  <c r="I38" i="109"/>
  <c r="R41" i="109"/>
  <c r="J41" i="109"/>
  <c r="P40" i="109"/>
  <c r="H40" i="109"/>
  <c r="N39" i="109"/>
  <c r="F39" i="109"/>
  <c r="L38" i="109"/>
  <c r="D38" i="109"/>
  <c r="H38" i="109"/>
  <c r="J39" i="109"/>
  <c r="L40" i="109"/>
  <c r="D41" i="109"/>
  <c r="N41" i="109"/>
  <c r="AE66" i="109"/>
  <c r="Y67" i="109"/>
  <c r="AF68" i="109"/>
  <c r="AA69" i="109"/>
  <c r="O73" i="109"/>
  <c r="I74" i="109"/>
  <c r="D75" i="109"/>
  <c r="O75" i="109"/>
  <c r="K76" i="109"/>
  <c r="AB83" i="109"/>
  <c r="AH82" i="109"/>
  <c r="Z82" i="109"/>
  <c r="AF81" i="109"/>
  <c r="X81" i="109"/>
  <c r="AG83" i="109"/>
  <c r="X83" i="109"/>
  <c r="AA82" i="109"/>
  <c r="AC81" i="109"/>
  <c r="AH80" i="109"/>
  <c r="Z80" i="109"/>
  <c r="AC83" i="109"/>
  <c r="AB82" i="109"/>
  <c r="Z81" i="109"/>
  <c r="AB80" i="109"/>
  <c r="AF83" i="109"/>
  <c r="V83" i="109"/>
  <c r="AE82" i="109"/>
  <c r="U82" i="109"/>
  <c r="AD81" i="109"/>
  <c r="AE80" i="109"/>
  <c r="V80" i="109"/>
  <c r="AF78" i="109"/>
  <c r="AA80" i="109"/>
  <c r="V81" i="109"/>
  <c r="AG82" i="109"/>
  <c r="AE83" i="109"/>
  <c r="K94" i="109"/>
  <c r="R97" i="109"/>
  <c r="J97" i="109"/>
  <c r="P96" i="109"/>
  <c r="H96" i="109"/>
  <c r="N95" i="109"/>
  <c r="F95" i="109"/>
  <c r="L94" i="109"/>
  <c r="D94" i="109"/>
  <c r="L97" i="109"/>
  <c r="C97" i="109"/>
  <c r="N96" i="109"/>
  <c r="E96" i="109"/>
  <c r="Q95" i="109"/>
  <c r="H95" i="109"/>
  <c r="J94" i="109"/>
  <c r="Q97" i="109"/>
  <c r="G97" i="109"/>
  <c r="Q96" i="109"/>
  <c r="F96" i="109"/>
  <c r="O95" i="109"/>
  <c r="D95" i="109"/>
  <c r="N94" i="109"/>
  <c r="C94" i="109"/>
  <c r="P97" i="109"/>
  <c r="E97" i="109"/>
  <c r="L96" i="109"/>
  <c r="I95" i="109"/>
  <c r="P94" i="109"/>
  <c r="E94" i="109"/>
  <c r="O97" i="109"/>
  <c r="D97" i="109"/>
  <c r="K96" i="109"/>
  <c r="K97" i="109"/>
  <c r="I97" i="109"/>
  <c r="R96" i="109"/>
  <c r="D96" i="109"/>
  <c r="L95" i="109"/>
  <c r="H94" i="109"/>
  <c r="F97" i="109"/>
  <c r="M94" i="109"/>
  <c r="G95" i="109"/>
  <c r="I10" i="108"/>
  <c r="M11" i="108"/>
  <c r="D12" i="108"/>
  <c r="Q12" i="108"/>
  <c r="AH20" i="108"/>
  <c r="AG19" i="108"/>
  <c r="AF18" i="108"/>
  <c r="AE17" i="108"/>
  <c r="U20" i="108"/>
  <c r="AI19" i="108"/>
  <c r="U18" i="108"/>
  <c r="AI17" i="108"/>
  <c r="AE18" i="108"/>
  <c r="AG17" i="108"/>
  <c r="AH15" i="108"/>
  <c r="AF20" i="108"/>
  <c r="AH19" i="108"/>
  <c r="AJ18" i="108"/>
  <c r="AH17" i="108"/>
  <c r="AH18" i="108"/>
  <c r="AF19" i="108"/>
  <c r="AG20" i="108"/>
  <c r="AD34" i="108"/>
  <c r="V34" i="108"/>
  <c r="AD33" i="108"/>
  <c r="V33" i="108"/>
  <c r="AD32" i="108"/>
  <c r="V32" i="108"/>
  <c r="AD31" i="108"/>
  <c r="V31" i="108"/>
  <c r="AI34" i="108"/>
  <c r="Z34" i="108"/>
  <c r="AE33" i="108"/>
  <c r="U33" i="108"/>
  <c r="AI32" i="108"/>
  <c r="Z32" i="108"/>
  <c r="AE31" i="108"/>
  <c r="U31" i="108"/>
  <c r="AH29" i="108"/>
  <c r="AJ34" i="108"/>
  <c r="Y34" i="108"/>
  <c r="AJ33" i="108"/>
  <c r="Z33" i="108"/>
  <c r="AA32" i="108"/>
  <c r="AA31" i="108"/>
  <c r="AC34" i="108"/>
  <c r="Y33" i="108"/>
  <c r="AG32" i="108"/>
  <c r="U32" i="108"/>
  <c r="AC31" i="108"/>
  <c r="AH34" i="108"/>
  <c r="W34" i="108"/>
  <c r="AF33" i="108"/>
  <c r="AB32" i="108"/>
  <c r="AI31" i="108"/>
  <c r="X31" i="108"/>
  <c r="AH31" i="108"/>
  <c r="AH32" i="108"/>
  <c r="AH33" i="108"/>
  <c r="AG34" i="108"/>
  <c r="J38" i="108"/>
  <c r="AB38" i="108"/>
  <c r="J39" i="108"/>
  <c r="AA39" i="108"/>
  <c r="J40" i="108"/>
  <c r="AA40" i="108"/>
  <c r="AB41" i="108"/>
  <c r="Q13" i="108"/>
  <c r="I13" i="108"/>
  <c r="P12" i="108"/>
  <c r="H12" i="108"/>
  <c r="O11" i="108"/>
  <c r="G11" i="108"/>
  <c r="N10" i="108"/>
  <c r="F10" i="108"/>
  <c r="P13" i="108"/>
  <c r="G13" i="108"/>
  <c r="L12" i="108"/>
  <c r="C12" i="108"/>
  <c r="Q11" i="108"/>
  <c r="H11" i="108"/>
  <c r="L10" i="108"/>
  <c r="C10" i="108"/>
  <c r="K13" i="108"/>
  <c r="M12" i="108"/>
  <c r="N11" i="108"/>
  <c r="D11" i="108"/>
  <c r="Q10" i="108"/>
  <c r="G10" i="108"/>
  <c r="O13" i="108"/>
  <c r="E13" i="108"/>
  <c r="R12" i="108"/>
  <c r="G12" i="108"/>
  <c r="J11" i="108"/>
  <c r="K10" i="108"/>
  <c r="J10" i="108"/>
  <c r="P11" i="108"/>
  <c r="E12" i="108"/>
  <c r="H13" i="108"/>
  <c r="N41" i="108"/>
  <c r="F41" i="108"/>
  <c r="N40" i="108"/>
  <c r="F40" i="108"/>
  <c r="N39" i="108"/>
  <c r="F39" i="108"/>
  <c r="N38" i="108"/>
  <c r="F38" i="108"/>
  <c r="P36" i="108"/>
  <c r="R41" i="108"/>
  <c r="I41" i="108"/>
  <c r="M40" i="108"/>
  <c r="D40" i="108"/>
  <c r="R39" i="108"/>
  <c r="I39" i="108"/>
  <c r="M38" i="108"/>
  <c r="D38" i="108"/>
  <c r="O41" i="108"/>
  <c r="D41" i="108"/>
  <c r="P40" i="108"/>
  <c r="E40" i="108"/>
  <c r="P39" i="108"/>
  <c r="E39" i="108"/>
  <c r="Q38" i="108"/>
  <c r="G38" i="108"/>
  <c r="L41" i="108"/>
  <c r="I40" i="108"/>
  <c r="Q39" i="108"/>
  <c r="D39" i="108"/>
  <c r="L38" i="108"/>
  <c r="G41" i="108"/>
  <c r="O40" i="108"/>
  <c r="K39" i="108"/>
  <c r="H38" i="108"/>
  <c r="K38" i="108"/>
  <c r="L39" i="108"/>
  <c r="K40" i="108"/>
  <c r="K41" i="108"/>
  <c r="V24" i="109"/>
  <c r="AD24" i="109"/>
  <c r="X25" i="109"/>
  <c r="AF25" i="109"/>
  <c r="Z26" i="109"/>
  <c r="AH26" i="109"/>
  <c r="AB27" i="109"/>
  <c r="V38" i="109"/>
  <c r="AD38" i="109"/>
  <c r="X39" i="109"/>
  <c r="AF39" i="109"/>
  <c r="Z40" i="109"/>
  <c r="AH40" i="109"/>
  <c r="AB41" i="109"/>
  <c r="V52" i="109"/>
  <c r="AD52" i="109"/>
  <c r="X53" i="109"/>
  <c r="AF53" i="109"/>
  <c r="Z54" i="109"/>
  <c r="AH54" i="109"/>
  <c r="AB55" i="109"/>
  <c r="C66" i="109"/>
  <c r="L66" i="109"/>
  <c r="I67" i="109"/>
  <c r="G68" i="109"/>
  <c r="P68" i="109"/>
  <c r="D69" i="109"/>
  <c r="P8" i="108"/>
  <c r="M10" i="108"/>
  <c r="C11" i="108"/>
  <c r="R11" i="108"/>
  <c r="F12" i="108"/>
  <c r="J13" i="108"/>
  <c r="AJ20" i="108"/>
  <c r="V24" i="108"/>
  <c r="AI24" i="108"/>
  <c r="AE25" i="108"/>
  <c r="AD26" i="108"/>
  <c r="AC27" i="108"/>
  <c r="F31" i="108"/>
  <c r="W31" i="108"/>
  <c r="E32" i="108"/>
  <c r="W32" i="108"/>
  <c r="E33" i="108"/>
  <c r="W33" i="108"/>
  <c r="E34" i="108"/>
  <c r="U34" i="108"/>
  <c r="O38" i="108"/>
  <c r="AE38" i="108"/>
  <c r="M39" i="108"/>
  <c r="AG39" i="108"/>
  <c r="L40" i="108"/>
  <c r="AE40" i="108"/>
  <c r="M41" i="108"/>
  <c r="O10" i="108"/>
  <c r="E11" i="108"/>
  <c r="I12" i="108"/>
  <c r="L13" i="108"/>
  <c r="Y31" i="108"/>
  <c r="X32" i="108"/>
  <c r="X33" i="108"/>
  <c r="X34" i="108"/>
  <c r="AF41" i="108"/>
  <c r="X41" i="108"/>
  <c r="AF40" i="108"/>
  <c r="X40" i="108"/>
  <c r="AF39" i="108"/>
  <c r="X39" i="108"/>
  <c r="AF38" i="108"/>
  <c r="X38" i="108"/>
  <c r="AC41" i="108"/>
  <c r="AH40" i="108"/>
  <c r="Y40" i="108"/>
  <c r="AC39" i="108"/>
  <c r="AH38" i="108"/>
  <c r="Y38" i="108"/>
  <c r="AA41" i="108"/>
  <c r="AB40" i="108"/>
  <c r="AB39" i="108"/>
  <c r="AC38" i="108"/>
  <c r="Z41" i="108"/>
  <c r="AI40" i="108"/>
  <c r="V40" i="108"/>
  <c r="AE39" i="108"/>
  <c r="AA38" i="108"/>
  <c r="AH36" i="108"/>
  <c r="AG41" i="108"/>
  <c r="U41" i="108"/>
  <c r="AC40" i="108"/>
  <c r="AJ39" i="108"/>
  <c r="Y39" i="108"/>
  <c r="AG38" i="108"/>
  <c r="U38" i="108"/>
  <c r="P38" i="108"/>
  <c r="AI38" i="108"/>
  <c r="O39" i="108"/>
  <c r="AH39" i="108"/>
  <c r="Q40" i="108"/>
  <c r="AG40" i="108"/>
  <c r="P41" i="108"/>
  <c r="AH41" i="108"/>
  <c r="U25" i="108"/>
  <c r="AI25" i="108"/>
  <c r="AF26" i="108"/>
  <c r="H31" i="108"/>
  <c r="Z31" i="108"/>
  <c r="I32" i="108"/>
  <c r="Y32" i="108"/>
  <c r="H33" i="108"/>
  <c r="AA33" i="108"/>
  <c r="AA34" i="108"/>
  <c r="R38" i="108"/>
  <c r="AJ38" i="108"/>
  <c r="U39" i="108"/>
  <c r="AI39" i="108"/>
  <c r="R40" i="108"/>
  <c r="AJ40" i="108"/>
  <c r="Q41" i="108"/>
  <c r="AI41" i="108"/>
  <c r="E10" i="108"/>
  <c r="K11" i="108"/>
  <c r="N12" i="108"/>
  <c r="C13" i="108"/>
  <c r="R13" i="108"/>
  <c r="U17" i="108"/>
  <c r="U19" i="108"/>
  <c r="AJ27" i="108"/>
  <c r="AB27" i="108"/>
  <c r="AJ26" i="108"/>
  <c r="AB26" i="108"/>
  <c r="AJ25" i="108"/>
  <c r="AB25" i="108"/>
  <c r="AJ24" i="108"/>
  <c r="AB24" i="108"/>
  <c r="AF27" i="108"/>
  <c r="W27" i="108"/>
  <c r="AA26" i="108"/>
  <c r="AF25" i="108"/>
  <c r="W25" i="108"/>
  <c r="AA24" i="108"/>
  <c r="AH27" i="108"/>
  <c r="X27" i="108"/>
  <c r="AH26" i="108"/>
  <c r="X26" i="108"/>
  <c r="AE27" i="108"/>
  <c r="AC26" i="108"/>
  <c r="AA25" i="108"/>
  <c r="AC24" i="108"/>
  <c r="Z27" i="108"/>
  <c r="AG26" i="108"/>
  <c r="V26" i="108"/>
  <c r="AG25" i="108"/>
  <c r="V25" i="108"/>
  <c r="AG24" i="108"/>
  <c r="W24" i="108"/>
  <c r="AH22" i="108"/>
  <c r="AD24" i="108"/>
  <c r="Y25" i="108"/>
  <c r="U26" i="108"/>
  <c r="U27" i="108"/>
  <c r="L34" i="108"/>
  <c r="D34" i="108"/>
  <c r="L33" i="108"/>
  <c r="D33" i="108"/>
  <c r="L32" i="108"/>
  <c r="D32" i="108"/>
  <c r="L31" i="108"/>
  <c r="D31" i="108"/>
  <c r="O34" i="108"/>
  <c r="F34" i="108"/>
  <c r="J33" i="108"/>
  <c r="O32" i="108"/>
  <c r="F32" i="108"/>
  <c r="J31" i="108"/>
  <c r="M34" i="108"/>
  <c r="N33" i="108"/>
  <c r="C33" i="108"/>
  <c r="N32" i="108"/>
  <c r="C32" i="108"/>
  <c r="O31" i="108"/>
  <c r="E31" i="108"/>
  <c r="P34" i="108"/>
  <c r="C34" i="108"/>
  <c r="K33" i="108"/>
  <c r="H32" i="108"/>
  <c r="P31" i="108"/>
  <c r="C31" i="108"/>
  <c r="I34" i="108"/>
  <c r="Q33" i="108"/>
  <c r="F33" i="108"/>
  <c r="M32" i="108"/>
  <c r="I31" i="108"/>
  <c r="P29" i="108"/>
  <c r="M31" i="108"/>
  <c r="AF31" i="108"/>
  <c r="K32" i="108"/>
  <c r="AE32" i="108"/>
  <c r="M33" i="108"/>
  <c r="AC33" i="108"/>
  <c r="K34" i="108"/>
  <c r="AE34" i="108"/>
  <c r="E38" i="108"/>
  <c r="W38" i="108"/>
  <c r="G39" i="108"/>
  <c r="W39" i="108"/>
  <c r="G40" i="108"/>
  <c r="W40" i="108"/>
  <c r="E41" i="108"/>
  <c r="W41" i="108"/>
  <c r="AA24" i="109"/>
  <c r="U25" i="109"/>
  <c r="AC25" i="109"/>
  <c r="W26" i="109"/>
  <c r="AE26" i="109"/>
  <c r="Y27" i="109"/>
  <c r="AA38" i="109"/>
  <c r="U39" i="109"/>
  <c r="AC39" i="109"/>
  <c r="W40" i="109"/>
  <c r="AE40" i="109"/>
  <c r="Y41" i="109"/>
  <c r="AA52" i="109"/>
  <c r="U53" i="109"/>
  <c r="AC53" i="109"/>
  <c r="W54" i="109"/>
  <c r="AE54" i="109"/>
  <c r="Y55" i="109"/>
  <c r="N69" i="109"/>
  <c r="F69" i="109"/>
  <c r="L68" i="109"/>
  <c r="D68" i="109"/>
  <c r="R67" i="109"/>
  <c r="J67" i="109"/>
  <c r="P66" i="109"/>
  <c r="H66" i="109"/>
  <c r="P64" i="109"/>
  <c r="I66" i="109"/>
  <c r="R66" i="109"/>
  <c r="F67" i="109"/>
  <c r="O67" i="109"/>
  <c r="C68" i="109"/>
  <c r="M68" i="109"/>
  <c r="J69" i="109"/>
  <c r="H10" i="108"/>
  <c r="L11" i="108"/>
  <c r="O12" i="108"/>
  <c r="D13" i="108"/>
  <c r="AF17" i="108"/>
  <c r="AG18" i="108"/>
  <c r="AE19" i="108"/>
  <c r="AE20" i="108"/>
  <c r="AG31" i="108"/>
  <c r="AF32" i="108"/>
  <c r="AG33" i="108"/>
  <c r="AF34" i="108"/>
  <c r="I38" i="108"/>
  <c r="Z38" i="108"/>
  <c r="H39" i="108"/>
  <c r="Z39" i="108"/>
  <c r="H40" i="108"/>
  <c r="Z40" i="108"/>
  <c r="H41" i="108"/>
  <c r="Y41" i="108"/>
  <c r="D66" i="108"/>
  <c r="P68" i="108"/>
  <c r="P69" i="108"/>
  <c r="G66" i="108"/>
  <c r="D67" i="108"/>
  <c r="Q68" i="108"/>
  <c r="N69" i="108"/>
  <c r="F69" i="108"/>
  <c r="N68" i="108"/>
  <c r="F68" i="108"/>
  <c r="N67" i="108"/>
  <c r="F67" i="108"/>
  <c r="N66" i="108"/>
  <c r="F66" i="108"/>
  <c r="P64" i="108"/>
  <c r="J69" i="108"/>
  <c r="O68" i="108"/>
  <c r="E68" i="108"/>
  <c r="J67" i="108"/>
  <c r="O66" i="108"/>
  <c r="E66" i="108"/>
  <c r="Q69" i="108"/>
  <c r="G69" i="108"/>
  <c r="R68" i="108"/>
  <c r="H68" i="108"/>
  <c r="R67" i="108"/>
  <c r="H67" i="108"/>
  <c r="I66" i="108"/>
  <c r="O69" i="108"/>
  <c r="C69" i="108"/>
  <c r="M69" i="108"/>
  <c r="J68" i="108"/>
  <c r="Q67" i="108"/>
  <c r="E67" i="108"/>
  <c r="M66" i="108"/>
  <c r="K69" i="108"/>
  <c r="G68" i="108"/>
  <c r="O67" i="108"/>
  <c r="C67" i="108"/>
  <c r="K66" i="108"/>
  <c r="H66" i="108"/>
  <c r="G67" i="108"/>
  <c r="C68" i="108"/>
  <c r="F101" i="109"/>
  <c r="Q101" i="109"/>
  <c r="L102" i="109"/>
  <c r="F103" i="109"/>
  <c r="P103" i="109"/>
  <c r="AJ13" i="108"/>
  <c r="AI12" i="108"/>
  <c r="AH11" i="108"/>
  <c r="AG10" i="108"/>
  <c r="AF12" i="108"/>
  <c r="AF10" i="108"/>
  <c r="AH10" i="108"/>
  <c r="AE11" i="108"/>
  <c r="K24" i="108"/>
  <c r="I25" i="108"/>
  <c r="I26" i="108"/>
  <c r="D52" i="108"/>
  <c r="I53" i="108"/>
  <c r="P54" i="108"/>
  <c r="H59" i="108"/>
  <c r="Y59" i="108"/>
  <c r="E60" i="108"/>
  <c r="Y60" i="108"/>
  <c r="G61" i="108"/>
  <c r="X61" i="108"/>
  <c r="J66" i="108"/>
  <c r="I67" i="108"/>
  <c r="D68" i="108"/>
  <c r="D69" i="108"/>
  <c r="P76" i="108"/>
  <c r="H76" i="108"/>
  <c r="P75" i="108"/>
  <c r="H75" i="108"/>
  <c r="P74" i="108"/>
  <c r="H74" i="108"/>
  <c r="P73" i="108"/>
  <c r="H73" i="108"/>
  <c r="N76" i="108"/>
  <c r="E76" i="108"/>
  <c r="L75" i="108"/>
  <c r="C75" i="108"/>
  <c r="J74" i="108"/>
  <c r="Q73" i="108"/>
  <c r="G73" i="108"/>
  <c r="L76" i="108"/>
  <c r="R75" i="108"/>
  <c r="G75" i="108"/>
  <c r="M74" i="108"/>
  <c r="C74" i="108"/>
  <c r="I73" i="108"/>
  <c r="R76" i="108"/>
  <c r="G76" i="108"/>
  <c r="M75" i="108"/>
  <c r="R74" i="108"/>
  <c r="G74" i="108"/>
  <c r="O76" i="108"/>
  <c r="Q75" i="108"/>
  <c r="D75" i="108"/>
  <c r="E74" i="108"/>
  <c r="J73" i="108"/>
  <c r="M76" i="108"/>
  <c r="O75" i="108"/>
  <c r="Q74" i="108"/>
  <c r="D74" i="108"/>
  <c r="F73" i="108"/>
  <c r="J76" i="108"/>
  <c r="K75" i="108"/>
  <c r="N74" i="108"/>
  <c r="O73" i="108"/>
  <c r="D73" i="108"/>
  <c r="L73" i="108"/>
  <c r="O74" i="108"/>
  <c r="F76" i="108"/>
  <c r="I80" i="108"/>
  <c r="P81" i="108"/>
  <c r="I83" i="108"/>
  <c r="X88" i="108"/>
  <c r="L66" i="108"/>
  <c r="K67" i="108"/>
  <c r="I68" i="108"/>
  <c r="E69" i="108"/>
  <c r="R55" i="108"/>
  <c r="J55" i="108"/>
  <c r="R54" i="108"/>
  <c r="J54" i="108"/>
  <c r="R53" i="108"/>
  <c r="J53" i="108"/>
  <c r="R52" i="108"/>
  <c r="J52" i="108"/>
  <c r="M55" i="108"/>
  <c r="D55" i="108"/>
  <c r="Q54" i="108"/>
  <c r="H54" i="108"/>
  <c r="M53" i="108"/>
  <c r="D53" i="108"/>
  <c r="Q52" i="108"/>
  <c r="H52" i="108"/>
  <c r="O55" i="108"/>
  <c r="E55" i="108"/>
  <c r="O54" i="108"/>
  <c r="E54" i="108"/>
  <c r="P53" i="108"/>
  <c r="F53" i="108"/>
  <c r="P52" i="108"/>
  <c r="F52" i="108"/>
  <c r="P50" i="108"/>
  <c r="K55" i="108"/>
  <c r="I54" i="108"/>
  <c r="H55" i="108"/>
  <c r="F54" i="108"/>
  <c r="O53" i="108"/>
  <c r="C53" i="108"/>
  <c r="M52" i="108"/>
  <c r="G52" i="108"/>
  <c r="L53" i="108"/>
  <c r="D54" i="108"/>
  <c r="L55" i="108"/>
  <c r="L62" i="108"/>
  <c r="D62" i="108"/>
  <c r="L61" i="108"/>
  <c r="D61" i="108"/>
  <c r="L60" i="108"/>
  <c r="D60" i="108"/>
  <c r="L59" i="108"/>
  <c r="D59" i="108"/>
  <c r="P62" i="108"/>
  <c r="G62" i="108"/>
  <c r="K61" i="108"/>
  <c r="P60" i="108"/>
  <c r="G60" i="108"/>
  <c r="K59" i="108"/>
  <c r="O62" i="108"/>
  <c r="E62" i="108"/>
  <c r="P61" i="108"/>
  <c r="F61" i="108"/>
  <c r="Q60" i="108"/>
  <c r="F60" i="108"/>
  <c r="Q59" i="108"/>
  <c r="G59" i="108"/>
  <c r="P57" i="108"/>
  <c r="R62" i="108"/>
  <c r="F62" i="108"/>
  <c r="N61" i="108"/>
  <c r="J60" i="108"/>
  <c r="R59" i="108"/>
  <c r="F59" i="108"/>
  <c r="N62" i="108"/>
  <c r="J61" i="108"/>
  <c r="H60" i="108"/>
  <c r="O59" i="108"/>
  <c r="C59" i="108"/>
  <c r="J59" i="108"/>
  <c r="K60" i="108"/>
  <c r="I61" i="108"/>
  <c r="J62" i="108"/>
  <c r="P66" i="108"/>
  <c r="L67" i="108"/>
  <c r="K68" i="108"/>
  <c r="H69" i="108"/>
  <c r="R104" i="109"/>
  <c r="J104" i="109"/>
  <c r="R103" i="109"/>
  <c r="J103" i="109"/>
  <c r="R102" i="109"/>
  <c r="J102" i="109"/>
  <c r="R101" i="109"/>
  <c r="J101" i="109"/>
  <c r="P99" i="109"/>
  <c r="N104" i="109"/>
  <c r="E104" i="109"/>
  <c r="L103" i="109"/>
  <c r="C103" i="109"/>
  <c r="I102" i="109"/>
  <c r="P101" i="109"/>
  <c r="G101" i="109"/>
  <c r="L101" i="109"/>
  <c r="F102" i="109"/>
  <c r="P102" i="109"/>
  <c r="K103" i="109"/>
  <c r="F104" i="109"/>
  <c r="P104" i="109"/>
  <c r="R27" i="108"/>
  <c r="J27" i="108"/>
  <c r="R26" i="108"/>
  <c r="J26" i="108"/>
  <c r="R25" i="108"/>
  <c r="J25" i="108"/>
  <c r="R24" i="108"/>
  <c r="J24" i="108"/>
  <c r="L27" i="108"/>
  <c r="C27" i="108"/>
  <c r="P26" i="108"/>
  <c r="G26" i="108"/>
  <c r="L25" i="108"/>
  <c r="C25" i="108"/>
  <c r="P24" i="108"/>
  <c r="G24" i="108"/>
  <c r="K27" i="108"/>
  <c r="E24" i="108"/>
  <c r="O24" i="108"/>
  <c r="E25" i="108"/>
  <c r="O25" i="108"/>
  <c r="D26" i="108"/>
  <c r="N26" i="108"/>
  <c r="F27" i="108"/>
  <c r="Q27" i="108"/>
  <c r="K52" i="108"/>
  <c r="Q53" i="108"/>
  <c r="K54" i="108"/>
  <c r="P55" i="108"/>
  <c r="AD62" i="108"/>
  <c r="V62" i="108"/>
  <c r="AD61" i="108"/>
  <c r="V61" i="108"/>
  <c r="AD60" i="108"/>
  <c r="V60" i="108"/>
  <c r="AD59" i="108"/>
  <c r="V59" i="108"/>
  <c r="AJ62" i="108"/>
  <c r="AA62" i="108"/>
  <c r="AF61" i="108"/>
  <c r="W61" i="108"/>
  <c r="AJ60" i="108"/>
  <c r="AA60" i="108"/>
  <c r="AF59" i="108"/>
  <c r="W59" i="108"/>
  <c r="AB62" i="108"/>
  <c r="AB61" i="108"/>
  <c r="AC60" i="108"/>
  <c r="AC59" i="108"/>
  <c r="AF62" i="108"/>
  <c r="AA61" i="108"/>
  <c r="AI60" i="108"/>
  <c r="X60" i="108"/>
  <c r="AG59" i="108"/>
  <c r="AC62" i="108"/>
  <c r="AJ61" i="108"/>
  <c r="Y61" i="108"/>
  <c r="AG60" i="108"/>
  <c r="U60" i="108"/>
  <c r="AB59" i="108"/>
  <c r="N59" i="108"/>
  <c r="AH59" i="108"/>
  <c r="N60" i="108"/>
  <c r="AF60" i="108"/>
  <c r="O61" i="108"/>
  <c r="AG61" i="108"/>
  <c r="M62" i="108"/>
  <c r="AG62" i="108"/>
  <c r="C66" i="108"/>
  <c r="R66" i="108"/>
  <c r="P67" i="108"/>
  <c r="M68" i="108"/>
  <c r="L69" i="108"/>
  <c r="R83" i="108"/>
  <c r="N83" i="108"/>
  <c r="J83" i="108"/>
  <c r="F83" i="108"/>
  <c r="R82" i="108"/>
  <c r="N82" i="108"/>
  <c r="J82" i="108"/>
  <c r="F82" i="108"/>
  <c r="R81" i="108"/>
  <c r="N81" i="108"/>
  <c r="J81" i="108"/>
  <c r="F81" i="108"/>
  <c r="R80" i="108"/>
  <c r="N80" i="108"/>
  <c r="J80" i="108"/>
  <c r="F80" i="108"/>
  <c r="K83" i="108"/>
  <c r="K82" i="108"/>
  <c r="K81" i="108"/>
  <c r="K80" i="108"/>
  <c r="M83" i="108"/>
  <c r="D83" i="108"/>
  <c r="M82" i="108"/>
  <c r="D82" i="108"/>
  <c r="M81" i="108"/>
  <c r="D81" i="108"/>
  <c r="M80" i="108"/>
  <c r="D80" i="108"/>
  <c r="E83" i="108"/>
  <c r="Q82" i="108"/>
  <c r="L82" i="108"/>
  <c r="G82" i="108"/>
  <c r="H83" i="108"/>
  <c r="C83" i="108"/>
  <c r="E82" i="108"/>
  <c r="Q81" i="108"/>
  <c r="L81" i="108"/>
  <c r="G81" i="108"/>
  <c r="O82" i="108"/>
  <c r="I82" i="108"/>
  <c r="H80" i="108"/>
  <c r="C80" i="108"/>
  <c r="H82" i="108"/>
  <c r="C82" i="108"/>
  <c r="E81" i="108"/>
  <c r="Q80" i="108"/>
  <c r="L80" i="108"/>
  <c r="G80" i="108"/>
  <c r="L83" i="108"/>
  <c r="Q83" i="108"/>
  <c r="AG90" i="108"/>
  <c r="AC90" i="108"/>
  <c r="Y90" i="108"/>
  <c r="U90" i="108"/>
  <c r="AC89" i="108"/>
  <c r="Y89" i="108"/>
  <c r="U89" i="108"/>
  <c r="AG88" i="108"/>
  <c r="AC88" i="108"/>
  <c r="Y88" i="108"/>
  <c r="U88" i="108"/>
  <c r="AC87" i="108"/>
  <c r="Y87" i="108"/>
  <c r="U87" i="108"/>
  <c r="AB90" i="108"/>
  <c r="AB89" i="108"/>
  <c r="AB88" i="108"/>
  <c r="AB87" i="108"/>
  <c r="Z90" i="108"/>
  <c r="AI89" i="108"/>
  <c r="Z89" i="108"/>
  <c r="AI88" i="108"/>
  <c r="Z88" i="108"/>
  <c r="AI87" i="108"/>
  <c r="Z87" i="108"/>
  <c r="AD89" i="108"/>
  <c r="X89" i="108"/>
  <c r="AE88" i="108"/>
  <c r="AF87" i="108"/>
  <c r="AA87" i="108"/>
  <c r="V87" i="108"/>
  <c r="AH88" i="108"/>
  <c r="AJ90" i="108"/>
  <c r="AE90" i="108"/>
  <c r="AF89" i="108"/>
  <c r="AA89" i="108"/>
  <c r="V89" i="108"/>
  <c r="W88" i="108"/>
  <c r="AD87" i="108"/>
  <c r="X87" i="108"/>
  <c r="AH85" i="108"/>
  <c r="AD90" i="108"/>
  <c r="X90" i="108"/>
  <c r="AJ89" i="108"/>
  <c r="AE89" i="108"/>
  <c r="AF88" i="108"/>
  <c r="AA88" i="108"/>
  <c r="V88" i="108"/>
  <c r="W87" i="108"/>
  <c r="P48" i="108"/>
  <c r="H48" i="108"/>
  <c r="P47" i="108"/>
  <c r="H47" i="108"/>
  <c r="P46" i="108"/>
  <c r="H46" i="108"/>
  <c r="P45" i="108"/>
  <c r="H45" i="108"/>
  <c r="K48" i="108"/>
  <c r="O47" i="108"/>
  <c r="F47" i="108"/>
  <c r="K46" i="108"/>
  <c r="O45" i="108"/>
  <c r="F45" i="108"/>
  <c r="P43" i="108"/>
  <c r="R48" i="108"/>
  <c r="G48" i="108"/>
  <c r="K47" i="108"/>
  <c r="G45" i="108"/>
  <c r="R45" i="108"/>
  <c r="D46" i="108"/>
  <c r="N46" i="108"/>
  <c r="L47" i="108"/>
  <c r="J48" i="108"/>
  <c r="AF69" i="108"/>
  <c r="X69" i="108"/>
  <c r="AF68" i="108"/>
  <c r="X68" i="108"/>
  <c r="AF67" i="108"/>
  <c r="X67" i="108"/>
  <c r="AF66" i="108"/>
  <c r="X66" i="108"/>
  <c r="AD69" i="108"/>
  <c r="U69" i="108"/>
  <c r="AI68" i="108"/>
  <c r="Z68" i="108"/>
  <c r="AD67" i="108"/>
  <c r="U67" i="108"/>
  <c r="AI66" i="108"/>
  <c r="Z66" i="108"/>
  <c r="AC69" i="108"/>
  <c r="AD68" i="108"/>
  <c r="AE67" i="108"/>
  <c r="AE66" i="108"/>
  <c r="U66" i="108"/>
  <c r="Y66" i="108"/>
  <c r="AB67" i="108"/>
  <c r="U68" i="108"/>
  <c r="AG68" i="108"/>
  <c r="Y69" i="108"/>
  <c r="AJ69" i="108"/>
  <c r="P87" i="108"/>
  <c r="AD97" i="108"/>
  <c r="U94" i="108"/>
  <c r="Y94" i="108"/>
  <c r="AC94" i="108"/>
  <c r="AG94" i="108"/>
  <c r="Y95" i="108"/>
  <c r="AC95" i="108"/>
  <c r="AG95" i="108"/>
  <c r="U96" i="108"/>
  <c r="Y96" i="108"/>
  <c r="AC96" i="108"/>
  <c r="AG96" i="108"/>
  <c r="K104" i="108"/>
  <c r="G104" i="108"/>
  <c r="C104" i="108"/>
  <c r="O103" i="108"/>
  <c r="G103" i="108"/>
  <c r="C103" i="108"/>
  <c r="O102" i="108"/>
  <c r="K102" i="108"/>
  <c r="G102" i="108"/>
  <c r="C102" i="108"/>
  <c r="O101" i="108"/>
  <c r="K101" i="108"/>
  <c r="G101" i="108"/>
  <c r="C101" i="108"/>
  <c r="Q104" i="108"/>
  <c r="H104" i="108"/>
  <c r="J103" i="108"/>
  <c r="Q102" i="108"/>
  <c r="H102" i="108"/>
  <c r="J101" i="108"/>
  <c r="L104" i="108"/>
  <c r="N103" i="108"/>
  <c r="E103" i="108"/>
  <c r="L102" i="108"/>
  <c r="N101" i="108"/>
  <c r="E101" i="108"/>
  <c r="J104" i="108"/>
  <c r="F103" i="108"/>
  <c r="F102" i="108"/>
  <c r="M104" i="108"/>
  <c r="N102" i="108"/>
  <c r="I102" i="108"/>
  <c r="I103" i="108"/>
  <c r="I104" i="108"/>
  <c r="M87" i="108"/>
  <c r="R87" i="108"/>
  <c r="F88" i="108"/>
  <c r="L88" i="108"/>
  <c r="D90" i="108"/>
  <c r="I90" i="108"/>
  <c r="Z94" i="108"/>
  <c r="AD94" i="108"/>
  <c r="AH94" i="108"/>
  <c r="V95" i="108"/>
  <c r="Z95" i="108"/>
  <c r="AD95" i="108"/>
  <c r="AH95" i="108"/>
  <c r="V96" i="108"/>
  <c r="Z96" i="108"/>
  <c r="AD96" i="108"/>
  <c r="AH96" i="108"/>
  <c r="W95" i="108"/>
  <c r="AA95" i="108"/>
  <c r="AE95" i="108"/>
  <c r="AI95" i="108"/>
  <c r="AA96" i="108"/>
  <c r="AE96" i="108"/>
  <c r="AI96" i="108"/>
  <c r="L103" i="108"/>
  <c r="Q103" i="108"/>
  <c r="F104" i="108"/>
  <c r="O90" i="108"/>
  <c r="K90" i="108"/>
  <c r="G90" i="108"/>
  <c r="C90" i="108"/>
  <c r="O89" i="108"/>
  <c r="K89" i="108"/>
  <c r="G89" i="108"/>
  <c r="C89" i="108"/>
  <c r="O88" i="108"/>
  <c r="K88" i="108"/>
  <c r="G88" i="108"/>
  <c r="C88" i="108"/>
  <c r="O87" i="108"/>
  <c r="G87" i="108"/>
  <c r="C87" i="108"/>
  <c r="Q90" i="108"/>
  <c r="H90" i="108"/>
  <c r="Q89" i="108"/>
  <c r="H89" i="108"/>
  <c r="Q88" i="108"/>
  <c r="Q87" i="108"/>
  <c r="H87" i="108"/>
  <c r="J90" i="108"/>
  <c r="J89" i="108"/>
  <c r="J88" i="108"/>
  <c r="J87" i="108"/>
  <c r="P90" i="108"/>
  <c r="AJ97" i="108"/>
  <c r="AF97" i="108"/>
  <c r="AB97" i="108"/>
  <c r="X97" i="108"/>
  <c r="AH97" i="108"/>
  <c r="Y97" i="108"/>
  <c r="AE97" i="108"/>
  <c r="Z97" i="108"/>
  <c r="U97" i="108"/>
  <c r="AA97" i="108"/>
  <c r="AI97" i="108"/>
  <c r="AC97" i="108"/>
  <c r="X95" i="108"/>
  <c r="AB95" i="108"/>
  <c r="AF95" i="108"/>
  <c r="AJ95" i="108"/>
  <c r="X96" i="108"/>
  <c r="AB96" i="108"/>
  <c r="AF96" i="108"/>
  <c r="AJ96" i="108"/>
  <c r="W97" i="108"/>
  <c r="N34" i="110"/>
  <c r="F34" i="110"/>
  <c r="N33" i="110"/>
  <c r="F33" i="110"/>
  <c r="N32" i="110"/>
  <c r="F32" i="110"/>
  <c r="N31" i="110"/>
  <c r="F31" i="110"/>
  <c r="P29" i="110"/>
  <c r="M34" i="110"/>
  <c r="D34" i="110"/>
  <c r="R33" i="110"/>
  <c r="I33" i="110"/>
  <c r="M32" i="110"/>
  <c r="D32" i="110"/>
  <c r="R31" i="110"/>
  <c r="I31" i="110"/>
  <c r="J34" i="110"/>
  <c r="K33" i="110"/>
  <c r="K32" i="110"/>
  <c r="L31" i="110"/>
  <c r="R34" i="110"/>
  <c r="G34" i="110"/>
  <c r="Q33" i="110"/>
  <c r="E33" i="110"/>
  <c r="Q32" i="110"/>
  <c r="E32" i="110"/>
  <c r="P31" i="110"/>
  <c r="D31" i="110"/>
  <c r="E34" i="110"/>
  <c r="O33" i="110"/>
  <c r="J32" i="110"/>
  <c r="G31" i="110"/>
  <c r="Q34" i="110"/>
  <c r="C34" i="110"/>
  <c r="M33" i="110"/>
  <c r="I32" i="110"/>
  <c r="E31" i="110"/>
  <c r="O34" i="110"/>
  <c r="J33" i="110"/>
  <c r="G32" i="110"/>
  <c r="O31" i="110"/>
  <c r="L34" i="110"/>
  <c r="H33" i="110"/>
  <c r="R32" i="110"/>
  <c r="C32" i="110"/>
  <c r="M31" i="110"/>
  <c r="K31" i="110"/>
  <c r="L32" i="110"/>
  <c r="D33" i="110"/>
  <c r="Y24" i="110"/>
  <c r="Q31" i="110"/>
  <c r="O32" i="110"/>
  <c r="G33" i="110"/>
  <c r="H34" i="110"/>
  <c r="AD27" i="110"/>
  <c r="V27" i="110"/>
  <c r="AD26" i="110"/>
  <c r="V26" i="110"/>
  <c r="AD25" i="110"/>
  <c r="V25" i="110"/>
  <c r="AD24" i="110"/>
  <c r="V24" i="110"/>
  <c r="AE27" i="110"/>
  <c r="U27" i="110"/>
  <c r="AI26" i="110"/>
  <c r="Z26" i="110"/>
  <c r="AE25" i="110"/>
  <c r="U25" i="110"/>
  <c r="AI24" i="110"/>
  <c r="Z24" i="110"/>
  <c r="AG27" i="110"/>
  <c r="W27" i="110"/>
  <c r="AG26" i="110"/>
  <c r="W26" i="110"/>
  <c r="AH25" i="110"/>
  <c r="X25" i="110"/>
  <c r="AH24" i="110"/>
  <c r="X24" i="110"/>
  <c r="AH22" i="110"/>
  <c r="AI27" i="110"/>
  <c r="X27" i="110"/>
  <c r="AF26" i="110"/>
  <c r="AC25" i="110"/>
  <c r="AB24" i="110"/>
  <c r="AJ27" i="110"/>
  <c r="AC26" i="110"/>
  <c r="Z25" i="110"/>
  <c r="AJ24" i="110"/>
  <c r="U24" i="110"/>
  <c r="AH27" i="110"/>
  <c r="AB26" i="110"/>
  <c r="Y25" i="110"/>
  <c r="AG24" i="110"/>
  <c r="AC27" i="110"/>
  <c r="Y26" i="110"/>
  <c r="AI25" i="110"/>
  <c r="AE24" i="110"/>
  <c r="AB27" i="110"/>
  <c r="X26" i="110"/>
  <c r="AG25" i="110"/>
  <c r="AC24" i="110"/>
  <c r="AA24" i="110"/>
  <c r="AA25" i="110"/>
  <c r="U26" i="110"/>
  <c r="P32" i="110"/>
  <c r="L33" i="110"/>
  <c r="I34" i="110"/>
  <c r="AF10" i="110"/>
  <c r="V11" i="110"/>
  <c r="AA12" i="110"/>
  <c r="Z17" i="110"/>
  <c r="AE18" i="110"/>
  <c r="AI19" i="110"/>
  <c r="AF24" i="110"/>
  <c r="AB25" i="110"/>
  <c r="AA26" i="110"/>
  <c r="P33" i="110"/>
  <c r="K34" i="110"/>
  <c r="N76" i="110"/>
  <c r="F76" i="110"/>
  <c r="N75" i="110"/>
  <c r="F75" i="110"/>
  <c r="N74" i="110"/>
  <c r="F74" i="110"/>
  <c r="N73" i="110"/>
  <c r="F73" i="110"/>
  <c r="P71" i="110"/>
  <c r="K76" i="110"/>
  <c r="R75" i="110"/>
  <c r="I75" i="110"/>
  <c r="P74" i="110"/>
  <c r="G74" i="110"/>
  <c r="M73" i="110"/>
  <c r="D73" i="110"/>
  <c r="Q76" i="110"/>
  <c r="G76" i="110"/>
  <c r="L75" i="110"/>
  <c r="R74" i="110"/>
  <c r="H74" i="110"/>
  <c r="L73" i="110"/>
  <c r="P76" i="110"/>
  <c r="D76" i="110"/>
  <c r="H75" i="110"/>
  <c r="L74" i="110"/>
  <c r="Q73" i="110"/>
  <c r="E73" i="110"/>
  <c r="R76" i="110"/>
  <c r="C76" i="110"/>
  <c r="E75" i="110"/>
  <c r="O74" i="110"/>
  <c r="J73" i="110"/>
  <c r="M76" i="110"/>
  <c r="P75" i="110"/>
  <c r="C75" i="110"/>
  <c r="K74" i="110"/>
  <c r="H73" i="110"/>
  <c r="I76" i="110"/>
  <c r="K75" i="110"/>
  <c r="E74" i="110"/>
  <c r="P73" i="110"/>
  <c r="Q75" i="110"/>
  <c r="M74" i="110"/>
  <c r="I73" i="110"/>
  <c r="O75" i="110"/>
  <c r="J74" i="110"/>
  <c r="G73" i="110"/>
  <c r="M75" i="110"/>
  <c r="I74" i="110"/>
  <c r="C73" i="110"/>
  <c r="O76" i="110"/>
  <c r="J75" i="110"/>
  <c r="D74" i="110"/>
  <c r="L76" i="110"/>
  <c r="G75" i="110"/>
  <c r="C74" i="110"/>
  <c r="J76" i="110"/>
  <c r="D75" i="110"/>
  <c r="R73" i="110"/>
  <c r="H76" i="110"/>
  <c r="O73" i="110"/>
  <c r="E76" i="110"/>
  <c r="C31" i="110"/>
  <c r="H31" i="110"/>
  <c r="AJ83" i="108"/>
  <c r="AF83" i="108"/>
  <c r="AB83" i="108"/>
  <c r="X83" i="108"/>
  <c r="AJ82" i="108"/>
  <c r="AF82" i="108"/>
  <c r="AB82" i="108"/>
  <c r="X82" i="108"/>
  <c r="AJ81" i="108"/>
  <c r="AF81" i="108"/>
  <c r="AB81" i="108"/>
  <c r="X81" i="108"/>
  <c r="AJ80" i="108"/>
  <c r="AF80" i="108"/>
  <c r="AB80" i="108"/>
  <c r="X80" i="108"/>
  <c r="AH78" i="108"/>
  <c r="V80" i="108"/>
  <c r="AE80" i="108"/>
  <c r="V81" i="108"/>
  <c r="V82" i="108"/>
  <c r="AE82" i="108"/>
  <c r="V83" i="108"/>
  <c r="AE83" i="108"/>
  <c r="AJ13" i="110"/>
  <c r="AB13" i="110"/>
  <c r="AJ12" i="110"/>
  <c r="AB12" i="110"/>
  <c r="AJ11" i="110"/>
  <c r="AB11" i="110"/>
  <c r="AJ10" i="110"/>
  <c r="AB10" i="110"/>
  <c r="AH8" i="110"/>
  <c r="AG13" i="110"/>
  <c r="X13" i="110"/>
  <c r="AC12" i="110"/>
  <c r="AG11" i="110"/>
  <c r="X11" i="110"/>
  <c r="AC10" i="110"/>
  <c r="AC13" i="110"/>
  <c r="Y13" i="110"/>
  <c r="AI12" i="110"/>
  <c r="Y12" i="110"/>
  <c r="Z11" i="110"/>
  <c r="Z10" i="110"/>
  <c r="AI13" i="110"/>
  <c r="W13" i="110"/>
  <c r="AH12" i="110"/>
  <c r="X12" i="110"/>
  <c r="AI11" i="110"/>
  <c r="Y11" i="110"/>
  <c r="AI10" i="110"/>
  <c r="Y10" i="110"/>
  <c r="X10" i="110"/>
  <c r="AD11" i="110"/>
  <c r="U12" i="110"/>
  <c r="AG12" i="110"/>
  <c r="AA13" i="110"/>
  <c r="AJ20" i="110"/>
  <c r="AB20" i="110"/>
  <c r="AJ19" i="110"/>
  <c r="AB19" i="110"/>
  <c r="AJ18" i="110"/>
  <c r="AB18" i="110"/>
  <c r="AJ17" i="110"/>
  <c r="AB17" i="110"/>
  <c r="AA20" i="110"/>
  <c r="AF19" i="110"/>
  <c r="W19" i="110"/>
  <c r="AA18" i="110"/>
  <c r="AF17" i="110"/>
  <c r="W17" i="110"/>
  <c r="AF20" i="110"/>
  <c r="V20" i="110"/>
  <c r="AG19" i="110"/>
  <c r="V19" i="110"/>
  <c r="AG18" i="110"/>
  <c r="W18" i="110"/>
  <c r="AH17" i="110"/>
  <c r="X17" i="110"/>
  <c r="AG20" i="110"/>
  <c r="U20" i="110"/>
  <c r="AC19" i="110"/>
  <c r="Y18" i="110"/>
  <c r="AG17" i="110"/>
  <c r="U17" i="110"/>
  <c r="Y20" i="110"/>
  <c r="X20" i="110"/>
  <c r="AA19" i="110"/>
  <c r="AH20" i="110"/>
  <c r="Y19" i="110"/>
  <c r="AD18" i="110"/>
  <c r="AI17" i="110"/>
  <c r="AE20" i="110"/>
  <c r="X19" i="110"/>
  <c r="AC18" i="110"/>
  <c r="AE17" i="110"/>
  <c r="U18" i="110"/>
  <c r="Z19" i="110"/>
  <c r="AF27" i="110"/>
  <c r="J31" i="110"/>
  <c r="H32" i="110"/>
  <c r="C33" i="110"/>
  <c r="AH104" i="110"/>
  <c r="AD104" i="110"/>
  <c r="Z104" i="110"/>
  <c r="V104" i="110"/>
  <c r="AD103" i="110"/>
  <c r="Z103" i="110"/>
  <c r="AH102" i="110"/>
  <c r="AD102" i="110"/>
  <c r="Z102" i="110"/>
  <c r="X104" i="110"/>
  <c r="AG103" i="110"/>
  <c r="X103" i="110"/>
  <c r="AG102" i="110"/>
  <c r="X102" i="110"/>
  <c r="AB104" i="110"/>
  <c r="W104" i="110"/>
  <c r="AE103" i="110"/>
  <c r="U103" i="110"/>
  <c r="AC102" i="110"/>
  <c r="AH101" i="110"/>
  <c r="AD101" i="110"/>
  <c r="Z101" i="110"/>
  <c r="V101" i="110"/>
  <c r="Y103" i="110"/>
  <c r="U102" i="110"/>
  <c r="Y101" i="110"/>
  <c r="AF104" i="110"/>
  <c r="AA104" i="110"/>
  <c r="U104" i="110"/>
  <c r="AF101" i="110"/>
  <c r="W101" i="110"/>
  <c r="AF103" i="110"/>
  <c r="AA103" i="110"/>
  <c r="AC101" i="110"/>
  <c r="X101" i="110"/>
  <c r="AH99" i="110"/>
  <c r="AC103" i="110"/>
  <c r="W103" i="110"/>
  <c r="AI102" i="110"/>
  <c r="AJ101" i="110"/>
  <c r="AE101" i="110"/>
  <c r="AB102" i="110"/>
  <c r="W102" i="110"/>
  <c r="AI101" i="110"/>
  <c r="AG101" i="110"/>
  <c r="U101" i="110"/>
  <c r="AJ102" i="110"/>
  <c r="AE102" i="110"/>
  <c r="AA101" i="110"/>
  <c r="AJ104" i="110"/>
  <c r="AA102" i="110"/>
  <c r="AF102" i="110"/>
  <c r="Y102" i="110"/>
  <c r="AB101" i="110"/>
  <c r="AE104" i="110"/>
  <c r="Y104" i="110"/>
  <c r="AB97" i="109"/>
  <c r="AH96" i="109"/>
  <c r="Z96" i="109"/>
  <c r="AF95" i="109"/>
  <c r="X95" i="109"/>
  <c r="AD94" i="109"/>
  <c r="V94" i="109"/>
  <c r="U94" i="109"/>
  <c r="AE94" i="109"/>
  <c r="AB95" i="109"/>
  <c r="Y96" i="109"/>
  <c r="W97" i="109"/>
  <c r="AF97" i="109"/>
  <c r="O20" i="108"/>
  <c r="G20" i="108"/>
  <c r="N19" i="108"/>
  <c r="F19" i="108"/>
  <c r="M18" i="108"/>
  <c r="E18" i="108"/>
  <c r="L17" i="108"/>
  <c r="D17" i="108"/>
  <c r="F17" i="108"/>
  <c r="O17" i="108"/>
  <c r="J18" i="108"/>
  <c r="E19" i="108"/>
  <c r="O19" i="108"/>
  <c r="J20" i="108"/>
  <c r="AJ55" i="108"/>
  <c r="AB55" i="108"/>
  <c r="AJ54" i="108"/>
  <c r="AB54" i="108"/>
  <c r="AJ53" i="108"/>
  <c r="AB53" i="108"/>
  <c r="AJ52" i="108"/>
  <c r="AB52" i="108"/>
  <c r="AC52" i="108"/>
  <c r="X53" i="108"/>
  <c r="AG53" i="108"/>
  <c r="AC54" i="108"/>
  <c r="X55" i="108"/>
  <c r="AG55" i="108"/>
  <c r="R97" i="108"/>
  <c r="N97" i="108"/>
  <c r="J97" i="108"/>
  <c r="F97" i="108"/>
  <c r="I97" i="108"/>
  <c r="P92" i="108"/>
  <c r="E17" i="110"/>
  <c r="P17" i="110"/>
  <c r="M18" i="110"/>
  <c r="G19" i="110"/>
  <c r="C20" i="110"/>
  <c r="P41" i="110"/>
  <c r="H41" i="110"/>
  <c r="P40" i="110"/>
  <c r="H40" i="110"/>
  <c r="P39" i="110"/>
  <c r="H39" i="110"/>
  <c r="P38" i="110"/>
  <c r="H38" i="110"/>
  <c r="O41" i="110"/>
  <c r="F41" i="110"/>
  <c r="K40" i="110"/>
  <c r="O39" i="110"/>
  <c r="F39" i="110"/>
  <c r="K38" i="110"/>
  <c r="L41" i="110"/>
  <c r="O40" i="110"/>
  <c r="E40" i="110"/>
  <c r="I39" i="110"/>
  <c r="L38" i="110"/>
  <c r="Q41" i="110"/>
  <c r="D41" i="110"/>
  <c r="R40" i="110"/>
  <c r="F40" i="110"/>
  <c r="G39" i="110"/>
  <c r="I38" i="110"/>
  <c r="E38" i="110"/>
  <c r="R38" i="110"/>
  <c r="D39" i="110"/>
  <c r="R39" i="110"/>
  <c r="D40" i="110"/>
  <c r="G41" i="110"/>
  <c r="I52" i="110"/>
  <c r="Y52" i="110"/>
  <c r="H53" i="110"/>
  <c r="AA53" i="110"/>
  <c r="J54" i="110"/>
  <c r="AD54" i="110"/>
  <c r="AI55" i="110"/>
  <c r="I66" i="110"/>
  <c r="I67" i="110"/>
  <c r="H68" i="110"/>
  <c r="K69" i="110"/>
  <c r="AJ76" i="110"/>
  <c r="AF76" i="110"/>
  <c r="AB76" i="110"/>
  <c r="X76" i="110"/>
  <c r="AC76" i="110"/>
  <c r="AI74" i="110"/>
  <c r="AE74" i="110"/>
  <c r="AA74" i="110"/>
  <c r="W74" i="110"/>
  <c r="AJ73" i="110"/>
  <c r="AF73" i="110"/>
  <c r="AB73" i="110"/>
  <c r="X73" i="110"/>
  <c r="AD76" i="110"/>
  <c r="Y76" i="110"/>
  <c r="AG75" i="110"/>
  <c r="AC75" i="110"/>
  <c r="Y75" i="110"/>
  <c r="U75" i="110"/>
  <c r="AC74" i="110"/>
  <c r="AA73" i="110"/>
  <c r="AJ75" i="110"/>
  <c r="AB75" i="110"/>
  <c r="X75" i="110"/>
  <c r="AB74" i="110"/>
  <c r="AI73" i="110"/>
  <c r="Z73" i="110"/>
  <c r="V76" i="110"/>
  <c r="Z74" i="110"/>
  <c r="AC73" i="110"/>
  <c r="Y73" i="110"/>
  <c r="AE73" i="110"/>
  <c r="AI76" i="110"/>
  <c r="C80" i="110"/>
  <c r="L82" i="110"/>
  <c r="AC104" i="110"/>
  <c r="R20" i="110"/>
  <c r="J20" i="110"/>
  <c r="R19" i="110"/>
  <c r="J19" i="110"/>
  <c r="R18" i="110"/>
  <c r="J18" i="110"/>
  <c r="R17" i="110"/>
  <c r="P20" i="110"/>
  <c r="G20" i="110"/>
  <c r="L19" i="110"/>
  <c r="C19" i="110"/>
  <c r="P18" i="110"/>
  <c r="G18" i="110"/>
  <c r="L17" i="110"/>
  <c r="D17" i="110"/>
  <c r="I20" i="110"/>
  <c r="I19" i="110"/>
  <c r="K18" i="110"/>
  <c r="K17" i="110"/>
  <c r="F20" i="110"/>
  <c r="O19" i="110"/>
  <c r="D19" i="110"/>
  <c r="L18" i="110"/>
  <c r="H17" i="110"/>
  <c r="F17" i="110"/>
  <c r="Q17" i="110"/>
  <c r="N18" i="110"/>
  <c r="H19" i="110"/>
  <c r="D20" i="110"/>
  <c r="Q20" i="110"/>
  <c r="P36" i="110"/>
  <c r="F38" i="110"/>
  <c r="E39" i="110"/>
  <c r="G40" i="110"/>
  <c r="I41" i="110"/>
  <c r="P55" i="110"/>
  <c r="H55" i="110"/>
  <c r="P54" i="110"/>
  <c r="H54" i="110"/>
  <c r="J55" i="110"/>
  <c r="N54" i="110"/>
  <c r="E54" i="110"/>
  <c r="L53" i="110"/>
  <c r="D53" i="110"/>
  <c r="L52" i="110"/>
  <c r="D52" i="110"/>
  <c r="R55" i="110"/>
  <c r="G55" i="110"/>
  <c r="I54" i="110"/>
  <c r="K53" i="110"/>
  <c r="P52" i="110"/>
  <c r="G52" i="110"/>
  <c r="F55" i="110"/>
  <c r="O54" i="110"/>
  <c r="C54" i="110"/>
  <c r="N53" i="110"/>
  <c r="C53" i="110"/>
  <c r="N52" i="110"/>
  <c r="C52" i="110"/>
  <c r="M55" i="110"/>
  <c r="R54" i="110"/>
  <c r="D54" i="110"/>
  <c r="J53" i="110"/>
  <c r="H52" i="110"/>
  <c r="I55" i="110"/>
  <c r="L54" i="110"/>
  <c r="R53" i="110"/>
  <c r="G53" i="110"/>
  <c r="O52" i="110"/>
  <c r="J52" i="110"/>
  <c r="AB52" i="110"/>
  <c r="I53" i="110"/>
  <c r="AB53" i="110"/>
  <c r="K54" i="110"/>
  <c r="AF54" i="110"/>
  <c r="O55" i="110"/>
  <c r="N66" i="110"/>
  <c r="N67" i="110"/>
  <c r="M68" i="110"/>
  <c r="P81" i="110"/>
  <c r="AG97" i="110"/>
  <c r="AC97" i="110"/>
  <c r="Y97" i="110"/>
  <c r="U97" i="110"/>
  <c r="AG96" i="110"/>
  <c r="AC96" i="110"/>
  <c r="Y96" i="110"/>
  <c r="U96" i="110"/>
  <c r="AG95" i="110"/>
  <c r="AC95" i="110"/>
  <c r="Y95" i="110"/>
  <c r="U95" i="110"/>
  <c r="AG94" i="110"/>
  <c r="AC94" i="110"/>
  <c r="Y94" i="110"/>
  <c r="U94" i="110"/>
  <c r="AI97" i="110"/>
  <c r="AE97" i="110"/>
  <c r="AA97" i="110"/>
  <c r="W97" i="110"/>
  <c r="AI96" i="110"/>
  <c r="AE96" i="110"/>
  <c r="AA96" i="110"/>
  <c r="W96" i="110"/>
  <c r="AE95" i="110"/>
  <c r="AA95" i="110"/>
  <c r="AI94" i="110"/>
  <c r="AE94" i="110"/>
  <c r="AA94" i="110"/>
  <c r="W94" i="110"/>
  <c r="AH97" i="110"/>
  <c r="AH96" i="110"/>
  <c r="AH95" i="110"/>
  <c r="AH94" i="110"/>
  <c r="AB97" i="110"/>
  <c r="AF96" i="110"/>
  <c r="X94" i="110"/>
  <c r="AF97" i="110"/>
  <c r="AD97" i="110"/>
  <c r="V95" i="110"/>
  <c r="Z94" i="110"/>
  <c r="AH92" i="110"/>
  <c r="Z97" i="110"/>
  <c r="AF95" i="110"/>
  <c r="AB96" i="110"/>
  <c r="Z95" i="110"/>
  <c r="AB94" i="110"/>
  <c r="X97" i="110"/>
  <c r="AJ95" i="110"/>
  <c r="AD95" i="110"/>
  <c r="AF94" i="110"/>
  <c r="Z96" i="110"/>
  <c r="X95" i="110"/>
  <c r="V97" i="110"/>
  <c r="AD96" i="110"/>
  <c r="AB95" i="110"/>
  <c r="AJ94" i="110"/>
  <c r="AD94" i="110"/>
  <c r="AJ96" i="110"/>
  <c r="X96" i="110"/>
  <c r="L69" i="110"/>
  <c r="D69" i="110"/>
  <c r="L68" i="110"/>
  <c r="D68" i="110"/>
  <c r="L67" i="110"/>
  <c r="D67" i="110"/>
  <c r="L66" i="110"/>
  <c r="D66" i="110"/>
  <c r="O69" i="110"/>
  <c r="F69" i="110"/>
  <c r="J68" i="110"/>
  <c r="O67" i="110"/>
  <c r="F67" i="110"/>
  <c r="J66" i="110"/>
  <c r="I69" i="110"/>
  <c r="I68" i="110"/>
  <c r="J67" i="110"/>
  <c r="K66" i="110"/>
  <c r="H69" i="110"/>
  <c r="P68" i="110"/>
  <c r="E68" i="110"/>
  <c r="M67" i="110"/>
  <c r="H66" i="110"/>
  <c r="P64" i="110"/>
  <c r="M69" i="110"/>
  <c r="R68" i="110"/>
  <c r="F68" i="110"/>
  <c r="K67" i="110"/>
  <c r="R66" i="110"/>
  <c r="F66" i="110"/>
  <c r="J69" i="110"/>
  <c r="O68" i="110"/>
  <c r="H67" i="110"/>
  <c r="P66" i="110"/>
  <c r="C66" i="110"/>
  <c r="Q69" i="110"/>
  <c r="C69" i="110"/>
  <c r="K68" i="110"/>
  <c r="Q67" i="110"/>
  <c r="C67" i="110"/>
  <c r="M66" i="110"/>
  <c r="O66" i="110"/>
  <c r="P67" i="110"/>
  <c r="N68" i="110"/>
  <c r="P69" i="110"/>
  <c r="K81" i="110"/>
  <c r="AH55" i="110"/>
  <c r="Z55" i="110"/>
  <c r="AH54" i="110"/>
  <c r="Z54" i="110"/>
  <c r="AH53" i="110"/>
  <c r="AD55" i="110"/>
  <c r="U55" i="110"/>
  <c r="AI54" i="110"/>
  <c r="Y54" i="110"/>
  <c r="AD53" i="110"/>
  <c r="V53" i="110"/>
  <c r="AD52" i="110"/>
  <c r="V52" i="110"/>
  <c r="AE55" i="110"/>
  <c r="AE54" i="110"/>
  <c r="U54" i="110"/>
  <c r="AF53" i="110"/>
  <c r="W53" i="110"/>
  <c r="AJ52" i="110"/>
  <c r="AA52" i="110"/>
  <c r="AG55" i="110"/>
  <c r="V55" i="110"/>
  <c r="AC54" i="110"/>
  <c r="Z53" i="110"/>
  <c r="Z52" i="110"/>
  <c r="AB55" i="110"/>
  <c r="AG54" i="110"/>
  <c r="Y53" i="110"/>
  <c r="AG52" i="110"/>
  <c r="U52" i="110"/>
  <c r="X55" i="110"/>
  <c r="AB54" i="110"/>
  <c r="AG53" i="110"/>
  <c r="AC52" i="110"/>
  <c r="AF52" i="110"/>
  <c r="AE53" i="110"/>
  <c r="W55" i="110"/>
  <c r="Q66" i="110"/>
  <c r="R67" i="110"/>
  <c r="Q68" i="110"/>
  <c r="R69" i="110"/>
  <c r="P78" i="110"/>
  <c r="Q83" i="110"/>
  <c r="M83" i="110"/>
  <c r="I83" i="110"/>
  <c r="E83" i="110"/>
  <c r="Q82" i="110"/>
  <c r="M82" i="110"/>
  <c r="I82" i="110"/>
  <c r="E82" i="110"/>
  <c r="Q81" i="110"/>
  <c r="M81" i="110"/>
  <c r="I81" i="110"/>
  <c r="E81" i="110"/>
  <c r="Q80" i="110"/>
  <c r="M80" i="110"/>
  <c r="N83" i="110"/>
  <c r="P82" i="110"/>
  <c r="G82" i="110"/>
  <c r="N81" i="110"/>
  <c r="P80" i="110"/>
  <c r="K82" i="110"/>
  <c r="F82" i="110"/>
  <c r="L81" i="110"/>
  <c r="C81" i="110"/>
  <c r="N80" i="110"/>
  <c r="P83" i="110"/>
  <c r="K83" i="110"/>
  <c r="R82" i="110"/>
  <c r="H82" i="110"/>
  <c r="C82" i="110"/>
  <c r="F83" i="110"/>
  <c r="J81" i="110"/>
  <c r="O83" i="110"/>
  <c r="O82" i="110"/>
  <c r="J82" i="110"/>
  <c r="D81" i="110"/>
  <c r="D83" i="110"/>
  <c r="G81" i="110"/>
  <c r="R80" i="110"/>
  <c r="L80" i="110"/>
  <c r="H80" i="110"/>
  <c r="D80" i="110"/>
  <c r="E80" i="110"/>
  <c r="O80" i="110"/>
  <c r="F81" i="110"/>
  <c r="N82" i="110"/>
  <c r="V94" i="110"/>
  <c r="AH50" i="110"/>
  <c r="AH52" i="110"/>
  <c r="AI53" i="110"/>
  <c r="V54" i="110"/>
  <c r="Y55" i="110"/>
  <c r="J80" i="110"/>
  <c r="R81" i="110"/>
  <c r="R83" i="110"/>
  <c r="F80" i="110"/>
  <c r="G83" i="110"/>
  <c r="L83" i="110"/>
  <c r="R48" i="110"/>
  <c r="J48" i="110"/>
  <c r="R47" i="110"/>
  <c r="J47" i="110"/>
  <c r="R46" i="110"/>
  <c r="J46" i="110"/>
  <c r="R45" i="110"/>
  <c r="J45" i="110"/>
  <c r="Q48" i="110"/>
  <c r="H48" i="110"/>
  <c r="M47" i="110"/>
  <c r="D47" i="110"/>
  <c r="Q46" i="110"/>
  <c r="H46" i="110"/>
  <c r="M45" i="110"/>
  <c r="D45" i="110"/>
  <c r="K48" i="110"/>
  <c r="K47" i="110"/>
  <c r="L46" i="110"/>
  <c r="L45" i="110"/>
  <c r="F45" i="110"/>
  <c r="Q45" i="110"/>
  <c r="AE45" i="110"/>
  <c r="I46" i="110"/>
  <c r="W46" i="110"/>
  <c r="AI46" i="110"/>
  <c r="N47" i="110"/>
  <c r="AA47" i="110"/>
  <c r="E48" i="110"/>
  <c r="P48" i="110"/>
  <c r="R62" i="110"/>
  <c r="J62" i="110"/>
  <c r="R61" i="110"/>
  <c r="J61" i="110"/>
  <c r="R60" i="110"/>
  <c r="J60" i="110"/>
  <c r="R59" i="110"/>
  <c r="J59" i="110"/>
  <c r="L62" i="110"/>
  <c r="C62" i="110"/>
  <c r="P61" i="110"/>
  <c r="G61" i="110"/>
  <c r="L60" i="110"/>
  <c r="C60" i="110"/>
  <c r="P59" i="110"/>
  <c r="G59" i="110"/>
  <c r="Q62" i="110"/>
  <c r="G62" i="110"/>
  <c r="H61" i="110"/>
  <c r="H60" i="110"/>
  <c r="I59" i="110"/>
  <c r="M62" i="110"/>
  <c r="I61" i="110"/>
  <c r="P60" i="110"/>
  <c r="E60" i="110"/>
  <c r="M59" i="110"/>
  <c r="E59" i="110"/>
  <c r="M60" i="110"/>
  <c r="E61" i="110"/>
  <c r="K62" i="110"/>
  <c r="AJ48" i="110"/>
  <c r="AB48" i="110"/>
  <c r="AJ47" i="110"/>
  <c r="AB47" i="110"/>
  <c r="AJ46" i="110"/>
  <c r="AB46" i="110"/>
  <c r="AJ45" i="110"/>
  <c r="AB45" i="110"/>
  <c r="AC48" i="110"/>
  <c r="AG47" i="110"/>
  <c r="X47" i="110"/>
  <c r="AC46" i="110"/>
  <c r="AG45" i="110"/>
  <c r="X45" i="110"/>
  <c r="AG48" i="110"/>
  <c r="W48" i="110"/>
  <c r="AH47" i="110"/>
  <c r="W47" i="110"/>
  <c r="AH46" i="110"/>
  <c r="X46" i="110"/>
  <c r="AI45" i="110"/>
  <c r="Y45" i="110"/>
  <c r="W45" i="110"/>
  <c r="AA46" i="110"/>
  <c r="AE47" i="110"/>
  <c r="X48" i="110"/>
  <c r="AI48" i="110"/>
  <c r="L61" i="110"/>
  <c r="D62" i="110"/>
  <c r="P62" i="110"/>
  <c r="Z45" i="108"/>
  <c r="AH45" i="108"/>
  <c r="Z46" i="108"/>
  <c r="AH46" i="108"/>
  <c r="Z47" i="108"/>
  <c r="AH47" i="108"/>
  <c r="Z48" i="108"/>
  <c r="R13" i="110"/>
  <c r="J13" i="110"/>
  <c r="R12" i="110"/>
  <c r="J12" i="110"/>
  <c r="R11" i="110"/>
  <c r="J11" i="110"/>
  <c r="R10" i="110"/>
  <c r="J10" i="110"/>
  <c r="H10" i="110"/>
  <c r="Q10" i="110"/>
  <c r="D11" i="110"/>
  <c r="M11" i="110"/>
  <c r="H12" i="110"/>
  <c r="Q12" i="110"/>
  <c r="D13" i="110"/>
  <c r="M13" i="110"/>
  <c r="R90" i="110"/>
  <c r="N90" i="110"/>
  <c r="J90" i="110"/>
  <c r="F90" i="110"/>
  <c r="R89" i="110"/>
  <c r="N89" i="110"/>
  <c r="J89" i="110"/>
  <c r="F89" i="110"/>
  <c r="R88" i="110"/>
  <c r="J88" i="110"/>
  <c r="F88" i="110"/>
  <c r="R87" i="110"/>
  <c r="N87" i="110"/>
  <c r="J87" i="110"/>
  <c r="F87" i="110"/>
  <c r="O90" i="110"/>
  <c r="Q89" i="110"/>
  <c r="H89" i="110"/>
  <c r="O88" i="110"/>
  <c r="Q87" i="110"/>
  <c r="D87" i="110"/>
  <c r="I87" i="110"/>
  <c r="C88" i="110"/>
  <c r="L88" i="110"/>
  <c r="Q88" i="110"/>
  <c r="K89" i="110"/>
  <c r="I90" i="110"/>
  <c r="O97" i="110"/>
  <c r="K97" i="110"/>
  <c r="G97" i="110"/>
  <c r="C97" i="110"/>
  <c r="O96" i="110"/>
  <c r="K96" i="110"/>
  <c r="G96" i="110"/>
  <c r="C96" i="110"/>
  <c r="O95" i="110"/>
  <c r="K95" i="110"/>
  <c r="G95" i="110"/>
  <c r="C95" i="110"/>
  <c r="K94" i="110"/>
  <c r="G94" i="110"/>
  <c r="C94" i="110"/>
  <c r="Q97" i="110"/>
  <c r="M97" i="110"/>
  <c r="I97" i="110"/>
  <c r="E97" i="110"/>
  <c r="Q96" i="110"/>
  <c r="M96" i="110"/>
  <c r="I96" i="110"/>
  <c r="E96" i="110"/>
  <c r="Q95" i="110"/>
  <c r="M95" i="110"/>
  <c r="I95" i="110"/>
  <c r="E95" i="110"/>
  <c r="Q94" i="110"/>
  <c r="M94" i="110"/>
  <c r="I94" i="110"/>
  <c r="E94" i="110"/>
  <c r="P97" i="110"/>
  <c r="P96" i="110"/>
  <c r="P95" i="110"/>
  <c r="P94" i="110"/>
  <c r="P92" i="110"/>
  <c r="L95" i="110"/>
  <c r="R95" i="110"/>
  <c r="H96" i="110"/>
  <c r="D97" i="110"/>
  <c r="L27" i="110"/>
  <c r="D27" i="110"/>
  <c r="L26" i="110"/>
  <c r="D26" i="110"/>
  <c r="L25" i="110"/>
  <c r="D25" i="110"/>
  <c r="L24" i="110"/>
  <c r="D24" i="110"/>
  <c r="F24" i="110"/>
  <c r="O24" i="110"/>
  <c r="J25" i="110"/>
  <c r="F26" i="110"/>
  <c r="O26" i="110"/>
  <c r="J27" i="110"/>
  <c r="AF34" i="110"/>
  <c r="X34" i="110"/>
  <c r="AF33" i="110"/>
  <c r="X33" i="110"/>
  <c r="AF32" i="110"/>
  <c r="X32" i="110"/>
  <c r="AF31" i="110"/>
  <c r="X31" i="110"/>
  <c r="AC31" i="110"/>
  <c r="Y32" i="110"/>
  <c r="AH32" i="110"/>
  <c r="AC33" i="110"/>
  <c r="Y34" i="110"/>
  <c r="AH34" i="110"/>
  <c r="AJ62" i="110"/>
  <c r="AB62" i="110"/>
  <c r="AJ61" i="110"/>
  <c r="AB61" i="110"/>
  <c r="AJ60" i="110"/>
  <c r="AB60" i="110"/>
  <c r="AJ59" i="110"/>
  <c r="AB59" i="110"/>
  <c r="AF62" i="110"/>
  <c r="W62" i="110"/>
  <c r="AA61" i="110"/>
  <c r="AF60" i="110"/>
  <c r="W60" i="110"/>
  <c r="AA59" i="110"/>
  <c r="V59" i="110"/>
  <c r="AF59" i="110"/>
  <c r="U60" i="110"/>
  <c r="AE60" i="110"/>
  <c r="U61" i="110"/>
  <c r="AE61" i="110"/>
  <c r="AD62" i="110"/>
  <c r="AD69" i="110"/>
  <c r="V69" i="110"/>
  <c r="AD68" i="110"/>
  <c r="V68" i="110"/>
  <c r="AD67" i="110"/>
  <c r="V67" i="110"/>
  <c r="AD66" i="110"/>
  <c r="V66" i="110"/>
  <c r="AI69" i="110"/>
  <c r="Z69" i="110"/>
  <c r="AE68" i="110"/>
  <c r="U68" i="110"/>
  <c r="AI67" i="110"/>
  <c r="Z67" i="110"/>
  <c r="AE66" i="110"/>
  <c r="U66" i="110"/>
  <c r="AH64" i="110"/>
  <c r="X66" i="110"/>
  <c r="AH66" i="110"/>
  <c r="W67" i="110"/>
  <c r="AG67" i="110"/>
  <c r="W68" i="110"/>
  <c r="AG68" i="110"/>
  <c r="U69" i="110"/>
  <c r="AF69" i="110"/>
  <c r="P104" i="110"/>
  <c r="L104" i="110"/>
  <c r="H104" i="110"/>
  <c r="D104" i="110"/>
  <c r="P103" i="110"/>
  <c r="L103" i="110"/>
  <c r="H103" i="110"/>
  <c r="D103" i="110"/>
  <c r="P102" i="110"/>
  <c r="M104" i="110"/>
  <c r="M103" i="110"/>
  <c r="M102" i="110"/>
  <c r="P99" i="110"/>
  <c r="K104" i="110"/>
  <c r="E103" i="110"/>
  <c r="H102" i="110"/>
  <c r="D102" i="110"/>
  <c r="P101" i="110"/>
  <c r="L101" i="110"/>
  <c r="H101" i="110"/>
  <c r="D101" i="110"/>
  <c r="E101" i="110"/>
  <c r="N101" i="110"/>
  <c r="E102" i="110"/>
  <c r="Z38" i="110"/>
  <c r="AH38" i="110"/>
  <c r="Z39" i="110"/>
  <c r="AH39" i="110"/>
  <c r="Z40" i="110"/>
  <c r="AH40" i="110"/>
  <c r="Z41" i="110"/>
  <c r="K16" i="95"/>
  <c r="E17" i="95"/>
  <c r="AD103" i="101" l="1"/>
  <c r="AF171" i="100"/>
  <c r="E90" i="101"/>
  <c r="H50" i="81"/>
  <c r="AA103" i="101"/>
  <c r="AA170" i="100"/>
  <c r="AC171" i="100"/>
  <c r="V122" i="98"/>
  <c r="AF114" i="98"/>
  <c r="Z120" i="98"/>
  <c r="AB113" i="98"/>
  <c r="V106" i="98"/>
  <c r="X99" i="98"/>
  <c r="AH114" i="101"/>
  <c r="AI101" i="101"/>
  <c r="V103" i="101"/>
  <c r="F89" i="101"/>
  <c r="AC169" i="100"/>
  <c r="AF121" i="98"/>
  <c r="AF116" i="98"/>
  <c r="AC110" i="101"/>
  <c r="X101" i="101"/>
  <c r="Z100" i="101"/>
  <c r="X103" i="101"/>
  <c r="J49" i="81"/>
  <c r="AC167" i="100"/>
  <c r="AH109" i="98"/>
  <c r="AJ102" i="98"/>
  <c r="AK107" i="101"/>
  <c r="E56" i="81"/>
  <c r="Z117" i="101"/>
  <c r="V108" i="101"/>
  <c r="AC168" i="100"/>
  <c r="AL167" i="100"/>
  <c r="C37" i="117"/>
  <c r="F37" i="117"/>
  <c r="E37" i="117"/>
  <c r="D37" i="117"/>
  <c r="H48" i="81"/>
  <c r="D26" i="82"/>
  <c r="C26" i="82" s="1"/>
  <c r="B26" i="82" s="1"/>
  <c r="D29" i="82"/>
  <c r="C29" i="82" s="1"/>
  <c r="B29" i="82" s="1"/>
  <c r="E36" i="115"/>
  <c r="D21" i="82"/>
  <c r="C21" i="82" s="1"/>
  <c r="B21" i="82" s="1"/>
  <c r="D23" i="82"/>
  <c r="C23" i="82" s="1"/>
  <c r="B23" i="82" s="1"/>
  <c r="D20" i="82"/>
  <c r="C20" i="82" s="1"/>
  <c r="B20" i="82" s="1"/>
  <c r="D28" i="82"/>
  <c r="C28" i="82" s="1"/>
  <c r="B28" i="82" s="1"/>
  <c r="H56" i="81"/>
  <c r="H90" i="81"/>
  <c r="E73" i="81"/>
  <c r="G23" i="101"/>
  <c r="K30" i="98"/>
  <c r="AA117" i="101"/>
  <c r="AE101" i="101"/>
  <c r="AD116" i="101"/>
  <c r="AE117" i="101"/>
  <c r="AH100" i="101"/>
  <c r="AA100" i="101"/>
  <c r="AG107" i="101"/>
  <c r="F119" i="81"/>
  <c r="E17" i="114"/>
  <c r="H17" i="101"/>
  <c r="M17" i="114"/>
  <c r="J50" i="81"/>
  <c r="M17" i="101"/>
  <c r="E17" i="101"/>
  <c r="H49" i="81"/>
  <c r="F124" i="81"/>
  <c r="AJ122" i="101"/>
  <c r="W121" i="101"/>
  <c r="Y114" i="101"/>
  <c r="AA107" i="101"/>
  <c r="AC100" i="101"/>
  <c r="AF109" i="101"/>
  <c r="V101" i="101"/>
  <c r="AJ108" i="101"/>
  <c r="X100" i="101"/>
  <c r="K91" i="101"/>
  <c r="X122" i="101"/>
  <c r="E30" i="101"/>
  <c r="AE115" i="101"/>
  <c r="AE103" i="101"/>
  <c r="V100" i="101"/>
  <c r="AF124" i="101"/>
  <c r="AD122" i="101"/>
  <c r="AF115" i="101"/>
  <c r="AH108" i="101"/>
  <c r="AJ101" i="101"/>
  <c r="AI102" i="101"/>
  <c r="AI114" i="101"/>
  <c r="AH102" i="101"/>
  <c r="AF102" i="101"/>
  <c r="Z115" i="101"/>
  <c r="AB114" i="101"/>
  <c r="D91" i="101"/>
  <c r="AI121" i="101"/>
  <c r="AE107" i="101"/>
  <c r="AG100" i="101"/>
  <c r="D90" i="101"/>
  <c r="AH123" i="101"/>
  <c r="X124" i="101"/>
  <c r="V122" i="101"/>
  <c r="X115" i="101"/>
  <c r="Z108" i="101"/>
  <c r="AB101" i="101"/>
  <c r="Y110" i="101"/>
  <c r="X110" i="101"/>
  <c r="W100" i="101"/>
  <c r="Y109" i="101"/>
  <c r="AD117" i="101"/>
  <c r="AB108" i="101"/>
  <c r="V109" i="101"/>
  <c r="L90" i="101"/>
  <c r="AK114" i="101"/>
  <c r="AB123" i="101"/>
  <c r="M89" i="101"/>
  <c r="AE121" i="101"/>
  <c r="AG114" i="101"/>
  <c r="AI107" i="101"/>
  <c r="AK100" i="101"/>
  <c r="AK108" i="101"/>
  <c r="AC109" i="101"/>
  <c r="AB109" i="101"/>
  <c r="AC108" i="101"/>
  <c r="AH116" i="101"/>
  <c r="AD107" i="101"/>
  <c r="AB117" i="101"/>
  <c r="Y108" i="101"/>
  <c r="AG121" i="101"/>
  <c r="AF108" i="101"/>
  <c r="AH117" i="101"/>
  <c r="AD108" i="101"/>
  <c r="AI116" i="101"/>
  <c r="AF107" i="101"/>
  <c r="AJ115" i="101"/>
  <c r="AI103" i="101"/>
  <c r="AE116" i="101"/>
  <c r="AC107" i="101"/>
  <c r="AF123" i="101"/>
  <c r="AI117" i="101"/>
  <c r="AJ107" i="101"/>
  <c r="AJ116" i="101"/>
  <c r="V116" i="101"/>
  <c r="W115" i="101"/>
  <c r="W103" i="101"/>
  <c r="AI115" i="101"/>
  <c r="AH103" i="101"/>
  <c r="Y121" i="101"/>
  <c r="K89" i="101"/>
  <c r="AJ124" i="101"/>
  <c r="N89" i="101"/>
  <c r="AH124" i="101"/>
  <c r="C90" i="101"/>
  <c r="AK122" i="101"/>
  <c r="AH115" i="101"/>
  <c r="V117" i="101"/>
  <c r="V107" i="101"/>
  <c r="W116" i="101"/>
  <c r="Z103" i="101"/>
  <c r="AA102" i="101"/>
  <c r="AA114" i="101"/>
  <c r="Z102" i="101"/>
  <c r="V115" i="101"/>
  <c r="AB124" i="101"/>
  <c r="AA123" i="101"/>
  <c r="AC116" i="101"/>
  <c r="W109" i="101"/>
  <c r="Y102" i="101"/>
  <c r="Z121" i="101"/>
  <c r="L89" i="101"/>
  <c r="AJ114" i="101"/>
  <c r="Z116" i="101"/>
  <c r="AA115" i="101"/>
  <c r="AD102" i="101"/>
  <c r="AG110" i="101"/>
  <c r="AD101" i="101"/>
  <c r="Z114" i="101"/>
  <c r="AK124" i="101"/>
  <c r="AB115" i="101"/>
  <c r="AE102" i="101"/>
  <c r="AD114" i="101"/>
  <c r="AF101" i="101"/>
  <c r="AJ110" i="101"/>
  <c r="AK109" i="101"/>
  <c r="AF100" i="101"/>
  <c r="AF110" i="101"/>
  <c r="AA101" i="101"/>
  <c r="AC121" i="101"/>
  <c r="AE114" i="101"/>
  <c r="AH101" i="101"/>
  <c r="AK110" i="101"/>
  <c r="AI100" i="101"/>
  <c r="V110" i="101"/>
  <c r="X109" i="101"/>
  <c r="AJ109" i="101"/>
  <c r="AE100" i="101"/>
  <c r="F111" i="81"/>
  <c r="E84" i="81"/>
  <c r="E92" i="81"/>
  <c r="H111" i="81"/>
  <c r="I111" i="81" s="1"/>
  <c r="H120" i="81"/>
  <c r="I120" i="81" s="1"/>
  <c r="H109" i="81"/>
  <c r="I109" i="81" s="1"/>
  <c r="K79" i="81"/>
  <c r="H72" i="81"/>
  <c r="J56" i="81"/>
  <c r="E40" i="81"/>
  <c r="F109" i="81"/>
  <c r="H113" i="81"/>
  <c r="I113" i="81" s="1"/>
  <c r="H121" i="81"/>
  <c r="I121" i="81" s="1"/>
  <c r="I107" i="81"/>
  <c r="J63" i="81"/>
  <c r="M63" i="81"/>
  <c r="K75" i="81"/>
  <c r="H83" i="81"/>
  <c r="F113" i="81"/>
  <c r="E69" i="81"/>
  <c r="I119" i="81"/>
  <c r="F121" i="81"/>
  <c r="K87" i="81"/>
  <c r="E82" i="81"/>
  <c r="H30" i="98"/>
  <c r="H91" i="81"/>
  <c r="M44" i="81"/>
  <c r="J17" i="114"/>
  <c r="G46" i="114"/>
  <c r="G37" i="101"/>
  <c r="E60" i="81"/>
  <c r="H40" i="81"/>
  <c r="F14" i="89"/>
  <c r="M49" i="81"/>
  <c r="E88" i="81"/>
  <c r="F107" i="81"/>
  <c r="H87" i="81"/>
  <c r="K88" i="81"/>
  <c r="H46" i="81"/>
  <c r="J51" i="81"/>
  <c r="I110" i="81"/>
  <c r="E46" i="81"/>
  <c r="H82" i="81"/>
  <c r="F120" i="81"/>
  <c r="F103" i="81"/>
  <c r="J47" i="81"/>
  <c r="H17" i="98"/>
  <c r="E87" i="81"/>
  <c r="I118" i="81"/>
  <c r="H112" i="81"/>
  <c r="I112" i="81" s="1"/>
  <c r="H63" i="81"/>
  <c r="J46" i="81"/>
  <c r="E30" i="114"/>
  <c r="H79" i="81"/>
  <c r="M43" i="81"/>
  <c r="E79" i="81"/>
  <c r="K91" i="81"/>
  <c r="E71" i="81"/>
  <c r="H43" i="81"/>
  <c r="E74" i="81"/>
  <c r="J61" i="81"/>
  <c r="M48" i="81"/>
  <c r="M57" i="81"/>
  <c r="K85" i="81"/>
  <c r="I102" i="81"/>
  <c r="I103" i="81"/>
  <c r="H77" i="81"/>
  <c r="K90" i="81"/>
  <c r="H57" i="81"/>
  <c r="E76" i="81"/>
  <c r="H81" i="81"/>
  <c r="M53" i="81"/>
  <c r="E63" i="81"/>
  <c r="E55" i="81"/>
  <c r="J43" i="81"/>
  <c r="M64" i="81"/>
  <c r="E58" i="81"/>
  <c r="J64" i="81"/>
  <c r="E77" i="81"/>
  <c r="J53" i="81"/>
  <c r="E50" i="81"/>
  <c r="M52" i="81"/>
  <c r="J54" i="81"/>
  <c r="D36" i="115"/>
  <c r="F36" i="115"/>
  <c r="C36" i="115"/>
  <c r="H92" i="81"/>
  <c r="M61" i="81"/>
  <c r="AM171" i="100"/>
  <c r="AM170" i="100"/>
  <c r="AB169" i="100"/>
  <c r="AB170" i="100"/>
  <c r="AF166" i="100"/>
  <c r="AF165" i="100"/>
  <c r="AF122" i="98"/>
  <c r="AG172" i="100"/>
  <c r="AD120" i="98"/>
  <c r="X113" i="98"/>
  <c r="Z106" i="98"/>
  <c r="AB99" i="98"/>
  <c r="AF167" i="100"/>
  <c r="AH120" i="98"/>
  <c r="AJ113" i="98"/>
  <c r="AD106" i="98"/>
  <c r="AF99" i="98"/>
  <c r="AB171" i="100"/>
  <c r="AA122" i="101"/>
  <c r="AC115" i="101"/>
  <c r="W108" i="101"/>
  <c r="Y101" i="101"/>
  <c r="C36" i="82"/>
  <c r="B36" i="82"/>
  <c r="F44" i="82"/>
  <c r="G44" i="82"/>
  <c r="B44" i="82"/>
  <c r="C44" i="82"/>
  <c r="AF122" i="101"/>
  <c r="Q90" i="101"/>
  <c r="W124" i="101"/>
  <c r="Y117" i="101"/>
  <c r="AA110" i="101"/>
  <c r="AC103" i="101"/>
  <c r="G27" i="82"/>
  <c r="F27" i="82"/>
  <c r="J21" i="82"/>
  <c r="K21" i="82"/>
  <c r="G20" i="82"/>
  <c r="F20" i="82"/>
  <c r="G12" i="87"/>
  <c r="G8" i="87"/>
  <c r="V121" i="101"/>
  <c r="X114" i="101"/>
  <c r="Z107" i="101"/>
  <c r="AB100" i="101"/>
  <c r="H89" i="101"/>
  <c r="AK123" i="101"/>
  <c r="M91" i="101"/>
  <c r="I25" i="106"/>
  <c r="I36" i="106"/>
  <c r="I16" i="106"/>
  <c r="J91" i="98"/>
  <c r="I31" i="106"/>
  <c r="K76" i="81"/>
  <c r="H123" i="81"/>
  <c r="I123" i="81" s="1"/>
  <c r="F123" i="81"/>
  <c r="E45" i="81"/>
  <c r="AN166" i="100"/>
  <c r="AN165" i="100"/>
  <c r="AI165" i="100"/>
  <c r="AC170" i="100"/>
  <c r="AG170" i="100"/>
  <c r="V120" i="98"/>
  <c r="R91" i="101"/>
  <c r="G37" i="82"/>
  <c r="F37" i="82"/>
  <c r="F38" i="82"/>
  <c r="G38" i="82"/>
  <c r="G43" i="82"/>
  <c r="F43" i="82"/>
  <c r="AG123" i="101"/>
  <c r="Q91" i="101"/>
  <c r="I90" i="101"/>
  <c r="AE123" i="101"/>
  <c r="AG116" i="101"/>
  <c r="AI109" i="101"/>
  <c r="AK102" i="101"/>
  <c r="O91" i="101"/>
  <c r="G25" i="82"/>
  <c r="F25" i="82"/>
  <c r="J24" i="82"/>
  <c r="K24" i="82"/>
  <c r="G21" i="82"/>
  <c r="F21" i="82"/>
  <c r="G20" i="87"/>
  <c r="G16" i="87"/>
  <c r="AD124" i="101"/>
  <c r="AF117" i="101"/>
  <c r="AH110" i="101"/>
  <c r="AJ103" i="101"/>
  <c r="AC123" i="101"/>
  <c r="E91" i="101"/>
  <c r="AG124" i="101"/>
  <c r="F91" i="98"/>
  <c r="I21" i="106"/>
  <c r="I32" i="106"/>
  <c r="AI124" i="101"/>
  <c r="I27" i="106"/>
  <c r="H122" i="81"/>
  <c r="I122" i="81" s="1"/>
  <c r="F122" i="81"/>
  <c r="AB165" i="100"/>
  <c r="AB166" i="100"/>
  <c r="AB168" i="100"/>
  <c r="AD123" i="98"/>
  <c r="X116" i="98"/>
  <c r="Z109" i="98"/>
  <c r="AB102" i="98"/>
  <c r="AL169" i="100"/>
  <c r="AM172" i="100"/>
  <c r="AA121" i="101"/>
  <c r="AC114" i="101"/>
  <c r="W107" i="101"/>
  <c r="Y100" i="101"/>
  <c r="Z123" i="101"/>
  <c r="J91" i="101"/>
  <c r="G41" i="82"/>
  <c r="F41" i="82"/>
  <c r="B41" i="82"/>
  <c r="C41" i="82"/>
  <c r="C38" i="82"/>
  <c r="B38" i="82"/>
  <c r="Y123" i="101"/>
  <c r="I91" i="101"/>
  <c r="AF121" i="101"/>
  <c r="R89" i="101"/>
  <c r="W123" i="101"/>
  <c r="Y116" i="101"/>
  <c r="AA109" i="101"/>
  <c r="AC102" i="101"/>
  <c r="G91" i="101"/>
  <c r="J28" i="82"/>
  <c r="K28" i="82"/>
  <c r="F23" i="82"/>
  <c r="G23" i="82"/>
  <c r="J26" i="82"/>
  <c r="K26" i="82"/>
  <c r="G9" i="87"/>
  <c r="G13" i="87"/>
  <c r="V124" i="101"/>
  <c r="X117" i="101"/>
  <c r="Z110" i="101"/>
  <c r="AB103" i="101"/>
  <c r="N90" i="101"/>
  <c r="I42" i="106"/>
  <c r="I17" i="106"/>
  <c r="I20" i="106"/>
  <c r="N91" i="98"/>
  <c r="L91" i="98"/>
  <c r="I23" i="106"/>
  <c r="K71" i="81"/>
  <c r="H114" i="81"/>
  <c r="I114" i="81" s="1"/>
  <c r="F114" i="81"/>
  <c r="E39" i="81"/>
  <c r="AJ170" i="100"/>
  <c r="AN168" i="100"/>
  <c r="X121" i="98"/>
  <c r="AI166" i="100"/>
  <c r="V123" i="98"/>
  <c r="AF115" i="98"/>
  <c r="AH108" i="98"/>
  <c r="AJ101" i="98"/>
  <c r="AN170" i="100"/>
  <c r="AN172" i="100"/>
  <c r="AN169" i="100"/>
  <c r="Z123" i="98"/>
  <c r="AB116" i="98"/>
  <c r="V109" i="98"/>
  <c r="X102" i="98"/>
  <c r="AB122" i="101"/>
  <c r="AK117" i="101"/>
  <c r="AE110" i="101"/>
  <c r="AG103" i="101"/>
  <c r="AH122" i="101"/>
  <c r="G39" i="82"/>
  <c r="F39" i="82"/>
  <c r="F36" i="82"/>
  <c r="G36" i="82"/>
  <c r="C42" i="82"/>
  <c r="B42" i="82"/>
  <c r="AG122" i="101"/>
  <c r="R90" i="101"/>
  <c r="X121" i="101"/>
  <c r="J89" i="101"/>
  <c r="AE122" i="101"/>
  <c r="AG115" i="101"/>
  <c r="AI108" i="101"/>
  <c r="AK101" i="101"/>
  <c r="P90" i="101"/>
  <c r="G22" i="82"/>
  <c r="F22" i="82"/>
  <c r="F26" i="82"/>
  <c r="G26" i="82"/>
  <c r="G29" i="82"/>
  <c r="F29" i="82"/>
  <c r="G17" i="87"/>
  <c r="G22" i="87"/>
  <c r="AD123" i="101"/>
  <c r="AF116" i="101"/>
  <c r="AH109" i="101"/>
  <c r="AJ102" i="101"/>
  <c r="N91" i="101"/>
  <c r="AC122" i="101"/>
  <c r="F90" i="101"/>
  <c r="I26" i="106"/>
  <c r="I45" i="106"/>
  <c r="I13" i="106"/>
  <c r="I12" i="106"/>
  <c r="AC124" i="101"/>
  <c r="Y124" i="101"/>
  <c r="I19" i="106"/>
  <c r="I46" i="106"/>
  <c r="H94" i="81"/>
  <c r="H73" i="81"/>
  <c r="M59" i="81"/>
  <c r="H106" i="81"/>
  <c r="I106" i="81" s="1"/>
  <c r="F106" i="81"/>
  <c r="AM169" i="100"/>
  <c r="AF168" i="100"/>
  <c r="AF120" i="98"/>
  <c r="AD122" i="98"/>
  <c r="X115" i="98"/>
  <c r="Z108" i="98"/>
  <c r="AB101" i="98"/>
  <c r="AF170" i="100"/>
  <c r="AF172" i="100"/>
  <c r="AF169" i="100"/>
  <c r="AH122" i="98"/>
  <c r="AJ115" i="98"/>
  <c r="AD108" i="98"/>
  <c r="AF101" i="98"/>
  <c r="AJ121" i="101"/>
  <c r="AA124" i="101"/>
  <c r="AC117" i="101"/>
  <c r="W110" i="101"/>
  <c r="Y103" i="101"/>
  <c r="Z122" i="101"/>
  <c r="K90" i="101"/>
  <c r="B35" i="82"/>
  <c r="C35" i="82"/>
  <c r="C39" i="82"/>
  <c r="B39" i="82"/>
  <c r="Y122" i="101"/>
  <c r="J90" i="101"/>
  <c r="AL171" i="100"/>
  <c r="W122" i="101"/>
  <c r="Y115" i="101"/>
  <c r="AA108" i="101"/>
  <c r="AC101" i="101"/>
  <c r="H90" i="101"/>
  <c r="J20" i="82"/>
  <c r="K20" i="82"/>
  <c r="J22" i="82"/>
  <c r="K22" i="82"/>
  <c r="G10" i="87"/>
  <c r="G6" i="87"/>
  <c r="V123" i="101"/>
  <c r="X116" i="101"/>
  <c r="Z109" i="101"/>
  <c r="AB102" i="101"/>
  <c r="F91" i="101"/>
  <c r="AK121" i="101"/>
  <c r="O89" i="101"/>
  <c r="I14" i="106"/>
  <c r="I41" i="106"/>
  <c r="I9" i="106"/>
  <c r="I8" i="106"/>
  <c r="Z124" i="101"/>
  <c r="I47" i="106"/>
  <c r="I15" i="106"/>
  <c r="I38" i="106"/>
  <c r="H98" i="81"/>
  <c r="I98" i="81" s="1"/>
  <c r="F98" i="81"/>
  <c r="H45" i="81"/>
  <c r="AJ172" i="100"/>
  <c r="AA167" i="100"/>
  <c r="AA166" i="100"/>
  <c r="AA168" i="100"/>
  <c r="X120" i="98"/>
  <c r="AH107" i="98"/>
  <c r="AJ100" i="98"/>
  <c r="Z122" i="98"/>
  <c r="AB115" i="98"/>
  <c r="V108" i="98"/>
  <c r="X101" i="98"/>
  <c r="AL172" i="100"/>
  <c r="AB121" i="101"/>
  <c r="AI123" i="101"/>
  <c r="AK116" i="101"/>
  <c r="AE109" i="101"/>
  <c r="AG102" i="101"/>
  <c r="AH121" i="101"/>
  <c r="G35" i="82"/>
  <c r="F35" i="82"/>
  <c r="B43" i="82"/>
  <c r="C43" i="82"/>
  <c r="Q89" i="101"/>
  <c r="J23" i="82"/>
  <c r="K23" i="82"/>
  <c r="G28" i="82"/>
  <c r="F28" i="82"/>
  <c r="G18" i="87"/>
  <c r="G14" i="87"/>
  <c r="O90" i="101"/>
  <c r="G89" i="101"/>
  <c r="P91" i="98"/>
  <c r="I37" i="106"/>
  <c r="I44" i="106"/>
  <c r="AJ123" i="101"/>
  <c r="I43" i="106"/>
  <c r="I11" i="106"/>
  <c r="I30" i="106"/>
  <c r="E59" i="81"/>
  <c r="H51" i="81"/>
  <c r="H41" i="81"/>
  <c r="AB172" i="100"/>
  <c r="AH121" i="98"/>
  <c r="AJ114" i="98"/>
  <c r="AD107" i="98"/>
  <c r="AF100" i="98"/>
  <c r="B40" i="82"/>
  <c r="C40" i="82"/>
  <c r="B37" i="82"/>
  <c r="C37" i="82"/>
  <c r="P91" i="101"/>
  <c r="I89" i="101"/>
  <c r="K27" i="82"/>
  <c r="J27" i="82"/>
  <c r="K29" i="82"/>
  <c r="J29" i="82"/>
  <c r="G7" i="87"/>
  <c r="G11" i="87"/>
  <c r="M91" i="98"/>
  <c r="G90" i="101"/>
  <c r="C21" i="87"/>
  <c r="B6" i="87"/>
  <c r="D91" i="98"/>
  <c r="I33" i="106"/>
  <c r="I48" i="106"/>
  <c r="I28" i="106"/>
  <c r="I34" i="106"/>
  <c r="I39" i="106"/>
  <c r="I7" i="106"/>
  <c r="I18" i="106"/>
  <c r="K69" i="81"/>
  <c r="E51" i="81"/>
  <c r="J55" i="81"/>
  <c r="AE171" i="100"/>
  <c r="AE172" i="100"/>
  <c r="X123" i="98"/>
  <c r="AG169" i="100"/>
  <c r="V121" i="98"/>
  <c r="AF113" i="98"/>
  <c r="AH106" i="98"/>
  <c r="AJ99" i="98"/>
  <c r="AI168" i="100"/>
  <c r="Z121" i="98"/>
  <c r="AB114" i="98"/>
  <c r="V107" i="98"/>
  <c r="X100" i="98"/>
  <c r="K91" i="98"/>
  <c r="AI122" i="101"/>
  <c r="AK115" i="101"/>
  <c r="AE108" i="101"/>
  <c r="AG101" i="101"/>
  <c r="C91" i="101"/>
  <c r="D89" i="101"/>
  <c r="G42" i="82"/>
  <c r="F42" i="82"/>
  <c r="G40" i="82"/>
  <c r="F40" i="82"/>
  <c r="E91" i="98"/>
  <c r="C89" i="101"/>
  <c r="X123" i="101"/>
  <c r="H91" i="101"/>
  <c r="AE124" i="101"/>
  <c r="AG117" i="101"/>
  <c r="AI110" i="101"/>
  <c r="AK103" i="101"/>
  <c r="I6" i="106"/>
  <c r="J25" i="82"/>
  <c r="K25" i="82"/>
  <c r="F24" i="82"/>
  <c r="G24" i="82"/>
  <c r="G15" i="87"/>
  <c r="G19" i="87"/>
  <c r="AD121" i="101"/>
  <c r="AF114" i="101"/>
  <c r="AH107" i="101"/>
  <c r="AJ100" i="101"/>
  <c r="P89" i="101"/>
  <c r="I29" i="106"/>
  <c r="I40" i="106"/>
  <c r="I24" i="106"/>
  <c r="I22" i="106"/>
  <c r="I35" i="106"/>
  <c r="H91" i="98"/>
  <c r="H11" i="87" l="1"/>
  <c r="E11" i="87"/>
  <c r="H17" i="87"/>
  <c r="E17" i="87"/>
  <c r="E18" i="87"/>
  <c r="H18" i="87"/>
  <c r="H7" i="87"/>
  <c r="E7" i="87"/>
  <c r="E13" i="87"/>
  <c r="H13" i="87"/>
  <c r="H20" i="87"/>
  <c r="E20" i="87"/>
  <c r="H9" i="87"/>
  <c r="E9" i="87"/>
  <c r="H8" i="87"/>
  <c r="E8" i="87"/>
  <c r="H19" i="87"/>
  <c r="E19" i="87"/>
  <c r="H12" i="87"/>
  <c r="E12" i="87"/>
  <c r="H15" i="87"/>
  <c r="E15" i="87"/>
  <c r="G21" i="87"/>
  <c r="H6" i="87"/>
  <c r="E6" i="87"/>
  <c r="H14" i="87"/>
  <c r="E14" i="87"/>
  <c r="E10" i="87"/>
  <c r="H10" i="87"/>
  <c r="H16" i="87"/>
  <c r="E16" i="8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<sst xmlns="http://schemas.openxmlformats.org/spreadsheetml/2006/main" count="14991" uniqueCount="1332">
  <si>
    <t>Workload Measurement Overview Report</t>
  </si>
  <si>
    <t>Contents (click to jump to):</t>
  </si>
  <si>
    <t>FAQs</t>
  </si>
  <si>
    <t>PDU overview</t>
  </si>
  <si>
    <t>Regional overview</t>
  </si>
  <si>
    <t>Regional capacities</t>
  </si>
  <si>
    <t>Regional capacities, unallocated cases and reductions in hours</t>
  </si>
  <si>
    <t>PDU capacity top ten rankings</t>
  </si>
  <si>
    <t>Regional over-capacity ratios</t>
  </si>
  <si>
    <t>Regional reasons for reduction</t>
  </si>
  <si>
    <t>PDU reasons for reduction</t>
  </si>
  <si>
    <t>Regional reduction in hours</t>
  </si>
  <si>
    <t>National caseload allocation by tier</t>
  </si>
  <si>
    <t>National breakdown ratios of caseload allocation by tier</t>
  </si>
  <si>
    <t>Regional overall allocation of cases</t>
  </si>
  <si>
    <t>Regional overall allocation of cases as percentage</t>
  </si>
  <si>
    <t>Regional allocation of custody cases</t>
  </si>
  <si>
    <t>Regional allocation of custody cases as percentage</t>
  </si>
  <si>
    <t>Regional allocation of cases in the community</t>
  </si>
  <si>
    <t>Regional allocation of cases in the community as percentage</t>
  </si>
  <si>
    <t>East Midlands Region</t>
  </si>
  <si>
    <t>East of England</t>
  </si>
  <si>
    <t>Greater Manchester</t>
  </si>
  <si>
    <t>Kent Surrey Sussex Region</t>
  </si>
  <si>
    <t>London</t>
  </si>
  <si>
    <t>North East Region</t>
  </si>
  <si>
    <t>North West Region</t>
  </si>
  <si>
    <t>South Central</t>
  </si>
  <si>
    <t>South West</t>
  </si>
  <si>
    <t>Wales</t>
  </si>
  <si>
    <t>West Midlands Region</t>
  </si>
  <si>
    <t>Yorkshire and The Humber</t>
  </si>
  <si>
    <t>All East Midlands Region</t>
  </si>
  <si>
    <t>Bedfordshire - N56</t>
  </si>
  <si>
    <t>All Greater Manchester</t>
  </si>
  <si>
    <t>Brighton and East Sussex</t>
  </si>
  <si>
    <t>Barking and Dagenham and Havering</t>
  </si>
  <si>
    <t>Corporate Services - N54</t>
  </si>
  <si>
    <t>Accredited Programmes and Structured Interventions - N51</t>
  </si>
  <si>
    <t>All South Central</t>
  </si>
  <si>
    <t>Accredited Programmes and Structured Interventions - N58</t>
  </si>
  <si>
    <t>Cardiff and Vale - N03</t>
  </si>
  <si>
    <t>All West Midlands</t>
  </si>
  <si>
    <t>Accredited Programmes and Structured Interventions - N55</t>
  </si>
  <si>
    <t>Boston - N53</t>
  </si>
  <si>
    <t>BDS-Bedford IOM - N56</t>
  </si>
  <si>
    <t>GM Bolton 1 - N50</t>
  </si>
  <si>
    <t>Inactive Team(N57)</t>
  </si>
  <si>
    <t>Attendance Centre 1 - N07</t>
  </si>
  <si>
    <t>Awaiting Allocation Gateshead and S Tyneside</t>
  </si>
  <si>
    <t>Accrington 1 - N51</t>
  </si>
  <si>
    <t>Aldershot, Farnborough</t>
  </si>
  <si>
    <t>Bournemouth OM and Ass</t>
  </si>
  <si>
    <t>Awaiting Allocation Barnsley and Rotherham</t>
  </si>
  <si>
    <t>Derby City - N53</t>
  </si>
  <si>
    <t>Cambridgeshire and Peterborough</t>
  </si>
  <si>
    <t>Bolton - N50</t>
  </si>
  <si>
    <t>East Kent</t>
  </si>
  <si>
    <t>Brent - N07</t>
  </si>
  <si>
    <t>County Durham and Darlington</t>
  </si>
  <si>
    <t>All North West</t>
  </si>
  <si>
    <t>Buckinghamshire and M Keynes - N59</t>
  </si>
  <si>
    <t>All South West</t>
  </si>
  <si>
    <t>Cwm Taf Morgannwg</t>
  </si>
  <si>
    <t>Birmingham Central and South - N52</t>
  </si>
  <si>
    <t>All YaTH</t>
  </si>
  <si>
    <t>GM Bolton 2</t>
  </si>
  <si>
    <t>KTE-Ashford - N57</t>
  </si>
  <si>
    <t>Awaiting Allocation BARKING DAGENHAM HAVERING</t>
  </si>
  <si>
    <t>Awaiting Allocation Newcastle Upon Tyne</t>
  </si>
  <si>
    <t>Accrington 2 - N51</t>
  </si>
  <si>
    <t>Andover, Basingstoke, Winchester</t>
  </si>
  <si>
    <t>BSG Bristol 1</t>
  </si>
  <si>
    <t>Awaiting Allocation Cardiff and Vale</t>
  </si>
  <si>
    <t>Black Country Women's Team - N52</t>
  </si>
  <si>
    <t>Awaiting Allocation Bradford and Calderdale</t>
  </si>
  <si>
    <t>Derbyshire - N53</t>
  </si>
  <si>
    <t>Essex North - N56</t>
  </si>
  <si>
    <t>Bury and Rochdale</t>
  </si>
  <si>
    <t>Inactive Level 2(N57)</t>
  </si>
  <si>
    <t>Camden, Islington</t>
  </si>
  <si>
    <t>Gateshead and South Tyneside</t>
  </si>
  <si>
    <t>Blackburn and Darwen - N51</t>
  </si>
  <si>
    <t>East Berkshire</t>
  </si>
  <si>
    <t>Bath and North Somerset - N58</t>
  </si>
  <si>
    <t>Dyfed Powys</t>
  </si>
  <si>
    <t>Birmingham North, East and Solihull - N52</t>
  </si>
  <si>
    <t>Barnsley and Rotherham</t>
  </si>
  <si>
    <t>Buxton - N53</t>
  </si>
  <si>
    <t>GM Bolton 3 - N50</t>
  </si>
  <si>
    <t>KTE-Canterbury</t>
  </si>
  <si>
    <t>Awaiting Allocation BARNET</t>
  </si>
  <si>
    <t>Awaiting Allocation Sunderland</t>
  </si>
  <si>
    <t>All South Liverpool (Team Unknown)</t>
  </si>
  <si>
    <t>Bicester PPU</t>
  </si>
  <si>
    <t>BSG Bristol 2</t>
  </si>
  <si>
    <t>Awaiting Allocation Gwent</t>
  </si>
  <si>
    <t>Cannock - N52</t>
  </si>
  <si>
    <t>Awaiting Allocation Doncaster</t>
  </si>
  <si>
    <t>Leicester, Leicestershire and Rutland</t>
  </si>
  <si>
    <t>Essex South - N56</t>
  </si>
  <si>
    <t>Manchester North - N50</t>
  </si>
  <si>
    <t>Surrey - N57</t>
  </si>
  <si>
    <t>Community Integration</t>
  </si>
  <si>
    <t>Inactive Level 2(N54)</t>
  </si>
  <si>
    <t>Central Lancashire</t>
  </si>
  <si>
    <t>Hampshire North and East - N59</t>
  </si>
  <si>
    <t>Bristol and South Gloucestershire - N58</t>
  </si>
  <si>
    <t>Gwent</t>
  </si>
  <si>
    <t>Coventry - N52</t>
  </si>
  <si>
    <t>Bradford and Calderdale</t>
  </si>
  <si>
    <t>Chesterfield - N53</t>
  </si>
  <si>
    <t>GM Bolton 4</t>
  </si>
  <si>
    <t>KTE-Ramsgate - N57</t>
  </si>
  <si>
    <t>Awaiting Allocation BRENT</t>
  </si>
  <si>
    <t>Darlington - N54</t>
  </si>
  <si>
    <t>Awaiting Allocation Liverpool MSIDE</t>
  </si>
  <si>
    <t>Bracknell OM - N59</t>
  </si>
  <si>
    <t>BSG Bristol 3 - N58</t>
  </si>
  <si>
    <t>Bridgend - IOM Team</t>
  </si>
  <si>
    <t>Central Birmingham 1</t>
  </si>
  <si>
    <t>Awaiting Allocation East Yorkshire</t>
  </si>
  <si>
    <t>Lincolnshire East and West - N53</t>
  </si>
  <si>
    <t>Hertfordshire - N56</t>
  </si>
  <si>
    <t>Manchester South - N50</t>
  </si>
  <si>
    <t>Unallocated Level2(N57)</t>
  </si>
  <si>
    <t>Corporate Services - N07</t>
  </si>
  <si>
    <t>Newcastle Upon Tyne - N54</t>
  </si>
  <si>
    <t>Cheshire East</t>
  </si>
  <si>
    <t>Oxfordshire</t>
  </si>
  <si>
    <t>Cornwall and Isles of Scilly</t>
  </si>
  <si>
    <t>Inactive Level 2(N03)</t>
  </si>
  <si>
    <t>Dudley and Sandwell</t>
  </si>
  <si>
    <t>Doncaster - N55</t>
  </si>
  <si>
    <t>GM BR Bury 1</t>
  </si>
  <si>
    <t>KTE-Sittingbourne - N57</t>
  </si>
  <si>
    <t>Awaiting Allocation BROMLEY</t>
  </si>
  <si>
    <t>DTV Durham - N54</t>
  </si>
  <si>
    <t>Awaiting Allocation Sefton MSIDE</t>
  </si>
  <si>
    <t>Bucks ACE - N59</t>
  </si>
  <si>
    <t>Bridgend - STS Team</t>
  </si>
  <si>
    <t>Central Birmingham 2</t>
  </si>
  <si>
    <t>Awaiting Allocation Grimsby</t>
  </si>
  <si>
    <t>Nottingham City</t>
  </si>
  <si>
    <t>Inactive Level 2(N56)</t>
  </si>
  <si>
    <t>Oldham</t>
  </si>
  <si>
    <t>West Kent</t>
  </si>
  <si>
    <t>Croydon - N07</t>
  </si>
  <si>
    <t>North Tyneside and Northumberland</t>
  </si>
  <si>
    <t>Cheshire West</t>
  </si>
  <si>
    <t>Portsmouth and IoW</t>
  </si>
  <si>
    <t>Devon and Torbay - N58</t>
  </si>
  <si>
    <t>North Wales</t>
  </si>
  <si>
    <t>Herefordshire, Shropshire and Telford</t>
  </si>
  <si>
    <t>Hull and East Riding</t>
  </si>
  <si>
    <t>Coalville Loughb'h Melton Mowbray (County North)</t>
  </si>
  <si>
    <t>GM BR Bury 2 - N50</t>
  </si>
  <si>
    <t>KTE-South East Kent</t>
  </si>
  <si>
    <t>Awaiting Allocation CAMDEN</t>
  </si>
  <si>
    <t>DTV Durham IOM - N54</t>
  </si>
  <si>
    <t>Awaiting Allocation Wirral MSIDE</t>
  </si>
  <si>
    <t>Bucks Male 1 - N59</t>
  </si>
  <si>
    <t>BSG Under 25</t>
  </si>
  <si>
    <t>Bridgend - Team 1</t>
  </si>
  <si>
    <t>Central Birmingham 3</t>
  </si>
  <si>
    <t>Awaiting Allocation Hull</t>
  </si>
  <si>
    <t>Nottinghamshire - N53</t>
  </si>
  <si>
    <t>Norfolk - N56</t>
  </si>
  <si>
    <t>Public Protection Community - N50</t>
  </si>
  <si>
    <t>West Sussex</t>
  </si>
  <si>
    <t>Ealing and Hillingdon</t>
  </si>
  <si>
    <t>Redcar, Cleveland and Middlesbrough</t>
  </si>
  <si>
    <t>Corporate Services - N51</t>
  </si>
  <si>
    <t>Southampton, Eastleigh and New Forest</t>
  </si>
  <si>
    <t>Dorset - N58</t>
  </si>
  <si>
    <t>Swansea, Neath Port-Talbot</t>
  </si>
  <si>
    <t>Personality Disorder Projects - N52</t>
  </si>
  <si>
    <t>Inactive Level 2(N55)</t>
  </si>
  <si>
    <t>County North 2 - N53</t>
  </si>
  <si>
    <t>GM BR Rochdale 1 - N50</t>
  </si>
  <si>
    <t>KTE-Thanet</t>
  </si>
  <si>
    <t>Awaiting Allocation CROYDON</t>
  </si>
  <si>
    <t>Barrow 1</t>
  </si>
  <si>
    <t>Bucks Male 2 - N59</t>
  </si>
  <si>
    <t>GCS Cheltenham and Tewkesbury</t>
  </si>
  <si>
    <t>Bridgend - Team 2</t>
  </si>
  <si>
    <t>Central Birmingham 4</t>
  </si>
  <si>
    <t>Awaiting Allocation Kirklees</t>
  </si>
  <si>
    <t>Unpaid Work and Attendance Centres - N53</t>
  </si>
  <si>
    <t>Northamptonshire - N56</t>
  </si>
  <si>
    <t>Salford - N50</t>
  </si>
  <si>
    <t>Enfield and Haringey</t>
  </si>
  <si>
    <t>Stockton and Hartlepool</t>
  </si>
  <si>
    <t>Cumbria - N51</t>
  </si>
  <si>
    <t>Unpaid Work and Attendance Centres - N59</t>
  </si>
  <si>
    <t>Gloucestershire - N58</t>
  </si>
  <si>
    <t>Unallocated Level 2(N03)</t>
  </si>
  <si>
    <t>Staffordshire and Stoke</t>
  </si>
  <si>
    <t>Kirklees - N55</t>
  </si>
  <si>
    <t>Derby City  - N53</t>
  </si>
  <si>
    <t>BDS-Resettlement OM - N56</t>
  </si>
  <si>
    <t>GM BR Rochdale 2 - N50</t>
  </si>
  <si>
    <t>KTE-CP Standalone</t>
  </si>
  <si>
    <t>Awaiting Allocation EALING</t>
  </si>
  <si>
    <t>DTV South West Durham - N54</t>
  </si>
  <si>
    <t>Barrow 2 - N51</t>
  </si>
  <si>
    <t>Bucks PPU - N59</t>
  </si>
  <si>
    <t>GCS Cheltenham and Tewkesbury 2 - N58</t>
  </si>
  <si>
    <t>Caerphilly\Blaenau Gwent Team 1</t>
  </si>
  <si>
    <t>Central Birmingham 5</t>
  </si>
  <si>
    <t>Awaiting Allocation Leeds</t>
  </si>
  <si>
    <t>Suffolk</t>
  </si>
  <si>
    <t>Stockport and Trafford</t>
  </si>
  <si>
    <t>Greenwich and Bexley</t>
  </si>
  <si>
    <t>Sunderland - N54</t>
  </si>
  <si>
    <t>East Lancashire</t>
  </si>
  <si>
    <t>West Berkshire</t>
  </si>
  <si>
    <t>Plymouth - N58</t>
  </si>
  <si>
    <t>Unpaid Work and Attendance Centres - N52</t>
  </si>
  <si>
    <t>Leeds - N55</t>
  </si>
  <si>
    <t>Derby City 2 - N53</t>
  </si>
  <si>
    <t>GM BR Rochdale 3</t>
  </si>
  <si>
    <t>KTW-Dartford and Gravesham</t>
  </si>
  <si>
    <t>Awaiting Allocation ENFIELD</t>
  </si>
  <si>
    <t>Blackburn 1</t>
  </si>
  <si>
    <t>Bucks Women - N59</t>
  </si>
  <si>
    <t>GCS Gloucester - N58</t>
  </si>
  <si>
    <t>Caerphilly\Blaenau Gwent Team 2</t>
  </si>
  <si>
    <t>Central Birmingham 6</t>
  </si>
  <si>
    <t>Awaiting Allocation North and N East Lincs</t>
  </si>
  <si>
    <t>Unallocated Level2(N56)</t>
  </si>
  <si>
    <t>Tameside - N50</t>
  </si>
  <si>
    <t>Hackney and City</t>
  </si>
  <si>
    <t>Unallocated Level(N54)</t>
  </si>
  <si>
    <t>Halton and Warrington</t>
  </si>
  <si>
    <t>Somerset - N58</t>
  </si>
  <si>
    <t>Walsall and Wolverhampton</t>
  </si>
  <si>
    <t>North and North East Lincs - N55</t>
  </si>
  <si>
    <t>Derby City 3 - N53</t>
  </si>
  <si>
    <t>GM Manchester N1 - N50</t>
  </si>
  <si>
    <t>KTW-Gravesend - N57</t>
  </si>
  <si>
    <t>Awaiting Allocation GREENWICH</t>
  </si>
  <si>
    <t>Blackburn 2</t>
  </si>
  <si>
    <t>CP North - N59</t>
  </si>
  <si>
    <t>GCS Gloucester and Forest</t>
  </si>
  <si>
    <t>Caerphilly\Blaenau Gwent Team 3</t>
  </si>
  <si>
    <t>Awaiting Allocation North Yorkshire</t>
  </si>
  <si>
    <t>Unpaid Work and Attendance Centres - N56</t>
  </si>
  <si>
    <t>Unpaid Work and Attendance Centres - N50</t>
  </si>
  <si>
    <t>Hammersmith, Fulham, Kensington, Chelsea and Westminster</t>
  </si>
  <si>
    <t>Unpaid Work and Attendance Centres - N54</t>
  </si>
  <si>
    <t>Knowsley and St Helens</t>
  </si>
  <si>
    <t>Swindon and Wiltshire</t>
  </si>
  <si>
    <t>Warwickshire - N52</t>
  </si>
  <si>
    <t>North Yorkshire - N55</t>
  </si>
  <si>
    <t>Derby City Hub - N53</t>
  </si>
  <si>
    <t>GM Manchester N2</t>
  </si>
  <si>
    <t>KTW-Maidstone - N57</t>
  </si>
  <si>
    <t>Awaiting Allocation HACKNEY</t>
  </si>
  <si>
    <t>DTV UPW Team</t>
  </si>
  <si>
    <t>Blackburn 3 - N51</t>
  </si>
  <si>
    <t>CP South East</t>
  </si>
  <si>
    <t>Inactive Team(N58)</t>
  </si>
  <si>
    <t>Cardiff - East Team</t>
  </si>
  <si>
    <t>Coventry Team 1 - N52</t>
  </si>
  <si>
    <t>Awaiting Allocation Sheffield</t>
  </si>
  <si>
    <t>Wigan - N50</t>
  </si>
  <si>
    <t>Harrow and Barnet</t>
  </si>
  <si>
    <t>Liverpool North - N51</t>
  </si>
  <si>
    <t>Unpaid Work and Attendance Centres - N58</t>
  </si>
  <si>
    <t>Worcestershire - N52</t>
  </si>
  <si>
    <t>Public Protection Community - N55</t>
  </si>
  <si>
    <t>GM Manchester N3</t>
  </si>
  <si>
    <t>KTW-Medway</t>
  </si>
  <si>
    <t>Awaiting Allocation HARINGEY</t>
  </si>
  <si>
    <t>Durham Central</t>
  </si>
  <si>
    <t>Blackpool 1</t>
  </si>
  <si>
    <t>CP South West</t>
  </si>
  <si>
    <t>Offender Management - East - N58</t>
  </si>
  <si>
    <t>Cardiff - IOM Wisdom Team</t>
  </si>
  <si>
    <t>Coventry Team 2 - N52</t>
  </si>
  <si>
    <t>Bradford OMU 1 (BNA)</t>
  </si>
  <si>
    <t>Inactive Level 2(N07)</t>
  </si>
  <si>
    <t>Liverpool South - N51</t>
  </si>
  <si>
    <t>Sheffield - N55</t>
  </si>
  <si>
    <t>Derby City PQiP</t>
  </si>
  <si>
    <t>GM Manchester N4</t>
  </si>
  <si>
    <t>KTW-Mid Kent</t>
  </si>
  <si>
    <t>Awaiting Allocation HARROW</t>
  </si>
  <si>
    <t>Durham West</t>
  </si>
  <si>
    <t>Blackpool 2</t>
  </si>
  <si>
    <t>East Berks Male - N59</t>
  </si>
  <si>
    <t>Offender Management - Plymouth - N58</t>
  </si>
  <si>
    <t>Cardiff - North Team</t>
  </si>
  <si>
    <t>Coventry Team 3 - N52</t>
  </si>
  <si>
    <t>Bradford OMU 2 (BNB)</t>
  </si>
  <si>
    <t>Kingston, Richmond and Hounslow</t>
  </si>
  <si>
    <t>Merseyside Resettle - N51</t>
  </si>
  <si>
    <t>Unallocated Level 2(N55)</t>
  </si>
  <si>
    <t>Derbyshire PQiP</t>
  </si>
  <si>
    <t>GM Manchester S1 - N50</t>
  </si>
  <si>
    <t>KTW-Tunbridge Wells - N57</t>
  </si>
  <si>
    <t>Awaiting Allocation HFKCW</t>
  </si>
  <si>
    <t>Gateshead - N54</t>
  </si>
  <si>
    <t>Blackpool 3</t>
  </si>
  <si>
    <t>East Berks Women - N59</t>
  </si>
  <si>
    <t>Offender Management - Plymouth 2 - N58</t>
  </si>
  <si>
    <t>Cardiff - South Team</t>
  </si>
  <si>
    <t>Coventry Team 4 - N52</t>
  </si>
  <si>
    <t>Bradford OMU 4 YOT (BND)</t>
  </si>
  <si>
    <t>Lambeth - N07</t>
  </si>
  <si>
    <t>North West Lancashire</t>
  </si>
  <si>
    <t>Unpaid Work and Attendance Centres - N55</t>
  </si>
  <si>
    <t>Grantham - N53</t>
  </si>
  <si>
    <t>GM Manchester S2</t>
  </si>
  <si>
    <t>SRY-Guildford - N57</t>
  </si>
  <si>
    <t>Awaiting Allocation HILLINGDON</t>
  </si>
  <si>
    <t>Gateshead 2</t>
  </si>
  <si>
    <t>Blackpool 5 - N51</t>
  </si>
  <si>
    <t>East Community Orders - N59</t>
  </si>
  <si>
    <t>Offender Management - West - N58</t>
  </si>
  <si>
    <t>Cardiff - West Team</t>
  </si>
  <si>
    <t>Dudley Team 1 - N52</t>
  </si>
  <si>
    <t>Bradford OMU 5 (BNE)</t>
  </si>
  <si>
    <t>Lewisham and Bromley</t>
  </si>
  <si>
    <t>Public Protection Residential - N51</t>
  </si>
  <si>
    <t>Wakefield - N55</t>
  </si>
  <si>
    <t>GM Manchester S3</t>
  </si>
  <si>
    <t>SRY-Redhill - N57</t>
  </si>
  <si>
    <t>Awaiting Allocation HOUNSLOW</t>
  </si>
  <si>
    <t>Blackpool 6 - N51</t>
  </si>
  <si>
    <t>East Engagement - N59</t>
  </si>
  <si>
    <t>OM - Dorchester - N58</t>
  </si>
  <si>
    <t>Cardiff - Women's Pathfinder Team</t>
  </si>
  <si>
    <t>Dudley Team 2 - N52</t>
  </si>
  <si>
    <t>Bradford OMU 6 - N55</t>
  </si>
  <si>
    <t>Newham - N07</t>
  </si>
  <si>
    <t>Sefton</t>
  </si>
  <si>
    <t>York - N55</t>
  </si>
  <si>
    <t>Inactive Team(N53)</t>
  </si>
  <si>
    <t>GM Manchester S4</t>
  </si>
  <si>
    <t>SRY-CP Standalone</t>
  </si>
  <si>
    <t>Awaiting Allocation KINGSTON &amp; RICHMOND</t>
  </si>
  <si>
    <t>Inactive Team(N54)</t>
  </si>
  <si>
    <t>Blackpool 7  - N51</t>
  </si>
  <si>
    <t>East Resettlement - N59</t>
  </si>
  <si>
    <t>OM - Poole 2 - N58</t>
  </si>
  <si>
    <t>Cardiff and Vale - STS Team</t>
  </si>
  <si>
    <t>Dudley Team 3 - N52</t>
  </si>
  <si>
    <t>Calderdale OMU 1 (CNA)</t>
  </si>
  <si>
    <t>Public Protection London</t>
  </si>
  <si>
    <t>Unpaid Work and Attendance Centres - N51</t>
  </si>
  <si>
    <t>Leicester City 1 - N53</t>
  </si>
  <si>
    <t>ESX-HUB Awaiting Reallocation - N56</t>
  </si>
  <si>
    <t>GM Manchester S5</t>
  </si>
  <si>
    <t>SRY-Staines - N57</t>
  </si>
  <si>
    <t>Awaiting Allocation LAMBETH</t>
  </si>
  <si>
    <t>Burnley 1</t>
  </si>
  <si>
    <t>East Women - N59</t>
  </si>
  <si>
    <t>Other Third Party EM Supervision - N58</t>
  </si>
  <si>
    <t>Carmarthenshire - Team 1</t>
  </si>
  <si>
    <t>East Birmingham 1</t>
  </si>
  <si>
    <t>Calderdale OMU 2 - N55</t>
  </si>
  <si>
    <t>Redbridge and Waltham Forest</t>
  </si>
  <si>
    <t>Wirral - N51</t>
  </si>
  <si>
    <t>Leicester City 2 - N53</t>
  </si>
  <si>
    <t>GM Oldham 1 - N50</t>
  </si>
  <si>
    <t>Awaiting Allocation LEWISHAM</t>
  </si>
  <si>
    <t>Middlesbrough 1</t>
  </si>
  <si>
    <t>Burnley 2</t>
  </si>
  <si>
    <t>Fareham - N59</t>
  </si>
  <si>
    <t>Sentence Management Exeter</t>
  </si>
  <si>
    <t>Carmarthenshire - Team 2</t>
  </si>
  <si>
    <t>East Birmingham 2</t>
  </si>
  <si>
    <t>EYK BEV PPU1</t>
  </si>
  <si>
    <t>Southwark - N07</t>
  </si>
  <si>
    <t>Leicester City 3 - N53</t>
  </si>
  <si>
    <t>GM Oldham 2</t>
  </si>
  <si>
    <t>SXE-Brighton</t>
  </si>
  <si>
    <t>Awaiting Allocation MERTON &amp; SUTTON</t>
  </si>
  <si>
    <t>Middlesbrough 2</t>
  </si>
  <si>
    <t>Burnley 3 - N51</t>
  </si>
  <si>
    <t>Havant, Fareham</t>
  </si>
  <si>
    <t>Sentence Management North Devon</t>
  </si>
  <si>
    <t>Ceredigion - Team 1</t>
  </si>
  <si>
    <t>East Birmingham 3</t>
  </si>
  <si>
    <t>EYK BRI PPU2</t>
  </si>
  <si>
    <t>Tower Hamlets</t>
  </si>
  <si>
    <t>Leicester City 4 - N53</t>
  </si>
  <si>
    <t>GM Oldham 3 - N50</t>
  </si>
  <si>
    <t>SXE-Brighton 2 - N57</t>
  </si>
  <si>
    <t>Awaiting Allocation REDBRIDGE</t>
  </si>
  <si>
    <t>Middlesbrough 3</t>
  </si>
  <si>
    <t>Carlisle 1</t>
  </si>
  <si>
    <t>Inactive Team(N59)</t>
  </si>
  <si>
    <t>Sentence Management Torbay</t>
  </si>
  <si>
    <t>Conwy - Team 1</t>
  </si>
  <si>
    <t>Hereford</t>
  </si>
  <si>
    <t>EYK GOOLE PPU3</t>
  </si>
  <si>
    <t>Unallocated Level 2(N07)</t>
  </si>
  <si>
    <t>Leicester City 5 - N53</t>
  </si>
  <si>
    <t>GM Salford 1</t>
  </si>
  <si>
    <t>SXE-Eastbourne</t>
  </si>
  <si>
    <t>Awaiting Allocation SOUTHWARK</t>
  </si>
  <si>
    <t>Redcar 1</t>
  </si>
  <si>
    <t>Carlisle 2</t>
  </si>
  <si>
    <t>IOW - N59</t>
  </si>
  <si>
    <t>SOM Banes</t>
  </si>
  <si>
    <t>Denbighshire - Team 1</t>
  </si>
  <si>
    <t>Inactive Team(N52)</t>
  </si>
  <si>
    <t>GRI PPU1</t>
  </si>
  <si>
    <t>Unpaid Work and Attendance Centres - N07</t>
  </si>
  <si>
    <t>Leicester City PQUIP - N53</t>
  </si>
  <si>
    <t>GM Salford 2</t>
  </si>
  <si>
    <t>SXE-Hastings</t>
  </si>
  <si>
    <t>Awaiting Allocation TOWER HAMLETS</t>
  </si>
  <si>
    <t>Redcar 2</t>
  </si>
  <si>
    <t>Carlisle 3</t>
  </si>
  <si>
    <t>Milton Keynes Women - N59</t>
  </si>
  <si>
    <t>SOM Bridgwater</t>
  </si>
  <si>
    <t>East Gwent Team</t>
  </si>
  <si>
    <t>IOM Birmingham Central &amp; South</t>
  </si>
  <si>
    <t>GRI PPU2</t>
  </si>
  <si>
    <t>Wandsworth, Merton and Sutton</t>
  </si>
  <si>
    <t>Leicester City PSOs - N53</t>
  </si>
  <si>
    <t>GM Salford 3 - N50</t>
  </si>
  <si>
    <t>SXE-Hastings 2 - N57</t>
  </si>
  <si>
    <t>Awaiting Allocation WALTHAM FOREST</t>
  </si>
  <si>
    <t>Redcar, Cleveland and Middlesbrough IOM</t>
  </si>
  <si>
    <t>Chester 1</t>
  </si>
  <si>
    <t>Milton Keynes Male - N59</t>
  </si>
  <si>
    <t>SOM Nth Som</t>
  </si>
  <si>
    <t>Flintshire - Team 1</t>
  </si>
  <si>
    <t>IOM Birmingham North, East</t>
  </si>
  <si>
    <t>GRI PPU3 - N55</t>
  </si>
  <si>
    <t>Leicester City Resettlement - N53</t>
  </si>
  <si>
    <t>GM Salford 4 - N50</t>
  </si>
  <si>
    <t>SXE-CP Standalone</t>
  </si>
  <si>
    <t>Awaiting Allocation WANDSWORTH</t>
  </si>
  <si>
    <t>NBR South Tyneside LMC - N54</t>
  </si>
  <si>
    <t>Chester 2 - N51</t>
  </si>
  <si>
    <t>Milton Keynes PPU - N59</t>
  </si>
  <si>
    <t>SOM Taunton</t>
  </si>
  <si>
    <t>Gwent - IOM Team</t>
  </si>
  <si>
    <t>IOM Dudley and Sandwell - N52</t>
  </si>
  <si>
    <t>GRI PPU4 - N55</t>
  </si>
  <si>
    <t>Leicestershire Priority IOM - N53</t>
  </si>
  <si>
    <t>GM SM CP Bolton Wigan Salford</t>
  </si>
  <si>
    <t>SXW-Crawley</t>
  </si>
  <si>
    <t>BAR 1</t>
  </si>
  <si>
    <t>NBR Sunderland LMC - N54</t>
  </si>
  <si>
    <t>Chorley 1</t>
  </si>
  <si>
    <t>New Forest, Eastleigh</t>
  </si>
  <si>
    <t>SOM Yeovil</t>
  </si>
  <si>
    <t>Gwent - STS Team</t>
  </si>
  <si>
    <t>HUL Public Protection 5 - N55</t>
  </si>
  <si>
    <t>Leicestershire Priority IOM 2 - N53</t>
  </si>
  <si>
    <t>GM SM CP Bury Rochdale Oldham Tameside</t>
  </si>
  <si>
    <t>SXW-Crawley 2 - N57</t>
  </si>
  <si>
    <t>BAR 2 - N07</t>
  </si>
  <si>
    <t>NBR UPW Hub Practitioner - N54</t>
  </si>
  <si>
    <t>Chorley 2  - N51</t>
  </si>
  <si>
    <t>North Community Orders - N59</t>
  </si>
  <si>
    <t>Unallocated Team(N58)</t>
  </si>
  <si>
    <t>Gwynedd - Team 1</t>
  </si>
  <si>
    <t>Kidderminster</t>
  </si>
  <si>
    <t>HUL Public Protection 6 - N55</t>
  </si>
  <si>
    <t>Lincoln - N53</t>
  </si>
  <si>
    <t>GM SM CP Manchester Stockport Trafford</t>
  </si>
  <si>
    <t>SXW-Littlehampton</t>
  </si>
  <si>
    <t>BAR PQIP</t>
  </si>
  <si>
    <t>Crewe 1</t>
  </si>
  <si>
    <t>North Resettlement - N59</t>
  </si>
  <si>
    <t>Weymouth, Poole OM and Ass</t>
  </si>
  <si>
    <t>Inactive Team(N03)</t>
  </si>
  <si>
    <t>Kidderminster PQiPs</t>
  </si>
  <si>
    <t>HUL Public Protection 7 - N55</t>
  </si>
  <si>
    <t>Lincoln 2 - N53</t>
  </si>
  <si>
    <t>GM ST Stockport 1 - N50</t>
  </si>
  <si>
    <t>SXW-Littlehampton 2 - N57</t>
  </si>
  <si>
    <t>BDH 1</t>
  </si>
  <si>
    <t>Crewe 2 - N51</t>
  </si>
  <si>
    <t>North Women - N59</t>
  </si>
  <si>
    <t>WTS Chippenham</t>
  </si>
  <si>
    <t>Merthyr - STS Team</t>
  </si>
  <si>
    <t>Leamington</t>
  </si>
  <si>
    <t>HUL Public Protection Unit 1</t>
  </si>
  <si>
    <t>Lincolnshire PQiP</t>
  </si>
  <si>
    <t>GM ST Stockport 2</t>
  </si>
  <si>
    <t>SXW-Worthing</t>
  </si>
  <si>
    <t>BDH 2</t>
  </si>
  <si>
    <t>Newton Aycliffe</t>
  </si>
  <si>
    <t>Cumbria and Lancashire UPW Hub - N51</t>
  </si>
  <si>
    <t>Other Third Party EM Supervision - N59</t>
  </si>
  <si>
    <t>WTS Salisbury</t>
  </si>
  <si>
    <t>Merthyr - Team 2</t>
  </si>
  <si>
    <t>Leamington 2 - N52</t>
  </si>
  <si>
    <t>HUL Public Protection Unit 2</t>
  </si>
  <si>
    <t>Mansfield and Ashfield - N53</t>
  </si>
  <si>
    <t>GM ST Stockport 3</t>
  </si>
  <si>
    <t>SXW-CP Standalone</t>
  </si>
  <si>
    <t>BDH 3</t>
  </si>
  <si>
    <t>North Tyneside</t>
  </si>
  <si>
    <t>Cumbria and Lancashire UPW Hub Completed - N51</t>
  </si>
  <si>
    <t>Oxford PPU</t>
  </si>
  <si>
    <t>WTS Swindon 1</t>
  </si>
  <si>
    <t>Merthyr - Team 3</t>
  </si>
  <si>
    <t>Multi-Agency Gang Unit (MAGU) - N52</t>
  </si>
  <si>
    <t>HUL Public Protection Unit 3</t>
  </si>
  <si>
    <t>North Nottinghamshire</t>
  </si>
  <si>
    <t>GM ST Trafford 1</t>
  </si>
  <si>
    <t>Unallocated Team(N57)</t>
  </si>
  <si>
    <t>BDH 4 - N07</t>
  </si>
  <si>
    <t>Northumberland</t>
  </si>
  <si>
    <t>Halton 1</t>
  </si>
  <si>
    <t>Oxon ACE - N59</t>
  </si>
  <si>
    <t>Youth Offending Team - N58</t>
  </si>
  <si>
    <t>Neath, PTalbot - Team 1</t>
  </si>
  <si>
    <t>North Birmingham 1</t>
  </si>
  <si>
    <t>Hull Community Integration Team</t>
  </si>
  <si>
    <t>Nottingham City - N53</t>
  </si>
  <si>
    <t>GM ST Trafford 2 - N50</t>
  </si>
  <si>
    <t>KTW-CP Standalone</t>
  </si>
  <si>
    <t>BDH 5 - N07</t>
  </si>
  <si>
    <t>Peterlee</t>
  </si>
  <si>
    <t>Halton 2 - N51</t>
  </si>
  <si>
    <t>Oxon Male 1 - N59</t>
  </si>
  <si>
    <t>Newport - Team 1</t>
  </si>
  <si>
    <t>North Birmingham 2</t>
  </si>
  <si>
    <t>Inactive Team(N55)</t>
  </si>
  <si>
    <t>Nottingham City Allocations</t>
  </si>
  <si>
    <t>GM Tameside 1</t>
  </si>
  <si>
    <t>BDH PQIP</t>
  </si>
  <si>
    <t>South Tyneside</t>
  </si>
  <si>
    <t>Inactive Team(N51)</t>
  </si>
  <si>
    <t>Oxon Male 2 - N59</t>
  </si>
  <si>
    <t>Newport - Team 2</t>
  </si>
  <si>
    <t>North Birmingham 3</t>
  </si>
  <si>
    <t>Kirklees OMU 1 (KNA)</t>
  </si>
  <si>
    <t>Nottingham City North - N53</t>
  </si>
  <si>
    <t>GM Tameside 2</t>
  </si>
  <si>
    <t>BEX 1</t>
  </si>
  <si>
    <t>Kendal 1</t>
  </si>
  <si>
    <t>Oxon Women - N59</t>
  </si>
  <si>
    <t>Newport - Team 3</t>
  </si>
  <si>
    <t>Nuneaton and Rugby - N52</t>
  </si>
  <si>
    <t>Kirklees OMU 2 (KNB)</t>
  </si>
  <si>
    <t>Nottingham City PQiP</t>
  </si>
  <si>
    <t>GM Tameside 3 - N50</t>
  </si>
  <si>
    <t>BEX 2 - N07</t>
  </si>
  <si>
    <t>Sunderland North</t>
  </si>
  <si>
    <t>Kendal 2</t>
  </si>
  <si>
    <t>Portsmouth and Isle of Wight OM Team 1 - N59</t>
  </si>
  <si>
    <t>North Wales - Central IOM STC Team</t>
  </si>
  <si>
    <t>Nuneaton and Rugby 2 - N52</t>
  </si>
  <si>
    <t>Kirklees OMU 3 - N55</t>
  </si>
  <si>
    <t>Nottingham City South - N53</t>
  </si>
  <si>
    <t>GM Wigan 1 - N50</t>
  </si>
  <si>
    <t>BEX PQIP</t>
  </si>
  <si>
    <t>Sunderland South</t>
  </si>
  <si>
    <t>Knowsley 1</t>
  </si>
  <si>
    <t>Portsmouth and Isle of Wight OM Team 2 - N59</t>
  </si>
  <si>
    <t>North Wales - West IOM STC Team</t>
  </si>
  <si>
    <t>PROSPER West Midlands - N52</t>
  </si>
  <si>
    <t>Leeds OMU 1 (LNA)</t>
  </si>
  <si>
    <t>Nottingham IOM - N53</t>
  </si>
  <si>
    <t>HFS-IOM - N56</t>
  </si>
  <si>
    <t>GM Wigan 2</t>
  </si>
  <si>
    <t>BRE 1</t>
  </si>
  <si>
    <t>Unallocated Team(N54)</t>
  </si>
  <si>
    <t>Knowsley 2</t>
  </si>
  <si>
    <t>Reading OM1 - N59</t>
  </si>
  <si>
    <t>Pembrokeshire - Team 1</t>
  </si>
  <si>
    <t>Redditch - N52</t>
  </si>
  <si>
    <t>Leeds OMU 10 - N55</t>
  </si>
  <si>
    <t>Nottinghamshire IOM - N53</t>
  </si>
  <si>
    <t>GM Wigan 3 - N50</t>
  </si>
  <si>
    <t>BRE 2</t>
  </si>
  <si>
    <t>Knowsley 3</t>
  </si>
  <si>
    <t>Reading OM2 - N59</t>
  </si>
  <si>
    <t>Powys - Team 1</t>
  </si>
  <si>
    <t>Redditch PQiPs</t>
  </si>
  <si>
    <t>Leeds OMU 2 (LNB)</t>
  </si>
  <si>
    <t>Nottinghamshire PQiP</t>
  </si>
  <si>
    <t>MAPPT - MAPPA and Public Protection Team</t>
  </si>
  <si>
    <t>BRE 3 - N07</t>
  </si>
  <si>
    <t>Knowsley 4</t>
  </si>
  <si>
    <t>Reading OM3</t>
  </si>
  <si>
    <t>RCT - IOM Team</t>
  </si>
  <si>
    <t>Sandwell Team 1 - N52</t>
  </si>
  <si>
    <t>Leeds OMU 3 (LNC)</t>
  </si>
  <si>
    <t>Nottinghamshire South - N53</t>
  </si>
  <si>
    <t>Unallocated Team(N50)</t>
  </si>
  <si>
    <t>BRE 4 - N07</t>
  </si>
  <si>
    <t>Lancaster 1</t>
  </si>
  <si>
    <t>Slough OM1</t>
  </si>
  <si>
    <t>RCT - STS Team</t>
  </si>
  <si>
    <t>Sandwell Team 2 - N52</t>
  </si>
  <si>
    <t>Leeds OMU 5 (LNE)</t>
  </si>
  <si>
    <t>Skegness - N53</t>
  </si>
  <si>
    <t>BRE PQIP</t>
  </si>
  <si>
    <t>Lancaster 2</t>
  </si>
  <si>
    <t>Slough OM2</t>
  </si>
  <si>
    <t>RCT - Team 1</t>
  </si>
  <si>
    <t>Sandwell Team 4 PQUIP - N52</t>
  </si>
  <si>
    <t>Leeds OMU 6 (LNF)</t>
  </si>
  <si>
    <t>Unallocated Team(N53)</t>
  </si>
  <si>
    <t>BRO 1</t>
  </si>
  <si>
    <t>Liverpool North 1</t>
  </si>
  <si>
    <t>Southampton OM Team 1</t>
  </si>
  <si>
    <t>RCT - Team 2</t>
  </si>
  <si>
    <t>Sandwell Team 5 - N52</t>
  </si>
  <si>
    <t>Leeds OMU 7 (LNG)</t>
  </si>
  <si>
    <t>UPW Bassetlaw - N53</t>
  </si>
  <si>
    <t>BRO 2 - N07</t>
  </si>
  <si>
    <t>Liverpool North 10 - N51</t>
  </si>
  <si>
    <t>Southampton OM Team 2</t>
  </si>
  <si>
    <t>RCT - Team 3</t>
  </si>
  <si>
    <t>Shrewsbury</t>
  </si>
  <si>
    <t>Leeds OMU 9 - N55</t>
  </si>
  <si>
    <t>UPW Buxton - N53</t>
  </si>
  <si>
    <t>BRO PQIP</t>
  </si>
  <si>
    <t>Liverpool North 2</t>
  </si>
  <si>
    <t>TV Allocation Hub</t>
  </si>
  <si>
    <t>RCT - Team 4</t>
  </si>
  <si>
    <t>Solihull A</t>
  </si>
  <si>
    <t>Leeds Sentence Management Team 1</t>
  </si>
  <si>
    <t>UPW Chesterfield - N53</t>
  </si>
  <si>
    <t>Bromley Service Centre - N07</t>
  </si>
  <si>
    <t>Liverpool North 3</t>
  </si>
  <si>
    <t>Unallocated Team(N59)</t>
  </si>
  <si>
    <t>Swansea - Team 1</t>
  </si>
  <si>
    <t>Solihull B</t>
  </si>
  <si>
    <t>SCU PPU1</t>
  </si>
  <si>
    <t>UPW Derby - N53</t>
  </si>
  <si>
    <t>CAI 1</t>
  </si>
  <si>
    <t>Liverpool North 4</t>
  </si>
  <si>
    <t>UPW North Hub - N59</t>
  </si>
  <si>
    <t>Swansea - Team 2</t>
  </si>
  <si>
    <t>South Birmingham 1</t>
  </si>
  <si>
    <t>SCU PPU2 - N55</t>
  </si>
  <si>
    <t>UPW Leicestershire - N53</t>
  </si>
  <si>
    <t>CAI 2</t>
  </si>
  <si>
    <t>Liverpool North 5</t>
  </si>
  <si>
    <t>UPW South Hub - N59</t>
  </si>
  <si>
    <t>Swansea - Team 3</t>
  </si>
  <si>
    <t>South Birmingham 2</t>
  </si>
  <si>
    <t>UPW Lincolnshire</t>
  </si>
  <si>
    <t>CAI 3</t>
  </si>
  <si>
    <t>Liverpool North 8 - N51</t>
  </si>
  <si>
    <t>West Berks ACE - N59</t>
  </si>
  <si>
    <t>Swansea - Team 4</t>
  </si>
  <si>
    <t>South Birmingham 3</t>
  </si>
  <si>
    <t>YSN Harrogate PP OMU</t>
  </si>
  <si>
    <t>UPW Mansfield and Ashfield  - N53</t>
  </si>
  <si>
    <t>CAI 4 PQIP</t>
  </si>
  <si>
    <t>Liverpool North 9 - N51</t>
  </si>
  <si>
    <t>West Berks Male - N59</t>
  </si>
  <si>
    <t>Swansea - Team 5</t>
  </si>
  <si>
    <t>YSN Northallerton PP OMU</t>
  </si>
  <si>
    <t>UPW Newark and Sherwood  - N53</t>
  </si>
  <si>
    <t>CAI 6 - N07</t>
  </si>
  <si>
    <t>Liverpool North Unallocated</t>
  </si>
  <si>
    <t>West Berks Women - N59</t>
  </si>
  <si>
    <t>Swansea - Team 6</t>
  </si>
  <si>
    <t>Stafford - N52</t>
  </si>
  <si>
    <t>YSN Northallerton PP OMU2</t>
  </si>
  <si>
    <t>UPW Nottingham - N53</t>
  </si>
  <si>
    <t>CP North East 1 - N07</t>
  </si>
  <si>
    <t>Liverpool South 1</t>
  </si>
  <si>
    <t>West Community Orders - N59</t>
  </si>
  <si>
    <t>Unallocated Team(N03)</t>
  </si>
  <si>
    <t>YSN Scarborough PP OMU</t>
  </si>
  <si>
    <t>CP North East 2 - N07</t>
  </si>
  <si>
    <t>Liverpool South 2</t>
  </si>
  <si>
    <t>West Engagement - N59</t>
  </si>
  <si>
    <t>Vale - IOM Women Team</t>
  </si>
  <si>
    <t>Staffordshire Community Hub - N52</t>
  </si>
  <si>
    <t>YSN Scarborough PP OMU2</t>
  </si>
  <si>
    <t>CP North East Legacy Caseload - N07</t>
  </si>
  <si>
    <t>Liverpool South 3</t>
  </si>
  <si>
    <t>West Resettlement - N59</t>
  </si>
  <si>
    <t>Vale - Team</t>
  </si>
  <si>
    <t>Stoke Allocations - N52</t>
  </si>
  <si>
    <t>YSN Skipton PP OMU</t>
  </si>
  <si>
    <t>CP South 1 - N07</t>
  </si>
  <si>
    <t>Liverpool South 4</t>
  </si>
  <si>
    <t>West Women - N59</t>
  </si>
  <si>
    <t>Wrexham - Team 1</t>
  </si>
  <si>
    <t>Stoke Team 1 - N52</t>
  </si>
  <si>
    <t>YSN York PP OMU</t>
  </si>
  <si>
    <t>CP South 2 - N07</t>
  </si>
  <si>
    <t>Liverpool South 5</t>
  </si>
  <si>
    <t>ZZ_Awaiting Reassignment - N59</t>
  </si>
  <si>
    <t>Ynys Mon - Team 1</t>
  </si>
  <si>
    <t>Stoke Team 2 - N52</t>
  </si>
  <si>
    <t>YSN York PP OMU2</t>
  </si>
  <si>
    <t>CP South Legacy Caseload - N07</t>
  </si>
  <si>
    <t>Liverpool South 7 - N51</t>
  </si>
  <si>
    <t>Stoke Team 3 - N52</t>
  </si>
  <si>
    <t>YSN York PP OMU3</t>
  </si>
  <si>
    <t>CP West 1 - N07</t>
  </si>
  <si>
    <t>Liverpool South IOM</t>
  </si>
  <si>
    <t>Stoke Team 4 - N52</t>
  </si>
  <si>
    <t>YSS Barnsley OMU 1</t>
  </si>
  <si>
    <t>CP West 2 - N07</t>
  </si>
  <si>
    <t>Liverpool South Unallocated</t>
  </si>
  <si>
    <t>Tamworth - N52</t>
  </si>
  <si>
    <t>YSS Barnsley OMU 2</t>
  </si>
  <si>
    <t>CRO 1</t>
  </si>
  <si>
    <t>Macclesfield 1</t>
  </si>
  <si>
    <t>Telford - N52</t>
  </si>
  <si>
    <t>YSS Barnsley OMU 3 - N55</t>
  </si>
  <si>
    <t>CRO 2</t>
  </si>
  <si>
    <t>Merseyside and Cheshire UPW Hub Team 1</t>
  </si>
  <si>
    <t>Unallocated Team(N52)</t>
  </si>
  <si>
    <t>YSS Barnsley OMU 4 - N55</t>
  </si>
  <si>
    <t>Unallocated Team(N56)</t>
  </si>
  <si>
    <t>CRO 3</t>
  </si>
  <si>
    <t>Merseyside and Cheshire UPW Hub Team 2</t>
  </si>
  <si>
    <t>UPW Birmingham - N52</t>
  </si>
  <si>
    <t>YSS Doncaster OMU 1</t>
  </si>
  <si>
    <t>CRO 4</t>
  </si>
  <si>
    <t>Merseyside and Cheshire UPW Hub Team 3</t>
  </si>
  <si>
    <t>UPW Black Country North - N52</t>
  </si>
  <si>
    <t>YSS Doncaster OMU 2</t>
  </si>
  <si>
    <t>CRO 5 - N07</t>
  </si>
  <si>
    <t>Merseyside Resettle</t>
  </si>
  <si>
    <t>UPW Black Country South - N52</t>
  </si>
  <si>
    <t>YSS Doncaster OMU 3</t>
  </si>
  <si>
    <t>CRO PQIP</t>
  </si>
  <si>
    <t>Merseyside SO IOM - N51</t>
  </si>
  <si>
    <t>UPW Coventry - N52</t>
  </si>
  <si>
    <t>YSS Doncaster OMU 4 - N55</t>
  </si>
  <si>
    <t>EAH PQIP</t>
  </si>
  <si>
    <t>Northwich 1</t>
  </si>
  <si>
    <t>UPW Staffordshire - N52</t>
  </si>
  <si>
    <t>YSS Doncaster OMU 5 - N55</t>
  </si>
  <si>
    <t>EAL 1</t>
  </si>
  <si>
    <t>Northwich 2 - N51</t>
  </si>
  <si>
    <t>UPW Tamworth - N52</t>
  </si>
  <si>
    <t>YSS Rotherham OMU 1</t>
  </si>
  <si>
    <t>EAL 2</t>
  </si>
  <si>
    <t>Preston 1</t>
  </si>
  <si>
    <t>UPW Telford and Shropshire - N52</t>
  </si>
  <si>
    <t>YSS Rotherham OMU 2</t>
  </si>
  <si>
    <t>EAL 4 - N07</t>
  </si>
  <si>
    <t>Preston 2</t>
  </si>
  <si>
    <t>UPW Warwickshire - N52</t>
  </si>
  <si>
    <t>YSS Rotherham OMU 3 - N55</t>
  </si>
  <si>
    <t>ENF 1</t>
  </si>
  <si>
    <t>Preston 4 - N51</t>
  </si>
  <si>
    <t>UPW Worcestershire - N52</t>
  </si>
  <si>
    <t>YSS Sheffield OMU 1</t>
  </si>
  <si>
    <t>ENF 2</t>
  </si>
  <si>
    <t>Preston 5  - N51</t>
  </si>
  <si>
    <t>Walsall Team 1 - N52</t>
  </si>
  <si>
    <t>YSS Sheffield OMU 2</t>
  </si>
  <si>
    <t>ENF 3 - N07</t>
  </si>
  <si>
    <t>Sefton 2</t>
  </si>
  <si>
    <t>Walsall Team 2 - N52</t>
  </si>
  <si>
    <t>YSS Sheffield OMU 3</t>
  </si>
  <si>
    <t>ENF 4 - N07</t>
  </si>
  <si>
    <t>Sefton 3</t>
  </si>
  <si>
    <t>Walsall Team 3 - N52</t>
  </si>
  <si>
    <t>YSS Sheffield OMU 4</t>
  </si>
  <si>
    <t>GRE 1</t>
  </si>
  <si>
    <t>Sefton 4</t>
  </si>
  <si>
    <t>Wolverhampton and Walsall Team 5 PQuiP</t>
  </si>
  <si>
    <t>YSS Sheffield OMU 5 - N55</t>
  </si>
  <si>
    <t>GRE 2</t>
  </si>
  <si>
    <t>Sefton 5 - N51</t>
  </si>
  <si>
    <t>Wolverhampton Team 1 - N52</t>
  </si>
  <si>
    <t>YSS Sheffield OMU 6 - N55</t>
  </si>
  <si>
    <t>GRE 3 - N07</t>
  </si>
  <si>
    <t>Sefton 6 - N51</t>
  </si>
  <si>
    <t>Wolverhampton Team 2 - N52</t>
  </si>
  <si>
    <t>YSW Bfd Engagement</t>
  </si>
  <si>
    <t>GRE PQIP</t>
  </si>
  <si>
    <t>Sefton IOM</t>
  </si>
  <si>
    <t>Wolverhampton Team 4 - N52</t>
  </si>
  <si>
    <t>YSW Bfd Female - N55</t>
  </si>
  <si>
    <t>HAC 1</t>
  </si>
  <si>
    <t>Sefton Unallocated</t>
  </si>
  <si>
    <t>Women's Team Central Birmingham</t>
  </si>
  <si>
    <t>YSW Bfd Resettlement 1 - N55</t>
  </si>
  <si>
    <t>HAC 2</t>
  </si>
  <si>
    <t>Skelmersdale 1</t>
  </si>
  <si>
    <t>Women's Team South Birmingham</t>
  </si>
  <si>
    <t>YSW Bfd Resettlement 2 - N55</t>
  </si>
  <si>
    <t>HAC 3 - N07</t>
  </si>
  <si>
    <t>Skelmersdale 2 - N51</t>
  </si>
  <si>
    <t>Worcester - N52</t>
  </si>
  <si>
    <t>YSW Kirklees Engagement - N55</t>
  </si>
  <si>
    <t>HAC 4 - N07</t>
  </si>
  <si>
    <t>St Helens 1</t>
  </si>
  <si>
    <t>Worcester PQiPs</t>
  </si>
  <si>
    <t>YSW Kirklees Female - N55</t>
  </si>
  <si>
    <t>HAR 1</t>
  </si>
  <si>
    <t>St Helens 2</t>
  </si>
  <si>
    <t>Young Adults Central Birmingham</t>
  </si>
  <si>
    <t>YSW Kirklees Resettlement - N55</t>
  </si>
  <si>
    <t>HAR 2</t>
  </si>
  <si>
    <t>St Helens Unallocated</t>
  </si>
  <si>
    <t>Young Adults East Birmingham</t>
  </si>
  <si>
    <t>YSW Leeds Female - N55</t>
  </si>
  <si>
    <t>HAR 3 - N07</t>
  </si>
  <si>
    <t>Unallocated Team(N51) - N51</t>
  </si>
  <si>
    <t>Young Adults North Birmingham</t>
  </si>
  <si>
    <t>YSW Leeds Resettlement 1 - N55</t>
  </si>
  <si>
    <t>HAR 4</t>
  </si>
  <si>
    <t>Warrington 1</t>
  </si>
  <si>
    <t>Young Adults South Birmingham</t>
  </si>
  <si>
    <t>YSW Leeds Resettlement 2 - N55</t>
  </si>
  <si>
    <t>HFKCW 1</t>
  </si>
  <si>
    <t>Warrington 2 - N51</t>
  </si>
  <si>
    <t>HFKCW 2</t>
  </si>
  <si>
    <t>Wirral 1</t>
  </si>
  <si>
    <t>Wakefield Community Integration Team</t>
  </si>
  <si>
    <t>HFKCW 3</t>
  </si>
  <si>
    <t>Wirral 2</t>
  </si>
  <si>
    <t>Wakefield Sentence Management Team 1</t>
  </si>
  <si>
    <t>HFKCW 4</t>
  </si>
  <si>
    <t>Wirral 4</t>
  </si>
  <si>
    <t>Wakefield Sentence Management Team 2</t>
  </si>
  <si>
    <t>HIL 1</t>
  </si>
  <si>
    <t>Wirral 5</t>
  </si>
  <si>
    <t>Wakefield Sentence Management Team 3</t>
  </si>
  <si>
    <t>HIL 2</t>
  </si>
  <si>
    <t>Wirral Unallocated</t>
  </si>
  <si>
    <t>Wakefield Sentence Management Team 4</t>
  </si>
  <si>
    <t>HOU 1</t>
  </si>
  <si>
    <t>Women 1</t>
  </si>
  <si>
    <t>Wakefield Sentence Management Team 5</t>
  </si>
  <si>
    <t>HOU 2 - N07</t>
  </si>
  <si>
    <t>Women 2 - N51</t>
  </si>
  <si>
    <t>HRW 1</t>
  </si>
  <si>
    <t>Women 3 - N51</t>
  </si>
  <si>
    <t>HRW 2</t>
  </si>
  <si>
    <t>Women 4 - N51</t>
  </si>
  <si>
    <t>HRW PQIP</t>
  </si>
  <si>
    <t>Workington 1</t>
  </si>
  <si>
    <t>Inactive Team(N07)</t>
  </si>
  <si>
    <t>Workington 2 - N51</t>
  </si>
  <si>
    <t>KAR 1</t>
  </si>
  <si>
    <t>LAM 1</t>
  </si>
  <si>
    <t>LAM 2</t>
  </si>
  <si>
    <t>LAM 3</t>
  </si>
  <si>
    <t>LAM 4 - N07</t>
  </si>
  <si>
    <t>LEW 1</t>
  </si>
  <si>
    <t>LEW 2</t>
  </si>
  <si>
    <t>LEW 3 - N07</t>
  </si>
  <si>
    <t>LEW 4 - N07</t>
  </si>
  <si>
    <t>LEW PQIP</t>
  </si>
  <si>
    <t>Low Risk Resettlement East - N07</t>
  </si>
  <si>
    <t>MAS 1</t>
  </si>
  <si>
    <t>MAS 2</t>
  </si>
  <si>
    <t>MAS 3</t>
  </si>
  <si>
    <t>NEW 1</t>
  </si>
  <si>
    <t>NEW 2</t>
  </si>
  <si>
    <t>NEW 3</t>
  </si>
  <si>
    <t>NEW 4 - N07</t>
  </si>
  <si>
    <t>NEW 5 - N07</t>
  </si>
  <si>
    <t>RWF Business Support Team</t>
  </si>
  <si>
    <t>New Case Allocation London</t>
  </si>
  <si>
    <t>Other Third Party EM Supervision - N07</t>
  </si>
  <si>
    <t>RWF 1</t>
  </si>
  <si>
    <t>RWF 2</t>
  </si>
  <si>
    <t>RWF 3</t>
  </si>
  <si>
    <t>RWF 4</t>
  </si>
  <si>
    <t>RWF 5</t>
  </si>
  <si>
    <t>RWF 6</t>
  </si>
  <si>
    <t>SAC East - N07</t>
  </si>
  <si>
    <t>SAC North - N07</t>
  </si>
  <si>
    <t>SAC South - N07</t>
  </si>
  <si>
    <t>SAC West - N07</t>
  </si>
  <si>
    <t>SOU 1</t>
  </si>
  <si>
    <t>SOU 2</t>
  </si>
  <si>
    <t>SOU 3 PQIP</t>
  </si>
  <si>
    <t>SOU 4 - N07</t>
  </si>
  <si>
    <t>SOU 5 - N07</t>
  </si>
  <si>
    <t>TWR 1</t>
  </si>
  <si>
    <t>TWR 2</t>
  </si>
  <si>
    <t>TWR 3 - N07</t>
  </si>
  <si>
    <t>TWR 4 - N07</t>
  </si>
  <si>
    <t>TWR 5 PQIP</t>
  </si>
  <si>
    <t>Unallocated Team(N07)</t>
  </si>
  <si>
    <t>WAN 1</t>
  </si>
  <si>
    <t>WAN 3 - N07</t>
  </si>
  <si>
    <t>WAN PQIP</t>
  </si>
  <si>
    <t>WSAC - N07</t>
  </si>
  <si>
    <t>Region</t>
  </si>
  <si>
    <t>LDU cluster</t>
  </si>
  <si>
    <t>team</t>
  </si>
  <si>
    <t>offender manager</t>
  </si>
  <si>
    <t>grade code</t>
  </si>
  <si>
    <t>capacity percentage</t>
  </si>
  <si>
    <t>capacity points</t>
  </si>
  <si>
    <t>remaining points</t>
  </si>
  <si>
    <t>contracted hours</t>
  </si>
  <si>
    <t>reduction hours</t>
  </si>
  <si>
    <t>total cases</t>
  </si>
  <si>
    <t>CMS points</t>
  </si>
  <si>
    <t>CMS percentage</t>
  </si>
  <si>
    <t>Division</t>
  </si>
  <si>
    <t>Cluster</t>
  </si>
  <si>
    <t>PO capacity</t>
  </si>
  <si>
    <t>PSO capacity</t>
  </si>
  <si>
    <t>PO/PSO range</t>
  </si>
  <si>
    <t>PSO  CMS % of overall available capacity</t>
  </si>
  <si>
    <t>TPO CMS % of overall available</t>
  </si>
  <si>
    <t>PO</t>
  </si>
  <si>
    <t>PSO</t>
  </si>
  <si>
    <t>TPO</t>
  </si>
  <si>
    <t>SPO</t>
  </si>
  <si>
    <t>All West Yorkshire</t>
  </si>
  <si>
    <t>Corporate Services - N55</t>
  </si>
  <si>
    <t>PSC - C05</t>
  </si>
  <si>
    <t>Knowsley Unallocated</t>
  </si>
  <si>
    <t>sentence type</t>
  </si>
  <si>
    <t>cluster</t>
  </si>
  <si>
    <t>grade</t>
  </si>
  <si>
    <t>A0</t>
  </si>
  <si>
    <t>A1</t>
  </si>
  <si>
    <t>A2</t>
  </si>
  <si>
    <t>A3</t>
  </si>
  <si>
    <t>B0</t>
  </si>
  <si>
    <t>B1</t>
  </si>
  <si>
    <t>B2</t>
  </si>
  <si>
    <t>B3</t>
  </si>
  <si>
    <t>C0</t>
  </si>
  <si>
    <t>C1</t>
  </si>
  <si>
    <t>C2</t>
  </si>
  <si>
    <t>C3</t>
  </si>
  <si>
    <t>D0</t>
  </si>
  <si>
    <t>D1</t>
  </si>
  <si>
    <t>D2</t>
  </si>
  <si>
    <t>D3</t>
  </si>
  <si>
    <t>untiered</t>
  </si>
  <si>
    <t>overall</t>
  </si>
  <si>
    <t>reason</t>
  </si>
  <si>
    <t>hours</t>
  </si>
  <si>
    <t>start date</t>
  </si>
  <si>
    <t>end date</t>
  </si>
  <si>
    <t>status</t>
  </si>
  <si>
    <t>additional notes</t>
  </si>
  <si>
    <t>Trade Union Facility Time</t>
  </si>
  <si>
    <t>NQO</t>
  </si>
  <si>
    <t>PQiP21 6-18</t>
  </si>
  <si>
    <t>MARAC SPOC</t>
  </si>
  <si>
    <t>Mentoring-early 1</t>
  </si>
  <si>
    <t>Mentoring-mid 2</t>
  </si>
  <si>
    <t>PQiP15 0-6</t>
  </si>
  <si>
    <t>PQiP21 0-6</t>
  </si>
  <si>
    <t>PSO Learning &amp; Development</t>
  </si>
  <si>
    <t>PQiP21 18-21</t>
  </si>
  <si>
    <t>PQiP15 6-12</t>
  </si>
  <si>
    <t>Disability</t>
  </si>
  <si>
    <t>Long Term Sickness Absence</t>
  </si>
  <si>
    <t>PQiP15 12-15</t>
  </si>
  <si>
    <t>Mentoring-mid 1</t>
  </si>
  <si>
    <t>Split Role</t>
  </si>
  <si>
    <t>Court Duty</t>
  </si>
  <si>
    <t>Other</t>
  </si>
  <si>
    <t>Co-Worked Cases</t>
  </si>
  <si>
    <t>PSO13 PQiP 10-13 mths</t>
  </si>
  <si>
    <t>Phased Return to Work</t>
  </si>
  <si>
    <t>Wales Pilot Only - Short Term Sentences</t>
  </si>
  <si>
    <t>Groups (Induction)</t>
  </si>
  <si>
    <t>VQ3</t>
  </si>
  <si>
    <t>Learning &amp; Development</t>
  </si>
  <si>
    <t>Wellbeing/Work-life balance</t>
  </si>
  <si>
    <t>Pregnancy</t>
  </si>
  <si>
    <t>PSO13 PQiP 0-4mths</t>
  </si>
  <si>
    <t>Maternity Leave</t>
  </si>
  <si>
    <t>Pre Sentence Reports – Court Duty / Sessional</t>
  </si>
  <si>
    <t>PSO13 PQiP 5-9 mths</t>
  </si>
  <si>
    <t>Special Leave</t>
  </si>
  <si>
    <t>OM Custody</t>
  </si>
  <si>
    <t>National frequency of applied active caseload reductions</t>
  </si>
  <si>
    <t>Reduction reason</t>
  </si>
  <si>
    <t>Overall reduction in hours</t>
  </si>
  <si>
    <t>% of total reduction in hours</t>
  </si>
  <si>
    <t>Adoption Leave</t>
  </si>
  <si>
    <t>Groups (Group supervision)</t>
  </si>
  <si>
    <t>Level 4 and Level 5 Access</t>
  </si>
  <si>
    <t>Mentoring-Early 2</t>
  </si>
  <si>
    <t>Mentoring -Mid 2</t>
  </si>
  <si>
    <t>Mentoring-Early 3</t>
  </si>
  <si>
    <t>Mentoring-Mid 3</t>
  </si>
  <si>
    <t>Other Paid Leave (e.g. Jury Service)</t>
  </si>
  <si>
    <t>Other Unpaid Leave</t>
  </si>
  <si>
    <t>Pre Sentence Reports â€“ Court Duty / Sessional</t>
  </si>
  <si>
    <t xml:space="preserve">PQiP21 18-21 </t>
  </si>
  <si>
    <t>SPOC Lead</t>
  </si>
  <si>
    <t>Total frequency of active caseload reductions nationally</t>
  </si>
  <si>
    <t>Grand Total Hours</t>
  </si>
  <si>
    <t xml:space="preserve">Frequently Asked Questions
</t>
  </si>
  <si>
    <t xml:space="preserve">                   Regional Overview
</t>
  </si>
  <si>
    <t>Please select your region in the cell below:</t>
  </si>
  <si>
    <t>OM capacity in use</t>
  </si>
  <si>
    <t>PO capacity in use</t>
  </si>
  <si>
    <t>PSO capacity in use</t>
  </si>
  <si>
    <t>TPO capacity in use</t>
  </si>
  <si>
    <t>all OM capacity in use</t>
  </si>
  <si>
    <t>PSO CMS % of capacity  in use (see FAQ page)</t>
  </si>
  <si>
    <t>PSO  CMS % of overall available capacity (see FAQ page)</t>
  </si>
  <si>
    <t>TPO CMS % of capacity  in use (see FAQ page)</t>
  </si>
  <si>
    <t>TPO CMS % of overall capacity (see FAQ page)</t>
  </si>
  <si>
    <t>Average</t>
  </si>
  <si>
    <t>Variance</t>
  </si>
  <si>
    <t>capacity over 110% and under 90%</t>
  </si>
  <si>
    <t>total POs present on WMT</t>
  </si>
  <si>
    <t>frequency of POs above 110% capacity</t>
  </si>
  <si>
    <t>percentage of POs above 110% capacity</t>
  </si>
  <si>
    <t>total PSOs present on WMT</t>
  </si>
  <si>
    <t>frequency of PSOs above 110% capacity</t>
  </si>
  <si>
    <t>percentage of PSOs above 110% capacity</t>
  </si>
  <si>
    <t>frequency of PSOs below 90% capacity</t>
  </si>
  <si>
    <t>percentage of PSOs below 90% capacity</t>
  </si>
  <si>
    <t>total TPOs present on WMT</t>
  </si>
  <si>
    <t>frequency of TPOs above 110% capacity</t>
  </si>
  <si>
    <t>percentage of TPOs above 110% capacity</t>
  </si>
  <si>
    <t>Total</t>
  </si>
  <si>
    <t>N/A</t>
  </si>
  <si>
    <t>unallocated cases</t>
  </si>
  <si>
    <t>held by SPOs</t>
  </si>
  <si>
    <t>held by 'DMY' profiles</t>
  </si>
  <si>
    <t>Sum of 'DMY' and profiles held by SPOs</t>
  </si>
  <si>
    <t>total cases overall</t>
  </si>
  <si>
    <t>SUM of 'DMY' and SPO held profiles  as % of total cases</t>
  </si>
  <si>
    <t>untiered cases</t>
  </si>
  <si>
    <t>reductions as % of contract hours</t>
  </si>
  <si>
    <t>PO contract hours</t>
  </si>
  <si>
    <t xml:space="preserve">PO reduction hours </t>
  </si>
  <si>
    <t>PO reductions as % of contract hours</t>
  </si>
  <si>
    <t>PSO contract hours</t>
  </si>
  <si>
    <t xml:space="preserve">PSO reduction hours </t>
  </si>
  <si>
    <t>PSO reductions as % of contract hours</t>
  </si>
  <si>
    <t>TPO contract hours</t>
  </si>
  <si>
    <t xml:space="preserve">TPO reduction hours </t>
  </si>
  <si>
    <t>TPO reductions as % of contract hours</t>
  </si>
  <si>
    <t>National</t>
  </si>
  <si>
    <t>division level applied active caseload reductions</t>
  </si>
  <si>
    <t>division reductions summary</t>
  </si>
  <si>
    <t>reason for reduction</t>
  </si>
  <si>
    <t>frequency of application of reduction</t>
  </si>
  <si>
    <t>hours of reduction applied by reason</t>
  </si>
  <si>
    <t>total frequency of applied reductions within division</t>
  </si>
  <si>
    <t>total division reduction in hours</t>
  </si>
  <si>
    <t>total division contracted hours</t>
  </si>
  <si>
    <t>reduction as % of total division contract hours</t>
  </si>
  <si>
    <t>variance on national reductions as % of contract hours</t>
  </si>
  <si>
    <t>Mentoring-Mid 2</t>
  </si>
  <si>
    <t>Pre Sentence Reports ‚Äì Court Duty / Sessional</t>
  </si>
  <si>
    <t>Total cases within the division by tier and sentence type</t>
  </si>
  <si>
    <t>custody</t>
  </si>
  <si>
    <t>licence</t>
  </si>
  <si>
    <t>community</t>
  </si>
  <si>
    <t>Ratio of total cases within the division by tier and sentence type</t>
  </si>
  <si>
    <t>Tiering assumptions of caseload by percent</t>
  </si>
  <si>
    <t>Role</t>
  </si>
  <si>
    <t>PSO &amp; TPO (combined)</t>
  </si>
  <si>
    <t>Allocation of community order/SSO cases by grade</t>
  </si>
  <si>
    <t>divisional allocation of community cases by grade as percentage</t>
  </si>
  <si>
    <t>staff grade</t>
  </si>
  <si>
    <t>Allocation of licence cases by grade</t>
  </si>
  <si>
    <t>divisional allocation of licence cases by grade as percentage</t>
  </si>
  <si>
    <t>Allocation of custody cases by grade</t>
  </si>
  <si>
    <t>divisional allocation of custody cases by grade as percentage</t>
  </si>
  <si>
    <t>Overall allocation of cases by grade</t>
  </si>
  <si>
    <t xml:space="preserve"> divisional overall allocation of cases by grade as percentage</t>
  </si>
  <si>
    <t xml:space="preserve">                  PDU Overview
</t>
  </si>
  <si>
    <t>Please select your region in the cell below, and your cluster in the box below that:</t>
  </si>
  <si>
    <t>PSO CMS % of capacity in use (see FAQ page)</t>
  </si>
  <si>
    <t>variance</t>
  </si>
  <si>
    <t>National total</t>
  </si>
  <si>
    <t>held by unallocated profiles</t>
  </si>
  <si>
    <t>total cases that require allocation</t>
  </si>
  <si>
    <t>unallocated cases as % of total cases</t>
  </si>
  <si>
    <t xml:space="preserve">untiered cases </t>
  </si>
  <si>
    <t>National Total</t>
  </si>
  <si>
    <t>cluster level applied active caseload reductions</t>
  </si>
  <si>
    <t>cluster reductions summary</t>
  </si>
  <si>
    <t>total frequency of applied reductions within cluster</t>
  </si>
  <si>
    <t>total cluster reduction in hours</t>
  </si>
  <si>
    <t>total cluster contracted hours</t>
  </si>
  <si>
    <t>reductions as % of total cluster contract hours</t>
  </si>
  <si>
    <t>total cases within the cluster by tier and sentence type</t>
  </si>
  <si>
    <t>Overall</t>
  </si>
  <si>
    <t>ratio of total cases within the cluster by tier and sentence type</t>
  </si>
  <si>
    <t>allocation of community order/SSO cases by grade</t>
  </si>
  <si>
    <t>cluster allocation of community cases by grade as percentage</t>
  </si>
  <si>
    <t>allocation of licence cases by grade</t>
  </si>
  <si>
    <t>cluster allocation of licence cases by grade as percentage</t>
  </si>
  <si>
    <t>allocation of custody cases by grade</t>
  </si>
  <si>
    <t>C$luster alloC$ation of C$ustody C$ases by grade as perC$entage</t>
  </si>
  <si>
    <t>overall allocation of cases by grade</t>
  </si>
  <si>
    <t xml:space="preserve"> C$luster overall alloC$ation of C$ases by grade as perC$entage</t>
  </si>
  <si>
    <t xml:space="preserve"> Team Overview
</t>
  </si>
  <si>
    <t>Please select your region in the cell below, and your team in the box below that:</t>
  </si>
  <si>
    <t>`</t>
  </si>
  <si>
    <t>team level applied active caseload reductions</t>
  </si>
  <si>
    <t>team reductions summary</t>
  </si>
  <si>
    <t>total frequency of applied reductions within team</t>
  </si>
  <si>
    <t>total team reduction in hours</t>
  </si>
  <si>
    <t>total team contracted hours</t>
  </si>
  <si>
    <t>reductions as % of total team contract hours</t>
  </si>
  <si>
    <t>t</t>
  </si>
  <si>
    <t>overall caseload allocation by grade</t>
  </si>
  <si>
    <t>overall caseload allocation by grade as percentage</t>
  </si>
  <si>
    <t>region</t>
  </si>
  <si>
    <t>role</t>
  </si>
  <si>
    <t>total</t>
  </si>
  <si>
    <t>total (including unallocated cases)</t>
  </si>
  <si>
    <t>allocation of cases in the community by grade</t>
  </si>
  <si>
    <t>allocation of cases in the community by grade as percentage</t>
  </si>
  <si>
    <t>allocation of cases in custody by grade</t>
  </si>
  <si>
    <t>allocation of cases in custody by grade as percentage</t>
  </si>
  <si>
    <t xml:space="preserve">National Breakdown Ratios of Caseload Allocation by Tier
</t>
  </si>
  <si>
    <t>overall total cases within regions by tier</t>
  </si>
  <si>
    <t>overall total cases within regions by tier as percentage</t>
  </si>
  <si>
    <t>total custody cases within regions by tier</t>
  </si>
  <si>
    <t>ratios of total custody cases within regions by tier</t>
  </si>
  <si>
    <t>total licence cases within regions by tier</t>
  </si>
  <si>
    <t>ratios of total licence cases within regions by tier</t>
  </si>
  <si>
    <t xml:space="preserve">South West </t>
  </si>
  <si>
    <t>total community cases within regions by tier</t>
  </si>
  <si>
    <t>ratios of total community cases within regions by tier</t>
  </si>
  <si>
    <t>Regional Overall Allocation of Cases</t>
  </si>
  <si>
    <t>total cases within cluster (including dummy officers):</t>
  </si>
  <si>
    <t>total cases within cluster including dummy officers):</t>
  </si>
  <si>
    <t>total cases within cluster (including dummy officers:</t>
  </si>
  <si>
    <t xml:space="preserve">Regional Overall Allocation of Cases as Percentage
</t>
  </si>
  <si>
    <t xml:space="preserve">  Cluster Level Capacities, Reduction of Hours and Unallocated Cases</t>
  </si>
  <si>
    <t>PDU</t>
  </si>
  <si>
    <t>PO capacity (in use)</t>
  </si>
  <si>
    <t>PSO capacity (in use)</t>
  </si>
  <si>
    <t>TPO capacity (in use)</t>
  </si>
  <si>
    <t>National Average</t>
  </si>
  <si>
    <t>Midlands</t>
  </si>
  <si>
    <t>North East</t>
  </si>
  <si>
    <t>North West</t>
  </si>
  <si>
    <t>South East and Eastern</t>
  </si>
  <si>
    <t>South West and South Central</t>
  </si>
  <si>
    <t>total cluster POs present on WMT</t>
  </si>
  <si>
    <t>frequency of cluster POs above 110% capacity</t>
  </si>
  <si>
    <t>percentage of cluster POs above 110% capacity</t>
  </si>
  <si>
    <t>total cluster PSOs present on WMT</t>
  </si>
  <si>
    <t>frequency of cluster PSOs above 110% capacity</t>
  </si>
  <si>
    <t>percentage of cluster PSOs above 110% capacity</t>
  </si>
  <si>
    <t>frequency of cluster PSOs below 90% capacity</t>
  </si>
  <si>
    <t>percentage of cluster PSOs below 90% capacity</t>
  </si>
  <si>
    <t>total cluster TPOs present on WMT</t>
  </si>
  <si>
    <t>frequency of cluster TPOs above 110% capacity</t>
  </si>
  <si>
    <t>percentage of cluster TPOs above 110% capacity</t>
  </si>
  <si>
    <t>total active cases by cluster</t>
  </si>
  <si>
    <t>dummy officers</t>
  </si>
  <si>
    <t>cases held by dummy officers</t>
  </si>
  <si>
    <t>% of active cases held by dummy officers</t>
  </si>
  <si>
    <t>cases held by SPOs</t>
  </si>
  <si>
    <t>cases that require allocation as % of total</t>
  </si>
  <si>
    <t xml:space="preserve">Regional Allocation of Custody Cases
</t>
  </si>
  <si>
    <t>total custody cases within cluster (including dummy officers):</t>
  </si>
  <si>
    <t>total custody cases within cluster including dummy officers):</t>
  </si>
  <si>
    <t>Regional Allocation of Custody Cases as Percentage</t>
  </si>
  <si>
    <t xml:space="preserve">              Regional Allocation of Cases in the Community</t>
  </si>
  <si>
    <t>total cases in the community within cluster (including dummy officers):</t>
  </si>
  <si>
    <t>total cases in the community within cluster including dummy officers):</t>
  </si>
  <si>
    <t xml:space="preserve">Regional Allocation of Cases in the Community as Percentage
</t>
  </si>
  <si>
    <t>total cases in the community within cluster as percentage (including dummy officers):</t>
  </si>
  <si>
    <t>OM Capacity In Use</t>
  </si>
  <si>
    <t>national average</t>
  </si>
  <si>
    <t>PDU Top Ten Cluster OM Capacity Rankings</t>
  </si>
  <si>
    <t>highest capacity PO PDU</t>
  </si>
  <si>
    <t>lowest capacity PSO PDU</t>
  </si>
  <si>
    <t>PDU with greatest range between PO and PSO capacity (average PO capacity minus average PSO capacity)</t>
  </si>
  <si>
    <t>PDU with highest capacity of PSO CMS activity as percentage of overall available capacity (most use of PSO CMS)</t>
  </si>
  <si>
    <t>PDU with lowest capacity of PSO CMS activity as percentage of overall available capacity (least use of PSO CMS)</t>
  </si>
  <si>
    <t>PO to PSO capacity range</t>
  </si>
  <si>
    <t>capacity</t>
  </si>
  <si>
    <t>PDU with highest capacity of TPO CMS activity as percentage of overall available capacity (most use of TPO CMS)</t>
  </si>
  <si>
    <t>PDU with lowest capacity of TPO CMS activity as percentage of overall available capacity (least use of TPO CMS)</t>
  </si>
  <si>
    <t xml:space="preserve">  Over Capacity Offender Managers By Region</t>
  </si>
  <si>
    <t>incidence of PO grade staff over 110% capacity</t>
  </si>
  <si>
    <t>incidence of PSO grade staff over 110% capacity</t>
  </si>
  <si>
    <t>total region POs present on WMT</t>
  </si>
  <si>
    <t>percentage of region POs above 110% capacity</t>
  </si>
  <si>
    <t>region highest capacity individual PO</t>
  </si>
  <si>
    <t>total region PSOs present on WMT</t>
  </si>
  <si>
    <t>frequency of region PSOs above 110% capacity</t>
  </si>
  <si>
    <t>percentage of region PSOs over 110% capacity</t>
  </si>
  <si>
    <t>region highest capacity individual PSO</t>
  </si>
  <si>
    <t>incidence of TPO grade staff over 110% capacity</t>
  </si>
  <si>
    <t>incidence of PSO grade staff below 90% capacity</t>
  </si>
  <si>
    <t>total region TPOs present on WMT</t>
  </si>
  <si>
    <t>frequency of region TPOs above 110% capacity</t>
  </si>
  <si>
    <t>percentage of region TPOs over 110% capacity</t>
  </si>
  <si>
    <t>region highest capacity individual TPO</t>
  </si>
  <si>
    <t>frequency of region PSOs below 90% capacity</t>
  </si>
  <si>
    <t>percentage of region PSOs below 90% capacity</t>
  </si>
  <si>
    <t>Unallocated Cases</t>
  </si>
  <si>
    <t>other unallocated profiles</t>
  </si>
  <si>
    <t>total unallocated</t>
  </si>
  <si>
    <t>cases</t>
  </si>
  <si>
    <t>% of total</t>
  </si>
  <si>
    <t>Regions Reasons for Reduction</t>
  </si>
  <si>
    <t>national number of applied active caseload reductions (top 15 displayed)</t>
  </si>
  <si>
    <t>national sum hours of applied active caseload reductions (top 15 displayed)</t>
  </si>
  <si>
    <t>as percentage of total reduction hours</t>
  </si>
  <si>
    <t>total number of top fifteen active caseload reductions as above</t>
  </si>
  <si>
    <t>total sum hours of top fifteen active caseload reductions as above</t>
  </si>
  <si>
    <t>total number of all active caseload reductions nationally</t>
  </si>
  <si>
    <t>total sum hours of all active caseload reductions nationally</t>
  </si>
  <si>
    <t>Regional level - number of applied active caseload reductions</t>
  </si>
  <si>
    <t>Regional level - hours of reduction by reason</t>
  </si>
  <si>
    <t>total regional contracted hours</t>
  </si>
  <si>
    <t>% of total regional contracted hours</t>
  </si>
  <si>
    <t>Cluster Reasons for Reduction</t>
  </si>
  <si>
    <t>Regional Reductions as % of Contracted Hours</t>
  </si>
  <si>
    <t>PS Region</t>
  </si>
  <si>
    <t>totals</t>
  </si>
  <si>
    <t>reduction in hours</t>
  </si>
  <si>
    <t>reductions as % of contracted hours</t>
  </si>
  <si>
    <t>Caseload Data</t>
  </si>
  <si>
    <t>Allocation By Tier Data Last Updated</t>
  </si>
  <si>
    <t xml:space="preserve"> </t>
  </si>
  <si>
    <t xml:space="preserve">                          Capacity Data</t>
  </si>
  <si>
    <t xml:space="preserve">                                         Reductions Data</t>
  </si>
  <si>
    <t>BDS-Bedford SM</t>
  </si>
  <si>
    <t>BDS-Luton SM</t>
  </si>
  <si>
    <t>BDS-UPW SA</t>
  </si>
  <si>
    <t>CBS-Cambridge SM</t>
  </si>
  <si>
    <t>CBS-Huntingdon SM</t>
  </si>
  <si>
    <t>CBS-Peterborough SM</t>
  </si>
  <si>
    <t>CBS-UPW SA</t>
  </si>
  <si>
    <t>CBS-Wisbech SM</t>
  </si>
  <si>
    <t>EXN-Chelmsford SM</t>
  </si>
  <si>
    <t>EXN-Colchester SM</t>
  </si>
  <si>
    <t>EXN-Harlow SM</t>
  </si>
  <si>
    <t>EXN-UPW SA</t>
  </si>
  <si>
    <t>EXS-Basildon SM</t>
  </si>
  <si>
    <t>EXS-Southend SM</t>
  </si>
  <si>
    <t>EXS-Thurrock SM</t>
  </si>
  <si>
    <t>EXS-UPW SA</t>
  </si>
  <si>
    <t>HFS-Cheshunt SM</t>
  </si>
  <si>
    <t>HFS-St Albans SM</t>
  </si>
  <si>
    <t>HFS-Stevenage SM</t>
  </si>
  <si>
    <t>HFS-UPW SA</t>
  </si>
  <si>
    <t>HFS-Watford SM</t>
  </si>
  <si>
    <t>NFK-King's Lynn SM</t>
  </si>
  <si>
    <t>NFK-UPW SA</t>
  </si>
  <si>
    <t>NTH-Kettering SM</t>
  </si>
  <si>
    <t>NTH-Northampton SM</t>
  </si>
  <si>
    <t>NTH-UPW SA</t>
  </si>
  <si>
    <t>NTH-Wellingborough SM</t>
  </si>
  <si>
    <t>SFK-Bury St Edmunds SM</t>
  </si>
  <si>
    <t>SFK-Ipswich SM</t>
  </si>
  <si>
    <t>SFK-Lowestoft SM</t>
  </si>
  <si>
    <t>SFK-UPW SA</t>
  </si>
  <si>
    <t>Awaiting Allocation Wakefield</t>
  </si>
  <si>
    <t>Average caseload by grade</t>
  </si>
  <si>
    <t>Untiered</t>
  </si>
  <si>
    <t>Average OM caseload (all)</t>
  </si>
  <si>
    <t>Average OM caseload (Community)</t>
  </si>
  <si>
    <t>Overall allocation of community cases by grade</t>
  </si>
  <si>
    <t>Overall allocation of licence cases by grade</t>
  </si>
  <si>
    <t>Average OM caseload (Licence)</t>
  </si>
  <si>
    <t>Overall allocation of custody cases by grade</t>
  </si>
  <si>
    <t>Average OM caseload (Custody)</t>
  </si>
  <si>
    <t>overall allocation of community cases by grade</t>
  </si>
  <si>
    <t>overall allocation of custody cases by grade</t>
  </si>
  <si>
    <t>overall allocation of licence cases by grade</t>
  </si>
  <si>
    <t>PO average caseload per FTE</t>
  </si>
  <si>
    <t>PSO average caseload per FTE</t>
  </si>
  <si>
    <t>TPO average caseload per FTE</t>
  </si>
  <si>
    <t>All OM average caseload per FTE</t>
  </si>
  <si>
    <t>Newcastle 1</t>
  </si>
  <si>
    <t>Newcastle 4</t>
  </si>
  <si>
    <t>Newcastle 2</t>
  </si>
  <si>
    <t>Newcastle 3</t>
  </si>
  <si>
    <t>Bedfordshire SM</t>
  </si>
  <si>
    <t>Cambridgeshire and Peterborough SM</t>
  </si>
  <si>
    <t>Essex North SM</t>
  </si>
  <si>
    <t>Essex South SM</t>
  </si>
  <si>
    <t>Hertfordshire SM</t>
  </si>
  <si>
    <t>Norfolk SM</t>
  </si>
  <si>
    <t>Northamptonshire SM</t>
  </si>
  <si>
    <t>Suffolk SM</t>
  </si>
  <si>
    <t>NFK-Norwich SM</t>
  </si>
  <si>
    <t>Burton</t>
  </si>
  <si>
    <t>UPW SRO Central &amp; North</t>
  </si>
  <si>
    <t>UPW SRO South &amp; East</t>
  </si>
  <si>
    <t>Awaiting Allocation York</t>
  </si>
  <si>
    <t>Hartlepool 1</t>
  </si>
  <si>
    <t>Hartlepool 2</t>
  </si>
  <si>
    <t>Stockton 1</t>
  </si>
  <si>
    <t>Stockton 2</t>
  </si>
  <si>
    <t xml:space="preserve">                  PDU Caseload per FTE overview
</t>
  </si>
  <si>
    <t xml:space="preserve">                  Regional caseload per FTE Overview
</t>
  </si>
  <si>
    <t xml:space="preserve">HMIP - Regional caseload per FTE </t>
  </si>
  <si>
    <t>HMIP - PDU caseload per FTE</t>
  </si>
  <si>
    <t>NBR North Tyneside LMC</t>
  </si>
  <si>
    <t>NBR Northumberland LMC</t>
  </si>
  <si>
    <t>Inactive Team(N56)</t>
  </si>
  <si>
    <t>Awaiting Allocation ISLINGTON</t>
  </si>
  <si>
    <t>KAR PQIP</t>
  </si>
  <si>
    <t>Awaiting Allocation NEWHAM</t>
  </si>
  <si>
    <t>Awaiting Allocation N Tyneside Northumberland</t>
  </si>
  <si>
    <t>Wirral 3</t>
  </si>
  <si>
    <t>IOM Staffordshire</t>
  </si>
  <si>
    <t>Staffordshire Short Term Custody</t>
  </si>
  <si>
    <t>Licence</t>
  </si>
  <si>
    <t>Custody</t>
  </si>
  <si>
    <t>Community</t>
  </si>
  <si>
    <r>
      <t>National Caseload Allocation by Tier</t>
    </r>
    <r>
      <rPr>
        <b/>
        <sz val="12"/>
        <color theme="0"/>
        <rFont val="Arial"/>
        <family val="2"/>
      </rPr>
      <t xml:space="preserve">
</t>
    </r>
    <r>
      <rPr>
        <sz val="12"/>
        <color theme="0"/>
        <rFont val="Arial"/>
        <family val="2"/>
      </rPr>
      <t>These summations do NOT include unallocated cases</t>
    </r>
  </si>
  <si>
    <t>Total caseloads (all OMs)</t>
  </si>
  <si>
    <t>Caseload</t>
  </si>
  <si>
    <t>Birmingham East Short Term Custody</t>
  </si>
  <si>
    <t>Birmingham North Short Term Custody</t>
  </si>
  <si>
    <t xml:space="preserve">BSG Bristol IOM </t>
  </si>
  <si>
    <t>County East</t>
  </si>
  <si>
    <t>County South</t>
  </si>
  <si>
    <t>Derby City IOM</t>
  </si>
  <si>
    <t>NBR Gateshead LMC</t>
  </si>
  <si>
    <t>Unallocated Team(N55)</t>
  </si>
  <si>
    <t>YSS Rotherham OMU 4</t>
  </si>
  <si>
    <t>Average PO capacity in use</t>
  </si>
  <si>
    <t>Average PSO capacity in use</t>
  </si>
  <si>
    <t>Average TPO capacity in use</t>
  </si>
  <si>
    <t>Average OM capacity in use</t>
  </si>
  <si>
    <t>Team overview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</si>
</sst>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quot;WMT Data As At: &quot;dd/mm/yyyy"/>
  </numFmts>
  <fonts count="89" x14ac:knownFonts="1">
    <font>
      <sz val="11"/>
      <color theme="1"/>
      <name val="Times New Roman"/>
      <family val="2"/>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b/>
      <sz val="12"/>
      <color theme="1"/>
      <name val="Arial"/>
      <family val="2"/>
    </font>
    <font>
      <sz val="11"/>
      <color theme="1"/>
      <name val="Arial"/>
      <family val="2"/>
    </font>
    <font>
      <sz val="26"/>
      <color theme="0"/>
      <name val="Arial"/>
      <family val="2"/>
    </font>
    <font>
      <sz val="12"/>
      <color theme="0"/>
      <name val="Arial"/>
      <family val="2"/>
    </font>
    <font>
      <b/>
      <sz val="12"/>
      <color theme="0"/>
      <name val="Arial"/>
      <family val="2"/>
    </font>
    <font>
      <b/>
      <sz val="16"/>
      <color rgb="FF7030A0"/>
      <name val="Arial"/>
      <family val="2"/>
    </font>
    <font>
      <b/>
      <sz val="12"/>
      <color rgb="FF7030A0"/>
      <name val="Arial"/>
      <family val="2"/>
    </font>
    <font>
      <b/>
      <sz val="18"/>
      <color theme="1"/>
      <name val="Arial"/>
      <family val="2"/>
    </font>
    <font>
      <b/>
      <sz val="11"/>
      <color theme="1"/>
      <name val="Times New Roman"/>
      <family val="1"/>
    </font>
    <font>
      <b/>
      <sz val="11"/>
      <color theme="0"/>
      <name val="Arial"/>
      <family val="2"/>
    </font>
    <font>
      <b/>
      <sz val="12"/>
      <name val="Arial"/>
      <family val="2"/>
    </font>
    <font>
      <sz val="11"/>
      <color theme="1"/>
      <name val="Times New Roman"/>
      <family val="2"/>
    </font>
    <font>
      <b/>
      <sz val="11"/>
      <color theme="1"/>
      <name val="Times New Roman"/>
      <family val="2"/>
    </font>
    <font>
      <u/>
      <sz val="11"/>
      <color theme="10"/>
      <name val="Times New Roman"/>
      <family val="2"/>
    </font>
    <font>
      <b/>
      <u/>
      <sz val="11"/>
      <color theme="1"/>
      <name val="Times New Roman"/>
      <family val="1"/>
    </font>
    <font>
      <sz val="11"/>
      <color theme="1"/>
      <name val="Calibri"/>
      <family val="2"/>
      <scheme val="minor"/>
    </font>
    <font>
      <b/>
      <u/>
      <sz val="12"/>
      <color theme="1"/>
      <name val="Arial"/>
      <family val="2"/>
    </font>
    <font>
      <b/>
      <sz val="20"/>
      <color theme="1"/>
      <name val="Arial"/>
      <family val="2"/>
    </font>
    <font>
      <sz val="10"/>
      <color theme="1"/>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theme="1"/>
      <name val="Arial"/>
      <family val="2"/>
    </font>
    <font>
      <b/>
      <sz val="10"/>
      <color theme="0"/>
      <name val="Arial"/>
      <family val="2"/>
    </font>
    <font>
      <b/>
      <sz val="14"/>
      <color theme="1"/>
      <name val="Arial"/>
      <family val="2"/>
    </font>
    <font>
      <sz val="36"/>
      <color theme="0"/>
      <name val="Arial"/>
      <family val="2"/>
    </font>
    <font>
      <b/>
      <sz val="20"/>
      <color theme="0"/>
      <name val="Arial"/>
      <family val="2"/>
    </font>
    <font>
      <b/>
      <sz val="10"/>
      <color rgb="FFFF00FF"/>
      <name val="Arial"/>
      <family val="2"/>
    </font>
    <font>
      <b/>
      <sz val="10"/>
      <color rgb="FF6600CC"/>
      <name val="Arial"/>
      <family val="2"/>
    </font>
    <font>
      <b/>
      <sz val="14"/>
      <color rgb="FF7030A0"/>
      <name val="Arial"/>
      <family val="2"/>
    </font>
    <font>
      <b/>
      <sz val="12"/>
      <color rgb="FFF2F2F2"/>
      <name val="Arial"/>
      <family val="2"/>
    </font>
    <font>
      <sz val="11"/>
      <color theme="0"/>
      <name val="Times New Roman"/>
      <family val="2"/>
    </font>
    <font>
      <sz val="12"/>
      <color theme="1"/>
      <name val="Times New Roman"/>
      <family val="2"/>
    </font>
    <font>
      <b/>
      <sz val="11"/>
      <color theme="0"/>
      <name val="Times New Roman"/>
      <family val="2"/>
    </font>
    <font>
      <sz val="11"/>
      <name val="Times New Roman"/>
      <family val="2"/>
    </font>
    <font>
      <sz val="18"/>
      <color theme="1"/>
      <name val="Arial"/>
      <family val="2"/>
    </font>
    <font>
      <sz val="14"/>
      <color theme="1"/>
      <name val="Arial"/>
      <family val="2"/>
    </font>
    <font>
      <sz val="14"/>
      <color theme="1"/>
      <name val="Times New Roman"/>
      <family val="2"/>
    </font>
    <font>
      <u/>
      <sz val="14"/>
      <color theme="10"/>
      <name val="Arial"/>
      <family val="2"/>
    </font>
    <font>
      <sz val="10"/>
      <color theme="1"/>
      <name val="Times New Roman"/>
      <family val="2"/>
    </font>
    <font>
      <b/>
      <sz val="10"/>
      <color rgb="FFF2F2F2"/>
      <name val="Arial"/>
      <family val="2"/>
    </font>
    <font>
      <b/>
      <sz val="18"/>
      <color theme="0"/>
      <name val="Arial"/>
      <family val="2"/>
    </font>
    <font>
      <b/>
      <sz val="18"/>
      <color theme="1"/>
      <name val="Times New Roman"/>
      <family val="2"/>
    </font>
    <font>
      <sz val="18"/>
      <color theme="1"/>
      <name val="Times New Roman"/>
      <family val="2"/>
    </font>
    <font>
      <sz val="10"/>
      <name val="Arial"/>
      <family val="2"/>
    </font>
    <font>
      <b/>
      <sz val="10"/>
      <color theme="1"/>
      <name val="Arial"/>
      <family val="2"/>
    </font>
    <font>
      <b/>
      <sz val="22"/>
      <color theme="0"/>
      <name val="Arial"/>
      <family val="2"/>
    </font>
    <font>
      <b/>
      <sz val="10"/>
      <color theme="1"/>
      <name val="Times New Roman"/>
      <family val="2"/>
    </font>
    <font>
      <b/>
      <sz val="10"/>
      <name val="Arial"/>
      <family val="2"/>
    </font>
    <font>
      <sz val="10"/>
      <name val="Times New Roman"/>
      <family val="2"/>
    </font>
    <font>
      <sz val="18"/>
      <color theme="0"/>
      <name val="Arial"/>
      <family val="2"/>
    </font>
    <font>
      <sz val="22"/>
      <color theme="0"/>
      <name val="Arial"/>
      <family val="2"/>
    </font>
    <font>
      <sz val="24"/>
      <color theme="0"/>
      <name val="Arial"/>
      <family val="2"/>
    </font>
    <font>
      <sz val="20"/>
      <color theme="0"/>
      <name val="Arial"/>
      <family val="2"/>
    </font>
    <font>
      <b/>
      <sz val="11"/>
      <color rgb="FF7030A0"/>
      <name val="Arial"/>
      <family val="2"/>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Times New Roman"/>
      <family val="2"/>
    </font>
    <font>
      <sz val="11"/>
      <name val="Times New Roman"/>
      <family val="1"/>
    </font>
  </fonts>
  <fills count="5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4" tint="0.59999389629810485"/>
        <bgColor indexed="64"/>
      </patternFill>
    </fill>
    <fill>
      <gradientFill degree="180">
        <stop position="0">
          <color theme="0"/>
        </stop>
        <stop position="1">
          <color rgb="FF7030A0"/>
        </stop>
      </gradientFill>
    </fill>
    <fill>
      <patternFill patternType="solid">
        <fgColor rgb="FF7030A0"/>
        <bgColor indexed="64"/>
      </patternFill>
    </fill>
    <fill>
      <gradientFill degree="180">
        <stop position="0">
          <color theme="0"/>
        </stop>
        <stop position="1">
          <color theme="0" tint="-0.1490218817712943"/>
        </stop>
      </gradientFill>
    </fill>
    <fill>
      <patternFill patternType="solid">
        <fgColor theme="2" tint="-9.9978637043366805E-2"/>
        <bgColor indexed="64"/>
      </patternFill>
    </fill>
    <fill>
      <patternFill patternType="solid">
        <fgColor rgb="FF00B0F0"/>
        <bgColor indexed="64"/>
      </patternFill>
    </fill>
    <fill>
      <patternFill patternType="solid">
        <fgColor rgb="FFA7E8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rgb="FF7030A0"/>
        <bgColor auto="1"/>
      </patternFill>
    </fill>
    <fill>
      <patternFill patternType="solid">
        <fgColor theme="0"/>
        <bgColor auto="1"/>
      </patternFill>
    </fill>
    <fill>
      <patternFill patternType="solid">
        <fgColor theme="7" tint="0.59999389629810485"/>
        <bgColor indexed="64"/>
      </patternFill>
    </fill>
    <fill>
      <patternFill patternType="solid">
        <fgColor theme="4" tint="0.39997558519241921"/>
        <bgColor indexed="64"/>
      </patternFill>
    </fill>
    <fill>
      <patternFill patternType="solid">
        <fgColor theme="0" tint="-0.14999847407452621"/>
        <bgColor auto="1"/>
      </patternFill>
    </fill>
    <fill>
      <patternFill patternType="solid">
        <fgColor theme="3" tint="0.79998168889431442"/>
        <bgColor indexed="64"/>
      </patternFill>
    </fill>
    <fill>
      <patternFill patternType="solid">
        <fgColor rgb="FFE27070"/>
        <bgColor indexed="64"/>
      </patternFill>
    </fill>
    <fill>
      <patternFill patternType="solid">
        <fgColor theme="6" tint="0.59999389629810485"/>
        <bgColor indexed="64"/>
      </patternFill>
    </fill>
  </fills>
  <borders count="6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medium">
        <color indexed="64"/>
      </top>
      <bottom/>
      <diagonal/>
    </border>
    <border>
      <left style="medium">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medium">
        <color indexed="64"/>
      </top>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s>
  <cellStyleXfs count="228">
    <xf numFmtId="0" fontId="0" fillId="0" borderId="0"/>
    <xf numFmtId="9" fontId="16" fillId="0" borderId="0" applyFont="0" applyFill="0" applyBorder="0" applyAlignment="0" applyProtection="0"/>
    <xf numFmtId="0" fontId="18" fillId="0" borderId="0" applyNumberFormat="0" applyFill="0" applyBorder="0" applyAlignment="0" applyProtection="0"/>
    <xf numFmtId="0" fontId="20" fillId="0" borderId="0"/>
    <xf numFmtId="0" fontId="24" fillId="0" borderId="0" applyNumberFormat="0" applyFill="0" applyBorder="0" applyAlignment="0" applyProtection="0"/>
    <xf numFmtId="0" fontId="25" fillId="0" borderId="36" applyNumberFormat="0" applyFill="0" applyAlignment="0" applyProtection="0"/>
    <xf numFmtId="0" fontId="26" fillId="0" borderId="37" applyNumberFormat="0" applyFill="0" applyAlignment="0" applyProtection="0"/>
    <xf numFmtId="0" fontId="27" fillId="0" borderId="38" applyNumberFormat="0" applyFill="0" applyAlignment="0" applyProtection="0"/>
    <xf numFmtId="0" fontId="27" fillId="0" borderId="0" applyNumberFormat="0" applyFill="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0" applyNumberFormat="0" applyBorder="0" applyAlignment="0" applyProtection="0"/>
    <xf numFmtId="0" fontId="31" fillId="18" borderId="39" applyNumberFormat="0" applyAlignment="0" applyProtection="0"/>
    <xf numFmtId="0" fontId="32" fillId="19" borderId="40" applyNumberFormat="0" applyAlignment="0" applyProtection="0"/>
    <xf numFmtId="0" fontId="33" fillId="19" borderId="39" applyNumberFormat="0" applyAlignment="0" applyProtection="0"/>
    <xf numFmtId="0" fontId="34" fillId="0" borderId="41" applyNumberFormat="0" applyFill="0" applyAlignment="0" applyProtection="0"/>
    <xf numFmtId="0" fontId="35" fillId="20" borderId="42" applyNumberFormat="0" applyAlignment="0" applyProtection="0"/>
    <xf numFmtId="0" fontId="36" fillId="0" borderId="0" applyNumberFormat="0" applyFill="0" applyBorder="0" applyAlignment="0" applyProtection="0"/>
    <xf numFmtId="0" fontId="20" fillId="21" borderId="43" applyNumberFormat="0" applyFont="0" applyAlignment="0" applyProtection="0"/>
    <xf numFmtId="0" fontId="37" fillId="0" borderId="0" applyNumberFormat="0" applyFill="0" applyBorder="0" applyAlignment="0" applyProtection="0"/>
    <xf numFmtId="0" fontId="38" fillId="0" borderId="44" applyNumberFormat="0" applyFill="0" applyAlignment="0" applyProtection="0"/>
    <xf numFmtId="0" fontId="39"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39" fillId="26"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39" fillId="30" borderId="0" applyNumberFormat="0" applyBorder="0" applyAlignment="0" applyProtection="0"/>
    <xf numFmtId="0" fontId="20" fillId="31" borderId="0" applyNumberFormat="0" applyBorder="0" applyAlignment="0" applyProtection="0"/>
    <xf numFmtId="0" fontId="20" fillId="32" borderId="0" applyNumberFormat="0" applyBorder="0" applyAlignment="0" applyProtection="0"/>
    <xf numFmtId="0" fontId="20" fillId="33" borderId="0" applyNumberFormat="0" applyBorder="0" applyAlignment="0" applyProtection="0"/>
    <xf numFmtId="0" fontId="39" fillId="34" borderId="0" applyNumberFormat="0" applyBorder="0" applyAlignment="0" applyProtection="0"/>
    <xf numFmtId="0" fontId="20" fillId="35" borderId="0" applyNumberFormat="0" applyBorder="0" applyAlignment="0" applyProtection="0"/>
    <xf numFmtId="0" fontId="20" fillId="36" borderId="0" applyNumberFormat="0" applyBorder="0" applyAlignment="0" applyProtection="0"/>
    <xf numFmtId="0" fontId="20" fillId="37" borderId="0" applyNumberFormat="0" applyBorder="0" applyAlignment="0" applyProtection="0"/>
    <xf numFmtId="0" fontId="39" fillId="38" borderId="0" applyNumberFormat="0" applyBorder="0" applyAlignment="0" applyProtection="0"/>
    <xf numFmtId="0" fontId="20" fillId="39" borderId="0" applyNumberFormat="0" applyBorder="0" applyAlignment="0" applyProtection="0"/>
    <xf numFmtId="0" fontId="20" fillId="40" borderId="0" applyNumberFormat="0" applyBorder="0" applyAlignment="0" applyProtection="0"/>
    <xf numFmtId="0" fontId="20" fillId="41" borderId="0" applyNumberFormat="0" applyBorder="0" applyAlignment="0" applyProtection="0"/>
    <xf numFmtId="0" fontId="39" fillId="42" borderId="0" applyNumberFormat="0" applyBorder="0" applyAlignment="0" applyProtection="0"/>
    <xf numFmtId="0" fontId="20" fillId="43" borderId="0" applyNumberFormat="0" applyBorder="0" applyAlignment="0" applyProtection="0"/>
    <xf numFmtId="0" fontId="20" fillId="44" borderId="0" applyNumberFormat="0" applyBorder="0" applyAlignment="0" applyProtection="0"/>
    <xf numFmtId="0" fontId="20" fillId="45" borderId="0" applyNumberFormat="0" applyBorder="0" applyAlignment="0" applyProtection="0"/>
    <xf numFmtId="0" fontId="40" fillId="0" borderId="0" applyNumberFormat="0" applyFill="0" applyBorder="0" applyAlignment="0" applyProtection="0"/>
    <xf numFmtId="0" fontId="3" fillId="0" borderId="0"/>
    <xf numFmtId="0" fontId="3" fillId="21" borderId="43" applyNumberFormat="0" applyFont="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7"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29" fillId="16" borderId="0" applyNumberFormat="0" applyBorder="0" applyAlignment="0" applyProtection="0"/>
    <xf numFmtId="0" fontId="25" fillId="0" borderId="36" applyNumberFormat="0" applyFill="0" applyAlignment="0" applyProtection="0"/>
    <xf numFmtId="0" fontId="26" fillId="0" borderId="37" applyNumberFormat="0" applyFill="0" applyAlignment="0" applyProtection="0"/>
    <xf numFmtId="0" fontId="27" fillId="0" borderId="38" applyNumberFormat="0" applyFill="0" applyAlignment="0" applyProtection="0"/>
    <xf numFmtId="0" fontId="27" fillId="0" borderId="0" applyNumberFormat="0" applyFill="0" applyBorder="0" applyAlignment="0" applyProtection="0"/>
    <xf numFmtId="0" fontId="74" fillId="0" borderId="0"/>
    <xf numFmtId="0" fontId="75" fillId="15" borderId="0" applyNumberFormat="0" applyBorder="0" applyAlignment="0" applyProtection="0"/>
    <xf numFmtId="0" fontId="76" fillId="16" borderId="0" applyNumberFormat="0" applyBorder="0" applyAlignment="0" applyProtection="0"/>
    <xf numFmtId="0" fontId="77" fillId="17" borderId="0" applyNumberFormat="0" applyBorder="0" applyAlignment="0" applyProtection="0"/>
    <xf numFmtId="0" fontId="78" fillId="18" borderId="39" applyNumberFormat="0" applyAlignment="0" applyProtection="0"/>
    <xf numFmtId="0" fontId="79" fillId="19" borderId="40" applyNumberFormat="0" applyAlignment="0" applyProtection="0"/>
    <xf numFmtId="0" fontId="80" fillId="19" borderId="39" applyNumberFormat="0" applyAlignment="0" applyProtection="0"/>
    <xf numFmtId="0" fontId="81" fillId="0" borderId="41" applyNumberFormat="0" applyFill="0" applyAlignment="0" applyProtection="0"/>
    <xf numFmtId="0" fontId="82" fillId="20" borderId="42" applyNumberFormat="0" applyAlignment="0" applyProtection="0"/>
    <xf numFmtId="0" fontId="83" fillId="0" borderId="0" applyNumberFormat="0" applyFill="0" applyBorder="0" applyAlignment="0" applyProtection="0"/>
    <xf numFmtId="0" fontId="74" fillId="21" borderId="43" applyNumberFormat="0" applyFont="0" applyAlignment="0" applyProtection="0"/>
    <xf numFmtId="0" fontId="84" fillId="0" borderId="0" applyNumberFormat="0" applyFill="0" applyBorder="0" applyAlignment="0" applyProtection="0"/>
    <xf numFmtId="0" fontId="85" fillId="0" borderId="44" applyNumberFormat="0" applyFill="0" applyAlignment="0" applyProtection="0"/>
    <xf numFmtId="0" fontId="86" fillId="22" borderId="0" applyNumberFormat="0" applyBorder="0" applyAlignment="0" applyProtection="0"/>
    <xf numFmtId="0" fontId="74" fillId="23" borderId="0" applyNumberFormat="0" applyBorder="0" applyAlignment="0" applyProtection="0"/>
    <xf numFmtId="0" fontId="74" fillId="24" borderId="0" applyNumberFormat="0" applyBorder="0" applyAlignment="0" applyProtection="0"/>
    <xf numFmtId="0" fontId="74" fillId="25" borderId="0" applyNumberFormat="0" applyBorder="0" applyAlignment="0" applyProtection="0"/>
    <xf numFmtId="0" fontId="86" fillId="26" borderId="0" applyNumberFormat="0" applyBorder="0" applyAlignment="0" applyProtection="0"/>
    <xf numFmtId="0" fontId="74" fillId="27" borderId="0" applyNumberFormat="0" applyBorder="0" applyAlignment="0" applyProtection="0"/>
    <xf numFmtId="0" fontId="74" fillId="28" borderId="0" applyNumberFormat="0" applyBorder="0" applyAlignment="0" applyProtection="0"/>
    <xf numFmtId="0" fontId="74" fillId="29" borderId="0" applyNumberFormat="0" applyBorder="0" applyAlignment="0" applyProtection="0"/>
    <xf numFmtId="0" fontId="86" fillId="30" borderId="0" applyNumberFormat="0" applyBorder="0" applyAlignment="0" applyProtection="0"/>
    <xf numFmtId="0" fontId="74" fillId="31" borderId="0" applyNumberFormat="0" applyBorder="0" applyAlignment="0" applyProtection="0"/>
    <xf numFmtId="0" fontId="74" fillId="32" borderId="0" applyNumberFormat="0" applyBorder="0" applyAlignment="0" applyProtection="0"/>
    <xf numFmtId="0" fontId="74" fillId="33" borderId="0" applyNumberFormat="0" applyBorder="0" applyAlignment="0" applyProtection="0"/>
    <xf numFmtId="0" fontId="86" fillId="34" borderId="0" applyNumberFormat="0" applyBorder="0" applyAlignment="0" applyProtection="0"/>
    <xf numFmtId="0" fontId="74" fillId="35" borderId="0" applyNumberFormat="0" applyBorder="0" applyAlignment="0" applyProtection="0"/>
    <xf numFmtId="0" fontId="74" fillId="36" borderId="0" applyNumberFormat="0" applyBorder="0" applyAlignment="0" applyProtection="0"/>
    <xf numFmtId="0" fontId="74" fillId="37" borderId="0" applyNumberFormat="0" applyBorder="0" applyAlignment="0" applyProtection="0"/>
    <xf numFmtId="0" fontId="86" fillId="38" borderId="0" applyNumberFormat="0" applyBorder="0" applyAlignment="0" applyProtection="0"/>
    <xf numFmtId="0" fontId="74" fillId="39" borderId="0" applyNumberFormat="0" applyBorder="0" applyAlignment="0" applyProtection="0"/>
    <xf numFmtId="0" fontId="74" fillId="40" borderId="0" applyNumberFormat="0" applyBorder="0" applyAlignment="0" applyProtection="0"/>
    <xf numFmtId="0" fontId="74" fillId="41" borderId="0" applyNumberFormat="0" applyBorder="0" applyAlignment="0" applyProtection="0"/>
    <xf numFmtId="0" fontId="86" fillId="42" borderId="0" applyNumberFormat="0" applyBorder="0" applyAlignment="0" applyProtection="0"/>
    <xf numFmtId="0" fontId="74" fillId="43" borderId="0" applyNumberFormat="0" applyBorder="0" applyAlignment="0" applyProtection="0"/>
    <xf numFmtId="0" fontId="74" fillId="44" borderId="0" applyNumberFormat="0" applyBorder="0" applyAlignment="0" applyProtection="0"/>
    <xf numFmtId="0" fontId="74" fillId="45" borderId="0" applyNumberFormat="0" applyBorder="0" applyAlignment="0" applyProtection="0"/>
    <xf numFmtId="0" fontId="2" fillId="0" borderId="0"/>
    <xf numFmtId="0" fontId="2" fillId="21" borderId="43" applyNumberFormat="0" applyFont="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2" fillId="0" borderId="0"/>
    <xf numFmtId="0" fontId="2" fillId="21" borderId="43" applyNumberFormat="0" applyFont="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1" fillId="0" borderId="0"/>
    <xf numFmtId="0" fontId="1" fillId="21" borderId="43" applyNumberFormat="0" applyFont="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0" borderId="0"/>
    <xf numFmtId="0" fontId="1" fillId="21" borderId="43" applyNumberFormat="0" applyFont="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0" borderId="0"/>
    <xf numFmtId="0" fontId="1" fillId="21" borderId="43" applyNumberFormat="0" applyFont="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0" borderId="0"/>
    <xf numFmtId="0" fontId="1" fillId="21" borderId="43" applyNumberFormat="0" applyFont="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cellStyleXfs>
  <cellXfs count="464">
    <xf numFmtId="0" fontId="0" fillId="0" borderId="0" xfId="0"/>
    <xf numFmtId="0" fontId="4" fillId="0" borderId="0" xfId="0" applyFont="1"/>
    <xf numFmtId="0" fontId="4" fillId="0" borderId="0" xfId="0" applyFont="1" applyAlignment="1">
      <alignment horizontal="center"/>
    </xf>
    <xf numFmtId="0" fontId="6" fillId="0" borderId="0" xfId="0" applyFont="1"/>
    <xf numFmtId="0" fontId="7" fillId="0" borderId="0" xfId="0" applyFont="1" applyAlignment="1">
      <alignment vertical="center"/>
    </xf>
    <xf numFmtId="14" fontId="4" fillId="0" borderId="0" xfId="0" applyNumberFormat="1" applyFont="1" applyAlignment="1">
      <alignment vertical="center"/>
    </xf>
    <xf numFmtId="0" fontId="0" fillId="0" borderId="0" xfId="0" applyAlignment="1">
      <alignment horizontal="center"/>
    </xf>
    <xf numFmtId="0" fontId="18" fillId="0" borderId="0" xfId="2"/>
    <xf numFmtId="0" fontId="19" fillId="0" borderId="1" xfId="0" applyFont="1" applyBorder="1" applyAlignment="1">
      <alignment horizontal="center"/>
    </xf>
    <xf numFmtId="0" fontId="0" fillId="4" borderId="0" xfId="0" applyFill="1"/>
    <xf numFmtId="0" fontId="0" fillId="0" borderId="0" xfId="0" applyAlignment="1">
      <alignment horizontal="left"/>
    </xf>
    <xf numFmtId="0" fontId="4" fillId="4" borderId="0" xfId="0" applyFont="1" applyFill="1"/>
    <xf numFmtId="0" fontId="4" fillId="4" borderId="0" xfId="0" applyFont="1" applyFill="1" applyAlignment="1">
      <alignment horizontal="center" vertical="top" wrapText="1"/>
    </xf>
    <xf numFmtId="0" fontId="21" fillId="4" borderId="2" xfId="0" applyFont="1" applyFill="1" applyBorder="1" applyAlignment="1">
      <alignment horizontal="center"/>
    </xf>
    <xf numFmtId="0" fontId="9" fillId="10" borderId="2" xfId="0" applyFont="1" applyFill="1" applyBorder="1" applyAlignment="1">
      <alignment horizontal="center" vertical="center"/>
    </xf>
    <xf numFmtId="0" fontId="9" fillId="4" borderId="0" xfId="0" applyFont="1" applyFill="1" applyAlignment="1">
      <alignment horizontal="center" vertical="top" wrapText="1"/>
    </xf>
    <xf numFmtId="164" fontId="4" fillId="0" borderId="1" xfId="0" applyNumberFormat="1" applyFont="1" applyBorder="1"/>
    <xf numFmtId="0" fontId="22" fillId="0" borderId="0" xfId="0" applyFont="1" applyAlignment="1">
      <alignment vertical="center" wrapText="1"/>
    </xf>
    <xf numFmtId="9" fontId="23" fillId="14" borderId="1" xfId="0" applyNumberFormat="1" applyFont="1" applyFill="1" applyBorder="1" applyAlignment="1">
      <alignment horizontal="center" vertical="center"/>
    </xf>
    <xf numFmtId="0" fontId="17" fillId="0" borderId="0" xfId="0" applyFont="1" applyAlignment="1">
      <alignment horizontal="center"/>
    </xf>
    <xf numFmtId="166" fontId="4" fillId="0" borderId="4" xfId="0" applyNumberFormat="1" applyFont="1" applyBorder="1" applyAlignment="1">
      <alignment horizontal="center" vertical="center"/>
    </xf>
    <xf numFmtId="166" fontId="4" fillId="0" borderId="0" xfId="0" applyNumberFormat="1" applyFont="1" applyAlignment="1">
      <alignment horizontal="center" vertical="center"/>
    </xf>
    <xf numFmtId="0" fontId="14" fillId="10" borderId="0" xfId="0" applyFont="1" applyFill="1" applyAlignment="1">
      <alignment horizontal="left" vertical="center" wrapText="1"/>
    </xf>
    <xf numFmtId="0" fontId="6" fillId="0" borderId="0" xfId="0" applyFont="1" applyAlignment="1">
      <alignment horizontal="center"/>
    </xf>
    <xf numFmtId="10" fontId="4" fillId="0" borderId="1" xfId="0" applyNumberFormat="1" applyFont="1" applyBorder="1" applyAlignment="1">
      <alignment horizontal="center"/>
    </xf>
    <xf numFmtId="0" fontId="0" fillId="4" borderId="1" xfId="0" applyFill="1" applyBorder="1"/>
    <xf numFmtId="0" fontId="8" fillId="10" borderId="25" xfId="0" applyFont="1" applyFill="1" applyBorder="1" applyAlignment="1">
      <alignment horizontal="center" vertical="center"/>
    </xf>
    <xf numFmtId="0" fontId="9" fillId="10" borderId="1" xfId="0" applyFont="1" applyFill="1" applyBorder="1"/>
    <xf numFmtId="0" fontId="15" fillId="5" borderId="1" xfId="0" applyFont="1" applyFill="1" applyBorder="1" applyAlignment="1">
      <alignment vertical="center" wrapText="1"/>
    </xf>
    <xf numFmtId="0" fontId="0" fillId="4" borderId="0" xfId="0" applyFill="1" applyAlignment="1">
      <alignment horizontal="center"/>
    </xf>
    <xf numFmtId="164" fontId="4" fillId="0" borderId="1" xfId="0" applyNumberFormat="1" applyFont="1" applyBorder="1" applyAlignment="1">
      <alignment horizontal="center"/>
    </xf>
    <xf numFmtId="0" fontId="0" fillId="7" borderId="0" xfId="0" applyFill="1"/>
    <xf numFmtId="0" fontId="0" fillId="7" borderId="0" xfId="0" applyFill="1" applyAlignment="1">
      <alignment horizontal="center"/>
    </xf>
    <xf numFmtId="0" fontId="13" fillId="0" borderId="0" xfId="0" applyFont="1"/>
    <xf numFmtId="0" fontId="47" fillId="5" borderId="1" xfId="0" applyFont="1" applyFill="1" applyBorder="1" applyAlignment="1">
      <alignment horizontal="center" vertical="center"/>
    </xf>
    <xf numFmtId="0" fontId="8" fillId="10" borderId="2" xfId="0" applyFont="1" applyFill="1" applyBorder="1" applyAlignment="1">
      <alignment horizontal="center" vertical="center"/>
    </xf>
    <xf numFmtId="0" fontId="9" fillId="0" borderId="0" xfId="0" applyFont="1" applyAlignment="1">
      <alignment horizontal="center"/>
    </xf>
    <xf numFmtId="0" fontId="49" fillId="0" borderId="0" xfId="0" applyFont="1" applyAlignment="1">
      <alignment horizontal="center" vertical="center" wrapText="1"/>
    </xf>
    <xf numFmtId="0" fontId="0" fillId="0" borderId="1" xfId="0" applyBorder="1" applyAlignment="1">
      <alignment horizontal="center"/>
    </xf>
    <xf numFmtId="0" fontId="41" fillId="0" borderId="0" xfId="0" applyFont="1" applyAlignment="1">
      <alignment wrapText="1"/>
    </xf>
    <xf numFmtId="0" fontId="14" fillId="10" borderId="1" xfId="0" applyFont="1" applyFill="1" applyBorder="1" applyAlignment="1">
      <alignment horizontal="center" vertical="center" wrapText="1"/>
    </xf>
    <xf numFmtId="0" fontId="14" fillId="10" borderId="0" xfId="0" applyFont="1" applyFill="1" applyAlignment="1">
      <alignment horizontal="center"/>
    </xf>
    <xf numFmtId="0" fontId="42" fillId="10" borderId="1" xfId="0" applyFont="1" applyFill="1" applyBorder="1" applyAlignment="1">
      <alignment horizontal="center"/>
    </xf>
    <xf numFmtId="10" fontId="0" fillId="0" borderId="0" xfId="0" applyNumberFormat="1"/>
    <xf numFmtId="0" fontId="50" fillId="2" borderId="0" xfId="0" applyFont="1" applyFill="1" applyAlignment="1">
      <alignment horizontal="center"/>
    </xf>
    <xf numFmtId="0" fontId="45" fillId="47" borderId="26" xfId="0" quotePrefix="1" applyFont="1" applyFill="1" applyBorder="1" applyAlignment="1">
      <alignment horizontal="center" vertical="center"/>
    </xf>
    <xf numFmtId="0" fontId="45" fillId="47" borderId="25" xfId="0" quotePrefix="1" applyFont="1" applyFill="1" applyBorder="1" applyAlignment="1">
      <alignment horizontal="center" vertical="center"/>
    </xf>
    <xf numFmtId="0" fontId="46" fillId="6" borderId="1" xfId="0" applyFont="1" applyFill="1" applyBorder="1" applyAlignment="1">
      <alignment horizontal="center" vertical="center" wrapText="1"/>
    </xf>
    <xf numFmtId="0" fontId="9" fillId="0" borderId="0" xfId="0" applyFont="1" applyAlignment="1">
      <alignment horizontal="center" wrapText="1"/>
    </xf>
    <xf numFmtId="0" fontId="4" fillId="4" borderId="2" xfId="0" applyFont="1" applyFill="1" applyBorder="1"/>
    <xf numFmtId="0" fontId="4" fillId="4" borderId="1" xfId="0" applyFont="1" applyFill="1" applyBorder="1" applyAlignment="1">
      <alignment wrapText="1"/>
    </xf>
    <xf numFmtId="0" fontId="4" fillId="0" borderId="1" xfId="0" applyFont="1" applyBorder="1" applyAlignment="1">
      <alignment horizontal="center" wrapText="1"/>
    </xf>
    <xf numFmtId="0" fontId="53" fillId="0" borderId="0" xfId="0" applyFont="1"/>
    <xf numFmtId="166" fontId="4" fillId="48" borderId="0" xfId="0" applyNumberFormat="1" applyFont="1" applyFill="1" applyAlignment="1">
      <alignment horizontal="left" vertical="center" indent="14"/>
    </xf>
    <xf numFmtId="0" fontId="0" fillId="2" borderId="0" xfId="0" applyFill="1"/>
    <xf numFmtId="2" fontId="0" fillId="0" borderId="0" xfId="0" applyNumberFormat="1"/>
    <xf numFmtId="10" fontId="4" fillId="0" borderId="0" xfId="0" applyNumberFormat="1" applyFont="1"/>
    <xf numFmtId="0" fontId="14" fillId="10" borderId="17" xfId="0" applyFont="1" applyFill="1" applyBorder="1" applyAlignment="1">
      <alignment horizontal="center"/>
    </xf>
    <xf numFmtId="0" fontId="41" fillId="50" borderId="1" xfId="0" applyFont="1" applyFill="1" applyBorder="1" applyAlignment="1">
      <alignment horizontal="center" vertical="center"/>
    </xf>
    <xf numFmtId="0" fontId="0" fillId="0" borderId="0" xfId="0" applyProtection="1">
      <protection locked="0"/>
    </xf>
    <xf numFmtId="0" fontId="41" fillId="3" borderId="1" xfId="0" applyFont="1" applyFill="1" applyBorder="1" applyAlignment="1" applyProtection="1">
      <alignment horizontal="center" vertical="center" wrapText="1"/>
      <protection locked="0"/>
    </xf>
    <xf numFmtId="0" fontId="41" fillId="13" borderId="1" xfId="0" applyFont="1" applyFill="1" applyBorder="1" applyAlignment="1" applyProtection="1">
      <alignment horizontal="center" vertical="center" wrapText="1"/>
      <protection locked="0"/>
    </xf>
    <xf numFmtId="166" fontId="4" fillId="51" borderId="0" xfId="0" applyNumberFormat="1" applyFont="1" applyFill="1" applyAlignment="1">
      <alignment horizontal="left" vertical="center" indent="4"/>
    </xf>
    <xf numFmtId="0" fontId="7" fillId="10" borderId="0" xfId="0" quotePrefix="1" applyFont="1" applyFill="1" applyAlignment="1">
      <alignment horizontal="left" vertical="center" wrapText="1" indent="1"/>
    </xf>
    <xf numFmtId="10" fontId="6" fillId="0" borderId="0" xfId="0" applyNumberFormat="1" applyFont="1" applyAlignment="1">
      <alignment horizontal="center"/>
    </xf>
    <xf numFmtId="0" fontId="4" fillId="0" borderId="0" xfId="0" applyFont="1" applyAlignment="1">
      <alignment horizontal="center" vertical="center"/>
    </xf>
    <xf numFmtId="0" fontId="4" fillId="2" borderId="0" xfId="0" applyFont="1" applyFill="1" applyAlignment="1">
      <alignment horizontal="center" vertical="center"/>
    </xf>
    <xf numFmtId="0" fontId="6" fillId="2" borderId="0" xfId="0" applyFont="1" applyFill="1" applyAlignment="1">
      <alignment horizontal="center"/>
    </xf>
    <xf numFmtId="0" fontId="55" fillId="0" borderId="0" xfId="0" applyFont="1"/>
    <xf numFmtId="0" fontId="56" fillId="0" borderId="0" xfId="0" applyFont="1"/>
    <xf numFmtId="166" fontId="54" fillId="48" borderId="0" xfId="0" applyNumberFormat="1" applyFont="1" applyFill="1" applyAlignment="1">
      <alignment horizontal="left" vertical="center" indent="14"/>
    </xf>
    <xf numFmtId="0" fontId="23" fillId="0" borderId="1" xfId="0" applyFont="1" applyBorder="1"/>
    <xf numFmtId="0" fontId="42" fillId="10" borderId="1" xfId="0" quotePrefix="1" applyFont="1" applyFill="1" applyBorder="1" applyAlignment="1">
      <alignment horizontal="center" vertical="center" wrapText="1"/>
    </xf>
    <xf numFmtId="0" fontId="58" fillId="0" borderId="0" xfId="0" applyFont="1"/>
    <xf numFmtId="0" fontId="23" fillId="6" borderId="1" xfId="0" applyFont="1" applyFill="1" applyBorder="1"/>
    <xf numFmtId="10" fontId="23" fillId="0" borderId="1" xfId="0" applyNumberFormat="1" applyFont="1" applyBorder="1" applyAlignment="1">
      <alignment horizontal="center"/>
    </xf>
    <xf numFmtId="9" fontId="23" fillId="0" borderId="1" xfId="0" applyNumberFormat="1" applyFont="1" applyBorder="1" applyAlignment="1">
      <alignment horizontal="center"/>
    </xf>
    <xf numFmtId="0" fontId="23" fillId="12" borderId="18" xfId="0" quotePrefix="1" applyFont="1" applyFill="1" applyBorder="1" applyAlignment="1">
      <alignment horizontal="left" vertical="center" wrapText="1"/>
    </xf>
    <xf numFmtId="0" fontId="58" fillId="0" borderId="1" xfId="0" applyFont="1" applyBorder="1"/>
    <xf numFmtId="0" fontId="59" fillId="10" borderId="17" xfId="0" applyFont="1" applyFill="1" applyBorder="1" applyAlignment="1">
      <alignment horizontal="center" vertical="center" wrapText="1"/>
    </xf>
    <xf numFmtId="0" fontId="59" fillId="10" borderId="22" xfId="0" applyFont="1" applyFill="1" applyBorder="1" applyAlignment="1">
      <alignment horizontal="center" vertical="center" wrapText="1"/>
    </xf>
    <xf numFmtId="0" fontId="23" fillId="2" borderId="1" xfId="0" applyFont="1" applyFill="1" applyBorder="1" applyAlignment="1">
      <alignment horizontal="left" vertical="center" wrapText="1"/>
    </xf>
    <xf numFmtId="9" fontId="23" fillId="0" borderId="0" xfId="0" applyNumberFormat="1" applyFont="1" applyAlignment="1">
      <alignment horizontal="center" vertical="center"/>
    </xf>
    <xf numFmtId="9" fontId="23" fillId="2" borderId="1" xfId="0" applyNumberFormat="1" applyFont="1" applyFill="1" applyBorder="1" applyAlignment="1">
      <alignment horizontal="center" vertical="center" wrapText="1"/>
    </xf>
    <xf numFmtId="0" fontId="23" fillId="0" borderId="1" xfId="0" applyFont="1" applyBorder="1" applyAlignment="1">
      <alignment horizontal="center"/>
    </xf>
    <xf numFmtId="0" fontId="42" fillId="10" borderId="1" xfId="0" applyFont="1" applyFill="1" applyBorder="1" applyAlignment="1">
      <alignment horizontal="center" vertical="center"/>
    </xf>
    <xf numFmtId="1" fontId="23" fillId="0" borderId="1" xfId="1" applyNumberFormat="1" applyFont="1" applyBorder="1" applyAlignment="1">
      <alignment horizontal="center"/>
    </xf>
    <xf numFmtId="0" fontId="23" fillId="0" borderId="1" xfId="0" applyFont="1" applyBorder="1" applyAlignment="1">
      <alignment horizontal="center" vertical="center"/>
    </xf>
    <xf numFmtId="0" fontId="23" fillId="7" borderId="1" xfId="0" quotePrefix="1" applyFont="1" applyFill="1" applyBorder="1" applyAlignment="1">
      <alignment horizontal="left"/>
    </xf>
    <xf numFmtId="0" fontId="23" fillId="7" borderId="1" xfId="0" applyFont="1" applyFill="1" applyBorder="1" applyAlignment="1">
      <alignment horizontal="center"/>
    </xf>
    <xf numFmtId="1" fontId="23" fillId="7" borderId="1" xfId="0" applyNumberFormat="1" applyFont="1" applyFill="1" applyBorder="1" applyAlignment="1">
      <alignment horizontal="center"/>
    </xf>
    <xf numFmtId="10" fontId="23" fillId="7" borderId="1" xfId="0" applyNumberFormat="1" applyFont="1" applyFill="1" applyBorder="1" applyAlignment="1">
      <alignment horizontal="center"/>
    </xf>
    <xf numFmtId="0" fontId="23" fillId="12" borderId="1" xfId="0" quotePrefix="1" applyFont="1" applyFill="1" applyBorder="1" applyAlignment="1">
      <alignment horizontal="left" vertical="center" wrapText="1"/>
    </xf>
    <xf numFmtId="0" fontId="58" fillId="10" borderId="1" xfId="0" applyFont="1" applyFill="1" applyBorder="1"/>
    <xf numFmtId="1" fontId="23" fillId="0" borderId="1" xfId="0" applyNumberFormat="1" applyFont="1" applyBorder="1" applyAlignment="1">
      <alignment horizontal="center" vertical="top" wrapText="1"/>
    </xf>
    <xf numFmtId="0" fontId="23" fillId="0" borderId="1" xfId="0" applyFont="1" applyBorder="1" applyAlignment="1">
      <alignment horizontal="center" vertical="top" wrapText="1"/>
    </xf>
    <xf numFmtId="10" fontId="23" fillId="0" borderId="1" xfId="0" applyNumberFormat="1" applyFont="1" applyBorder="1" applyAlignment="1">
      <alignment horizontal="center" vertical="top" wrapText="1"/>
    </xf>
    <xf numFmtId="164" fontId="23" fillId="0" borderId="1" xfId="0" applyNumberFormat="1" applyFont="1" applyBorder="1" applyAlignment="1">
      <alignment horizontal="center" vertical="top" wrapText="1"/>
    </xf>
    <xf numFmtId="0" fontId="23" fillId="0" borderId="20" xfId="0" applyFont="1" applyBorder="1" applyAlignment="1">
      <alignment horizontal="center" vertical="center"/>
    </xf>
    <xf numFmtId="0" fontId="23" fillId="2" borderId="18" xfId="0" applyFont="1" applyFill="1" applyBorder="1" applyAlignment="1">
      <alignment horizontal="center" vertical="center"/>
    </xf>
    <xf numFmtId="0" fontId="23" fillId="0" borderId="2" xfId="0" applyFont="1" applyBorder="1" applyAlignment="1">
      <alignment horizontal="center" vertical="center"/>
    </xf>
    <xf numFmtId="0" fontId="23" fillId="0" borderId="0" xfId="0" applyFont="1"/>
    <xf numFmtId="10" fontId="23" fillId="2" borderId="1" xfId="0" applyNumberFormat="1" applyFont="1" applyFill="1" applyBorder="1" applyAlignment="1">
      <alignment horizontal="center" vertical="center"/>
    </xf>
    <xf numFmtId="0" fontId="64" fillId="50" borderId="1" xfId="0" applyFont="1" applyFill="1" applyBorder="1" applyAlignment="1">
      <alignment horizontal="center"/>
    </xf>
    <xf numFmtId="1" fontId="23" fillId="0" borderId="1" xfId="0" applyNumberFormat="1" applyFont="1" applyBorder="1" applyAlignment="1">
      <alignment horizontal="center"/>
    </xf>
    <xf numFmtId="0" fontId="42" fillId="10" borderId="17" xfId="0" applyFont="1" applyFill="1" applyBorder="1" applyAlignment="1">
      <alignment horizontal="center"/>
    </xf>
    <xf numFmtId="0" fontId="23" fillId="0" borderId="22" xfId="0" applyFont="1" applyBorder="1" applyAlignment="1">
      <alignment horizontal="center"/>
    </xf>
    <xf numFmtId="0" fontId="23" fillId="0" borderId="56" xfId="0" applyFont="1" applyBorder="1" applyAlignment="1">
      <alignment horizontal="center"/>
    </xf>
    <xf numFmtId="0" fontId="23" fillId="0" borderId="20" xfId="0" applyFont="1" applyBorder="1" applyAlignment="1">
      <alignment horizontal="center"/>
    </xf>
    <xf numFmtId="10" fontId="23" fillId="52" borderId="1" xfId="0" applyNumberFormat="1" applyFont="1" applyFill="1" applyBorder="1" applyAlignment="1">
      <alignment horizontal="center"/>
    </xf>
    <xf numFmtId="0" fontId="23" fillId="52" borderId="1" xfId="0" applyFont="1" applyFill="1" applyBorder="1" applyAlignment="1">
      <alignment horizontal="center"/>
    </xf>
    <xf numFmtId="9" fontId="23" fillId="52" borderId="1" xfId="0" applyNumberFormat="1" applyFont="1" applyFill="1" applyBorder="1" applyAlignment="1">
      <alignment horizontal="center"/>
    </xf>
    <xf numFmtId="9" fontId="23" fillId="52" borderId="1" xfId="0" applyNumberFormat="1" applyFont="1" applyFill="1" applyBorder="1" applyAlignment="1">
      <alignment horizontal="center" vertical="center"/>
    </xf>
    <xf numFmtId="9" fontId="23" fillId="52" borderId="18" xfId="0" applyNumberFormat="1" applyFont="1" applyFill="1" applyBorder="1" applyAlignment="1">
      <alignment horizontal="center" vertical="center"/>
    </xf>
    <xf numFmtId="165" fontId="23" fillId="52" borderId="1" xfId="1" applyNumberFormat="1" applyFont="1" applyFill="1" applyBorder="1" applyAlignment="1">
      <alignment horizontal="center"/>
    </xf>
    <xf numFmtId="0" fontId="23" fillId="52" borderId="1" xfId="0" applyFont="1" applyFill="1" applyBorder="1"/>
    <xf numFmtId="0" fontId="23" fillId="7" borderId="1" xfId="0" applyFont="1" applyFill="1" applyBorder="1"/>
    <xf numFmtId="9" fontId="23" fillId="7" borderId="1" xfId="0" applyNumberFormat="1" applyFont="1" applyFill="1" applyBorder="1" applyAlignment="1">
      <alignment horizontal="center"/>
    </xf>
    <xf numFmtId="1" fontId="23" fillId="7" borderId="1" xfId="0" applyNumberFormat="1" applyFont="1" applyFill="1" applyBorder="1" applyAlignment="1">
      <alignment horizontal="center" vertical="top" wrapText="1"/>
    </xf>
    <xf numFmtId="10" fontId="23" fillId="7" borderId="1" xfId="0" applyNumberFormat="1" applyFont="1" applyFill="1" applyBorder="1" applyAlignment="1">
      <alignment horizontal="center" vertical="top" wrapText="1"/>
    </xf>
    <xf numFmtId="0" fontId="64" fillId="52" borderId="1" xfId="0" applyFont="1" applyFill="1" applyBorder="1" applyAlignment="1">
      <alignment horizontal="center"/>
    </xf>
    <xf numFmtId="10" fontId="23" fillId="0" borderId="0" xfId="0" applyNumberFormat="1" applyFont="1" applyAlignment="1">
      <alignment horizontal="center"/>
    </xf>
    <xf numFmtId="164" fontId="23" fillId="0" borderId="18" xfId="0" applyNumberFormat="1" applyFont="1" applyBorder="1" applyAlignment="1">
      <alignment horizontal="center"/>
    </xf>
    <xf numFmtId="164" fontId="23" fillId="0" borderId="1" xfId="0" applyNumberFormat="1" applyFont="1" applyBorder="1" applyAlignment="1">
      <alignment horizontal="center"/>
    </xf>
    <xf numFmtId="0" fontId="23" fillId="8" borderId="1" xfId="0" applyFont="1" applyFill="1" applyBorder="1" applyAlignment="1">
      <alignment horizontal="center"/>
    </xf>
    <xf numFmtId="10" fontId="64" fillId="52" borderId="1" xfId="0" applyNumberFormat="1" applyFont="1" applyFill="1" applyBorder="1" applyAlignment="1">
      <alignment horizontal="center"/>
    </xf>
    <xf numFmtId="0" fontId="23" fillId="52" borderId="1" xfId="0" quotePrefix="1" applyFont="1" applyFill="1" applyBorder="1" applyAlignment="1">
      <alignment horizontal="left" vertical="center" wrapText="1"/>
    </xf>
    <xf numFmtId="10" fontId="64" fillId="7" borderId="1" xfId="0" applyNumberFormat="1" applyFont="1" applyFill="1" applyBorder="1" applyAlignment="1">
      <alignment horizontal="center"/>
    </xf>
    <xf numFmtId="10" fontId="64" fillId="7" borderId="1" xfId="0" applyNumberFormat="1" applyFont="1" applyFill="1" applyBorder="1" applyAlignment="1">
      <alignment horizontal="center" vertical="center"/>
    </xf>
    <xf numFmtId="0" fontId="23" fillId="52" borderId="18" xfId="0" quotePrefix="1" applyFont="1" applyFill="1" applyBorder="1" applyAlignment="1">
      <alignment horizontal="left" vertical="center" wrapText="1"/>
    </xf>
    <xf numFmtId="10" fontId="23" fillId="52" borderId="18" xfId="0" applyNumberFormat="1" applyFont="1" applyFill="1" applyBorder="1" applyAlignment="1">
      <alignment horizontal="center" vertical="center"/>
    </xf>
    <xf numFmtId="10" fontId="23" fillId="52" borderId="1" xfId="0" applyNumberFormat="1" applyFont="1" applyFill="1" applyBorder="1" applyAlignment="1">
      <alignment horizontal="center" vertical="center"/>
    </xf>
    <xf numFmtId="10" fontId="23" fillId="2" borderId="0" xfId="0" applyNumberFormat="1" applyFont="1" applyFill="1" applyAlignment="1">
      <alignment horizontal="center"/>
    </xf>
    <xf numFmtId="9" fontId="23" fillId="2" borderId="1" xfId="0" applyNumberFormat="1" applyFont="1" applyFill="1" applyBorder="1" applyAlignment="1">
      <alignment horizontal="center"/>
    </xf>
    <xf numFmtId="0" fontId="42" fillId="10" borderId="7" xfId="0" applyFont="1" applyFill="1" applyBorder="1" applyAlignment="1">
      <alignment horizontal="center"/>
    </xf>
    <xf numFmtId="0" fontId="42" fillId="10" borderId="57" xfId="0" applyFont="1" applyFill="1" applyBorder="1" applyAlignment="1">
      <alignment horizontal="center"/>
    </xf>
    <xf numFmtId="0" fontId="42" fillId="10" borderId="8" xfId="0" applyFont="1" applyFill="1" applyBorder="1" applyAlignment="1">
      <alignment horizontal="center"/>
    </xf>
    <xf numFmtId="0" fontId="42" fillId="10" borderId="18" xfId="0" applyFont="1" applyFill="1" applyBorder="1" applyAlignment="1">
      <alignment horizontal="center"/>
    </xf>
    <xf numFmtId="0" fontId="23" fillId="8" borderId="17" xfId="0" applyFont="1" applyFill="1" applyBorder="1" applyAlignment="1">
      <alignment horizontal="center"/>
    </xf>
    <xf numFmtId="0" fontId="23" fillId="8" borderId="3" xfId="0" applyFont="1" applyFill="1" applyBorder="1" applyAlignment="1">
      <alignment horizontal="center"/>
    </xf>
    <xf numFmtId="0" fontId="23" fillId="8" borderId="18" xfId="0" applyFont="1" applyFill="1" applyBorder="1" applyAlignment="1">
      <alignment horizontal="center"/>
    </xf>
    <xf numFmtId="0" fontId="23" fillId="0" borderId="0" xfId="0" applyFont="1" applyAlignment="1">
      <alignment horizontal="center" vertical="center"/>
    </xf>
    <xf numFmtId="0" fontId="23" fillId="0" borderId="0" xfId="0" applyFont="1" applyAlignment="1">
      <alignment horizontal="center" wrapText="1"/>
    </xf>
    <xf numFmtId="1" fontId="23" fillId="0" borderId="0" xfId="0" applyNumberFormat="1" applyFont="1" applyAlignment="1">
      <alignment horizontal="center"/>
    </xf>
    <xf numFmtId="0" fontId="64" fillId="52" borderId="1" xfId="0" applyFont="1" applyFill="1" applyBorder="1" applyAlignment="1">
      <alignment horizontal="center" vertical="center" wrapText="1"/>
    </xf>
    <xf numFmtId="1" fontId="64" fillId="52" borderId="1" xfId="0" applyNumberFormat="1" applyFont="1" applyFill="1" applyBorder="1" applyAlignment="1">
      <alignment horizontal="center" vertical="center"/>
    </xf>
    <xf numFmtId="0" fontId="64" fillId="52" borderId="1" xfId="0" applyFont="1" applyFill="1" applyBorder="1" applyAlignment="1">
      <alignment horizontal="center" vertical="center"/>
    </xf>
    <xf numFmtId="0" fontId="64" fillId="7" borderId="17" xfId="0" applyFont="1" applyFill="1" applyBorder="1" applyAlignment="1">
      <alignment horizontal="center"/>
    </xf>
    <xf numFmtId="1" fontId="64" fillId="7" borderId="1" xfId="0" applyNumberFormat="1" applyFont="1" applyFill="1" applyBorder="1" applyAlignment="1">
      <alignment horizontal="center"/>
    </xf>
    <xf numFmtId="0" fontId="64" fillId="7" borderId="1" xfId="0" applyFont="1" applyFill="1" applyBorder="1" applyAlignment="1">
      <alignment horizontal="center"/>
    </xf>
    <xf numFmtId="0" fontId="64" fillId="7" borderId="3" xfId="0" applyFont="1" applyFill="1" applyBorder="1" applyAlignment="1">
      <alignment horizontal="center"/>
    </xf>
    <xf numFmtId="165" fontId="64" fillId="7" borderId="1" xfId="0" applyNumberFormat="1" applyFont="1" applyFill="1" applyBorder="1" applyAlignment="1">
      <alignment horizontal="center"/>
    </xf>
    <xf numFmtId="0" fontId="64" fillId="7" borderId="18" xfId="0" applyFont="1" applyFill="1" applyBorder="1" applyAlignment="1">
      <alignment horizontal="center"/>
    </xf>
    <xf numFmtId="0" fontId="58" fillId="0" borderId="2" xfId="0" applyFont="1" applyBorder="1"/>
    <xf numFmtId="0" fontId="0" fillId="0" borderId="2" xfId="0" applyBorder="1" applyAlignment="1">
      <alignment horizontal="left"/>
    </xf>
    <xf numFmtId="0" fontId="23" fillId="0" borderId="2" xfId="0" applyFont="1" applyBorder="1" applyAlignment="1">
      <alignment horizontal="left"/>
    </xf>
    <xf numFmtId="0" fontId="64" fillId="50" borderId="1" xfId="0" applyFont="1" applyFill="1" applyBorder="1" applyAlignment="1">
      <alignment horizontal="center" vertical="center"/>
    </xf>
    <xf numFmtId="0" fontId="64" fillId="0" borderId="0" xfId="0" applyFont="1" applyAlignment="1">
      <alignment wrapText="1"/>
    </xf>
    <xf numFmtId="0" fontId="23" fillId="0" borderId="18" xfId="0" applyFont="1" applyBorder="1" applyAlignment="1">
      <alignment horizontal="center"/>
    </xf>
    <xf numFmtId="1" fontId="29" fillId="53" borderId="1" xfId="66" applyNumberFormat="1" applyFill="1" applyBorder="1" applyAlignment="1">
      <alignment horizontal="center"/>
    </xf>
    <xf numFmtId="0" fontId="23" fillId="0" borderId="9" xfId="0" applyFont="1" applyBorder="1"/>
    <xf numFmtId="9" fontId="23" fillId="0" borderId="10" xfId="0" applyNumberFormat="1" applyFont="1" applyBorder="1" applyAlignment="1">
      <alignment horizontal="center"/>
    </xf>
    <xf numFmtId="10" fontId="23" fillId="0" borderId="0" xfId="0" applyNumberFormat="1" applyFont="1"/>
    <xf numFmtId="9" fontId="64" fillId="52" borderId="1" xfId="0" applyNumberFormat="1" applyFont="1" applyFill="1" applyBorder="1" applyAlignment="1">
      <alignment horizontal="center"/>
    </xf>
    <xf numFmtId="0" fontId="64" fillId="52" borderId="45" xfId="0" applyFont="1" applyFill="1" applyBorder="1"/>
    <xf numFmtId="9" fontId="64" fillId="52" borderId="45" xfId="0" applyNumberFormat="1" applyFont="1" applyFill="1" applyBorder="1" applyAlignment="1">
      <alignment horizontal="center"/>
    </xf>
    <xf numFmtId="10" fontId="64" fillId="52" borderId="45" xfId="0" applyNumberFormat="1" applyFont="1" applyFill="1" applyBorder="1" applyAlignment="1">
      <alignment horizontal="center"/>
    </xf>
    <xf numFmtId="0" fontId="58" fillId="0" borderId="0" xfId="0" applyFont="1" applyAlignment="1">
      <alignment horizontal="center"/>
    </xf>
    <xf numFmtId="0" fontId="64" fillId="5" borderId="1" xfId="0" applyFont="1" applyFill="1" applyBorder="1" applyAlignment="1">
      <alignment horizontal="left" vertical="top" wrapText="1"/>
    </xf>
    <xf numFmtId="9" fontId="23" fillId="5" borderId="0" xfId="0" applyNumberFormat="1" applyFont="1" applyFill="1" applyAlignment="1">
      <alignment horizontal="center"/>
    </xf>
    <xf numFmtId="9" fontId="23" fillId="5" borderId="1" xfId="0" applyNumberFormat="1" applyFont="1" applyFill="1" applyBorder="1" applyAlignment="1">
      <alignment horizontal="center"/>
    </xf>
    <xf numFmtId="0" fontId="59" fillId="10" borderId="1" xfId="0" applyFont="1" applyFill="1" applyBorder="1" applyAlignment="1">
      <alignment horizontal="center" vertical="center" wrapText="1"/>
    </xf>
    <xf numFmtId="0" fontId="59" fillId="10" borderId="2" xfId="0" applyFont="1" applyFill="1" applyBorder="1" applyAlignment="1">
      <alignment horizontal="center" vertical="center" wrapText="1"/>
    </xf>
    <xf numFmtId="0" fontId="23" fillId="12" borderId="1" xfId="0" applyFont="1" applyFill="1" applyBorder="1" applyAlignment="1">
      <alignment horizontal="center"/>
    </xf>
    <xf numFmtId="10" fontId="23" fillId="12" borderId="1" xfId="0" applyNumberFormat="1" applyFont="1" applyFill="1" applyBorder="1" applyAlignment="1">
      <alignment horizontal="center"/>
    </xf>
    <xf numFmtId="1" fontId="23" fillId="5" borderId="1" xfId="0" applyNumberFormat="1" applyFont="1" applyFill="1" applyBorder="1" applyAlignment="1">
      <alignment horizontal="center" vertical="top" wrapText="1"/>
    </xf>
    <xf numFmtId="10" fontId="23" fillId="5" borderId="1" xfId="0" applyNumberFormat="1" applyFont="1" applyFill="1" applyBorder="1" applyAlignment="1">
      <alignment horizontal="center" vertical="top" wrapText="1"/>
    </xf>
    <xf numFmtId="0" fontId="23" fillId="5" borderId="1" xfId="0" applyFont="1" applyFill="1" applyBorder="1" applyAlignment="1">
      <alignment horizontal="center" vertical="top" wrapText="1"/>
    </xf>
    <xf numFmtId="10" fontId="23" fillId="12" borderId="1" xfId="0" applyNumberFormat="1" applyFont="1" applyFill="1" applyBorder="1" applyAlignment="1">
      <alignment horizontal="center" vertical="top" wrapText="1"/>
    </xf>
    <xf numFmtId="0" fontId="42" fillId="0" borderId="0" xfId="0" applyFont="1"/>
    <xf numFmtId="0" fontId="42" fillId="10" borderId="1" xfId="0" applyFont="1" applyFill="1" applyBorder="1" applyAlignment="1">
      <alignment horizontal="center" wrapText="1"/>
    </xf>
    <xf numFmtId="165" fontId="23" fillId="0" borderId="1" xfId="0" applyNumberFormat="1" applyFont="1" applyBorder="1" applyAlignment="1">
      <alignment horizontal="center"/>
    </xf>
    <xf numFmtId="0" fontId="23" fillId="10" borderId="1" xfId="0" applyFont="1" applyFill="1" applyBorder="1"/>
    <xf numFmtId="10" fontId="58" fillId="0" borderId="0" xfId="0" applyNumberFormat="1" applyFont="1"/>
    <xf numFmtId="0" fontId="59" fillId="0" borderId="0" xfId="0" applyFont="1" applyAlignment="1">
      <alignment horizontal="center" vertical="center" wrapText="1"/>
    </xf>
    <xf numFmtId="0" fontId="23" fillId="0" borderId="0" xfId="0" applyFont="1" applyAlignment="1">
      <alignment horizontal="center"/>
    </xf>
    <xf numFmtId="9" fontId="23" fillId="0" borderId="1" xfId="0" applyNumberFormat="1" applyFont="1" applyBorder="1"/>
    <xf numFmtId="0" fontId="64" fillId="52" borderId="1" xfId="0" applyFont="1" applyFill="1" applyBorder="1"/>
    <xf numFmtId="0" fontId="14" fillId="10" borderId="45" xfId="0" quotePrefix="1" applyFont="1" applyFill="1" applyBorder="1" applyAlignment="1">
      <alignment horizontal="center" vertical="center" wrapText="1"/>
    </xf>
    <xf numFmtId="0" fontId="14" fillId="10" borderId="45" xfId="0" applyFont="1" applyFill="1" applyBorder="1" applyAlignment="1">
      <alignment horizontal="center" vertical="center" wrapText="1"/>
    </xf>
    <xf numFmtId="0" fontId="23" fillId="0" borderId="32" xfId="0" applyFont="1" applyBorder="1" applyAlignment="1">
      <alignment horizontal="center"/>
    </xf>
    <xf numFmtId="165" fontId="23" fillId="0" borderId="20" xfId="1" applyNumberFormat="1" applyFont="1" applyBorder="1" applyAlignment="1">
      <alignment horizontal="center"/>
    </xf>
    <xf numFmtId="0" fontId="64" fillId="52" borderId="30" xfId="0" quotePrefix="1" applyFont="1" applyFill="1" applyBorder="1" applyAlignment="1">
      <alignment horizontal="left"/>
    </xf>
    <xf numFmtId="0" fontId="64" fillId="52" borderId="46" xfId="0" applyFont="1" applyFill="1" applyBorder="1" applyAlignment="1">
      <alignment horizontal="center"/>
    </xf>
    <xf numFmtId="165" fontId="64" fillId="52" borderId="48" xfId="1" applyNumberFormat="1" applyFont="1" applyFill="1" applyBorder="1" applyAlignment="1">
      <alignment horizontal="center"/>
    </xf>
    <xf numFmtId="0" fontId="67" fillId="5" borderId="1" xfId="0" applyFont="1" applyFill="1" applyBorder="1" applyAlignment="1">
      <alignment vertical="center" wrapText="1"/>
    </xf>
    <xf numFmtId="0" fontId="64" fillId="5" borderId="1" xfId="0" applyFont="1" applyFill="1" applyBorder="1"/>
    <xf numFmtId="2" fontId="64" fillId="52" borderId="1" xfId="0" applyNumberFormat="1" applyFont="1" applyFill="1" applyBorder="1"/>
    <xf numFmtId="10" fontId="64" fillId="52" borderId="1" xfId="0" applyNumberFormat="1" applyFont="1" applyFill="1" applyBorder="1"/>
    <xf numFmtId="0" fontId="63" fillId="2" borderId="1" xfId="0" applyFont="1" applyFill="1" applyBorder="1" applyAlignment="1">
      <alignment horizontal="left" vertical="center" wrapText="1"/>
    </xf>
    <xf numFmtId="0" fontId="23" fillId="0" borderId="1" xfId="0" applyFont="1" applyBorder="1" applyAlignment="1">
      <alignment horizontal="left" vertical="center" wrapText="1"/>
    </xf>
    <xf numFmtId="0" fontId="14" fillId="10" borderId="9" xfId="0" applyFont="1" applyFill="1" applyBorder="1" applyAlignment="1">
      <alignment horizontal="center" vertical="center" wrapText="1"/>
    </xf>
    <xf numFmtId="0" fontId="14" fillId="10" borderId="10" xfId="0" quotePrefix="1" applyFont="1" applyFill="1" applyBorder="1" applyAlignment="1">
      <alignment horizontal="center" vertical="center" wrapText="1"/>
    </xf>
    <xf numFmtId="0" fontId="43" fillId="0" borderId="0" xfId="0" applyFont="1" applyAlignment="1">
      <alignment vertical="center" wrapText="1"/>
    </xf>
    <xf numFmtId="0" fontId="6" fillId="0" borderId="0" xfId="0" applyFont="1" applyAlignment="1">
      <alignment wrapText="1"/>
    </xf>
    <xf numFmtId="1" fontId="64" fillId="52" borderId="1" xfId="0" applyNumberFormat="1" applyFont="1" applyFill="1" applyBorder="1" applyAlignment="1">
      <alignment horizontal="center"/>
    </xf>
    <xf numFmtId="1" fontId="23" fillId="0" borderId="2" xfId="0" applyNumberFormat="1" applyFont="1" applyBorder="1" applyAlignment="1">
      <alignment horizontal="center"/>
    </xf>
    <xf numFmtId="0" fontId="59" fillId="10" borderId="47" xfId="0" applyFont="1" applyFill="1" applyBorder="1" applyAlignment="1">
      <alignment horizontal="center" vertical="center" wrapText="1"/>
    </xf>
    <xf numFmtId="0" fontId="59" fillId="10" borderId="23" xfId="0" applyFont="1" applyFill="1" applyBorder="1" applyAlignment="1">
      <alignment horizontal="center" vertical="center" wrapText="1"/>
    </xf>
    <xf numFmtId="0" fontId="23" fillId="0" borderId="1" xfId="71" applyFont="1" applyBorder="1" applyAlignment="1">
      <alignment horizontal="center" vertical="center" wrapText="1"/>
    </xf>
    <xf numFmtId="0" fontId="23" fillId="0" borderId="1" xfId="71" applyFont="1" applyBorder="1" applyAlignment="1">
      <alignment horizontal="center"/>
    </xf>
    <xf numFmtId="9" fontId="4" fillId="0" borderId="10" xfId="0" applyNumberFormat="1" applyFont="1" applyBorder="1" applyAlignment="1">
      <alignment horizontal="center" vertical="center"/>
    </xf>
    <xf numFmtId="0" fontId="5" fillId="52" borderId="29" xfId="0" applyFont="1" applyFill="1" applyBorder="1" applyAlignment="1">
      <alignment vertical="center"/>
    </xf>
    <xf numFmtId="9" fontId="5" fillId="52" borderId="14" xfId="0" applyNumberFormat="1" applyFont="1" applyFill="1" applyBorder="1" applyAlignment="1">
      <alignment horizontal="center" vertical="center"/>
    </xf>
    <xf numFmtId="1" fontId="4" fillId="0" borderId="1" xfId="0" applyNumberFormat="1" applyFont="1" applyBorder="1" applyAlignment="1">
      <alignment horizontal="center" vertical="center"/>
    </xf>
    <xf numFmtId="1" fontId="5" fillId="52" borderId="15" xfId="0" applyNumberFormat="1" applyFont="1" applyFill="1" applyBorder="1" applyAlignment="1">
      <alignment horizontal="center" vertical="center"/>
    </xf>
    <xf numFmtId="1" fontId="5" fillId="52" borderId="16" xfId="0" applyNumberFormat="1" applyFont="1" applyFill="1" applyBorder="1" applyAlignment="1">
      <alignment horizontal="center" vertical="center"/>
    </xf>
    <xf numFmtId="1" fontId="4" fillId="0" borderId="9" xfId="0" applyNumberFormat="1" applyFont="1" applyBorder="1" applyAlignment="1">
      <alignment horizontal="center" vertical="center"/>
    </xf>
    <xf numFmtId="1" fontId="4" fillId="0" borderId="25" xfId="0" applyNumberFormat="1" applyFont="1" applyBorder="1" applyAlignment="1">
      <alignment horizontal="center" vertical="center"/>
    </xf>
    <xf numFmtId="0" fontId="14" fillId="10" borderId="25" xfId="0" applyFont="1" applyFill="1" applyBorder="1" applyAlignment="1">
      <alignment horizontal="center" vertical="center" wrapText="1"/>
    </xf>
    <xf numFmtId="10" fontId="23" fillId="5" borderId="1" xfId="0" applyNumberFormat="1" applyFont="1" applyFill="1" applyBorder="1" applyAlignment="1">
      <alignment horizontal="center" vertical="center"/>
    </xf>
    <xf numFmtId="10" fontId="23" fillId="5" borderId="1" xfId="0" applyNumberFormat="1" applyFont="1" applyFill="1" applyBorder="1" applyAlignment="1">
      <alignment horizontal="center"/>
    </xf>
    <xf numFmtId="14" fontId="4" fillId="2" borderId="0" xfId="0" applyNumberFormat="1" applyFont="1" applyFill="1" applyAlignment="1">
      <alignment horizontal="center" vertical="center" wrapText="1"/>
    </xf>
    <xf numFmtId="0" fontId="10" fillId="2" borderId="0" xfId="0" applyFont="1" applyFill="1" applyAlignment="1">
      <alignment horizontal="center" vertical="center" wrapText="1"/>
    </xf>
    <xf numFmtId="9" fontId="64" fillId="5" borderId="1" xfId="0" applyNumberFormat="1" applyFont="1" applyFill="1" applyBorder="1" applyAlignment="1">
      <alignment horizontal="center"/>
    </xf>
    <xf numFmtId="9" fontId="64" fillId="5" borderId="1" xfId="0" applyNumberFormat="1" applyFont="1" applyFill="1" applyBorder="1"/>
    <xf numFmtId="0" fontId="42" fillId="10" borderId="0" xfId="0" applyFont="1" applyFill="1" applyAlignment="1">
      <alignment horizontal="center" vertical="center" wrapText="1"/>
    </xf>
    <xf numFmtId="0" fontId="57" fillId="0" borderId="0" xfId="2" quotePrefix="1" applyFont="1" applyAlignment="1" applyProtection="1">
      <protection locked="0"/>
    </xf>
    <xf numFmtId="0" fontId="57" fillId="0" borderId="0" xfId="2" applyFont="1" applyAlignment="1"/>
    <xf numFmtId="0" fontId="60" fillId="47" borderId="2" xfId="0" quotePrefix="1" applyFont="1" applyFill="1" applyBorder="1" applyAlignment="1">
      <alignment horizontal="left" vertical="center"/>
    </xf>
    <xf numFmtId="10" fontId="23" fillId="0" borderId="1" xfId="0" applyNumberFormat="1" applyFont="1" applyBorder="1" applyAlignment="1">
      <alignment horizontal="center" vertical="center"/>
    </xf>
    <xf numFmtId="0" fontId="9" fillId="10" borderId="1" xfId="0" applyFont="1" applyFill="1" applyBorder="1" applyAlignment="1">
      <alignment horizontal="center"/>
    </xf>
    <xf numFmtId="0" fontId="23" fillId="2" borderId="1" xfId="0" applyFont="1" applyFill="1" applyBorder="1" applyAlignment="1">
      <alignment horizontal="center" vertical="center" wrapText="1"/>
    </xf>
    <xf numFmtId="0" fontId="23" fillId="2" borderId="1" xfId="0" applyFont="1" applyFill="1" applyBorder="1" applyAlignment="1">
      <alignment horizontal="center" vertical="center"/>
    </xf>
    <xf numFmtId="0" fontId="63" fillId="2" borderId="1" xfId="0" applyFont="1" applyFill="1" applyBorder="1" applyAlignment="1">
      <alignment horizontal="center" vertical="center" wrapText="1"/>
    </xf>
    <xf numFmtId="0" fontId="9" fillId="10" borderId="0" xfId="0" applyFont="1" applyFill="1" applyAlignment="1">
      <alignment horizontal="center" vertical="center" wrapText="1"/>
    </xf>
    <xf numFmtId="0" fontId="64" fillId="52" borderId="1" xfId="0" applyFont="1" applyFill="1" applyBorder="1" applyAlignment="1">
      <alignment wrapText="1"/>
    </xf>
    <xf numFmtId="0" fontId="67" fillId="52" borderId="1" xfId="0" applyFont="1" applyFill="1" applyBorder="1" applyAlignment="1">
      <alignment vertical="center" wrapText="1"/>
    </xf>
    <xf numFmtId="0" fontId="42" fillId="10" borderId="1" xfId="0" applyFont="1" applyFill="1" applyBorder="1" applyAlignment="1">
      <alignment horizontal="center" vertical="center" wrapText="1"/>
    </xf>
    <xf numFmtId="0" fontId="14" fillId="10" borderId="1" xfId="0" applyFont="1" applyFill="1" applyBorder="1" applyAlignment="1">
      <alignment horizontal="center" vertical="center"/>
    </xf>
    <xf numFmtId="0" fontId="21" fillId="4" borderId="0" xfId="0" applyFont="1" applyFill="1" applyAlignment="1">
      <alignment horizontal="center"/>
    </xf>
    <xf numFmtId="10" fontId="4" fillId="4" borderId="1" xfId="0" applyNumberFormat="1" applyFont="1" applyFill="1" applyBorder="1"/>
    <xf numFmtId="10" fontId="6" fillId="0" borderId="1" xfId="0" applyNumberFormat="1" applyFont="1" applyBorder="1"/>
    <xf numFmtId="0" fontId="58" fillId="0" borderId="17" xfId="0" applyFont="1" applyBorder="1"/>
    <xf numFmtId="0" fontId="14" fillId="10" borderId="56" xfId="0" applyFont="1" applyFill="1" applyBorder="1"/>
    <xf numFmtId="0" fontId="14" fillId="10" borderId="0" xfId="0" applyFont="1" applyFill="1"/>
    <xf numFmtId="165" fontId="0" fillId="0" borderId="0" xfId="0" applyNumberFormat="1"/>
    <xf numFmtId="9" fontId="0" fillId="0" borderId="0" xfId="0" applyNumberFormat="1"/>
    <xf numFmtId="1" fontId="4" fillId="0" borderId="0" xfId="0" applyNumberFormat="1" applyFont="1"/>
    <xf numFmtId="9" fontId="19" fillId="0" borderId="1" xfId="1" applyFont="1" applyBorder="1" applyAlignment="1">
      <alignment horizontal="center"/>
    </xf>
    <xf numFmtId="9" fontId="0" fillId="0" borderId="0" xfId="1" applyFont="1"/>
    <xf numFmtId="9" fontId="58" fillId="0" borderId="0" xfId="0" applyNumberFormat="1" applyFont="1" applyAlignment="1">
      <alignment horizontal="center"/>
    </xf>
    <xf numFmtId="0" fontId="0" fillId="0" borderId="1" xfId="0" applyBorder="1"/>
    <xf numFmtId="0" fontId="23" fillId="54" borderId="1" xfId="0" applyFont="1" applyFill="1" applyBorder="1"/>
    <xf numFmtId="0" fontId="23" fillId="54" borderId="1" xfId="0" quotePrefix="1" applyFont="1" applyFill="1" applyBorder="1" applyAlignment="1">
      <alignment horizontal="left"/>
    </xf>
    <xf numFmtId="0" fontId="73" fillId="0" borderId="0" xfId="0" applyFont="1"/>
    <xf numFmtId="0" fontId="23" fillId="0" borderId="2" xfId="0" applyFont="1" applyBorder="1"/>
    <xf numFmtId="0" fontId="6" fillId="0" borderId="2" xfId="0" applyFont="1" applyBorder="1"/>
    <xf numFmtId="0" fontId="0" fillId="8" borderId="0" xfId="0" applyFill="1"/>
    <xf numFmtId="9" fontId="0" fillId="8" borderId="0" xfId="1" applyFont="1" applyFill="1"/>
    <xf numFmtId="0" fontId="0" fillId="8" borderId="1" xfId="0" applyFill="1" applyBorder="1"/>
    <xf numFmtId="0" fontId="88" fillId="0" borderId="0" xfId="0" applyFont="1"/>
    <xf numFmtId="0" fontId="14" fillId="10" borderId="0" xfId="0" applyFont="1" applyFill="1" applyAlignment="1">
      <alignment horizontal="center"/>
    </xf>
    <xf numFmtId="0" fontId="60" fillId="47" borderId="2" xfId="0" quotePrefix="1" applyFont="1" applyFill="1" applyBorder="1" applyAlignment="1">
      <alignment horizontal="left" vertical="center"/>
    </xf>
    <xf numFmtId="0" fontId="60" fillId="47" borderId="26" xfId="0" quotePrefix="1" applyFont="1" applyFill="1" applyBorder="1" applyAlignment="1">
      <alignment horizontal="left" vertical="center"/>
    </xf>
    <xf numFmtId="0" fontId="14" fillId="10" borderId="0" xfId="0" applyFont="1" applyFill="1" applyAlignment="1">
      <alignment horizontal="center"/>
    </xf>
    <xf numFmtId="0" fontId="42" fillId="10" borderId="1" xfId="0" applyFont="1" applyFill="1" applyBorder="1" applyAlignment="1">
      <alignment horizontal="center" vertical="center" wrapText="1"/>
    </xf>
    <xf numFmtId="164" fontId="23" fillId="2" borderId="1" xfId="0" applyNumberFormat="1" applyFont="1" applyFill="1" applyBorder="1" applyAlignment="1">
      <alignment horizontal="center"/>
    </xf>
    <xf numFmtId="1" fontId="23" fillId="2" borderId="1" xfId="0" applyNumberFormat="1" applyFont="1" applyFill="1" applyBorder="1" applyAlignment="1">
      <alignment horizontal="center"/>
    </xf>
    <xf numFmtId="164" fontId="23" fillId="2" borderId="1" xfId="0" applyNumberFormat="1" applyFont="1" applyFill="1" applyBorder="1" applyAlignment="1">
      <alignment horizontal="center" vertical="center"/>
    </xf>
    <xf numFmtId="164" fontId="23" fillId="2" borderId="18" xfId="0" applyNumberFormat="1" applyFont="1" applyFill="1" applyBorder="1" applyAlignment="1">
      <alignment horizontal="center" vertical="center"/>
    </xf>
    <xf numFmtId="0" fontId="23" fillId="0" borderId="0" xfId="0" applyFont="1" applyBorder="1" applyAlignment="1">
      <alignment horizontal="center"/>
    </xf>
    <xf numFmtId="1" fontId="23" fillId="2" borderId="0" xfId="0" applyNumberFormat="1" applyFont="1" applyFill="1" applyBorder="1" applyAlignment="1">
      <alignment horizontal="center"/>
    </xf>
    <xf numFmtId="164" fontId="23" fillId="2" borderId="0" xfId="0" applyNumberFormat="1" applyFont="1" applyFill="1" applyBorder="1" applyAlignment="1">
      <alignment horizontal="center" vertical="center"/>
    </xf>
    <xf numFmtId="164" fontId="0" fillId="0" borderId="0" xfId="0" applyNumberFormat="1"/>
    <xf numFmtId="0" fontId="42" fillId="10" borderId="1" xfId="0" applyFont="1" applyFill="1" applyBorder="1" applyAlignment="1">
      <alignment horizontal="center" vertical="center" wrapText="1"/>
    </xf>
    <xf numFmtId="0" fontId="60" fillId="47" borderId="2" xfId="0" quotePrefix="1" applyFont="1" applyFill="1" applyBorder="1" applyAlignment="1">
      <alignment vertical="center"/>
    </xf>
    <xf numFmtId="0" fontId="60" fillId="47" borderId="26" xfId="0" quotePrefix="1" applyFont="1" applyFill="1" applyBorder="1" applyAlignment="1">
      <alignment vertical="center"/>
    </xf>
    <xf numFmtId="0" fontId="0" fillId="0" borderId="0" xfId="0"/>
    <xf numFmtId="0" fontId="0" fillId="8" borderId="0" xfId="0" applyFill="1"/>
    <xf numFmtId="0" fontId="0" fillId="0" borderId="0" xfId="0"/>
    <xf numFmtId="0" fontId="0" fillId="8" borderId="0" xfId="0" applyFill="1"/>
    <xf numFmtId="0" fontId="0" fillId="8" borderId="0" xfId="0" applyFill="1" applyBorder="1"/>
    <xf numFmtId="0" fontId="14" fillId="10" borderId="0" xfId="0" applyFont="1" applyFill="1" applyAlignment="1">
      <alignment horizontal="center"/>
    </xf>
    <xf numFmtId="1" fontId="0" fillId="0" borderId="0" xfId="0" applyNumberFormat="1"/>
    <xf numFmtId="0" fontId="60" fillId="47" borderId="2" xfId="0" quotePrefix="1" applyFont="1" applyFill="1" applyBorder="1" applyAlignment="1">
      <alignment horizontal="left" vertical="center"/>
    </xf>
    <xf numFmtId="0" fontId="42" fillId="10" borderId="1" xfId="0" applyFont="1" applyFill="1" applyBorder="1" applyAlignment="1">
      <alignment horizontal="center" vertical="center" wrapText="1"/>
    </xf>
    <xf numFmtId="0" fontId="60" fillId="47" borderId="2" xfId="0" quotePrefix="1" applyFont="1" applyFill="1" applyBorder="1" applyAlignment="1">
      <alignment horizontal="left" vertical="center"/>
    </xf>
    <xf numFmtId="0" fontId="60" fillId="47" borderId="26" xfId="0" quotePrefix="1" applyFont="1" applyFill="1" applyBorder="1" applyAlignment="1">
      <alignment horizontal="left" vertical="center"/>
    </xf>
    <xf numFmtId="0" fontId="60" fillId="47" borderId="25" xfId="0" quotePrefix="1" applyFont="1" applyFill="1" applyBorder="1" applyAlignment="1">
      <alignment horizontal="left" vertical="center"/>
    </xf>
    <xf numFmtId="0" fontId="42" fillId="10" borderId="1" xfId="0" applyFont="1" applyFill="1" applyBorder="1" applyAlignment="1">
      <alignment horizontal="center" vertical="center" wrapText="1"/>
    </xf>
    <xf numFmtId="0" fontId="7" fillId="9" borderId="0" xfId="0" quotePrefix="1" applyFont="1" applyFill="1" applyAlignment="1">
      <alignment horizontal="center" vertical="top" wrapText="1"/>
    </xf>
    <xf numFmtId="0" fontId="43" fillId="46" borderId="2" xfId="0" applyFont="1" applyFill="1" applyBorder="1" applyAlignment="1">
      <alignment horizontal="center"/>
    </xf>
    <xf numFmtId="0" fontId="43" fillId="46" borderId="26" xfId="0" applyFont="1" applyFill="1" applyBorder="1" applyAlignment="1">
      <alignment horizontal="center"/>
    </xf>
    <xf numFmtId="0" fontId="43" fillId="46" borderId="25" xfId="0" applyFont="1" applyFill="1" applyBorder="1" applyAlignment="1">
      <alignment horizontal="center"/>
    </xf>
    <xf numFmtId="0" fontId="7" fillId="9" borderId="0" xfId="0" quotePrefix="1" applyFont="1" applyFill="1" applyAlignment="1">
      <alignment horizontal="left" vertical="top" wrapText="1" indent="14"/>
    </xf>
    <xf numFmtId="0" fontId="7" fillId="9" borderId="0" xfId="0" quotePrefix="1" applyFont="1" applyFill="1" applyAlignment="1">
      <alignment horizontal="left" vertical="top" indent="14"/>
    </xf>
    <xf numFmtId="0" fontId="14" fillId="10" borderId="56" xfId="0" applyFont="1" applyFill="1" applyBorder="1" applyAlignment="1">
      <alignment horizontal="center"/>
    </xf>
    <xf numFmtId="0" fontId="14" fillId="10" borderId="0" xfId="0" applyFont="1" applyFill="1" applyAlignment="1">
      <alignment horizontal="center"/>
    </xf>
    <xf numFmtId="0" fontId="23" fillId="0" borderId="1" xfId="0" applyFont="1" applyBorder="1" applyAlignment="1">
      <alignment horizontal="center" vertical="center" wrapText="1"/>
    </xf>
    <xf numFmtId="0" fontId="58" fillId="0" borderId="1" xfId="0" applyFont="1" applyBorder="1" applyAlignment="1">
      <alignment wrapText="1"/>
    </xf>
    <xf numFmtId="0" fontId="58" fillId="0" borderId="1" xfId="0" applyFont="1" applyBorder="1" applyAlignment="1"/>
    <xf numFmtId="10" fontId="23" fillId="0" borderId="1" xfId="0" applyNumberFormat="1" applyFont="1" applyBorder="1" applyAlignment="1">
      <alignment horizontal="center" vertical="center"/>
    </xf>
    <xf numFmtId="1" fontId="9" fillId="10" borderId="56" xfId="0" applyNumberFormat="1" applyFont="1" applyFill="1" applyBorder="1" applyAlignment="1">
      <alignment horizontal="center"/>
    </xf>
    <xf numFmtId="1" fontId="9" fillId="10" borderId="0" xfId="0" applyNumberFormat="1" applyFont="1" applyFill="1" applyAlignment="1">
      <alignment horizontal="center"/>
    </xf>
    <xf numFmtId="0" fontId="70" fillId="9" borderId="0" xfId="0" quotePrefix="1" applyFont="1" applyFill="1" applyAlignment="1">
      <alignment horizontal="left" vertical="center" wrapText="1" indent="14"/>
    </xf>
    <xf numFmtId="0" fontId="70" fillId="9" borderId="0" xfId="0" quotePrefix="1" applyFont="1" applyFill="1" applyAlignment="1">
      <alignment horizontal="left" vertical="center" indent="14"/>
    </xf>
    <xf numFmtId="166" fontId="4" fillId="11" borderId="0" xfId="0" applyNumberFormat="1" applyFont="1" applyFill="1" applyAlignment="1">
      <alignment horizontal="left" vertical="center" indent="14"/>
    </xf>
    <xf numFmtId="0" fontId="60" fillId="10" borderId="1" xfId="0" applyFont="1" applyFill="1" applyBorder="1" applyAlignment="1">
      <alignment horizontal="left"/>
    </xf>
    <xf numFmtId="0" fontId="9" fillId="10" borderId="20" xfId="0" applyFont="1" applyFill="1" applyBorder="1" applyAlignment="1">
      <alignment horizontal="center" vertical="center" wrapText="1"/>
    </xf>
    <xf numFmtId="0" fontId="51" fillId="0" borderId="4" xfId="0" applyFont="1" applyBorder="1" applyAlignment="1">
      <alignment wrapText="1"/>
    </xf>
    <xf numFmtId="0" fontId="9" fillId="10" borderId="1" xfId="0" applyFont="1" applyFill="1" applyBorder="1" applyAlignment="1">
      <alignment horizontal="center" vertical="center"/>
    </xf>
    <xf numFmtId="0" fontId="60" fillId="47" borderId="20" xfId="0" applyFont="1" applyFill="1" applyBorder="1" applyAlignment="1">
      <alignment horizontal="left" vertical="center"/>
    </xf>
    <xf numFmtId="0" fontId="60" fillId="47" borderId="4" xfId="0" applyFont="1" applyFill="1" applyBorder="1" applyAlignment="1">
      <alignment horizontal="left" vertical="center"/>
    </xf>
    <xf numFmtId="0" fontId="61" fillId="0" borderId="4" xfId="0" applyFont="1" applyBorder="1" applyAlignment="1">
      <alignment horizontal="left"/>
    </xf>
    <xf numFmtId="0" fontId="62" fillId="0" borderId="4" xfId="0" applyFont="1" applyBorder="1" applyAlignment="1">
      <alignment horizontal="left"/>
    </xf>
    <xf numFmtId="0" fontId="60" fillId="47" borderId="2" xfId="0" quotePrefix="1" applyFont="1" applyFill="1" applyBorder="1" applyAlignment="1">
      <alignment horizontal="left" vertical="center"/>
    </xf>
    <xf numFmtId="0" fontId="60" fillId="47" borderId="26" xfId="0" quotePrefix="1" applyFont="1" applyFill="1" applyBorder="1" applyAlignment="1">
      <alignment horizontal="left" vertical="center"/>
    </xf>
    <xf numFmtId="0" fontId="14" fillId="10" borderId="0" xfId="0" applyFont="1" applyFill="1" applyBorder="1" applyAlignment="1">
      <alignment horizontal="center"/>
    </xf>
    <xf numFmtId="0" fontId="9" fillId="10" borderId="56" xfId="0" applyFont="1" applyFill="1" applyBorder="1" applyAlignment="1">
      <alignment horizontal="center"/>
    </xf>
    <xf numFmtId="0" fontId="9" fillId="10" borderId="0" xfId="0" applyFont="1" applyFill="1" applyBorder="1" applyAlignment="1">
      <alignment horizontal="center"/>
    </xf>
    <xf numFmtId="0" fontId="65" fillId="9" borderId="0" xfId="0" quotePrefix="1" applyFont="1" applyFill="1" applyAlignment="1">
      <alignment horizontal="left" vertical="top" wrapText="1" indent="14"/>
    </xf>
    <xf numFmtId="0" fontId="65" fillId="9" borderId="0" xfId="0" quotePrefix="1" applyFont="1" applyFill="1" applyAlignment="1">
      <alignment horizontal="left" vertical="top" indent="14"/>
    </xf>
    <xf numFmtId="0" fontId="9" fillId="10" borderId="0" xfId="0" applyFont="1" applyFill="1" applyAlignment="1">
      <alignment horizontal="center"/>
    </xf>
    <xf numFmtId="0" fontId="60" fillId="47" borderId="25" xfId="0" quotePrefix="1" applyFont="1" applyFill="1" applyBorder="1" applyAlignment="1">
      <alignment horizontal="left" vertical="center"/>
    </xf>
    <xf numFmtId="0" fontId="23" fillId="0" borderId="17" xfId="0" applyFont="1" applyBorder="1" applyAlignment="1">
      <alignment horizontal="center" vertical="center" wrapText="1"/>
    </xf>
    <xf numFmtId="0" fontId="58" fillId="0" borderId="3" xfId="0" applyFont="1" applyBorder="1" applyAlignment="1">
      <alignment horizontal="center" vertical="center" wrapText="1"/>
    </xf>
    <xf numFmtId="0" fontId="58" fillId="0" borderId="18" xfId="0" applyFont="1" applyBorder="1" applyAlignment="1">
      <alignment horizontal="center" vertical="center" wrapText="1"/>
    </xf>
    <xf numFmtId="10" fontId="23" fillId="0" borderId="17" xfId="0" applyNumberFormat="1" applyFont="1" applyBorder="1" applyAlignment="1">
      <alignment horizontal="center" vertical="center"/>
    </xf>
    <xf numFmtId="0" fontId="58" fillId="0" borderId="3" xfId="0" applyFont="1" applyBorder="1" applyAlignment="1">
      <alignment horizontal="center" vertical="center"/>
    </xf>
    <xf numFmtId="0" fontId="58" fillId="0" borderId="18" xfId="0" applyFont="1" applyBorder="1" applyAlignment="1">
      <alignment horizontal="center" vertical="center"/>
    </xf>
    <xf numFmtId="0" fontId="63" fillId="2" borderId="1" xfId="0" applyFont="1" applyFill="1" applyBorder="1" applyAlignment="1">
      <alignment horizontal="center" vertical="center" wrapText="1"/>
    </xf>
    <xf numFmtId="0" fontId="23" fillId="2" borderId="1" xfId="0" applyFont="1" applyFill="1" applyBorder="1" applyAlignment="1">
      <alignment horizontal="center" vertical="center"/>
    </xf>
    <xf numFmtId="0" fontId="23" fillId="2" borderId="1" xfId="0" applyFont="1" applyFill="1" applyBorder="1" applyAlignment="1">
      <alignment horizontal="center" vertical="center" wrapText="1"/>
    </xf>
    <xf numFmtId="0" fontId="23" fillId="2" borderId="17" xfId="0" applyFont="1" applyFill="1" applyBorder="1" applyAlignment="1">
      <alignment horizontal="center" vertical="center" wrapText="1"/>
    </xf>
    <xf numFmtId="10" fontId="23" fillId="2" borderId="17" xfId="0" applyNumberFormat="1" applyFont="1" applyFill="1" applyBorder="1" applyAlignment="1">
      <alignment horizontal="center" vertical="center"/>
    </xf>
    <xf numFmtId="0" fontId="45" fillId="10" borderId="1" xfId="0" applyFont="1" applyFill="1" applyBorder="1" applyAlignment="1">
      <alignment horizontal="left"/>
    </xf>
    <xf numFmtId="0" fontId="23" fillId="2" borderId="11" xfId="0" applyFont="1" applyFill="1" applyBorder="1" applyAlignment="1">
      <alignment horizontal="center" vertical="center"/>
    </xf>
    <xf numFmtId="0" fontId="23" fillId="2" borderId="12" xfId="0" applyFont="1" applyFill="1" applyBorder="1" applyAlignment="1">
      <alignment horizontal="center" vertical="center"/>
    </xf>
    <xf numFmtId="0" fontId="58" fillId="0" borderId="49" xfId="0" applyFont="1" applyBorder="1" applyAlignment="1">
      <alignment horizontal="center" vertical="center"/>
    </xf>
    <xf numFmtId="0" fontId="23" fillId="2" borderId="58" xfId="0" applyFont="1" applyFill="1" applyBorder="1" applyAlignment="1">
      <alignment horizontal="center" vertical="center"/>
    </xf>
    <xf numFmtId="0" fontId="23" fillId="2" borderId="24" xfId="0" applyFont="1" applyFill="1" applyBorder="1" applyAlignment="1">
      <alignment horizontal="center" vertical="center"/>
    </xf>
    <xf numFmtId="0" fontId="58" fillId="0" borderId="59" xfId="0" applyFont="1" applyBorder="1" applyAlignment="1">
      <alignment horizontal="center" vertical="center"/>
    </xf>
    <xf numFmtId="0" fontId="64" fillId="52" borderId="61" xfId="0" applyFont="1" applyFill="1" applyBorder="1" applyAlignment="1">
      <alignment horizontal="center" vertical="center"/>
    </xf>
    <xf numFmtId="0" fontId="64" fillId="52" borderId="12" xfId="0" applyFont="1" applyFill="1" applyBorder="1" applyAlignment="1">
      <alignment horizontal="center" vertical="center"/>
    </xf>
    <xf numFmtId="0" fontId="64" fillId="52" borderId="13" xfId="0" applyFont="1" applyFill="1" applyBorder="1" applyAlignment="1">
      <alignment horizontal="center" vertical="center"/>
    </xf>
    <xf numFmtId="17" fontId="9" fillId="10" borderId="50" xfId="0" applyNumberFormat="1" applyFont="1" applyFill="1" applyBorder="1" applyAlignment="1">
      <alignment horizontal="center"/>
    </xf>
    <xf numFmtId="17" fontId="9" fillId="10" borderId="35" xfId="0" applyNumberFormat="1" applyFont="1" applyFill="1" applyBorder="1" applyAlignment="1">
      <alignment horizontal="center"/>
    </xf>
    <xf numFmtId="0" fontId="52" fillId="10" borderId="51" xfId="0" applyFont="1" applyFill="1" applyBorder="1" applyAlignment="1"/>
    <xf numFmtId="0" fontId="7" fillId="9" borderId="0" xfId="0" quotePrefix="1" applyFont="1" applyFill="1" applyAlignment="1">
      <alignment horizontal="left" vertical="center" wrapText="1" indent="14"/>
    </xf>
    <xf numFmtId="0" fontId="7" fillId="9" borderId="0" xfId="0" quotePrefix="1" applyFont="1" applyFill="1" applyAlignment="1">
      <alignment horizontal="left" vertical="center" indent="14"/>
    </xf>
    <xf numFmtId="166" fontId="54" fillId="11" borderId="0" xfId="0" applyNumberFormat="1" applyFont="1" applyFill="1" applyAlignment="1">
      <alignment horizontal="left" vertical="center" indent="14"/>
    </xf>
    <xf numFmtId="17" fontId="9" fillId="10" borderId="24" xfId="0" applyNumberFormat="1" applyFont="1" applyFill="1" applyBorder="1" applyAlignment="1">
      <alignment horizontal="center"/>
    </xf>
    <xf numFmtId="17" fontId="9" fillId="10" borderId="0" xfId="0" applyNumberFormat="1" applyFont="1" applyFill="1" applyAlignment="1">
      <alignment horizontal="center"/>
    </xf>
    <xf numFmtId="0" fontId="64" fillId="52" borderId="58" xfId="0" applyFont="1" applyFill="1" applyBorder="1" applyAlignment="1">
      <alignment horizontal="center" vertical="center"/>
    </xf>
    <xf numFmtId="0" fontId="64" fillId="52" borderId="24" xfId="0" applyFont="1" applyFill="1" applyBorder="1" applyAlignment="1">
      <alignment horizontal="center" vertical="center"/>
    </xf>
    <xf numFmtId="0" fontId="64" fillId="52" borderId="60" xfId="0" applyFont="1" applyFill="1" applyBorder="1" applyAlignment="1">
      <alignment horizontal="center" vertical="center"/>
    </xf>
    <xf numFmtId="0" fontId="23" fillId="2" borderId="49" xfId="0" applyFont="1" applyFill="1" applyBorder="1" applyAlignment="1">
      <alignment horizontal="center" vertical="center"/>
    </xf>
    <xf numFmtId="0" fontId="64" fillId="52" borderId="27" xfId="0" applyFont="1" applyFill="1" applyBorder="1" applyAlignment="1">
      <alignment horizontal="center" vertical="center"/>
    </xf>
    <xf numFmtId="0" fontId="66" fillId="52" borderId="53" xfId="0" applyFont="1" applyFill="1" applyBorder="1" applyAlignment="1">
      <alignment horizontal="center" vertical="center"/>
    </xf>
    <xf numFmtId="0" fontId="58" fillId="52" borderId="54" xfId="0" applyFont="1" applyFill="1" applyBorder="1" applyAlignment="1">
      <alignment horizontal="center" vertical="center"/>
    </xf>
    <xf numFmtId="0" fontId="64" fillId="52" borderId="11" xfId="0" applyFont="1" applyFill="1" applyBorder="1" applyAlignment="1">
      <alignment horizontal="center" vertical="center"/>
    </xf>
    <xf numFmtId="0" fontId="64" fillId="52" borderId="53" xfId="0" applyFont="1" applyFill="1" applyBorder="1" applyAlignment="1">
      <alignment horizontal="center" vertical="center"/>
    </xf>
    <xf numFmtId="0" fontId="64" fillId="52" borderId="54" xfId="0" applyFont="1" applyFill="1" applyBorder="1" applyAlignment="1">
      <alignment horizontal="center" vertical="center"/>
    </xf>
    <xf numFmtId="0" fontId="60" fillId="9" borderId="0" xfId="0" quotePrefix="1" applyFont="1" applyFill="1" applyAlignment="1">
      <alignment horizontal="left" vertical="center" wrapText="1" indent="14"/>
    </xf>
    <xf numFmtId="0" fontId="4" fillId="0" borderId="0" xfId="0" applyFont="1" applyAlignment="1">
      <alignment horizontal="center"/>
    </xf>
    <xf numFmtId="0" fontId="9" fillId="10" borderId="1" xfId="0" applyFont="1" applyFill="1" applyBorder="1" applyAlignment="1">
      <alignment horizontal="center"/>
    </xf>
    <xf numFmtId="0" fontId="42" fillId="10" borderId="2" xfId="0" applyFont="1" applyFill="1" applyBorder="1" applyAlignment="1">
      <alignment horizontal="center" vertical="center" wrapText="1"/>
    </xf>
    <xf numFmtId="0" fontId="42" fillId="10" borderId="26" xfId="0" applyFont="1" applyFill="1" applyBorder="1" applyAlignment="1">
      <alignment horizontal="center" vertical="center" wrapText="1"/>
    </xf>
    <xf numFmtId="0" fontId="23" fillId="0" borderId="26" xfId="0" applyFont="1" applyBorder="1" applyAlignment="1">
      <alignment horizontal="center" vertical="center" wrapText="1"/>
    </xf>
    <xf numFmtId="0" fontId="23" fillId="0" borderId="25" xfId="0" applyFont="1" applyBorder="1" applyAlignment="1">
      <alignment horizontal="center" vertical="center" wrapText="1"/>
    </xf>
    <xf numFmtId="0" fontId="67" fillId="49" borderId="2" xfId="0" applyFont="1" applyFill="1" applyBorder="1" applyAlignment="1">
      <alignment horizontal="center" vertical="center" wrapText="1"/>
    </xf>
    <xf numFmtId="0" fontId="63" fillId="49" borderId="26" xfId="0" applyFont="1" applyFill="1" applyBorder="1" applyAlignment="1">
      <alignment horizontal="center" vertical="center" wrapText="1"/>
    </xf>
    <xf numFmtId="0" fontId="63" fillId="49" borderId="25" xfId="0" applyFont="1" applyFill="1" applyBorder="1" applyAlignment="1">
      <alignment horizontal="center" vertical="center" wrapText="1"/>
    </xf>
    <xf numFmtId="0" fontId="42" fillId="10" borderId="25" xfId="0" applyFont="1" applyFill="1" applyBorder="1" applyAlignment="1">
      <alignment horizontal="center" vertical="center" wrapText="1"/>
    </xf>
    <xf numFmtId="0" fontId="67" fillId="49" borderId="26" xfId="0" applyFont="1" applyFill="1" applyBorder="1" applyAlignment="1">
      <alignment horizontal="center" vertical="center" wrapText="1"/>
    </xf>
    <xf numFmtId="0" fontId="67" fillId="49" borderId="25" xfId="0" applyFont="1" applyFill="1" applyBorder="1" applyAlignment="1">
      <alignment horizontal="center" vertical="center" wrapText="1"/>
    </xf>
    <xf numFmtId="0" fontId="58" fillId="0" borderId="26" xfId="0" applyFont="1" applyBorder="1" applyAlignment="1">
      <alignment horizontal="center" vertical="center" wrapText="1"/>
    </xf>
    <xf numFmtId="0" fontId="58" fillId="0" borderId="25" xfId="0" applyFont="1" applyBorder="1" applyAlignment="1">
      <alignment horizontal="center" vertical="center" wrapText="1"/>
    </xf>
    <xf numFmtId="0" fontId="68" fillId="49" borderId="26" xfId="0" applyFont="1" applyFill="1" applyBorder="1" applyAlignment="1">
      <alignment horizontal="center" vertical="center" wrapText="1"/>
    </xf>
    <xf numFmtId="0" fontId="68" fillId="49" borderId="25" xfId="0" applyFont="1" applyFill="1" applyBorder="1" applyAlignment="1">
      <alignment horizontal="center" vertical="center" wrapText="1"/>
    </xf>
    <xf numFmtId="0" fontId="7" fillId="9" borderId="0" xfId="0" quotePrefix="1" applyFont="1" applyFill="1" applyAlignment="1">
      <alignment horizontal="left" vertical="top" wrapText="1" indent="19"/>
    </xf>
    <xf numFmtId="166" fontId="4" fillId="11" borderId="0" xfId="0" applyNumberFormat="1" applyFont="1" applyFill="1" applyAlignment="1">
      <alignment horizontal="left" vertical="center" indent="19"/>
    </xf>
    <xf numFmtId="0" fontId="70" fillId="9" borderId="0" xfId="0" applyFont="1" applyFill="1" applyAlignment="1">
      <alignment horizontal="left" vertical="center" indent="14"/>
    </xf>
    <xf numFmtId="166" fontId="4" fillId="11" borderId="24" xfId="0" applyNumberFormat="1" applyFont="1" applyFill="1" applyBorder="1" applyAlignment="1">
      <alignment horizontal="left" vertical="center" indent="20"/>
    </xf>
    <xf numFmtId="166" fontId="4" fillId="11" borderId="0" xfId="0" applyNumberFormat="1" applyFont="1" applyFill="1" applyAlignment="1">
      <alignment horizontal="left" vertical="center" indent="20"/>
    </xf>
    <xf numFmtId="0" fontId="5" fillId="2" borderId="0" xfId="0" applyFont="1" applyFill="1" applyAlignment="1">
      <alignment horizontal="center"/>
    </xf>
    <xf numFmtId="0" fontId="17" fillId="2" borderId="0" xfId="0" applyFont="1" applyFill="1" applyAlignment="1">
      <alignment horizontal="center"/>
    </xf>
    <xf numFmtId="0" fontId="7" fillId="9" borderId="0" xfId="0" quotePrefix="1" applyFont="1" applyFill="1" applyAlignment="1">
      <alignment horizontal="left" wrapText="1" indent="19"/>
    </xf>
    <xf numFmtId="0" fontId="7" fillId="9" borderId="0" xfId="0" quotePrefix="1" applyFont="1" applyFill="1" applyAlignment="1">
      <alignment horizontal="left" vertical="center" wrapText="1" indent="15"/>
    </xf>
    <xf numFmtId="166" fontId="4" fillId="11" borderId="0" xfId="0" applyNumberFormat="1" applyFont="1" applyFill="1" applyAlignment="1">
      <alignment horizontal="left" vertical="center" indent="15"/>
    </xf>
    <xf numFmtId="0" fontId="71" fillId="9" borderId="0" xfId="0" quotePrefix="1" applyFont="1" applyFill="1" applyAlignment="1">
      <alignment horizontal="left" vertical="center" wrapText="1"/>
    </xf>
    <xf numFmtId="0" fontId="71" fillId="9" borderId="0" xfId="0" quotePrefix="1" applyFont="1" applyFill="1" applyAlignment="1">
      <alignment horizontal="left" vertical="center"/>
    </xf>
    <xf numFmtId="166" fontId="4" fillId="11" borderId="0" xfId="0" applyNumberFormat="1" applyFont="1" applyFill="1" applyAlignment="1">
      <alignment horizontal="left" vertical="center" indent="4"/>
    </xf>
    <xf numFmtId="0" fontId="7" fillId="9" borderId="0" xfId="0" quotePrefix="1" applyFont="1" applyFill="1" applyAlignment="1">
      <alignment horizontal="left" vertical="center" wrapText="1" indent="19"/>
    </xf>
    <xf numFmtId="166" fontId="4" fillId="11" borderId="0" xfId="0" applyNumberFormat="1" applyFont="1" applyFill="1" applyAlignment="1">
      <alignment horizontal="left" vertical="center" indent="10"/>
    </xf>
    <xf numFmtId="0" fontId="70" fillId="9" borderId="0" xfId="0" quotePrefix="1" applyFont="1" applyFill="1" applyAlignment="1">
      <alignment horizontal="left" vertical="center" indent="10"/>
    </xf>
    <xf numFmtId="0" fontId="9" fillId="10" borderId="0" xfId="0" applyFont="1" applyFill="1" applyAlignment="1">
      <alignment horizontal="center" vertical="center" wrapText="1"/>
    </xf>
    <xf numFmtId="0" fontId="9" fillId="10" borderId="4" xfId="0" applyFont="1" applyFill="1" applyBorder="1" applyAlignment="1">
      <alignment horizontal="center" vertical="center" wrapText="1"/>
    </xf>
    <xf numFmtId="0" fontId="9" fillId="10" borderId="20" xfId="0" applyFont="1" applyFill="1" applyBorder="1" applyAlignment="1">
      <alignment horizontal="center"/>
    </xf>
    <xf numFmtId="0" fontId="9" fillId="10" borderId="4" xfId="0" applyFont="1" applyFill="1" applyBorder="1" applyAlignment="1">
      <alignment horizontal="center"/>
    </xf>
    <xf numFmtId="0" fontId="9" fillId="10" borderId="21" xfId="0" applyFont="1" applyFill="1" applyBorder="1" applyAlignment="1">
      <alignment horizontal="center"/>
    </xf>
    <xf numFmtId="0" fontId="70" fillId="9" borderId="0" xfId="0" applyFont="1" applyFill="1" applyAlignment="1">
      <alignment horizontal="left" vertical="center" indent="12"/>
    </xf>
    <xf numFmtId="166" fontId="4" fillId="11" borderId="0" xfId="0" applyNumberFormat="1" applyFont="1" applyFill="1" applyAlignment="1">
      <alignment horizontal="left" vertical="center" indent="13"/>
    </xf>
    <xf numFmtId="0" fontId="9" fillId="10" borderId="22" xfId="0" applyFont="1" applyFill="1" applyBorder="1" applyAlignment="1">
      <alignment horizontal="center" vertical="center" wrapText="1"/>
    </xf>
    <xf numFmtId="0" fontId="9" fillId="10" borderId="34" xfId="0" applyFont="1" applyFill="1" applyBorder="1" applyAlignment="1">
      <alignment horizontal="center" vertical="center" wrapText="1"/>
    </xf>
    <xf numFmtId="0" fontId="9" fillId="10" borderId="33" xfId="0" applyFont="1" applyFill="1" applyBorder="1" applyAlignment="1">
      <alignment horizontal="center" vertical="center" wrapText="1"/>
    </xf>
    <xf numFmtId="0" fontId="0" fillId="0" borderId="20" xfId="0" applyBorder="1" applyAlignment="1">
      <alignment horizontal="center" vertical="center" wrapText="1"/>
    </xf>
    <xf numFmtId="0" fontId="0" fillId="0" borderId="4" xfId="0" applyBorder="1" applyAlignment="1">
      <alignment horizontal="center" vertical="center" wrapText="1"/>
    </xf>
    <xf numFmtId="0" fontId="0" fillId="0" borderId="32" xfId="0" applyBorder="1" applyAlignment="1">
      <alignment horizontal="center" vertical="center" wrapText="1"/>
    </xf>
    <xf numFmtId="0" fontId="70" fillId="9" borderId="0" xfId="0" quotePrefix="1" applyFont="1" applyFill="1" applyAlignment="1">
      <alignment horizontal="left" vertical="center" wrapText="1" indent="13"/>
    </xf>
    <xf numFmtId="0" fontId="14" fillId="10" borderId="22" xfId="0" applyFont="1" applyFill="1" applyBorder="1" applyAlignment="1">
      <alignment horizontal="center"/>
    </xf>
    <xf numFmtId="0" fontId="0" fillId="0" borderId="34" xfId="0" applyBorder="1" applyAlignment="1">
      <alignment horizontal="center"/>
    </xf>
    <xf numFmtId="0" fontId="14" fillId="10" borderId="2" xfId="0" applyFont="1" applyFill="1" applyBorder="1" applyAlignment="1">
      <alignment horizontal="center"/>
    </xf>
    <xf numFmtId="0" fontId="0" fillId="0" borderId="26" xfId="0" applyBorder="1" applyAlignment="1">
      <alignment horizontal="center"/>
    </xf>
    <xf numFmtId="0" fontId="14" fillId="10" borderId="1" xfId="0" applyFont="1" applyFill="1" applyBorder="1" applyAlignment="1">
      <alignment horizontal="center"/>
    </xf>
    <xf numFmtId="0" fontId="0" fillId="0" borderId="1" xfId="0" applyBorder="1" applyAlignment="1">
      <alignment horizontal="center"/>
    </xf>
    <xf numFmtId="0" fontId="70" fillId="9" borderId="0" xfId="0" applyFont="1" applyFill="1" applyAlignment="1">
      <alignment horizontal="left" vertical="center" indent="11"/>
    </xf>
    <xf numFmtId="166" fontId="4" fillId="11" borderId="0" xfId="0" applyNumberFormat="1" applyFont="1" applyFill="1" applyAlignment="1">
      <alignment horizontal="left" vertical="center" indent="11"/>
    </xf>
    <xf numFmtId="0" fontId="14" fillId="10" borderId="50" xfId="0" quotePrefix="1" applyFont="1" applyFill="1" applyBorder="1" applyAlignment="1">
      <alignment horizontal="center" wrapText="1"/>
    </xf>
    <xf numFmtId="0" fontId="14" fillId="10" borderId="35" xfId="0" applyFont="1" applyFill="1" applyBorder="1" applyAlignment="1">
      <alignment horizontal="center" wrapText="1"/>
    </xf>
    <xf numFmtId="0" fontId="14" fillId="10" borderId="27" xfId="0" applyFont="1" applyFill="1" applyBorder="1" applyAlignment="1">
      <alignment horizontal="center" vertical="center" wrapText="1"/>
    </xf>
    <xf numFmtId="0" fontId="14" fillId="10" borderId="28" xfId="0" applyFont="1" applyFill="1" applyBorder="1" applyAlignment="1">
      <alignment horizontal="center" vertical="center" wrapText="1"/>
    </xf>
    <xf numFmtId="0" fontId="14" fillId="10" borderId="52" xfId="0" quotePrefix="1" applyFont="1" applyFill="1" applyBorder="1" applyAlignment="1">
      <alignment horizontal="center" vertical="center" wrapText="1"/>
    </xf>
    <xf numFmtId="0" fontId="14" fillId="10" borderId="28" xfId="0" quotePrefix="1" applyFont="1" applyFill="1" applyBorder="1" applyAlignment="1">
      <alignment horizontal="center" vertical="center" wrapText="1"/>
    </xf>
    <xf numFmtId="0" fontId="14" fillId="10" borderId="31" xfId="0" applyFont="1" applyFill="1" applyBorder="1" applyAlignment="1">
      <alignment horizontal="center" vertical="center" wrapText="1"/>
    </xf>
    <xf numFmtId="0" fontId="14" fillId="10" borderId="55" xfId="0" quotePrefix="1" applyFont="1" applyFill="1" applyBorder="1" applyAlignment="1">
      <alignment horizontal="center" vertical="center" wrapText="1"/>
    </xf>
    <xf numFmtId="0" fontId="14" fillId="10" borderId="29" xfId="0" quotePrefix="1" applyFont="1" applyFill="1" applyBorder="1" applyAlignment="1">
      <alignment horizontal="center" vertical="center" wrapText="1"/>
    </xf>
    <xf numFmtId="0" fontId="23" fillId="0" borderId="1" xfId="0" applyFont="1" applyBorder="1" applyAlignment="1"/>
    <xf numFmtId="0" fontId="0" fillId="0" borderId="1" xfId="0" applyBorder="1" applyAlignment="1"/>
    <xf numFmtId="0" fontId="64" fillId="52" borderId="1" xfId="0" applyFont="1" applyFill="1" applyBorder="1" applyAlignment="1">
      <alignment wrapText="1"/>
    </xf>
    <xf numFmtId="0" fontId="42" fillId="10" borderId="56" xfId="0" applyFont="1" applyFill="1" applyBorder="1" applyAlignment="1">
      <alignment horizontal="center" vertical="center" wrapText="1"/>
    </xf>
    <xf numFmtId="0" fontId="0" fillId="0" borderId="0" xfId="0" applyAlignment="1">
      <alignment horizontal="center" vertical="center" wrapText="1"/>
    </xf>
    <xf numFmtId="0" fontId="69" fillId="9" borderId="0" xfId="0" applyFont="1" applyFill="1" applyAlignment="1">
      <alignment horizontal="left" vertical="center" wrapText="1" indent="13"/>
    </xf>
    <xf numFmtId="0" fontId="69" fillId="9" borderId="0" xfId="0" applyFont="1" applyFill="1" applyAlignment="1">
      <alignment horizontal="left" vertical="center" indent="13"/>
    </xf>
    <xf numFmtId="0" fontId="17" fillId="0" borderId="4" xfId="0" applyFont="1" applyBorder="1" applyAlignment="1">
      <alignment horizontal="center"/>
    </xf>
    <xf numFmtId="0" fontId="42" fillId="10" borderId="22" xfId="0" applyFont="1" applyFill="1" applyBorder="1" applyAlignment="1">
      <alignment horizontal="center" vertical="center" wrapText="1"/>
    </xf>
    <xf numFmtId="0" fontId="42" fillId="10" borderId="33" xfId="0" applyFont="1" applyFill="1" applyBorder="1" applyAlignment="1">
      <alignment horizontal="center" vertical="center" wrapText="1"/>
    </xf>
    <xf numFmtId="0" fontId="58" fillId="0" borderId="20" xfId="0" applyFont="1" applyBorder="1" applyAlignment="1">
      <alignment horizontal="center" vertical="center" wrapText="1"/>
    </xf>
    <xf numFmtId="0" fontId="58" fillId="0" borderId="32" xfId="0" applyFont="1" applyBorder="1" applyAlignment="1">
      <alignment horizontal="center" vertical="center" wrapText="1"/>
    </xf>
    <xf numFmtId="0" fontId="67" fillId="52" borderId="1" xfId="0" applyFont="1" applyFill="1" applyBorder="1" applyAlignment="1">
      <alignment vertical="center" wrapText="1"/>
    </xf>
    <xf numFmtId="0" fontId="0" fillId="0" borderId="1" xfId="0" applyBorder="1" applyAlignment="1">
      <alignment wrapText="1"/>
    </xf>
    <xf numFmtId="0" fontId="42" fillId="10" borderId="1" xfId="0" applyFont="1" applyFill="1" applyBorder="1" applyAlignment="1">
      <alignment horizontal="center" vertical="center" wrapText="1"/>
    </xf>
    <xf numFmtId="1" fontId="64" fillId="52" borderId="2" xfId="0" applyNumberFormat="1" applyFont="1" applyFill="1" applyBorder="1" applyAlignment="1">
      <alignment horizontal="center"/>
    </xf>
    <xf numFmtId="0" fontId="0" fillId="0" borderId="25" xfId="0" applyBorder="1" applyAlignment="1">
      <alignment horizontal="center"/>
    </xf>
    <xf numFmtId="0" fontId="72" fillId="9" borderId="0" xfId="0" applyFont="1" applyFill="1" applyAlignment="1">
      <alignment horizontal="left" vertical="center" indent="17"/>
    </xf>
    <xf numFmtId="166" fontId="4" fillId="11" borderId="0" xfId="0" applyNumberFormat="1" applyFont="1" applyFill="1" applyAlignment="1">
      <alignment horizontal="left" vertical="center" indent="17"/>
    </xf>
    <xf numFmtId="0" fontId="9" fillId="10" borderId="20" xfId="0" applyFont="1" applyFill="1" applyBorder="1" applyAlignment="1">
      <alignment horizontal="left" vertical="center" wrapText="1"/>
    </xf>
    <xf numFmtId="0" fontId="51" fillId="0" borderId="4" xfId="0" applyFont="1" applyBorder="1" applyAlignment="1">
      <alignment horizontal="left" wrapText="1"/>
    </xf>
    <xf numFmtId="0" fontId="14" fillId="10" borderId="1" xfId="0" applyFont="1" applyFill="1" applyBorder="1" applyAlignment="1">
      <alignment horizontal="center" vertical="center"/>
    </xf>
    <xf numFmtId="0" fontId="70" fillId="9" borderId="0" xfId="0" quotePrefix="1" applyFont="1" applyFill="1" applyAlignment="1">
      <alignment horizontal="left" vertical="center" indent="16"/>
    </xf>
    <xf numFmtId="166" fontId="4" fillId="11" borderId="0" xfId="0" applyNumberFormat="1" applyFont="1" applyFill="1" applyAlignment="1">
      <alignment horizontal="left" vertical="center" indent="16"/>
    </xf>
    <xf numFmtId="0" fontId="14" fillId="10" borderId="5" xfId="0" applyFont="1" applyFill="1" applyBorder="1" applyAlignment="1">
      <alignment horizontal="center" vertical="top"/>
    </xf>
    <xf numFmtId="0" fontId="14" fillId="10" borderId="6" xfId="0" applyFont="1" applyFill="1" applyBorder="1" applyAlignment="1">
      <alignment horizontal="center" vertical="top"/>
    </xf>
    <xf numFmtId="0" fontId="14" fillId="10" borderId="19" xfId="0" applyFont="1" applyFill="1" applyBorder="1" applyAlignment="1">
      <alignment horizontal="center" vertical="top"/>
    </xf>
    <xf numFmtId="0" fontId="9" fillId="10" borderId="27" xfId="0" applyFont="1" applyFill="1" applyBorder="1" applyAlignment="1">
      <alignment horizontal="center" vertical="center"/>
    </xf>
    <xf numFmtId="0" fontId="9" fillId="10" borderId="59" xfId="0" applyFont="1" applyFill="1" applyBorder="1" applyAlignment="1">
      <alignment horizontal="center" vertical="center"/>
    </xf>
    <xf numFmtId="0" fontId="44" fillId="9" borderId="0" xfId="0" applyFont="1" applyFill="1" applyAlignment="1">
      <alignment horizontal="left" vertical="center" indent="14"/>
    </xf>
    <xf numFmtId="0" fontId="48" fillId="5" borderId="0" xfId="0" applyFont="1" applyFill="1" applyAlignment="1">
      <alignment horizontal="left" vertical="center" wrapText="1" indent="14"/>
    </xf>
    <xf numFmtId="14" fontId="12" fillId="11" borderId="0" xfId="0" applyNumberFormat="1" applyFont="1" applyFill="1" applyAlignment="1">
      <alignment horizontal="left" vertical="center" indent="3"/>
    </xf>
    <xf numFmtId="0" fontId="44" fillId="9" borderId="0" xfId="0" applyFont="1" applyFill="1" applyAlignment="1">
      <alignment horizontal="left" vertical="center" indent="13"/>
    </xf>
    <xf numFmtId="0" fontId="73" fillId="5" borderId="0" xfId="0" applyFont="1" applyFill="1" applyAlignment="1">
      <alignment horizontal="left" vertical="center" wrapText="1" indent="11"/>
    </xf>
    <xf numFmtId="14" fontId="4" fillId="11" borderId="0" xfId="0" applyNumberFormat="1" applyFont="1" applyFill="1" applyAlignment="1">
      <alignment horizontal="left" vertical="center" indent="3"/>
    </xf>
    <xf numFmtId="0" fontId="11" fillId="5" borderId="0" xfId="0" applyFont="1" applyFill="1" applyAlignment="1">
      <alignment horizontal="left" vertical="center" wrapText="1" indent="11"/>
    </xf>
  </cellXfs>
  <cellStyles count="228">
    <cellStyle name="20% - Accent1 2" xfId="22" xr:uid="{00000000-0005-0000-0000-000000000000}"/>
    <cellStyle name="20% - Accent1 2 2" xfId="48" xr:uid="{00000000-0005-0000-0000-000001000000}"/>
    <cellStyle name="20% - Accent1 2 2 2" xfId="130" xr:uid="{33967C49-4432-447E-8D57-D71CF940BB5E}"/>
    <cellStyle name="20% - Accent1 2 2 2 2" xfId="210" xr:uid="{C649078F-4DEE-4DC1-9904-D21BA5755631}"/>
    <cellStyle name="20% - Accent1 2 2 3" xfId="170" xr:uid="{CC5FBE2F-098E-4272-AC60-350EBB51E903}"/>
    <cellStyle name="20% - Accent1 2 3" xfId="110" xr:uid="{DD7C2380-8443-452D-8A23-E940DF02E28D}"/>
    <cellStyle name="20% - Accent1 2 3 2" xfId="190" xr:uid="{69763941-D947-42FA-B8E2-7C123A9C10AB}"/>
    <cellStyle name="20% - Accent1 2 4" xfId="150" xr:uid="{3B6F4FC6-456D-41C9-A544-4B76F3AF11F4}"/>
    <cellStyle name="20% - Accent1 3" xfId="85" xr:uid="{00000000-0005-0000-0000-000002000000}"/>
    <cellStyle name="20% - Accent2 2" xfId="26" xr:uid="{00000000-0005-0000-0000-000003000000}"/>
    <cellStyle name="20% - Accent2 2 2" xfId="51" xr:uid="{00000000-0005-0000-0000-000004000000}"/>
    <cellStyle name="20% - Accent2 2 2 2" xfId="133" xr:uid="{FE1AC290-7B99-4DBF-BD3E-6F15727F8E3E}"/>
    <cellStyle name="20% - Accent2 2 2 2 2" xfId="213" xr:uid="{BF5A8CC3-4326-4FFE-B7AB-2A2D98E090BA}"/>
    <cellStyle name="20% - Accent2 2 2 3" xfId="173" xr:uid="{52B5F84D-0F13-4A06-BFEC-BE0A142EA4F6}"/>
    <cellStyle name="20% - Accent2 2 3" xfId="113" xr:uid="{21B81CDF-0569-4F71-A279-19AB22419F8C}"/>
    <cellStyle name="20% - Accent2 2 3 2" xfId="193" xr:uid="{F7FE828C-A82F-42FC-B300-F09CAFB6C8AD}"/>
    <cellStyle name="20% - Accent2 2 4" xfId="153" xr:uid="{14C3D558-C34C-4CDE-AAF9-04A7F824F380}"/>
    <cellStyle name="20% - Accent2 3" xfId="89" xr:uid="{00000000-0005-0000-0000-000005000000}"/>
    <cellStyle name="20% - Accent3 2" xfId="30" xr:uid="{00000000-0005-0000-0000-000006000000}"/>
    <cellStyle name="20% - Accent3 2 2" xfId="54" xr:uid="{00000000-0005-0000-0000-000007000000}"/>
    <cellStyle name="20% - Accent3 2 2 2" xfId="136" xr:uid="{761DE16F-DBAF-46D1-9F15-08F1D6046658}"/>
    <cellStyle name="20% - Accent3 2 2 2 2" xfId="216" xr:uid="{344EC71F-502F-4832-BA0F-373895838533}"/>
    <cellStyle name="20% - Accent3 2 2 3" xfId="176" xr:uid="{DFAF5CA4-9FEB-4B39-95DD-53DA516DE9E1}"/>
    <cellStyle name="20% - Accent3 2 3" xfId="116" xr:uid="{AEA13515-DEB0-4368-A284-EA5FEFB02B34}"/>
    <cellStyle name="20% - Accent3 2 3 2" xfId="196" xr:uid="{8FEA6998-7A9A-4991-B188-0F7D06D98A53}"/>
    <cellStyle name="20% - Accent3 2 4" xfId="156" xr:uid="{33C42D44-5F38-46B3-B926-251EF11DFB1D}"/>
    <cellStyle name="20% - Accent3 3" xfId="93" xr:uid="{00000000-0005-0000-0000-000008000000}"/>
    <cellStyle name="20% - Accent4 2" xfId="34" xr:uid="{00000000-0005-0000-0000-000009000000}"/>
    <cellStyle name="20% - Accent4 2 2" xfId="57" xr:uid="{00000000-0005-0000-0000-00000A000000}"/>
    <cellStyle name="20% - Accent4 2 2 2" xfId="139" xr:uid="{A8A302DF-0FF8-477E-8F35-590F2C1A7365}"/>
    <cellStyle name="20% - Accent4 2 2 2 2" xfId="219" xr:uid="{AE270EC4-8BE8-4806-8379-D9B75A02707F}"/>
    <cellStyle name="20% - Accent4 2 2 3" xfId="179" xr:uid="{A2A9B7E6-E0E9-4DA0-B6B9-5947FCE6A010}"/>
    <cellStyle name="20% - Accent4 2 3" xfId="119" xr:uid="{BBD62146-01BF-40DE-A80F-26B5D0E15775}"/>
    <cellStyle name="20% - Accent4 2 3 2" xfId="199" xr:uid="{AEDE779E-AD63-4F17-B027-A105EBFD3892}"/>
    <cellStyle name="20% - Accent4 2 4" xfId="159" xr:uid="{DE48289F-63A8-4DA1-8EA1-FFF24139EB9E}"/>
    <cellStyle name="20% - Accent4 3" xfId="97" xr:uid="{00000000-0005-0000-0000-00000B000000}"/>
    <cellStyle name="20% - Accent5 2" xfId="38" xr:uid="{00000000-0005-0000-0000-00000C000000}"/>
    <cellStyle name="20% - Accent5 2 2" xfId="60" xr:uid="{00000000-0005-0000-0000-00000D000000}"/>
    <cellStyle name="20% - Accent5 2 2 2" xfId="142" xr:uid="{ECE7EA30-073D-4BA4-BECC-092713ADFB0D}"/>
    <cellStyle name="20% - Accent5 2 2 2 2" xfId="222" xr:uid="{6B245384-3B53-42A0-8891-280A8135CF3B}"/>
    <cellStyle name="20% - Accent5 2 2 3" xfId="182" xr:uid="{07940D89-0FF4-47B2-BE23-D9910F18BE76}"/>
    <cellStyle name="20% - Accent5 2 3" xfId="122" xr:uid="{6E571B58-B1CE-4C04-A67B-56F6350EC402}"/>
    <cellStyle name="20% - Accent5 2 3 2" xfId="202" xr:uid="{5AF93333-2C4C-4F5C-A2AC-87FBD00CA604}"/>
    <cellStyle name="20% - Accent5 2 4" xfId="162" xr:uid="{E0C0703F-4E44-4F5A-8A8C-5D6C038C9D64}"/>
    <cellStyle name="20% - Accent5 3" xfId="101" xr:uid="{00000000-0005-0000-0000-00000E000000}"/>
    <cellStyle name="20% - Accent6 2" xfId="42" xr:uid="{00000000-0005-0000-0000-00000F000000}"/>
    <cellStyle name="20% - Accent6 2 2" xfId="63" xr:uid="{00000000-0005-0000-0000-000010000000}"/>
    <cellStyle name="20% - Accent6 2 2 2" xfId="145" xr:uid="{8645E9E3-5E1C-461C-99E1-EC2FA89031BD}"/>
    <cellStyle name="20% - Accent6 2 2 2 2" xfId="225" xr:uid="{6A662F26-771D-429E-9CF2-6330BA03A23B}"/>
    <cellStyle name="20% - Accent6 2 2 3" xfId="185" xr:uid="{A9301B7B-2AE3-4A88-9C62-1EE489F7DCA0}"/>
    <cellStyle name="20% - Accent6 2 3" xfId="125" xr:uid="{4ADFD6CF-88AF-40F0-93D0-82CD4B56E626}"/>
    <cellStyle name="20% - Accent6 2 3 2" xfId="205" xr:uid="{4F32DD2C-5DD0-458E-BDFC-9CD1254550F5}"/>
    <cellStyle name="20% - Accent6 2 4" xfId="165" xr:uid="{2A500441-4EC4-4E52-846D-130641DCDC8A}"/>
    <cellStyle name="20% - Accent6 3" xfId="105" xr:uid="{00000000-0005-0000-0000-000011000000}"/>
    <cellStyle name="40% - Accent1 2" xfId="23" xr:uid="{00000000-0005-0000-0000-000012000000}"/>
    <cellStyle name="40% - Accent1 2 2" xfId="49" xr:uid="{00000000-0005-0000-0000-000013000000}"/>
    <cellStyle name="40% - Accent1 2 2 2" xfId="131" xr:uid="{E8DF8D03-E980-4FD8-BEC6-79D6A5F4D5A8}"/>
    <cellStyle name="40% - Accent1 2 2 2 2" xfId="211" xr:uid="{3BE72F60-981F-4678-8F11-E6793FF87260}"/>
    <cellStyle name="40% - Accent1 2 2 3" xfId="171" xr:uid="{6C6EFD29-A505-484B-A152-3B1C833E8DBC}"/>
    <cellStyle name="40% - Accent1 2 3" xfId="111" xr:uid="{AB874945-28E7-4D19-B0E5-2826E880B0F2}"/>
    <cellStyle name="40% - Accent1 2 3 2" xfId="191" xr:uid="{98B4832D-762B-4004-8100-FE22AF7F5FF6}"/>
    <cellStyle name="40% - Accent1 2 4" xfId="151" xr:uid="{3FFEA903-1FF0-4665-A693-6CA1296539DA}"/>
    <cellStyle name="40% - Accent1 3" xfId="86" xr:uid="{00000000-0005-0000-0000-000014000000}"/>
    <cellStyle name="40% - Accent2 2" xfId="27" xr:uid="{00000000-0005-0000-0000-000015000000}"/>
    <cellStyle name="40% - Accent2 2 2" xfId="52" xr:uid="{00000000-0005-0000-0000-000016000000}"/>
    <cellStyle name="40% - Accent2 2 2 2" xfId="134" xr:uid="{49CE6658-7AFB-4185-9746-9F489F217FFC}"/>
    <cellStyle name="40% - Accent2 2 2 2 2" xfId="214" xr:uid="{F369DC15-7A9C-4D6B-A16D-6FD157568B9B}"/>
    <cellStyle name="40% - Accent2 2 2 3" xfId="174" xr:uid="{C51E80BA-C00D-4039-8C4F-6F6D9E39CDC6}"/>
    <cellStyle name="40% - Accent2 2 3" xfId="114" xr:uid="{56959326-ADB3-442A-9A8E-FF36F14F511C}"/>
    <cellStyle name="40% - Accent2 2 3 2" xfId="194" xr:uid="{C42181F0-D423-42F5-97E3-BF97C3D9D640}"/>
    <cellStyle name="40% - Accent2 2 4" xfId="154" xr:uid="{A82A5A84-8E0F-4FD6-BA74-818C67BC38EC}"/>
    <cellStyle name="40% - Accent2 3" xfId="90" xr:uid="{00000000-0005-0000-0000-000017000000}"/>
    <cellStyle name="40% - Accent3 2" xfId="31" xr:uid="{00000000-0005-0000-0000-000018000000}"/>
    <cellStyle name="40% - Accent3 2 2" xfId="55" xr:uid="{00000000-0005-0000-0000-000019000000}"/>
    <cellStyle name="40% - Accent3 2 2 2" xfId="137" xr:uid="{03CD9855-5FCF-42AE-925B-F4C3B70BAE7D}"/>
    <cellStyle name="40% - Accent3 2 2 2 2" xfId="217" xr:uid="{DF97C8D0-5518-46BC-8D81-B13318BAFF1D}"/>
    <cellStyle name="40% - Accent3 2 2 3" xfId="177" xr:uid="{45AE8BD7-D139-43BD-8420-5141C06D9B25}"/>
    <cellStyle name="40% - Accent3 2 3" xfId="117" xr:uid="{4B9EBC19-6260-4A19-9F59-C2B98AC210FB}"/>
    <cellStyle name="40% - Accent3 2 3 2" xfId="197" xr:uid="{59730C21-EA22-4CF9-96A7-5300774D6FA9}"/>
    <cellStyle name="40% - Accent3 2 4" xfId="157" xr:uid="{9242D08D-1614-4D46-85DF-CF487DECCFE5}"/>
    <cellStyle name="40% - Accent3 3" xfId="94" xr:uid="{00000000-0005-0000-0000-00001A000000}"/>
    <cellStyle name="40% - Accent4 2" xfId="35" xr:uid="{00000000-0005-0000-0000-00001B000000}"/>
    <cellStyle name="40% - Accent4 2 2" xfId="58" xr:uid="{00000000-0005-0000-0000-00001C000000}"/>
    <cellStyle name="40% - Accent4 2 2 2" xfId="140" xr:uid="{8B18522B-76B8-45C5-A832-EF9A2F7D7FBE}"/>
    <cellStyle name="40% - Accent4 2 2 2 2" xfId="220" xr:uid="{EFF748BA-FBAC-4771-8353-1524067A8171}"/>
    <cellStyle name="40% - Accent4 2 2 3" xfId="180" xr:uid="{C287DC8F-04B0-47B7-9CE3-80CA774F03DB}"/>
    <cellStyle name="40% - Accent4 2 3" xfId="120" xr:uid="{D118D649-1E77-435C-8E67-0369FBCB2F82}"/>
    <cellStyle name="40% - Accent4 2 3 2" xfId="200" xr:uid="{3A34C674-3016-4907-AE33-63201A9AC7C6}"/>
    <cellStyle name="40% - Accent4 2 4" xfId="160" xr:uid="{F60E1E05-0873-4B4D-838D-24D07EAD9A06}"/>
    <cellStyle name="40% - Accent4 3" xfId="98" xr:uid="{00000000-0005-0000-0000-00001D000000}"/>
    <cellStyle name="40% - Accent5 2" xfId="39" xr:uid="{00000000-0005-0000-0000-00001E000000}"/>
    <cellStyle name="40% - Accent5 2 2" xfId="61" xr:uid="{00000000-0005-0000-0000-00001F000000}"/>
    <cellStyle name="40% - Accent5 2 2 2" xfId="143" xr:uid="{82716AA9-03D3-4FCB-AD11-396D48704536}"/>
    <cellStyle name="40% - Accent5 2 2 2 2" xfId="223" xr:uid="{4ED79CB2-80AC-44B0-9592-F42D43724CFE}"/>
    <cellStyle name="40% - Accent5 2 2 3" xfId="183" xr:uid="{08D2BB84-C943-47F4-9973-CD9921251085}"/>
    <cellStyle name="40% - Accent5 2 3" xfId="123" xr:uid="{C4EC3B2F-B7C1-4065-A7F6-C455D11496AA}"/>
    <cellStyle name="40% - Accent5 2 3 2" xfId="203" xr:uid="{146AAD72-97D2-4A89-A100-32A0D9AA6548}"/>
    <cellStyle name="40% - Accent5 2 4" xfId="163" xr:uid="{5D8B9372-F4AE-4D6C-839A-5D9499B1AF85}"/>
    <cellStyle name="40% - Accent5 3" xfId="102" xr:uid="{00000000-0005-0000-0000-000020000000}"/>
    <cellStyle name="40% - Accent6 2" xfId="43" xr:uid="{00000000-0005-0000-0000-000021000000}"/>
    <cellStyle name="40% - Accent6 2 2" xfId="64" xr:uid="{00000000-0005-0000-0000-000022000000}"/>
    <cellStyle name="40% - Accent6 2 2 2" xfId="146" xr:uid="{9FF76641-ADF0-4CCD-B3E0-A55CDA6101CC}"/>
    <cellStyle name="40% - Accent6 2 2 2 2" xfId="226" xr:uid="{6145886A-0E36-4FDE-8761-EA37FB8DF704}"/>
    <cellStyle name="40% - Accent6 2 2 3" xfId="186" xr:uid="{09920675-6892-4193-A9D5-46FD1E97D6E5}"/>
    <cellStyle name="40% - Accent6 2 3" xfId="126" xr:uid="{670D7905-7CA9-4D48-86E1-AF6812F45972}"/>
    <cellStyle name="40% - Accent6 2 3 2" xfId="206" xr:uid="{F541168F-3897-4DA9-8513-250F0BD7341F}"/>
    <cellStyle name="40% - Accent6 2 4" xfId="166" xr:uid="{D0C69025-0F04-419F-ABD5-F98622C2EF1D}"/>
    <cellStyle name="40% - Accent6 3" xfId="106" xr:uid="{00000000-0005-0000-0000-000023000000}"/>
    <cellStyle name="60% - Accent1 2" xfId="24" xr:uid="{00000000-0005-0000-0000-000024000000}"/>
    <cellStyle name="60% - Accent1 2 2" xfId="50" xr:uid="{00000000-0005-0000-0000-000025000000}"/>
    <cellStyle name="60% - Accent1 2 2 2" xfId="132" xr:uid="{339C23FF-9400-409E-B566-C07FB0E424C3}"/>
    <cellStyle name="60% - Accent1 2 2 2 2" xfId="212" xr:uid="{3D2B282E-BF15-4F93-897C-2B20D6605A16}"/>
    <cellStyle name="60% - Accent1 2 2 3" xfId="172" xr:uid="{666914E0-974F-442E-8971-7CDC40748183}"/>
    <cellStyle name="60% - Accent1 2 3" xfId="112" xr:uid="{9182A7D3-B8A9-4C1D-9133-52D108034402}"/>
    <cellStyle name="60% - Accent1 2 3 2" xfId="192" xr:uid="{A7B24930-5D82-476A-8A89-9E97EA38624C}"/>
    <cellStyle name="60% - Accent1 2 4" xfId="152" xr:uid="{18410875-DCF3-414D-83E9-AF87186EDC34}"/>
    <cellStyle name="60% - Accent1 3" xfId="87" xr:uid="{00000000-0005-0000-0000-000026000000}"/>
    <cellStyle name="60% - Accent2 2" xfId="28" xr:uid="{00000000-0005-0000-0000-000027000000}"/>
    <cellStyle name="60% - Accent2 2 2" xfId="53" xr:uid="{00000000-0005-0000-0000-000028000000}"/>
    <cellStyle name="60% - Accent2 2 2 2" xfId="135" xr:uid="{00A4681C-1716-4992-B8EA-ABA306BFA94B}"/>
    <cellStyle name="60% - Accent2 2 2 2 2" xfId="215" xr:uid="{446DE03A-B834-4F54-98B1-BF98494D1354}"/>
    <cellStyle name="60% - Accent2 2 2 3" xfId="175" xr:uid="{B3EB70B5-ACE2-4BC7-8BE7-7FB2DEDF38A5}"/>
    <cellStyle name="60% - Accent2 2 3" xfId="115" xr:uid="{F72D6B13-2EAB-4628-882F-486F3353C130}"/>
    <cellStyle name="60% - Accent2 2 3 2" xfId="195" xr:uid="{891C6C15-1D1B-46A2-9E74-A59EFB360FF2}"/>
    <cellStyle name="60% - Accent2 2 4" xfId="155" xr:uid="{6B004800-9EFF-494B-95EF-38D0B6FEB88B}"/>
    <cellStyle name="60% - Accent2 3" xfId="91" xr:uid="{00000000-0005-0000-0000-000029000000}"/>
    <cellStyle name="60% - Accent3 2" xfId="32" xr:uid="{00000000-0005-0000-0000-00002A000000}"/>
    <cellStyle name="60% - Accent3 2 2" xfId="56" xr:uid="{00000000-0005-0000-0000-00002B000000}"/>
    <cellStyle name="60% - Accent3 2 2 2" xfId="138" xr:uid="{B663B948-656F-42F2-A877-9608E442A1B7}"/>
    <cellStyle name="60% - Accent3 2 2 2 2" xfId="218" xr:uid="{439603AD-8D43-44A9-94F2-843AB04EA48E}"/>
    <cellStyle name="60% - Accent3 2 2 3" xfId="178" xr:uid="{F763690C-D6D1-4E76-A696-713B079ACB6E}"/>
    <cellStyle name="60% - Accent3 2 3" xfId="118" xr:uid="{F714B51B-1555-4154-A785-F966A4E148A1}"/>
    <cellStyle name="60% - Accent3 2 3 2" xfId="198" xr:uid="{6C00C44A-8724-4336-A4ED-07271F584DCC}"/>
    <cellStyle name="60% - Accent3 2 4" xfId="158" xr:uid="{32C2EE1D-79FF-4A5A-80A3-71FFD429E80B}"/>
    <cellStyle name="60% - Accent3 3" xfId="95" xr:uid="{00000000-0005-0000-0000-00002C000000}"/>
    <cellStyle name="60% - Accent4 2" xfId="36" xr:uid="{00000000-0005-0000-0000-00002D000000}"/>
    <cellStyle name="60% - Accent4 2 2" xfId="59" xr:uid="{00000000-0005-0000-0000-00002E000000}"/>
    <cellStyle name="60% - Accent4 2 2 2" xfId="141" xr:uid="{7F308E04-5783-49A7-B0AA-154AF2C64105}"/>
    <cellStyle name="60% - Accent4 2 2 2 2" xfId="221" xr:uid="{1FF1F1D9-A4FD-45EE-BD56-AE7F46B383EA}"/>
    <cellStyle name="60% - Accent4 2 2 3" xfId="181" xr:uid="{61222B0D-E73C-4547-877F-D6DC5D5504FB}"/>
    <cellStyle name="60% - Accent4 2 3" xfId="121" xr:uid="{EF54B43A-322D-4C13-AAA3-E4143A72DE22}"/>
    <cellStyle name="60% - Accent4 2 3 2" xfId="201" xr:uid="{90631204-2096-4252-821A-7EF1CAA0B10E}"/>
    <cellStyle name="60% - Accent4 2 4" xfId="161" xr:uid="{E8B5B895-1264-4EE5-BC3E-10B2E0974F6E}"/>
    <cellStyle name="60% - Accent4 3" xfId="99" xr:uid="{00000000-0005-0000-0000-00002F000000}"/>
    <cellStyle name="60% - Accent5 2" xfId="40" xr:uid="{00000000-0005-0000-0000-000030000000}"/>
    <cellStyle name="60% - Accent5 2 2" xfId="62" xr:uid="{00000000-0005-0000-0000-000031000000}"/>
    <cellStyle name="60% - Accent5 2 2 2" xfId="144" xr:uid="{2ADEAAFE-AE44-4CE6-A293-023F32D962E3}"/>
    <cellStyle name="60% - Accent5 2 2 2 2" xfId="224" xr:uid="{76998BCD-91DF-401B-906E-950063C404EF}"/>
    <cellStyle name="60% - Accent5 2 2 3" xfId="184" xr:uid="{9E9DAB38-3D43-44B2-B121-07865820E1C6}"/>
    <cellStyle name="60% - Accent5 2 3" xfId="124" xr:uid="{3BF32703-A110-4672-A13D-653C8F289531}"/>
    <cellStyle name="60% - Accent5 2 3 2" xfId="204" xr:uid="{84B0C06D-6FE8-4681-86B1-95A006A47B99}"/>
    <cellStyle name="60% - Accent5 2 4" xfId="164" xr:uid="{C143D331-FA6C-4EA5-98E6-2F50366161A4}"/>
    <cellStyle name="60% - Accent5 3" xfId="103" xr:uid="{00000000-0005-0000-0000-000032000000}"/>
    <cellStyle name="60% - Accent6 2" xfId="44" xr:uid="{00000000-0005-0000-0000-000033000000}"/>
    <cellStyle name="60% - Accent6 2 2" xfId="65" xr:uid="{00000000-0005-0000-0000-000034000000}"/>
    <cellStyle name="60% - Accent6 2 2 2" xfId="147" xr:uid="{227F6F7C-AE7C-442F-AC1B-D08B021C5CC3}"/>
    <cellStyle name="60% - Accent6 2 2 2 2" xfId="227" xr:uid="{B9D3ECC6-723B-43DA-9428-A028D19D35FA}"/>
    <cellStyle name="60% - Accent6 2 2 3" xfId="187" xr:uid="{35AE0E4F-809E-43D4-8967-8F0AB5CD5354}"/>
    <cellStyle name="60% - Accent6 2 3" xfId="127" xr:uid="{40233194-A315-40B1-B47C-D4DF58E23D81}"/>
    <cellStyle name="60% - Accent6 2 3 2" xfId="207" xr:uid="{0DC82AF3-16DB-4220-804E-BA4DF7C641FB}"/>
    <cellStyle name="60% - Accent6 2 4" xfId="167" xr:uid="{08575632-7FDC-4629-A8AE-20DA40015FE7}"/>
    <cellStyle name="60% - Accent6 3" xfId="107" xr:uid="{00000000-0005-0000-0000-000035000000}"/>
    <cellStyle name="Accent1 2" xfId="21" xr:uid="{00000000-0005-0000-0000-000036000000}"/>
    <cellStyle name="Accent1 3" xfId="84" xr:uid="{00000000-0005-0000-0000-000037000000}"/>
    <cellStyle name="Accent2 2" xfId="25" xr:uid="{00000000-0005-0000-0000-000038000000}"/>
    <cellStyle name="Accent2 3" xfId="88" xr:uid="{00000000-0005-0000-0000-000039000000}"/>
    <cellStyle name="Accent3 2" xfId="29" xr:uid="{00000000-0005-0000-0000-00003A000000}"/>
    <cellStyle name="Accent3 3" xfId="92" xr:uid="{00000000-0005-0000-0000-00003B000000}"/>
    <cellStyle name="Accent4 2" xfId="33" xr:uid="{00000000-0005-0000-0000-00003C000000}"/>
    <cellStyle name="Accent4 3" xfId="96" xr:uid="{00000000-0005-0000-0000-00003D000000}"/>
    <cellStyle name="Accent5 2" xfId="37" xr:uid="{00000000-0005-0000-0000-00003E000000}"/>
    <cellStyle name="Accent5 3" xfId="100" xr:uid="{00000000-0005-0000-0000-00003F000000}"/>
    <cellStyle name="Accent6 2" xfId="41" xr:uid="{00000000-0005-0000-0000-000040000000}"/>
    <cellStyle name="Accent6 3" xfId="104" xr:uid="{00000000-0005-0000-0000-000041000000}"/>
    <cellStyle name="Bad" xfId="66" builtinId="27"/>
    <cellStyle name="Bad 2" xfId="10" xr:uid="{00000000-0005-0000-0000-000043000000}"/>
    <cellStyle name="Bad 3" xfId="73" xr:uid="{00000000-0005-0000-0000-000044000000}"/>
    <cellStyle name="Calculation 2" xfId="14" xr:uid="{00000000-0005-0000-0000-000045000000}"/>
    <cellStyle name="Calculation 3" xfId="77" xr:uid="{00000000-0005-0000-0000-000046000000}"/>
    <cellStyle name="Check Cell 2" xfId="16" xr:uid="{00000000-0005-0000-0000-000047000000}"/>
    <cellStyle name="Check Cell 3" xfId="79" xr:uid="{00000000-0005-0000-0000-000048000000}"/>
    <cellStyle name="Explanatory Text 2" xfId="19" xr:uid="{00000000-0005-0000-0000-000049000000}"/>
    <cellStyle name="Explanatory Text 3" xfId="82" xr:uid="{00000000-0005-0000-0000-00004A000000}"/>
    <cellStyle name="Good 2" xfId="9" xr:uid="{00000000-0005-0000-0000-00004B000000}"/>
    <cellStyle name="Good 3" xfId="72" xr:uid="{00000000-0005-0000-0000-00004C000000}"/>
    <cellStyle name="Heading 1" xfId="67" builtinId="16" customBuiltin="1"/>
    <cellStyle name="Heading 1 2" xfId="5" xr:uid="{00000000-0005-0000-0000-00004E000000}"/>
    <cellStyle name="Heading 2" xfId="68" builtinId="17" customBuiltin="1"/>
    <cellStyle name="Heading 2 2" xfId="6" xr:uid="{00000000-0005-0000-0000-000050000000}"/>
    <cellStyle name="Heading 3" xfId="69" builtinId="18" customBuiltin="1"/>
    <cellStyle name="Heading 3 2" xfId="7" xr:uid="{00000000-0005-0000-0000-000052000000}"/>
    <cellStyle name="Heading 4" xfId="70" builtinId="19" customBuiltin="1"/>
    <cellStyle name="Heading 4 2" xfId="8" xr:uid="{00000000-0005-0000-0000-000054000000}"/>
    <cellStyle name="Hyperlink" xfId="2" builtinId="8"/>
    <cellStyle name="Hyperlink 2" xfId="45" xr:uid="{00000000-0005-0000-0000-000056000000}"/>
    <cellStyle name="Input 2" xfId="12" xr:uid="{00000000-0005-0000-0000-000057000000}"/>
    <cellStyle name="Input 3" xfId="75" xr:uid="{00000000-0005-0000-0000-000058000000}"/>
    <cellStyle name="Linked Cell 2" xfId="15" xr:uid="{00000000-0005-0000-0000-000059000000}"/>
    <cellStyle name="Linked Cell 3" xfId="78" xr:uid="{00000000-0005-0000-0000-00005A000000}"/>
    <cellStyle name="Neutral 2" xfId="11" xr:uid="{00000000-0005-0000-0000-00005B000000}"/>
    <cellStyle name="Neutral 3" xfId="74" xr:uid="{00000000-0005-0000-0000-00005C000000}"/>
    <cellStyle name="Normal" xfId="0" builtinId="0"/>
    <cellStyle name="Normal 2" xfId="3" xr:uid="{00000000-0005-0000-0000-00005E000000}"/>
    <cellStyle name="Normal 2 2" xfId="46" xr:uid="{00000000-0005-0000-0000-00005F000000}"/>
    <cellStyle name="Normal 2 2 2" xfId="128" xr:uid="{79AA9033-9156-499F-A7F0-0436E7BB3263}"/>
    <cellStyle name="Normal 2 2 2 2" xfId="208" xr:uid="{9068B1AE-735C-46E5-8FFF-D768E104F3CA}"/>
    <cellStyle name="Normal 2 2 3" xfId="168" xr:uid="{DEEF1024-282E-4F59-A489-57F38B369241}"/>
    <cellStyle name="Normal 2 3" xfId="108" xr:uid="{844F16C8-4ABC-445A-8DE9-3FE9B80A8A45}"/>
    <cellStyle name="Normal 2 3 2" xfId="188" xr:uid="{520E9070-C8B1-48DC-B5E7-3897249AF667}"/>
    <cellStyle name="Normal 2 4" xfId="148" xr:uid="{947252EE-AD06-4CE8-851E-76C28D2D7E3C}"/>
    <cellStyle name="Normal 3" xfId="71" xr:uid="{00000000-0005-0000-0000-000060000000}"/>
    <cellStyle name="Note 2" xfId="18" xr:uid="{00000000-0005-0000-0000-000061000000}"/>
    <cellStyle name="Note 2 2" xfId="47" xr:uid="{00000000-0005-0000-0000-000062000000}"/>
    <cellStyle name="Note 2 2 2" xfId="129" xr:uid="{53B14DE8-9AF6-45CD-A979-39074D441FEC}"/>
    <cellStyle name="Note 2 2 2 2" xfId="209" xr:uid="{CAFE9600-B718-4209-9941-67FEB7781F33}"/>
    <cellStyle name="Note 2 2 3" xfId="169" xr:uid="{56772686-214F-4017-9B8C-55B83C763238}"/>
    <cellStyle name="Note 2 3" xfId="109" xr:uid="{F8869240-7E56-44FC-82B7-5FA5943652F3}"/>
    <cellStyle name="Note 2 3 2" xfId="189" xr:uid="{790B3AA9-D834-49CA-996C-A0D1F8B834B8}"/>
    <cellStyle name="Note 2 4" xfId="149" xr:uid="{5670BAE9-90BB-47D1-BE3C-F6B2CD847144}"/>
    <cellStyle name="Note 3" xfId="81" xr:uid="{00000000-0005-0000-0000-000063000000}"/>
    <cellStyle name="Output 2" xfId="13" xr:uid="{00000000-0005-0000-0000-000064000000}"/>
    <cellStyle name="Output 3" xfId="76" xr:uid="{00000000-0005-0000-0000-000065000000}"/>
    <cellStyle name="Per cent" xfId="1" builtinId="5"/>
    <cellStyle name="Title" xfId="4" builtinId="15" customBuiltin="1"/>
    <cellStyle name="Total 2" xfId="20" xr:uid="{00000000-0005-0000-0000-000068000000}"/>
    <cellStyle name="Total 3" xfId="83" xr:uid="{00000000-0005-0000-0000-000069000000}"/>
    <cellStyle name="Warning Text 2" xfId="17" xr:uid="{00000000-0005-0000-0000-00006A000000}"/>
    <cellStyle name="Warning Text 3" xfId="80" xr:uid="{00000000-0005-0000-0000-00006B000000}"/>
  </cellStyles>
  <dxfs count="6908">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rgb="FFFFEB9C"/>
        </patternFill>
      </fill>
    </dxf>
    <dxf>
      <font>
        <color rgb="FFFF0000"/>
      </font>
      <fill>
        <patternFill>
          <bgColor rgb="FFFFC7CE"/>
        </patternFill>
      </fill>
    </dxf>
    <dxf>
      <font>
        <color rgb="FFFF0000"/>
      </font>
      <fill>
        <patternFill>
          <bgColor rgb="FFFFC7CE"/>
        </patternFill>
      </fill>
    </dxf>
    <dxf>
      <font>
        <color rgb="FFFF6600"/>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7C80"/>
      <color rgb="FFE27070"/>
      <color rgb="FF9900FF"/>
      <color rgb="FFFF0000"/>
      <color rgb="FFCC3300"/>
      <color rgb="FF6600FF"/>
      <color rgb="FFA7E8FF"/>
      <color rgb="FFFF00FF"/>
      <color rgb="FF6600CC"/>
      <color rgb="FFFFEB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sharedStrings" Target="sharedStrings.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8" Type="http://schemas.openxmlformats.org/officeDocument/2006/relationships/hyperlink" Target="#'team overview'!A1"/><Relationship Id="rId3" Type="http://schemas.openxmlformats.org/officeDocument/2006/relationships/hyperlink" Target="#'Capacity Buttons'!A1"/><Relationship Id="rId7" Type="http://schemas.openxmlformats.org/officeDocument/2006/relationships/hyperlink" Target="#'divisional &amp; regional overview'!A1"/><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hyperlink" Target="#'cluster overview'!A1"/><Relationship Id="rId5" Type="http://schemas.openxmlformats.org/officeDocument/2006/relationships/hyperlink" Target="#'Caseload Buttons'!A1"/><Relationship Id="rId10" Type="http://schemas.openxmlformats.org/officeDocument/2006/relationships/image" Target="../media/image3.png"/><Relationship Id="rId4" Type="http://schemas.openxmlformats.org/officeDocument/2006/relationships/hyperlink" Target="#'Reductions Buttons'!A1"/><Relationship Id="rId9" Type="http://schemas.openxmlformats.org/officeDocument/2006/relationships/hyperlink" Target="#FAQs!A1"/></Relationships>
</file>

<file path=xl/drawings/_rels/drawing2.xml.rels><?xml version="1.0" encoding="UTF-8" standalone="yes"?>
<Relationships xmlns="http://schemas.openxmlformats.org/package/2006/relationships"><Relationship Id="rId1" Type="http://schemas.openxmlformats.org/officeDocument/2006/relationships/hyperlink" Target="#Home!A1"/></Relationships>
</file>

<file path=xl/drawings/_rels/drawing3.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4.xml.rels><?xml version="1.0" encoding="UTF-8" standalone="yes"?>
<Relationships xmlns="http://schemas.openxmlformats.org/package/2006/relationships"><Relationship Id="rId2" Type="http://schemas.openxmlformats.org/officeDocument/2006/relationships/hyperlink" Target="#'HMIP caseload cluster'!A1"/><Relationship Id="rId1" Type="http://schemas.openxmlformats.org/officeDocument/2006/relationships/hyperlink" Target="#Home!A1"/></Relationships>
</file>

<file path=xl/drawings/_rels/drawing5.xml.rels><?xml version="1.0" encoding="UTF-8" standalone="yes"?>
<Relationships xmlns="http://schemas.openxmlformats.org/package/2006/relationships"><Relationship Id="rId2" Type="http://schemas.openxmlformats.org/officeDocument/2006/relationships/hyperlink" Target="#'HMIP caseload divisional'!A1"/><Relationship Id="rId1" Type="http://schemas.openxmlformats.org/officeDocument/2006/relationships/hyperlink" Target="#Home!A1"/></Relationships>
</file>

<file path=xl/drawings/_rels/drawing6.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divisional &amp; regional overview'!A1"/><Relationship Id="rId1" Type="http://schemas.openxmlformats.org/officeDocument/2006/relationships/hyperlink" Target="#Home!A1"/></Relationships>
</file>

<file path=xl/drawings/_rels/drawing7.xml.rels><?xml version="1.0" encoding="UTF-8" standalone="yes"?>
<Relationships xmlns="http://schemas.openxmlformats.org/package/2006/relationships"><Relationship Id="rId3" Type="http://schemas.openxmlformats.org/officeDocument/2006/relationships/hyperlink" Target="#'divisional &amp; regional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8.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9.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ommunity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0.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nat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1.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custody caseload'!A1"/><Relationship Id="rId7" Type="http://schemas.openxmlformats.org/officeDocument/2006/relationships/hyperlink" Target="#'national caseload'!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2.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divisional &amp; regional capacity'!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3.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4.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divisional &amp; regional caseload%'!A1"/><Relationship Id="rId7" Type="http://schemas.openxmlformats.org/officeDocument/2006/relationships/hyperlink" Target="#'national tier ratios'!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5.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custody caseload'!A1"/><Relationship Id="rId6" Type="http://schemas.openxmlformats.org/officeDocument/2006/relationships/hyperlink" Target="#Home!A1"/><Relationship Id="rId5" Type="http://schemas.openxmlformats.org/officeDocument/2006/relationships/hyperlink" Target="#'national caseload'!A1"/><Relationship Id="rId4" Type="http://schemas.openxmlformats.org/officeDocument/2006/relationships/hyperlink" Target="#'community %'!A1"/></Relationships>
</file>

<file path=xl/drawings/_rels/drawing16.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tier ratios'!A1"/><Relationship Id="rId5" Type="http://schemas.openxmlformats.org/officeDocument/2006/relationships/hyperlink" Target="#'national caseload'!A1"/><Relationship Id="rId4" Type="http://schemas.openxmlformats.org/officeDocument/2006/relationships/hyperlink" Target="#'community caseload'!A1"/></Relationships>
</file>

<file path=xl/drawings/_rels/drawing17.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8.xml.rels><?xml version="1.0" encoding="UTF-8" standalone="yes"?>
<Relationships xmlns="http://schemas.openxmlformats.org/package/2006/relationships"><Relationship Id="rId3" Type="http://schemas.openxmlformats.org/officeDocument/2006/relationships/hyperlink" Target="#'divisional &amp; regional capacity'!A1"/><Relationship Id="rId2" Type="http://schemas.openxmlformats.org/officeDocument/2006/relationships/hyperlink" Target="#Home!A1"/><Relationship Id="rId1" Type="http://schemas.openxmlformats.org/officeDocument/2006/relationships/hyperlink" Target="#'cluster capacity, unallocateds'!A1"/><Relationship Id="rId4" Type="http://schemas.openxmlformats.org/officeDocument/2006/relationships/hyperlink" Target="#'div &amp; regional over-capacities'!A1"/></Relationships>
</file>

<file path=xl/drawings/_rels/drawing19.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isional &amp; regional capacity'!A1"/></Relationships>
</file>

<file path=xl/drawings/_rels/drawing20.xml.rels><?xml version="1.0" encoding="UTF-8" standalone="yes"?>
<Relationships xmlns="http://schemas.openxmlformats.org/package/2006/relationships"><Relationship Id="rId1" Type="http://schemas.openxmlformats.org/officeDocument/2006/relationships/hyperlink" Target="#Home!A1"/></Relationships>
</file>

<file path=xl/drawings/_rels/drawing21.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cluster reductions'!A1"/><Relationship Id="rId1" Type="http://schemas.openxmlformats.org/officeDocument/2006/relationships/hyperlink" Target="#Home!A1"/></Relationships>
</file>

<file path=xl/drawings/_rels/drawing22.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3.xml.rels><?xml version="1.0" encoding="UTF-8" standalone="yes"?>
<Relationships xmlns="http://schemas.openxmlformats.org/package/2006/relationships"><Relationship Id="rId3" Type="http://schemas.openxmlformats.org/officeDocument/2006/relationships/hyperlink" Target="#'cluster reduction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4.xml.rels><?xml version="1.0" encoding="UTF-8" standalone="yes"?>
<Relationships xmlns="http://schemas.openxmlformats.org/package/2006/relationships"><Relationship Id="rId8" Type="http://schemas.openxmlformats.org/officeDocument/2006/relationships/hyperlink" Target="#'community caseload'!A1"/><Relationship Id="rId3" Type="http://schemas.openxmlformats.org/officeDocument/2006/relationships/hyperlink" Target="#'custody caseload'!A1"/><Relationship Id="rId7" Type="http://schemas.openxmlformats.org/officeDocument/2006/relationships/hyperlink" Target="#'community %'!A1"/><Relationship Id="rId2" Type="http://schemas.openxmlformats.org/officeDocument/2006/relationships/hyperlink" Target="#'divisional caseload'!A1"/><Relationship Id="rId1" Type="http://schemas.openxmlformats.org/officeDocument/2006/relationships/hyperlink" Target="#Home!A1"/><Relationship Id="rId6" Type="http://schemas.openxmlformats.org/officeDocument/2006/relationships/hyperlink" Target="#'custody %'!A1"/><Relationship Id="rId5" Type="http://schemas.openxmlformats.org/officeDocument/2006/relationships/hyperlink" Target="#'divisional caseload %'!A1"/><Relationship Id="rId4" Type="http://schemas.openxmlformats.org/officeDocument/2006/relationships/hyperlink" Target="#'national caseload'!A1"/></Relationships>
</file>

<file path=xl/drawings/_rels/drawing25.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5" Type="http://schemas.openxmlformats.org/officeDocument/2006/relationships/hyperlink" Target="#'div over-capacities'!A1"/><Relationship Id="rId4" Type="http://schemas.openxmlformats.org/officeDocument/2006/relationships/hyperlink" Target="#'divisional capacity'!A1"/></Relationships>
</file>

<file path=xl/drawings/_rels/drawing26.xml.rels><?xml version="1.0" encoding="UTF-8" standalone="yes"?>
<Relationships xmlns="http://schemas.openxmlformats.org/package/2006/relationships"><Relationship Id="rId3" Type="http://schemas.openxmlformats.org/officeDocument/2006/relationships/hyperlink" Target="#'division reduction in hours'!A1"/><Relationship Id="rId2" Type="http://schemas.openxmlformats.org/officeDocument/2006/relationships/hyperlink" Target="#'cluster reductions'!A1"/><Relationship Id="rId1" Type="http://schemas.openxmlformats.org/officeDocument/2006/relationships/hyperlink" Target="#Home!A1"/><Relationship Id="rId4" Type="http://schemas.openxmlformats.org/officeDocument/2006/relationships/hyperlink" Target="#'reasons for reduction division'!A1"/></Relationships>
</file>

<file path=xl/drawings/drawing1.xml><?xml version="1.0" encoding="utf-8"?>
<xdr:wsDr xmlns:xdr="http://schemas.openxmlformats.org/drawingml/2006/spreadsheetDrawing" xmlns:a="http://schemas.openxmlformats.org/drawingml/2006/main">
  <xdr:twoCellAnchor>
    <xdr:from>
      <xdr:col>2</xdr:col>
      <xdr:colOff>59878</xdr:colOff>
      <xdr:row>2</xdr:row>
      <xdr:rowOff>270783</xdr:rowOff>
    </xdr:from>
    <xdr:to>
      <xdr:col>5</xdr:col>
      <xdr:colOff>0</xdr:colOff>
      <xdr:row>22</xdr:row>
      <xdr:rowOff>119946</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899489" y="1018672"/>
          <a:ext cx="1781622" cy="4336496"/>
        </a:xfrm>
        <a:prstGeom prst="rect">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73715</xdr:colOff>
      <xdr:row>30</xdr:row>
      <xdr:rowOff>28575</xdr:rowOff>
    </xdr:from>
    <xdr:to>
      <xdr:col>21</xdr:col>
      <xdr:colOff>28575</xdr:colOff>
      <xdr:row>36</xdr:row>
      <xdr:rowOff>104775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19"/>
        <a:stretch/>
      </xdr:blipFill>
      <xdr:spPr>
        <a:xfrm>
          <a:off x="73715" y="6467475"/>
          <a:ext cx="13566085" cy="1219200"/>
        </a:xfrm>
        <a:prstGeom prst="rect">
          <a:avLst/>
        </a:prstGeom>
      </xdr:spPr>
    </xdr:pic>
    <xdr:clientData/>
  </xdr:twoCellAnchor>
  <xdr:twoCellAnchor editAs="oneCell">
    <xdr:from>
      <xdr:col>1</xdr:col>
      <xdr:colOff>257176</xdr:colOff>
      <xdr:row>30</xdr:row>
      <xdr:rowOff>168137</xdr:rowOff>
    </xdr:from>
    <xdr:to>
      <xdr:col>6</xdr:col>
      <xdr:colOff>228601</xdr:colOff>
      <xdr:row>32</xdr:row>
      <xdr:rowOff>114258</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2"/>
        <a:srcRect l="69306" t="86666" r="14791" b="10701"/>
        <a:stretch/>
      </xdr:blipFill>
      <xdr:spPr>
        <a:xfrm>
          <a:off x="466726" y="6607037"/>
          <a:ext cx="3019425" cy="327120"/>
        </a:xfrm>
        <a:prstGeom prst="rect">
          <a:avLst/>
        </a:prstGeom>
      </xdr:spPr>
    </xdr:pic>
    <xdr:clientData/>
  </xdr:twoCellAnchor>
  <xdr:twoCellAnchor>
    <xdr:from>
      <xdr:col>2</xdr:col>
      <xdr:colOff>145867</xdr:colOff>
      <xdr:row>15</xdr:row>
      <xdr:rowOff>185252</xdr:rowOff>
    </xdr:from>
    <xdr:to>
      <xdr:col>4</xdr:col>
      <xdr:colOff>556684</xdr:colOff>
      <xdr:row>17</xdr:row>
      <xdr:rowOff>123963</xdr:rowOff>
    </xdr:to>
    <xdr:sp macro="" textlink="" fLocksText="0">
      <xdr:nvSpPr>
        <xdr:cNvPr id="18" name="Rounded Rectangle 17">
          <a:hlinkClick xmlns:r="http://schemas.openxmlformats.org/officeDocument/2006/relationships" r:id="rId3"/>
          <a:extLst>
            <a:ext uri="{FF2B5EF4-FFF2-40B4-BE49-F238E27FC236}">
              <a16:creationId xmlns:a16="http://schemas.microsoft.com/office/drawing/2014/main" id="{00000000-0008-0000-0000-000012000000}"/>
            </a:ext>
          </a:extLst>
        </xdr:cNvPr>
        <xdr:cNvSpPr/>
      </xdr:nvSpPr>
      <xdr:spPr>
        <a:xfrm>
          <a:off x="985478" y="3840030"/>
          <a:ext cx="1638484" cy="390266"/>
        </a:xfrm>
        <a:prstGeom prst="roundRect">
          <a:avLst/>
        </a:prstGeom>
        <a:gradFill>
          <a:gsLst>
            <a:gs pos="0">
              <a:schemeClr val="bg1">
                <a:lumMod val="95000"/>
              </a:schemeClr>
            </a:gs>
            <a:gs pos="97000">
              <a:srgbClr val="7030A0"/>
            </a:gs>
            <a:gs pos="94000">
              <a:srgbClr val="7030A0"/>
            </a:gs>
            <a:gs pos="100000">
              <a:srgbClr val="7030A0"/>
            </a:gs>
          </a:gsLst>
          <a:lin ang="5400000" scaled="1"/>
        </a:gra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latin typeface="Arial" panose="020B0604020202020204" pitchFamily="34" charset="0"/>
              <a:cs typeface="Arial" panose="020B0604020202020204" pitchFamily="34" charset="0"/>
            </a:rPr>
            <a:t>OM capacity</a:t>
          </a:r>
        </a:p>
      </xdr:txBody>
    </xdr:sp>
    <xdr:clientData fLocksWithSheet="0"/>
  </xdr:twoCellAnchor>
  <xdr:twoCellAnchor>
    <xdr:from>
      <xdr:col>2</xdr:col>
      <xdr:colOff>150491</xdr:colOff>
      <xdr:row>18</xdr:row>
      <xdr:rowOff>56039</xdr:rowOff>
    </xdr:from>
    <xdr:to>
      <xdr:col>4</xdr:col>
      <xdr:colOff>554682</xdr:colOff>
      <xdr:row>19</xdr:row>
      <xdr:rowOff>207387</xdr:rowOff>
    </xdr:to>
    <xdr:sp macro="" textlink="" fLocksText="0">
      <xdr:nvSpPr>
        <xdr:cNvPr id="28" name="Rounded Rectangle 27">
          <a:hlinkClick xmlns:r="http://schemas.openxmlformats.org/officeDocument/2006/relationships" r:id="rId4"/>
          <a:extLst>
            <a:ext uri="{FF2B5EF4-FFF2-40B4-BE49-F238E27FC236}">
              <a16:creationId xmlns:a16="http://schemas.microsoft.com/office/drawing/2014/main" id="{00000000-0008-0000-0000-00001C000000}"/>
            </a:ext>
          </a:extLst>
        </xdr:cNvPr>
        <xdr:cNvSpPr/>
      </xdr:nvSpPr>
      <xdr:spPr>
        <a:xfrm>
          <a:off x="990102" y="4388150"/>
          <a:ext cx="1631858" cy="377126"/>
        </a:xfrm>
        <a:prstGeom prst="roundRect">
          <a:avLst/>
        </a:prstGeom>
        <a:gradFill>
          <a:gsLst>
            <a:gs pos="0">
              <a:schemeClr val="bg1">
                <a:lumMod val="95000"/>
              </a:schemeClr>
            </a:gs>
            <a:gs pos="97000">
              <a:srgbClr val="7030A0"/>
            </a:gs>
            <a:gs pos="94000">
              <a:srgbClr val="7030A0"/>
            </a:gs>
            <a:gs pos="100000">
              <a:srgbClr val="7030A0"/>
            </a:gs>
          </a:gsLst>
          <a:lin ang="5400000" scaled="1"/>
        </a:gra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latin typeface="Arial" panose="020B0604020202020204" pitchFamily="34" charset="0"/>
              <a:cs typeface="Arial" panose="020B0604020202020204" pitchFamily="34" charset="0"/>
            </a:rPr>
            <a:t>Reductions</a:t>
          </a:r>
        </a:p>
      </xdr:txBody>
    </xdr:sp>
    <xdr:clientData fLocksWithSheet="0"/>
  </xdr:twoCellAnchor>
  <xdr:twoCellAnchor>
    <xdr:from>
      <xdr:col>2</xdr:col>
      <xdr:colOff>134081</xdr:colOff>
      <xdr:row>20</xdr:row>
      <xdr:rowOff>69917</xdr:rowOff>
    </xdr:from>
    <xdr:to>
      <xdr:col>4</xdr:col>
      <xdr:colOff>538272</xdr:colOff>
      <xdr:row>22</xdr:row>
      <xdr:rowOff>8628</xdr:rowOff>
    </xdr:to>
    <xdr:sp macro="" textlink="" fLocksText="0">
      <xdr:nvSpPr>
        <xdr:cNvPr id="36" name="Rounded Rectangle 35">
          <a:hlinkClick xmlns:r="http://schemas.openxmlformats.org/officeDocument/2006/relationships" r:id="rId5"/>
          <a:extLst>
            <a:ext uri="{FF2B5EF4-FFF2-40B4-BE49-F238E27FC236}">
              <a16:creationId xmlns:a16="http://schemas.microsoft.com/office/drawing/2014/main" id="{00000000-0008-0000-0000-000024000000}"/>
            </a:ext>
          </a:extLst>
        </xdr:cNvPr>
        <xdr:cNvSpPr/>
      </xdr:nvSpPr>
      <xdr:spPr>
        <a:xfrm>
          <a:off x="973692" y="4853584"/>
          <a:ext cx="1631858" cy="390266"/>
        </a:xfrm>
        <a:prstGeom prst="roundRect">
          <a:avLst/>
        </a:prstGeom>
        <a:gradFill>
          <a:gsLst>
            <a:gs pos="0">
              <a:schemeClr val="bg1">
                <a:lumMod val="95000"/>
              </a:schemeClr>
            </a:gs>
            <a:gs pos="97000">
              <a:srgbClr val="7030A0"/>
            </a:gs>
            <a:gs pos="94000">
              <a:srgbClr val="7030A0"/>
            </a:gs>
            <a:gs pos="100000">
              <a:srgbClr val="7030A0"/>
            </a:gs>
          </a:gsLst>
          <a:lin ang="5400000" scaled="1"/>
        </a:gra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latin typeface="Arial" panose="020B0604020202020204" pitchFamily="34" charset="0"/>
              <a:cs typeface="Arial" panose="020B0604020202020204" pitchFamily="34" charset="0"/>
            </a:rPr>
            <a:t>Caseload</a:t>
          </a:r>
        </a:p>
      </xdr:txBody>
    </xdr:sp>
    <xdr:clientData fLocksWithSheet="0"/>
  </xdr:twoCellAnchor>
  <xdr:twoCellAnchor>
    <xdr:from>
      <xdr:col>2</xdr:col>
      <xdr:colOff>109367</xdr:colOff>
      <xdr:row>8</xdr:row>
      <xdr:rowOff>215697</xdr:rowOff>
    </xdr:from>
    <xdr:to>
      <xdr:col>4</xdr:col>
      <xdr:colOff>572004</xdr:colOff>
      <xdr:row>11</xdr:row>
      <xdr:rowOff>117977</xdr:rowOff>
    </xdr:to>
    <xdr:sp macro="" textlink="" fLocksText="0">
      <xdr:nvSpPr>
        <xdr:cNvPr id="20" name="Rounded Rectangle 17">
          <a:hlinkClick xmlns:r="http://schemas.openxmlformats.org/officeDocument/2006/relationships" r:id="rId6"/>
          <a:extLst>
            <a:ext uri="{FF2B5EF4-FFF2-40B4-BE49-F238E27FC236}">
              <a16:creationId xmlns:a16="http://schemas.microsoft.com/office/drawing/2014/main" id="{AA125EC8-BDF4-4283-9976-9DC9715249DD}"/>
            </a:ext>
          </a:extLst>
        </xdr:cNvPr>
        <xdr:cNvSpPr/>
      </xdr:nvSpPr>
      <xdr:spPr>
        <a:xfrm>
          <a:off x="948978" y="2367641"/>
          <a:ext cx="1690304" cy="537280"/>
        </a:xfrm>
        <a:prstGeom prst="roundRect">
          <a:avLst/>
        </a:prstGeom>
        <a:gradFill>
          <a:gsLst>
            <a:gs pos="0">
              <a:schemeClr val="bg1">
                <a:lumMod val="95000"/>
              </a:schemeClr>
            </a:gs>
            <a:gs pos="97000">
              <a:srgbClr val="7030A0"/>
            </a:gs>
            <a:gs pos="94000">
              <a:srgbClr val="7030A0"/>
            </a:gs>
            <a:gs pos="100000">
              <a:srgbClr val="7030A0"/>
            </a:gs>
          </a:gsLst>
          <a:lin ang="5400000" scaled="1"/>
        </a:gra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aseline="0">
              <a:latin typeface="Arial" panose="020B0604020202020204" pitchFamily="34" charset="0"/>
              <a:cs typeface="Arial" panose="020B0604020202020204" pitchFamily="34" charset="0"/>
            </a:rPr>
            <a:t>PDU overviews</a:t>
          </a:r>
        </a:p>
      </xdr:txBody>
    </xdr:sp>
    <xdr:clientData fLocksWithSheet="0"/>
  </xdr:twoCellAnchor>
  <xdr:twoCellAnchor>
    <xdr:from>
      <xdr:col>2</xdr:col>
      <xdr:colOff>116164</xdr:colOff>
      <xdr:row>11</xdr:row>
      <xdr:rowOff>176841</xdr:rowOff>
    </xdr:from>
    <xdr:to>
      <xdr:col>4</xdr:col>
      <xdr:colOff>563839</xdr:colOff>
      <xdr:row>15</xdr:row>
      <xdr:rowOff>103817</xdr:rowOff>
    </xdr:to>
    <xdr:sp macro="" textlink="" fLocksText="0">
      <xdr:nvSpPr>
        <xdr:cNvPr id="22" name="Rounded Rectangle 17">
          <a:hlinkClick xmlns:r="http://schemas.openxmlformats.org/officeDocument/2006/relationships" r:id="rId7"/>
          <a:extLst>
            <a:ext uri="{FF2B5EF4-FFF2-40B4-BE49-F238E27FC236}">
              <a16:creationId xmlns:a16="http://schemas.microsoft.com/office/drawing/2014/main" id="{55F007FD-6D2C-4D84-B889-D6A368DB59F5}"/>
            </a:ext>
          </a:extLst>
        </xdr:cNvPr>
        <xdr:cNvSpPr/>
      </xdr:nvSpPr>
      <xdr:spPr>
        <a:xfrm>
          <a:off x="955775" y="2963785"/>
          <a:ext cx="1675342" cy="794810"/>
        </a:xfrm>
        <a:prstGeom prst="roundRect">
          <a:avLst/>
        </a:prstGeom>
        <a:gradFill>
          <a:gsLst>
            <a:gs pos="0">
              <a:schemeClr val="bg1">
                <a:lumMod val="95000"/>
              </a:schemeClr>
            </a:gs>
            <a:gs pos="97000">
              <a:srgbClr val="7030A0"/>
            </a:gs>
            <a:gs pos="94000">
              <a:srgbClr val="7030A0"/>
            </a:gs>
            <a:gs pos="100000">
              <a:srgbClr val="7030A0"/>
            </a:gs>
          </a:gsLst>
          <a:lin ang="5400000" scaled="1"/>
        </a:gra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aseline="0">
              <a:latin typeface="Arial" panose="020B0604020202020204" pitchFamily="34" charset="0"/>
              <a:cs typeface="Arial" panose="020B0604020202020204" pitchFamily="34" charset="0"/>
            </a:rPr>
            <a:t>Regional overviews</a:t>
          </a:r>
        </a:p>
      </xdr:txBody>
    </xdr:sp>
    <xdr:clientData fLocksWithSheet="0"/>
  </xdr:twoCellAnchor>
  <xdr:twoCellAnchor>
    <xdr:from>
      <xdr:col>6</xdr:col>
      <xdr:colOff>1</xdr:colOff>
      <xdr:row>3</xdr:row>
      <xdr:rowOff>0</xdr:rowOff>
    </xdr:from>
    <xdr:to>
      <xdr:col>15</xdr:col>
      <xdr:colOff>27215</xdr:colOff>
      <xdr:row>26</xdr:row>
      <xdr:rowOff>190500</xdr:rowOff>
    </xdr:to>
    <xdr:sp macro="" textlink="">
      <xdr:nvSpPr>
        <xdr:cNvPr id="12" name="TextBox 11">
          <a:extLst>
            <a:ext uri="{FF2B5EF4-FFF2-40B4-BE49-F238E27FC236}">
              <a16:creationId xmlns:a16="http://schemas.microsoft.com/office/drawing/2014/main" id="{3CB5FBA4-0CB7-42BE-8040-A4CB9D7A81FE}"/>
            </a:ext>
          </a:extLst>
        </xdr:cNvPr>
        <xdr:cNvSpPr txBox="1"/>
      </xdr:nvSpPr>
      <xdr:spPr>
        <a:xfrm>
          <a:off x="3265715" y="1034143"/>
          <a:ext cx="6381750" cy="45175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800">
              <a:latin typeface="Arial" panose="020B0604020202020204" pitchFamily="34" charset="0"/>
              <a:cs typeface="Arial" panose="020B0604020202020204" pitchFamily="34" charset="0"/>
            </a:rPr>
            <a:t>WORKLOAD </a:t>
          </a:r>
          <a:r>
            <a:rPr lang="en-GB" sz="2400">
              <a:latin typeface="Arial" panose="020B0604020202020204" pitchFamily="34" charset="0"/>
              <a:cs typeface="Arial" panose="020B0604020202020204" pitchFamily="34" charset="0"/>
            </a:rPr>
            <a:t>MEASUREMENT</a:t>
          </a:r>
          <a:r>
            <a:rPr lang="en-GB" sz="2800">
              <a:latin typeface="Arial" panose="020B0604020202020204" pitchFamily="34" charset="0"/>
              <a:cs typeface="Arial" panose="020B0604020202020204" pitchFamily="34" charset="0"/>
            </a:rPr>
            <a:t> OVERVIEW REPORT</a:t>
          </a:r>
        </a:p>
        <a:p>
          <a:pPr algn="ctr"/>
          <a:endParaRPr lang="en-GB" sz="2800">
            <a:latin typeface="Arial" panose="020B0604020202020204" pitchFamily="34" charset="0"/>
            <a:cs typeface="Arial" panose="020B0604020202020204" pitchFamily="34" charset="0"/>
          </a:endParaRPr>
        </a:p>
        <a:p>
          <a:pPr algn="ctr"/>
          <a:r>
            <a:rPr lang="en-GB" sz="2800">
              <a:latin typeface="Arial" panose="020B0604020202020204" pitchFamily="34" charset="0"/>
              <a:cs typeface="Arial" panose="020B0604020202020204" pitchFamily="34" charset="0"/>
            </a:rPr>
            <a:t>IDC TEAM</a:t>
          </a:r>
        </a:p>
        <a:p>
          <a:endParaRPr lang="en-GB" sz="1100">
            <a:latin typeface="Arial" panose="020B0604020202020204" pitchFamily="34" charset="0"/>
            <a:cs typeface="Arial" panose="020B0604020202020204" pitchFamily="34" charset="0"/>
          </a:endParaRPr>
        </a:p>
      </xdr:txBody>
    </xdr:sp>
    <xdr:clientData/>
  </xdr:twoCellAnchor>
  <xdr:twoCellAnchor>
    <xdr:from>
      <xdr:col>2</xdr:col>
      <xdr:colOff>114810</xdr:colOff>
      <xdr:row>6</xdr:row>
      <xdr:rowOff>18295</xdr:rowOff>
    </xdr:from>
    <xdr:to>
      <xdr:col>4</xdr:col>
      <xdr:colOff>577447</xdr:colOff>
      <xdr:row>8</xdr:row>
      <xdr:rowOff>115106</xdr:rowOff>
    </xdr:to>
    <xdr:sp macro="" textlink="" fLocksText="0">
      <xdr:nvSpPr>
        <xdr:cNvPr id="25" name="Rounded Rectangle 17">
          <a:hlinkClick xmlns:r="http://schemas.openxmlformats.org/officeDocument/2006/relationships" r:id="rId8"/>
          <a:extLst>
            <a:ext uri="{FF2B5EF4-FFF2-40B4-BE49-F238E27FC236}">
              <a16:creationId xmlns:a16="http://schemas.microsoft.com/office/drawing/2014/main" id="{246B5BF1-DF87-4349-9699-F2D8AAC8453A}"/>
            </a:ext>
          </a:extLst>
        </xdr:cNvPr>
        <xdr:cNvSpPr/>
      </xdr:nvSpPr>
      <xdr:spPr>
        <a:xfrm>
          <a:off x="954421" y="1718684"/>
          <a:ext cx="1690304" cy="548366"/>
        </a:xfrm>
        <a:prstGeom prst="roundRect">
          <a:avLst/>
        </a:prstGeom>
        <a:gradFill>
          <a:gsLst>
            <a:gs pos="0">
              <a:schemeClr val="bg1">
                <a:lumMod val="95000"/>
              </a:schemeClr>
            </a:gs>
            <a:gs pos="97000">
              <a:srgbClr val="7030A0"/>
            </a:gs>
            <a:gs pos="94000">
              <a:srgbClr val="7030A0"/>
            </a:gs>
            <a:gs pos="100000">
              <a:srgbClr val="7030A0"/>
            </a:gs>
          </a:gsLst>
          <a:lin ang="5400000" scaled="1"/>
        </a:gra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aseline="0">
              <a:latin typeface="Arial" panose="020B0604020202020204" pitchFamily="34" charset="0"/>
              <a:cs typeface="Arial" panose="020B0604020202020204" pitchFamily="34" charset="0"/>
            </a:rPr>
            <a:t>Team overviews</a:t>
          </a:r>
        </a:p>
      </xdr:txBody>
    </xdr:sp>
    <xdr:clientData fLocksWithSheet="0"/>
  </xdr:twoCellAnchor>
  <xdr:twoCellAnchor>
    <xdr:from>
      <xdr:col>2</xdr:col>
      <xdr:colOff>100699</xdr:colOff>
      <xdr:row>3</xdr:row>
      <xdr:rowOff>53069</xdr:rowOff>
    </xdr:from>
    <xdr:to>
      <xdr:col>4</xdr:col>
      <xdr:colOff>563336</xdr:colOff>
      <xdr:row>5</xdr:row>
      <xdr:rowOff>148167</xdr:rowOff>
    </xdr:to>
    <xdr:sp macro="" textlink="" fLocksText="0">
      <xdr:nvSpPr>
        <xdr:cNvPr id="26" name="Rounded Rectangle 17">
          <a:hlinkClick xmlns:r="http://schemas.openxmlformats.org/officeDocument/2006/relationships" r:id="rId9"/>
          <a:extLst>
            <a:ext uri="{FF2B5EF4-FFF2-40B4-BE49-F238E27FC236}">
              <a16:creationId xmlns:a16="http://schemas.microsoft.com/office/drawing/2014/main" id="{96299076-E7FA-483F-B7E7-777C7AA2B5D0}"/>
            </a:ext>
          </a:extLst>
        </xdr:cNvPr>
        <xdr:cNvSpPr/>
      </xdr:nvSpPr>
      <xdr:spPr>
        <a:xfrm>
          <a:off x="940310" y="1076125"/>
          <a:ext cx="1690304" cy="546653"/>
        </a:xfrm>
        <a:prstGeom prst="roundRect">
          <a:avLst/>
        </a:prstGeom>
        <a:gradFill>
          <a:gsLst>
            <a:gs pos="0">
              <a:schemeClr val="bg1">
                <a:lumMod val="95000"/>
              </a:schemeClr>
            </a:gs>
            <a:gs pos="97000">
              <a:srgbClr val="7030A0"/>
            </a:gs>
            <a:gs pos="94000">
              <a:srgbClr val="7030A0"/>
            </a:gs>
            <a:gs pos="100000">
              <a:srgbClr val="7030A0"/>
            </a:gs>
          </a:gsLst>
          <a:lin ang="5400000" scaled="1"/>
        </a:gra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aseline="0">
              <a:latin typeface="Arial" panose="020B0604020202020204" pitchFamily="34" charset="0"/>
              <a:cs typeface="Arial" panose="020B0604020202020204" pitchFamily="34" charset="0"/>
            </a:rPr>
            <a:t>FAQs</a:t>
          </a:r>
        </a:p>
      </xdr:txBody>
    </xdr:sp>
    <xdr:clientData fLocksWithSheet="0"/>
  </xdr:twoCellAnchor>
  <xdr:twoCellAnchor>
    <xdr:from>
      <xdr:col>16</xdr:col>
      <xdr:colOff>95250</xdr:colOff>
      <xdr:row>0</xdr:row>
      <xdr:rowOff>161925</xdr:rowOff>
    </xdr:from>
    <xdr:to>
      <xdr:col>18</xdr:col>
      <xdr:colOff>497417</xdr:colOff>
      <xdr:row>2</xdr:row>
      <xdr:rowOff>148167</xdr:rowOff>
    </xdr:to>
    <xdr:pic>
      <xdr:nvPicPr>
        <xdr:cNvPr id="17" name="Picture 16">
          <a:extLst>
            <a:ext uri="{FF2B5EF4-FFF2-40B4-BE49-F238E27FC236}">
              <a16:creationId xmlns:a16="http://schemas.microsoft.com/office/drawing/2014/main" id="{11B011FC-5CF6-4D99-83AB-F56E548FBBC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0064750" y="161925"/>
          <a:ext cx="1820334" cy="7482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123824</xdr:colOff>
      <xdr:row>0</xdr:row>
      <xdr:rowOff>57150</xdr:rowOff>
    </xdr:from>
    <xdr:to>
      <xdr:col>1</xdr:col>
      <xdr:colOff>685800</xdr:colOff>
      <xdr:row>0</xdr:row>
      <xdr:rowOff>381000</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E0496DEE-B893-4E9A-83F7-CE6F8E7C0937}"/>
            </a:ext>
          </a:extLst>
        </xdr:cNvPr>
        <xdr:cNvSpPr/>
      </xdr:nvSpPr>
      <xdr:spPr>
        <a:xfrm>
          <a:off x="123824" y="57150"/>
          <a:ext cx="1171576" cy="3238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0</xdr:col>
      <xdr:colOff>400050</xdr:colOff>
      <xdr:row>1</xdr:row>
      <xdr:rowOff>171450</xdr:rowOff>
    </xdr:from>
    <xdr:to>
      <xdr:col>17</xdr:col>
      <xdr:colOff>247650</xdr:colOff>
      <xdr:row>28</xdr:row>
      <xdr:rowOff>158750</xdr:rowOff>
    </xdr:to>
    <xdr:sp macro="" textlink="">
      <xdr:nvSpPr>
        <xdr:cNvPr id="5" name="TextBox 4">
          <a:extLst>
            <a:ext uri="{FF2B5EF4-FFF2-40B4-BE49-F238E27FC236}">
              <a16:creationId xmlns:a16="http://schemas.microsoft.com/office/drawing/2014/main" id="{7960B5FA-D676-44C8-B03A-57B5609B2C1F}"/>
            </a:ext>
          </a:extLst>
        </xdr:cNvPr>
        <xdr:cNvSpPr txBox="1"/>
      </xdr:nvSpPr>
      <xdr:spPr>
        <a:xfrm>
          <a:off x="400050" y="685800"/>
          <a:ext cx="10318750" cy="4787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r>
            <a:rPr lang="en-GB" sz="1100"/>
            <a:t>What</a:t>
          </a:r>
          <a:r>
            <a:rPr lang="en-GB" sz="1100" baseline="0"/>
            <a:t> are 'dummy' (DMY) officers? - </a:t>
          </a:r>
          <a:r>
            <a:rPr lang="en-GB" sz="1100" baseline="0">
              <a:solidFill>
                <a:schemeClr val="accent5">
                  <a:lumMod val="75000"/>
                </a:schemeClr>
              </a:solidFill>
            </a:rPr>
            <a:t>These are shown as such as they have NO recorded grade within nDelius.</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Why are there fewer headcount staff showing on this report than I know there are within my cluster? </a:t>
          </a:r>
          <a:r>
            <a:rPr lang="en-GB" sz="1100">
              <a:solidFill>
                <a:schemeClr val="accent5">
                  <a:lumMod val="75000"/>
                </a:schemeClr>
              </a:solidFill>
              <a:effectLst/>
              <a:latin typeface="+mn-lt"/>
              <a:ea typeface="+mn-ea"/>
              <a:cs typeface="+mn-cs"/>
            </a:rPr>
            <a:t>Because OMs will only appear on WMT if they are holding a case.</a:t>
          </a:r>
        </a:p>
        <a:p>
          <a:endParaRPr lang="en-GB" sz="1100" baseline="0"/>
        </a:p>
        <a:p>
          <a:r>
            <a:rPr lang="en-GB" sz="1100" baseline="0"/>
            <a:t>What are the two figures displayed in relation to CMS? </a:t>
          </a:r>
          <a:r>
            <a:rPr lang="en-GB" sz="1100" baseline="0">
              <a:solidFill>
                <a:schemeClr val="accent5">
                  <a:lumMod val="75000"/>
                </a:schemeClr>
              </a:solidFill>
            </a:rPr>
            <a:t>CMS % of capacity in use is reflective of how much of the work that has been generated was by case management support. e.g. if a certain region shows their PSO capacity in use as 90%, and CMS % of capacity in use is 30%, 30% of the 90% average capacity for PSOs in that region to have been gained by the addition of points to PSOs via CMS activities. CMS % of overall available capacity reflects the average percentage of CMS conducted by PSOs and TPOs in relation to their elgible capacity. The NPS's assumption is that PSOs will conduct 25% of their overall output on CMS activities, so for a PSO working 37 hours per week there is an assumption that they would spend 9 hours and 15 minutes per week on CMS activities. </a:t>
          </a:r>
        </a:p>
        <a:p>
          <a:endParaRPr lang="en-GB" sz="1100" baseline="0"/>
        </a:p>
        <a:p>
          <a:r>
            <a:rPr lang="en-GB" sz="1100" b="0" i="0" u="none" strike="noStrike">
              <a:solidFill>
                <a:schemeClr val="dk1"/>
              </a:solidFill>
              <a:effectLst/>
              <a:latin typeface="+mn-lt"/>
              <a:ea typeface="+mn-ea"/>
              <a:cs typeface="+mn-cs"/>
            </a:rPr>
            <a:t>Why are</a:t>
          </a:r>
          <a:r>
            <a:rPr lang="en-GB" sz="1100" b="0" i="0" u="none" strike="noStrike" baseline="0">
              <a:solidFill>
                <a:schemeClr val="dk1"/>
              </a:solidFill>
              <a:effectLst/>
              <a:latin typeface="+mn-lt"/>
              <a:ea typeface="+mn-ea"/>
              <a:cs typeface="+mn-cs"/>
            </a:rPr>
            <a:t> the reduction reasons '</a:t>
          </a:r>
          <a:r>
            <a:rPr lang="en-GB" sz="1100" b="0" i="0" u="none" strike="noStrike">
              <a:solidFill>
                <a:schemeClr val="dk1"/>
              </a:solidFill>
              <a:effectLst/>
              <a:latin typeface="+mn-lt"/>
              <a:ea typeface="+mn-ea"/>
              <a:cs typeface="+mn-cs"/>
            </a:rPr>
            <a:t>PQiP - 12 to 18 months,</a:t>
          </a:r>
          <a:r>
            <a:rPr lang="en-GB"/>
            <a:t> </a:t>
          </a:r>
          <a:r>
            <a:rPr lang="en-GB" sz="1100" b="0" i="0" u="none" strike="noStrike">
              <a:solidFill>
                <a:schemeClr val="dk1"/>
              </a:solidFill>
              <a:effectLst/>
              <a:latin typeface="+mn-lt"/>
              <a:ea typeface="+mn-ea"/>
              <a:cs typeface="+mn-cs"/>
            </a:rPr>
            <a:t>PQiP - 1st 6 months and</a:t>
          </a:r>
          <a:r>
            <a:rPr lang="en-GB"/>
            <a:t> </a:t>
          </a:r>
          <a:r>
            <a:rPr lang="en-GB" sz="1100" b="0" i="0" u="none" strike="noStrike">
              <a:solidFill>
                <a:schemeClr val="dk1"/>
              </a:solidFill>
              <a:effectLst/>
              <a:latin typeface="+mn-lt"/>
              <a:ea typeface="+mn-ea"/>
              <a:cs typeface="+mn-cs"/>
            </a:rPr>
            <a:t>PQiP - 6 to 12 months' always highlighted</a:t>
          </a:r>
          <a:r>
            <a:rPr lang="en-GB" sz="1100" b="0" i="0" u="none" strike="noStrike" baseline="0">
              <a:solidFill>
                <a:schemeClr val="dk1"/>
              </a:solidFill>
              <a:effectLst/>
              <a:latin typeface="+mn-lt"/>
              <a:ea typeface="+mn-ea"/>
              <a:cs typeface="+mn-cs"/>
            </a:rPr>
            <a:t> in red? </a:t>
          </a:r>
          <a:r>
            <a:rPr lang="en-GB" sz="1100" b="0" i="0" u="none" strike="noStrike" baseline="0">
              <a:solidFill>
                <a:schemeClr val="accent5">
                  <a:lumMod val="75000"/>
                </a:schemeClr>
              </a:solidFill>
              <a:effectLst/>
              <a:latin typeface="+mn-lt"/>
              <a:ea typeface="+mn-ea"/>
              <a:cs typeface="+mn-cs"/>
            </a:rPr>
            <a:t>These are the old style of reduction reasons regarding PQiP candidates and should no longer be applied. Please stick to using the reasons '</a:t>
          </a:r>
          <a:r>
            <a:rPr lang="en-GB" sz="1100" b="0" i="0" u="none" strike="noStrike">
              <a:solidFill>
                <a:schemeClr val="accent5">
                  <a:lumMod val="75000"/>
                </a:schemeClr>
              </a:solidFill>
              <a:effectLst/>
              <a:latin typeface="+mn-lt"/>
              <a:ea typeface="+mn-ea"/>
              <a:cs typeface="+mn-cs"/>
            </a:rPr>
            <a:t>PQiP15 0-6,</a:t>
          </a:r>
          <a:r>
            <a:rPr lang="en-GB">
              <a:solidFill>
                <a:schemeClr val="accent5">
                  <a:lumMod val="75000"/>
                </a:schemeClr>
              </a:solidFill>
            </a:rPr>
            <a:t> </a:t>
          </a:r>
          <a:r>
            <a:rPr lang="en-GB" sz="1100" b="0" i="0">
              <a:solidFill>
                <a:schemeClr val="accent5">
                  <a:lumMod val="75000"/>
                </a:schemeClr>
              </a:solidFill>
              <a:effectLst/>
              <a:latin typeface="+mn-lt"/>
              <a:ea typeface="+mn-ea"/>
              <a:cs typeface="+mn-cs"/>
            </a:rPr>
            <a:t>PQiP15 12-15,</a:t>
          </a:r>
          <a:r>
            <a:rPr lang="en-GB" sz="1100">
              <a:solidFill>
                <a:schemeClr val="accent5">
                  <a:lumMod val="75000"/>
                </a:schemeClr>
              </a:solidFill>
              <a:effectLst/>
              <a:latin typeface="+mn-lt"/>
              <a:ea typeface="+mn-ea"/>
              <a:cs typeface="+mn-cs"/>
            </a:rPr>
            <a:t> </a:t>
          </a:r>
          <a:r>
            <a:rPr lang="en-GB" sz="1100" b="0" i="0">
              <a:solidFill>
                <a:schemeClr val="accent5">
                  <a:lumMod val="75000"/>
                </a:schemeClr>
              </a:solidFill>
              <a:effectLst/>
              <a:latin typeface="+mn-lt"/>
              <a:ea typeface="+mn-ea"/>
              <a:cs typeface="+mn-cs"/>
            </a:rPr>
            <a:t>PQiP15 6-12,</a:t>
          </a:r>
          <a:r>
            <a:rPr lang="en-GB" sz="1100">
              <a:solidFill>
                <a:schemeClr val="accent5">
                  <a:lumMod val="75000"/>
                </a:schemeClr>
              </a:solidFill>
              <a:effectLst/>
              <a:latin typeface="+mn-lt"/>
              <a:ea typeface="+mn-ea"/>
              <a:cs typeface="+mn-cs"/>
            </a:rPr>
            <a:t> </a:t>
          </a:r>
          <a:r>
            <a:rPr lang="en-GB" sz="1100" b="0" i="0" u="none" strike="noStrike">
              <a:solidFill>
                <a:schemeClr val="accent5">
                  <a:lumMod val="75000"/>
                </a:schemeClr>
              </a:solidFill>
              <a:effectLst/>
              <a:latin typeface="+mn-lt"/>
              <a:ea typeface="+mn-ea"/>
              <a:cs typeface="+mn-cs"/>
            </a:rPr>
            <a:t>PQiP21 0-6,</a:t>
          </a:r>
          <a:r>
            <a:rPr lang="en-GB">
              <a:solidFill>
                <a:schemeClr val="accent5">
                  <a:lumMod val="75000"/>
                </a:schemeClr>
              </a:solidFill>
            </a:rPr>
            <a:t> </a:t>
          </a:r>
          <a:r>
            <a:rPr lang="en-GB" sz="1100" b="0" i="0">
              <a:solidFill>
                <a:schemeClr val="accent5">
                  <a:lumMod val="75000"/>
                </a:schemeClr>
              </a:solidFill>
              <a:effectLst/>
              <a:latin typeface="+mn-lt"/>
              <a:ea typeface="+mn-ea"/>
              <a:cs typeface="+mn-cs"/>
            </a:rPr>
            <a:t>PQiP21 6-18, </a:t>
          </a:r>
          <a:r>
            <a:rPr lang="en-GB" sz="1100" b="0" i="0" u="none" strike="noStrike">
              <a:solidFill>
                <a:schemeClr val="accent5">
                  <a:lumMod val="75000"/>
                </a:schemeClr>
              </a:solidFill>
              <a:effectLst/>
              <a:latin typeface="+mn-lt"/>
              <a:ea typeface="+mn-ea"/>
              <a:cs typeface="+mn-cs"/>
            </a:rPr>
            <a:t>PQiP21 18-21'. These</a:t>
          </a:r>
          <a:r>
            <a:rPr lang="en-GB" sz="1100" b="0" i="0" u="none" strike="noStrike" baseline="0">
              <a:solidFill>
                <a:schemeClr val="accent5">
                  <a:lumMod val="75000"/>
                </a:schemeClr>
              </a:solidFill>
              <a:effectLst/>
              <a:latin typeface="+mn-lt"/>
              <a:ea typeface="+mn-ea"/>
              <a:cs typeface="+mn-cs"/>
            </a:rPr>
            <a:t> are now the correct ones and should be applied depending on whether the candidate is taking the 15 or 21 month long PQiP qualification.</a:t>
          </a:r>
          <a:r>
            <a:rPr lang="en-GB" sz="1100" b="0" i="0" u="none" strike="noStrike">
              <a:solidFill>
                <a:schemeClr val="accent5">
                  <a:lumMod val="75000"/>
                </a:schemeClr>
              </a:solidFill>
              <a:effectLst/>
              <a:latin typeface="+mn-lt"/>
              <a:ea typeface="+mn-ea"/>
              <a:cs typeface="+mn-cs"/>
            </a:rPr>
            <a:t> </a:t>
          </a:r>
          <a:br>
            <a:rPr lang="en-GB" sz="1100" b="0" i="0" u="none" strike="noStrike">
              <a:solidFill>
                <a:schemeClr val="accent5">
                  <a:lumMod val="75000"/>
                </a:schemeClr>
              </a:solidFill>
              <a:effectLst/>
              <a:latin typeface="+mn-lt"/>
              <a:ea typeface="+mn-ea"/>
              <a:cs typeface="+mn-cs"/>
            </a:rPr>
          </a:br>
          <a:endParaRPr lang="en-GB" sz="1100" b="0" i="0" u="none" strike="noStrike">
            <a:solidFill>
              <a:schemeClr val="accent5">
                <a:lumMod val="75000"/>
              </a:schemeClr>
            </a:solidFill>
            <a:effectLst/>
            <a:latin typeface="+mn-lt"/>
            <a:ea typeface="+mn-ea"/>
            <a:cs typeface="+mn-cs"/>
          </a:endParaRPr>
        </a:p>
        <a:p>
          <a:r>
            <a:rPr lang="en-GB" sz="1100" b="0" i="0" u="none" strike="noStrike">
              <a:solidFill>
                <a:sysClr val="windowText" lastClr="000000"/>
              </a:solidFill>
              <a:effectLst/>
              <a:latin typeface="+mn-lt"/>
              <a:ea typeface="+mn-ea"/>
              <a:cs typeface="+mn-cs"/>
            </a:rPr>
            <a:t>Why is</a:t>
          </a:r>
          <a:r>
            <a:rPr lang="en-GB" sz="1100" b="0" i="0" u="none" strike="noStrike" baseline="0">
              <a:solidFill>
                <a:sysClr val="windowText" lastClr="000000"/>
              </a:solidFill>
              <a:effectLst/>
              <a:latin typeface="+mn-lt"/>
              <a:ea typeface="+mn-ea"/>
              <a:cs typeface="+mn-cs"/>
            </a:rPr>
            <a:t> their a difference in the numbers shown for PO/PSO/TPO contracted hours as opposed to the contracted hours shown overall? </a:t>
          </a:r>
          <a:r>
            <a:rPr lang="en-GB" sz="1100" b="0" i="0" u="none" strike="noStrike" baseline="0">
              <a:solidFill>
                <a:schemeClr val="accent5">
                  <a:lumMod val="75000"/>
                </a:schemeClr>
              </a:solidFill>
              <a:effectLst/>
              <a:latin typeface="+mn-lt"/>
              <a:ea typeface="+mn-ea"/>
              <a:cs typeface="+mn-cs"/>
            </a:rPr>
            <a:t>This is due to SPOs recorded within the WMT showing as 37 contracted hours - SPO Contracted hours should always shows as zero - as they are not contracted to manage offenders within the OMU.</a:t>
          </a:r>
          <a:r>
            <a:rPr lang="en-GB">
              <a:solidFill>
                <a:schemeClr val="accent5">
                  <a:lumMod val="75000"/>
                </a:schemeClr>
              </a:solidFill>
            </a:rPr>
            <a:t> </a:t>
          </a:r>
          <a:r>
            <a:rPr lang="en-GB" sz="1100" b="0" i="0" u="none" strike="noStrike" baseline="0">
              <a:solidFill>
                <a:schemeClr val="accent5">
                  <a:lumMod val="75000"/>
                </a:schemeClr>
              </a:solidFill>
              <a:effectLst/>
              <a:latin typeface="+mn-lt"/>
              <a:ea typeface="+mn-ea"/>
              <a:cs typeface="+mn-cs"/>
            </a:rPr>
            <a:t> </a:t>
          </a:r>
        </a:p>
        <a:p>
          <a:endParaRPr lang="en-GB" sz="1100" baseline="0">
            <a:solidFill>
              <a:schemeClr val="accent5">
                <a:lumMod val="75000"/>
              </a:schemeClr>
            </a:solidFill>
          </a:endParaRPr>
        </a:p>
        <a:p>
          <a:r>
            <a:rPr lang="en-GB" sz="1100" baseline="0">
              <a:solidFill>
                <a:sysClr val="windowText" lastClr="000000"/>
              </a:solidFill>
            </a:rPr>
            <a:t>Why are there duplicate values on the Cluster Top Tens?</a:t>
          </a:r>
        </a:p>
        <a:p>
          <a:r>
            <a:rPr lang="en-GB" sz="1100" baseline="0">
              <a:solidFill>
                <a:schemeClr val="accent5">
                  <a:lumMod val="75000"/>
                </a:schemeClr>
              </a:solidFill>
            </a:rPr>
            <a:t>A limitation with the dashboard is when 2 clusters have the same value Excel will default to the first cluster in a list. It is a rare occurence though and should cause minimal issues.</a:t>
          </a:r>
        </a:p>
        <a:p>
          <a:endParaRPr lang="en-GB" sz="110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do the HMIP tabs show caseload per FTE instead of caseload per OM? </a:t>
          </a:r>
          <a:r>
            <a:rPr lang="en-GB" sz="1100">
              <a:solidFill>
                <a:schemeClr val="accent5">
                  <a:lumMod val="75000"/>
                </a:schemeClr>
              </a:solidFill>
            </a:rPr>
            <a:t>The</a:t>
          </a:r>
          <a:r>
            <a:rPr lang="en-GB" sz="1100" baseline="0">
              <a:solidFill>
                <a:schemeClr val="accent5">
                  <a:lumMod val="75000"/>
                </a:schemeClr>
              </a:solidFill>
            </a:rPr>
            <a:t> number of hours an OM works can vary significantly based on circumstance. Therefore, determining caseload per FTE is a more accurate representation of average workload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is the capcity in use different on the HMIP tabs to the other overview tabs? </a:t>
          </a:r>
          <a:r>
            <a:rPr lang="en-GB" sz="1100" baseline="0">
              <a:solidFill>
                <a:schemeClr val="accent5">
                  <a:lumMod val="75000"/>
                </a:schemeClr>
              </a:solidFill>
              <a:latin typeface="+mn-lt"/>
              <a:ea typeface="+mn-ea"/>
              <a:cs typeface="+mn-cs"/>
            </a:rPr>
            <a:t>The Overview tabs show the combined capacity of all OMs in an entire division or cluster divided by the origonally allocated points from that division or cluster to get an overall percentage capacity for that division or cluster. The HMIP tabs show the average capacity of an OM in a region or cluster and excludes OMs who currently do not have any assigned capacity points (hence some variation in results).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552449</xdr:colOff>
      <xdr:row>0</xdr:row>
      <xdr:rowOff>136071</xdr:rowOff>
    </xdr:from>
    <xdr:to>
      <xdr:col>1</xdr:col>
      <xdr:colOff>1292679</xdr:colOff>
      <xdr:row>0</xdr:row>
      <xdr:rowOff>762000</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a:xfrm>
          <a:off x="552449" y="136071"/>
          <a:ext cx="1352551" cy="62592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6</xdr:col>
      <xdr:colOff>797718</xdr:colOff>
      <xdr:row>0</xdr:row>
      <xdr:rowOff>221316</xdr:rowOff>
    </xdr:from>
    <xdr:to>
      <xdr:col>7</xdr:col>
      <xdr:colOff>1346105</xdr:colOff>
      <xdr:row>0</xdr:row>
      <xdr:rowOff>760479</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185716CA-EA3F-4A60-A970-E51FB929D0BC}"/>
            </a:ext>
          </a:extLst>
        </xdr:cNvPr>
        <xdr:cNvSpPr/>
      </xdr:nvSpPr>
      <xdr:spPr>
        <a:xfrm>
          <a:off x="8286749" y="221316"/>
          <a:ext cx="1703294" cy="53916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PDU overview</a:t>
          </a:r>
        </a:p>
      </xdr:txBody>
    </xdr:sp>
    <xdr:clientData fPrintsWithSheet="0"/>
  </xdr:twoCellAnchor>
  <xdr:twoCellAnchor>
    <xdr:from>
      <xdr:col>8</xdr:col>
      <xdr:colOff>190498</xdr:colOff>
      <xdr:row>0</xdr:row>
      <xdr:rowOff>226219</xdr:rowOff>
    </xdr:from>
    <xdr:to>
      <xdr:col>9</xdr:col>
      <xdr:colOff>797718</xdr:colOff>
      <xdr:row>0</xdr:row>
      <xdr:rowOff>750095</xdr:rowOff>
    </xdr:to>
    <xdr:sp macro="" textlink="">
      <xdr:nvSpPr>
        <xdr:cNvPr id="4" name="Rounded Rectangle 4">
          <a:hlinkClick xmlns:r="http://schemas.openxmlformats.org/officeDocument/2006/relationships" r:id="rId3"/>
          <a:extLst>
            <a:ext uri="{FF2B5EF4-FFF2-40B4-BE49-F238E27FC236}">
              <a16:creationId xmlns:a16="http://schemas.microsoft.com/office/drawing/2014/main" id="{B65F87C2-0D1D-43AB-9683-9FEAA2871A4F}"/>
            </a:ext>
          </a:extLst>
        </xdr:cNvPr>
        <xdr:cNvSpPr/>
      </xdr:nvSpPr>
      <xdr:spPr>
        <a:xfrm>
          <a:off x="10310811" y="226219"/>
          <a:ext cx="1762126" cy="523876"/>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team overview</a:t>
          </a: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xdr:from>
      <xdr:col>0</xdr:col>
      <xdr:colOff>552449</xdr:colOff>
      <xdr:row>0</xdr:row>
      <xdr:rowOff>136071</xdr:rowOff>
    </xdr:from>
    <xdr:to>
      <xdr:col>1</xdr:col>
      <xdr:colOff>1292679</xdr:colOff>
      <xdr:row>0</xdr:row>
      <xdr:rowOff>762000</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95A4D05-B536-4677-B4E1-A8D3D3089E1E}"/>
            </a:ext>
          </a:extLst>
        </xdr:cNvPr>
        <xdr:cNvSpPr/>
      </xdr:nvSpPr>
      <xdr:spPr>
        <a:xfrm>
          <a:off x="552449" y="136071"/>
          <a:ext cx="1378405" cy="62592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6</xdr:col>
      <xdr:colOff>797718</xdr:colOff>
      <xdr:row>0</xdr:row>
      <xdr:rowOff>221316</xdr:rowOff>
    </xdr:from>
    <xdr:to>
      <xdr:col>7</xdr:col>
      <xdr:colOff>1346105</xdr:colOff>
      <xdr:row>0</xdr:row>
      <xdr:rowOff>760479</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578CF1DB-27B5-4C20-9752-A5D409893EE4}"/>
            </a:ext>
          </a:extLst>
        </xdr:cNvPr>
        <xdr:cNvSpPr/>
      </xdr:nvSpPr>
      <xdr:spPr>
        <a:xfrm>
          <a:off x="8655843" y="218141"/>
          <a:ext cx="1764412" cy="54233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PDU overview</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0</xdr:col>
      <xdr:colOff>526934</xdr:colOff>
      <xdr:row>0</xdr:row>
      <xdr:rowOff>62253</xdr:rowOff>
    </xdr:from>
    <xdr:to>
      <xdr:col>1</xdr:col>
      <xdr:colOff>819828</xdr:colOff>
      <xdr:row>0</xdr:row>
      <xdr:rowOff>495640</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F8C55C77-5B0D-4491-8840-298F65E88412}"/>
            </a:ext>
          </a:extLst>
        </xdr:cNvPr>
        <xdr:cNvSpPr/>
      </xdr:nvSpPr>
      <xdr:spPr>
        <a:xfrm>
          <a:off x="526934" y="62253"/>
          <a:ext cx="908844" cy="43338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endParaRPr lang="en-GB" sz="16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5</xdr:col>
      <xdr:colOff>1018135</xdr:colOff>
      <xdr:row>0</xdr:row>
      <xdr:rowOff>23880</xdr:rowOff>
    </xdr:from>
    <xdr:to>
      <xdr:col>7</xdr:col>
      <xdr:colOff>1158475</xdr:colOff>
      <xdr:row>0</xdr:row>
      <xdr:rowOff>470874</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260DB05D-F13B-4AE9-B23A-4FADD8AE7C74}"/>
            </a:ext>
          </a:extLst>
        </xdr:cNvPr>
        <xdr:cNvSpPr/>
      </xdr:nvSpPr>
      <xdr:spPr>
        <a:xfrm>
          <a:off x="8189900" y="23880"/>
          <a:ext cx="2635516" cy="4469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aseline="0">
              <a:solidFill>
                <a:srgbClr val="7030A0"/>
              </a:solidFill>
              <a:latin typeface="Arial" panose="020B0604020202020204" pitchFamily="34" charset="0"/>
              <a:cs typeface="Arial" panose="020B0604020202020204" pitchFamily="34" charset="0"/>
            </a:rPr>
            <a:t>regional overview</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0</xdr:col>
      <xdr:colOff>526934</xdr:colOff>
      <xdr:row>0</xdr:row>
      <xdr:rowOff>62253</xdr:rowOff>
    </xdr:from>
    <xdr:to>
      <xdr:col>1</xdr:col>
      <xdr:colOff>819828</xdr:colOff>
      <xdr:row>0</xdr:row>
      <xdr:rowOff>495640</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526934" y="62253"/>
          <a:ext cx="905215" cy="43338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endParaRPr lang="en-GB" sz="16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4</xdr:col>
      <xdr:colOff>943429</xdr:colOff>
      <xdr:row>0</xdr:row>
      <xdr:rowOff>61233</xdr:rowOff>
    </xdr:from>
    <xdr:to>
      <xdr:col>7</xdr:col>
      <xdr:colOff>45357</xdr:colOff>
      <xdr:row>0</xdr:row>
      <xdr:rowOff>508227</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AB217693-4384-4BD4-A389-1480CD75AB84}"/>
            </a:ext>
          </a:extLst>
        </xdr:cNvPr>
        <xdr:cNvSpPr/>
      </xdr:nvSpPr>
      <xdr:spPr>
        <a:xfrm>
          <a:off x="7084786" y="61233"/>
          <a:ext cx="2639785" cy="4469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aseline="0">
              <a:solidFill>
                <a:srgbClr val="7030A0"/>
              </a:solidFill>
              <a:latin typeface="Arial" panose="020B0604020202020204" pitchFamily="34" charset="0"/>
              <a:cs typeface="Arial" panose="020B0604020202020204" pitchFamily="34" charset="0"/>
            </a:rPr>
            <a:t>regional overview</a:t>
          </a:r>
        </a:p>
      </xdr:txBody>
    </xdr:sp>
    <xdr:clientData fPrintsWithSheet="0"/>
  </xdr:twoCellAnchor>
  <xdr:twoCellAnchor>
    <xdr:from>
      <xdr:col>7</xdr:col>
      <xdr:colOff>144009</xdr:colOff>
      <xdr:row>0</xdr:row>
      <xdr:rowOff>73704</xdr:rowOff>
    </xdr:from>
    <xdr:to>
      <xdr:col>8</xdr:col>
      <xdr:colOff>712107</xdr:colOff>
      <xdr:row>0</xdr:row>
      <xdr:rowOff>539748</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4FEE9EF5-DB25-4018-B675-5586F8FA252B}"/>
            </a:ext>
          </a:extLst>
        </xdr:cNvPr>
        <xdr:cNvSpPr/>
      </xdr:nvSpPr>
      <xdr:spPr>
        <a:xfrm>
          <a:off x="9823223" y="73704"/>
          <a:ext cx="1910670" cy="46604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aseline="0">
              <a:solidFill>
                <a:srgbClr val="7030A0"/>
              </a:solidFill>
              <a:latin typeface="Arial" panose="020B0604020202020204" pitchFamily="34" charset="0"/>
              <a:cs typeface="Arial" panose="020B0604020202020204" pitchFamily="34" charset="0"/>
            </a:rPr>
            <a:t>team overview</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469105</xdr:colOff>
      <xdr:row>0</xdr:row>
      <xdr:rowOff>69055</xdr:rowOff>
    </xdr:from>
    <xdr:to>
      <xdr:col>1</xdr:col>
      <xdr:colOff>738187</xdr:colOff>
      <xdr:row>0</xdr:row>
      <xdr:rowOff>473867</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1113245-2D35-435C-BFE9-9CEC3B58B703}"/>
            </a:ext>
          </a:extLst>
        </xdr:cNvPr>
        <xdr:cNvSpPr/>
      </xdr:nvSpPr>
      <xdr:spPr>
        <a:xfrm>
          <a:off x="469105" y="69055"/>
          <a:ext cx="876301" cy="40481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6</xdr:col>
      <xdr:colOff>273843</xdr:colOff>
      <xdr:row>0</xdr:row>
      <xdr:rowOff>47625</xdr:rowOff>
    </xdr:from>
    <xdr:to>
      <xdr:col>7</xdr:col>
      <xdr:colOff>547687</xdr:colOff>
      <xdr:row>0</xdr:row>
      <xdr:rowOff>466044</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EA7A666B-BC1E-4E4F-9D60-4670FFDB69D5}"/>
            </a:ext>
          </a:extLst>
        </xdr:cNvPr>
        <xdr:cNvSpPr/>
      </xdr:nvSpPr>
      <xdr:spPr>
        <a:xfrm>
          <a:off x="8274843" y="47625"/>
          <a:ext cx="1524000" cy="41841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PDU overview</a:t>
          </a:r>
        </a:p>
      </xdr:txBody>
    </xdr:sp>
    <xdr:clientData fPrintsWithSheet="0"/>
  </xdr:twoCellAnchor>
  <xdr:twoCellAnchor>
    <xdr:from>
      <xdr:col>4</xdr:col>
      <xdr:colOff>30602</xdr:colOff>
      <xdr:row>0</xdr:row>
      <xdr:rowOff>45903</xdr:rowOff>
    </xdr:from>
    <xdr:to>
      <xdr:col>6</xdr:col>
      <xdr:colOff>214544</xdr:colOff>
      <xdr:row>0</xdr:row>
      <xdr:rowOff>459036</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DEA8F6EA-4D22-43BC-B849-C66BCB52ACEB}"/>
            </a:ext>
          </a:extLst>
        </xdr:cNvPr>
        <xdr:cNvSpPr/>
      </xdr:nvSpPr>
      <xdr:spPr>
        <a:xfrm>
          <a:off x="6189337" y="45903"/>
          <a:ext cx="2417918" cy="41313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overview</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xdr:from>
      <xdr:col>0</xdr:col>
      <xdr:colOff>151039</xdr:colOff>
      <xdr:row>0</xdr:row>
      <xdr:rowOff>247649</xdr:rowOff>
    </xdr:from>
    <xdr:to>
      <xdr:col>1</xdr:col>
      <xdr:colOff>713015</xdr:colOff>
      <xdr:row>0</xdr:row>
      <xdr:rowOff>748392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151039" y="247649"/>
          <a:ext cx="1174297" cy="50074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22</xdr:col>
      <xdr:colOff>293916</xdr:colOff>
      <xdr:row>0</xdr:row>
      <xdr:rowOff>97232</xdr:rowOff>
    </xdr:from>
    <xdr:to>
      <xdr:col>22</xdr:col>
      <xdr:colOff>2161721</xdr:colOff>
      <xdr:row>0</xdr:row>
      <xdr:rowOff>691190</xdr:rowOff>
    </xdr:to>
    <xdr:sp macro="" textlink="">
      <xdr:nvSpPr>
        <xdr:cNvPr id="9" name="Rounded Rectangle 1">
          <a:hlinkClick xmlns:r="http://schemas.openxmlformats.org/officeDocument/2006/relationships" r:id="rId2"/>
          <a:extLst>
            <a:ext uri="{FF2B5EF4-FFF2-40B4-BE49-F238E27FC236}">
              <a16:creationId xmlns:a16="http://schemas.microsoft.com/office/drawing/2014/main" id="{79441E23-5C31-47BD-89F4-7E496D4DFAE4}"/>
            </a:ext>
          </a:extLst>
        </xdr:cNvPr>
        <xdr:cNvSpPr/>
      </xdr:nvSpPr>
      <xdr:spPr>
        <a:xfrm>
          <a:off x="12676416" y="97232"/>
          <a:ext cx="1867805"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a:t>
          </a:r>
        </a:p>
      </xdr:txBody>
    </xdr:sp>
    <xdr:clientData fPrintsWithSheet="0"/>
  </xdr:twoCellAnchor>
  <xdr:twoCellAnchor>
    <xdr:from>
      <xdr:col>19</xdr:col>
      <xdr:colOff>240661</xdr:colOff>
      <xdr:row>1</xdr:row>
      <xdr:rowOff>72920</xdr:rowOff>
    </xdr:from>
    <xdr:to>
      <xdr:col>22</xdr:col>
      <xdr:colOff>38314</xdr:colOff>
      <xdr:row>1</xdr:row>
      <xdr:rowOff>610802</xdr:rowOff>
    </xdr:to>
    <xdr:sp macro="" textlink="">
      <xdr:nvSpPr>
        <xdr:cNvPr id="11" name="Rounded Rectangle 1">
          <a:hlinkClick xmlns:r="http://schemas.openxmlformats.org/officeDocument/2006/relationships" r:id="rId3"/>
          <a:extLst>
            <a:ext uri="{FF2B5EF4-FFF2-40B4-BE49-F238E27FC236}">
              <a16:creationId xmlns:a16="http://schemas.microsoft.com/office/drawing/2014/main" id="{EB039528-D08B-4C3B-83F5-BDB87FDCC4E9}"/>
            </a:ext>
          </a:extLst>
        </xdr:cNvPr>
        <xdr:cNvSpPr/>
      </xdr:nvSpPr>
      <xdr:spPr>
        <a:xfrm>
          <a:off x="11056828" y="972503"/>
          <a:ext cx="181906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reigonal caseload percentage</a:t>
          </a:r>
        </a:p>
      </xdr:txBody>
    </xdr:sp>
    <xdr:clientData fPrintsWithSheet="0"/>
  </xdr:twoCellAnchor>
  <xdr:twoCellAnchor>
    <xdr:from>
      <xdr:col>22</xdr:col>
      <xdr:colOff>315686</xdr:colOff>
      <xdr:row>1</xdr:row>
      <xdr:rowOff>74662</xdr:rowOff>
    </xdr:from>
    <xdr:to>
      <xdr:col>22</xdr:col>
      <xdr:colOff>2154411</xdr:colOff>
      <xdr:row>1</xdr:row>
      <xdr:rowOff>612544</xdr:rowOff>
    </xdr:to>
    <xdr:sp macro="" textlink="">
      <xdr:nvSpPr>
        <xdr:cNvPr id="12" name="Rounded Rectangle 1">
          <a:hlinkClick xmlns:r="http://schemas.openxmlformats.org/officeDocument/2006/relationships" r:id="rId4"/>
          <a:extLst>
            <a:ext uri="{FF2B5EF4-FFF2-40B4-BE49-F238E27FC236}">
              <a16:creationId xmlns:a16="http://schemas.microsoft.com/office/drawing/2014/main" id="{2F0855F0-4F38-44D7-B22B-224CDEFB64DD}"/>
            </a:ext>
          </a:extLst>
        </xdr:cNvPr>
        <xdr:cNvSpPr/>
      </xdr:nvSpPr>
      <xdr:spPr>
        <a:xfrm>
          <a:off x="12698186" y="972733"/>
          <a:ext cx="1838725"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22</xdr:col>
      <xdr:colOff>2409905</xdr:colOff>
      <xdr:row>1</xdr:row>
      <xdr:rowOff>111001</xdr:rowOff>
    </xdr:from>
    <xdr:to>
      <xdr:col>24</xdr:col>
      <xdr:colOff>112058</xdr:colOff>
      <xdr:row>1</xdr:row>
      <xdr:rowOff>648883</xdr:rowOff>
    </xdr:to>
    <xdr:sp macro="" textlink="">
      <xdr:nvSpPr>
        <xdr:cNvPr id="13" name="Rounded Rectangle 1">
          <a:hlinkClick xmlns:r="http://schemas.openxmlformats.org/officeDocument/2006/relationships" r:id="rId5"/>
          <a:extLst>
            <a:ext uri="{FF2B5EF4-FFF2-40B4-BE49-F238E27FC236}">
              <a16:creationId xmlns:a16="http://schemas.microsoft.com/office/drawing/2014/main" id="{F1AD8DDB-CA82-4B7B-9E27-A1089850F934}"/>
            </a:ext>
          </a:extLst>
        </xdr:cNvPr>
        <xdr:cNvSpPr/>
      </xdr:nvSpPr>
      <xdr:spPr>
        <a:xfrm>
          <a:off x="14792405" y="1009072"/>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22</xdr:col>
      <xdr:colOff>2406069</xdr:colOff>
      <xdr:row>0</xdr:row>
      <xdr:rowOff>108856</xdr:rowOff>
    </xdr:from>
    <xdr:to>
      <xdr:col>24</xdr:col>
      <xdr:colOff>130219</xdr:colOff>
      <xdr:row>0</xdr:row>
      <xdr:rowOff>728930</xdr:rowOff>
    </xdr:to>
    <xdr:sp macro="" textlink="">
      <xdr:nvSpPr>
        <xdr:cNvPr id="14" name="Rounded Rectangle 1">
          <a:hlinkClick xmlns:r="http://schemas.openxmlformats.org/officeDocument/2006/relationships" r:id="rId6"/>
          <a:extLst>
            <a:ext uri="{FF2B5EF4-FFF2-40B4-BE49-F238E27FC236}">
              <a16:creationId xmlns:a16="http://schemas.microsoft.com/office/drawing/2014/main" id="{C4EE2FFD-5E09-43DE-96C4-F9FAF9237FC5}"/>
            </a:ext>
          </a:extLst>
        </xdr:cNvPr>
        <xdr:cNvSpPr/>
      </xdr:nvSpPr>
      <xdr:spPr>
        <a:xfrm>
          <a:off x="14788569" y="108856"/>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176893</xdr:colOff>
      <xdr:row>0</xdr:row>
      <xdr:rowOff>95250</xdr:rowOff>
    </xdr:from>
    <xdr:to>
      <xdr:col>21</xdr:col>
      <xdr:colOff>609071</xdr:colOff>
      <xdr:row>0</xdr:row>
      <xdr:rowOff>689208</xdr:rowOff>
    </xdr:to>
    <xdr:sp macro="" textlink="">
      <xdr:nvSpPr>
        <xdr:cNvPr id="16" name="Rounded Rectangle 1">
          <a:hlinkClick xmlns:r="http://schemas.openxmlformats.org/officeDocument/2006/relationships" r:id="rId7"/>
          <a:extLst>
            <a:ext uri="{FF2B5EF4-FFF2-40B4-BE49-F238E27FC236}">
              <a16:creationId xmlns:a16="http://schemas.microsoft.com/office/drawing/2014/main" id="{2518E166-C5E6-49C3-BB78-DCDEC2EE9686}"/>
            </a:ext>
          </a:extLst>
        </xdr:cNvPr>
        <xdr:cNvSpPr/>
      </xdr:nvSpPr>
      <xdr:spPr>
        <a:xfrm>
          <a:off x="10586357" y="95250"/>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16</xdr:col>
      <xdr:colOff>54428</xdr:colOff>
      <xdr:row>0</xdr:row>
      <xdr:rowOff>149678</xdr:rowOff>
    </xdr:from>
    <xdr:to>
      <xdr:col>18</xdr:col>
      <xdr:colOff>500214</xdr:colOff>
      <xdr:row>0</xdr:row>
      <xdr:rowOff>743636</xdr:rowOff>
    </xdr:to>
    <xdr:sp macro="" textlink="">
      <xdr:nvSpPr>
        <xdr:cNvPr id="15" name="Rounded Rectangle 1">
          <a:hlinkClick xmlns:r="http://schemas.openxmlformats.org/officeDocument/2006/relationships" r:id="rId8"/>
          <a:extLst>
            <a:ext uri="{FF2B5EF4-FFF2-40B4-BE49-F238E27FC236}">
              <a16:creationId xmlns:a16="http://schemas.microsoft.com/office/drawing/2014/main" id="{B274543B-6E1A-4A1F-B098-1563AD56A317}"/>
            </a:ext>
          </a:extLst>
        </xdr:cNvPr>
        <xdr:cNvSpPr/>
      </xdr:nvSpPr>
      <xdr:spPr>
        <a:xfrm>
          <a:off x="8395607" y="149678"/>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xdr:from>
      <xdr:col>0</xdr:col>
      <xdr:colOff>151039</xdr:colOff>
      <xdr:row>0</xdr:row>
      <xdr:rowOff>247649</xdr:rowOff>
    </xdr:from>
    <xdr:to>
      <xdr:col>1</xdr:col>
      <xdr:colOff>713015</xdr:colOff>
      <xdr:row>0</xdr:row>
      <xdr:rowOff>748392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D96D643-CEC8-4476-B3C6-83C98F08873C}"/>
            </a:ext>
          </a:extLst>
        </xdr:cNvPr>
        <xdr:cNvSpPr/>
      </xdr:nvSpPr>
      <xdr:spPr>
        <a:xfrm>
          <a:off x="151039" y="247649"/>
          <a:ext cx="1171576" cy="50074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25</xdr:col>
      <xdr:colOff>348344</xdr:colOff>
      <xdr:row>0</xdr:row>
      <xdr:rowOff>97232</xdr:rowOff>
    </xdr:from>
    <xdr:to>
      <xdr:col>27</xdr:col>
      <xdr:colOff>542471</xdr:colOff>
      <xdr:row>0</xdr:row>
      <xdr:rowOff>691190</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C789B312-9FA8-453D-8FBD-C88D50351FC9}"/>
            </a:ext>
          </a:extLst>
        </xdr:cNvPr>
        <xdr:cNvSpPr/>
      </xdr:nvSpPr>
      <xdr:spPr>
        <a:xfrm>
          <a:off x="13873844" y="97232"/>
          <a:ext cx="155484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a:t>
          </a:r>
        </a:p>
      </xdr:txBody>
    </xdr:sp>
    <xdr:clientData fPrintsWithSheet="0"/>
  </xdr:twoCellAnchor>
  <xdr:twoCellAnchor>
    <xdr:from>
      <xdr:col>28</xdr:col>
      <xdr:colOff>106462</xdr:colOff>
      <xdr:row>0</xdr:row>
      <xdr:rowOff>95248</xdr:rowOff>
    </xdr:from>
    <xdr:to>
      <xdr:col>31</xdr:col>
      <xdr:colOff>95250</xdr:colOff>
      <xdr:row>0</xdr:row>
      <xdr:rowOff>715322</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66071803-C699-455A-A48A-5088E5415590}"/>
            </a:ext>
          </a:extLst>
        </xdr:cNvPr>
        <xdr:cNvSpPr/>
      </xdr:nvSpPr>
      <xdr:spPr>
        <a:xfrm>
          <a:off x="15999605" y="95248"/>
          <a:ext cx="1825752"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25</xdr:col>
      <xdr:colOff>370114</xdr:colOff>
      <xdr:row>1</xdr:row>
      <xdr:rowOff>74662</xdr:rowOff>
    </xdr:from>
    <xdr:to>
      <xdr:col>27</xdr:col>
      <xdr:colOff>535161</xdr:colOff>
      <xdr:row>2</xdr:row>
      <xdr:rowOff>81642</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D7AF0CA9-8E57-46B7-9E12-3713FEDEEB73}"/>
            </a:ext>
          </a:extLst>
        </xdr:cNvPr>
        <xdr:cNvSpPr/>
      </xdr:nvSpPr>
      <xdr:spPr>
        <a:xfrm>
          <a:off x="13895614" y="904698"/>
          <a:ext cx="1525761" cy="55126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28</xdr:col>
      <xdr:colOff>182415</xdr:colOff>
      <xdr:row>1</xdr:row>
      <xdr:rowOff>55212</xdr:rowOff>
    </xdr:from>
    <xdr:to>
      <xdr:col>31</xdr:col>
      <xdr:colOff>108857</xdr:colOff>
      <xdr:row>2</xdr:row>
      <xdr:rowOff>68037</xdr:rowOff>
    </xdr:to>
    <xdr:sp macro="" textlink="">
      <xdr:nvSpPr>
        <xdr:cNvPr id="11" name="Rounded Rectangle 1">
          <a:hlinkClick xmlns:r="http://schemas.openxmlformats.org/officeDocument/2006/relationships" r:id="rId5"/>
          <a:extLst>
            <a:ext uri="{FF2B5EF4-FFF2-40B4-BE49-F238E27FC236}">
              <a16:creationId xmlns:a16="http://schemas.microsoft.com/office/drawing/2014/main" id="{15E16ED1-3F21-4E68-A73C-AD6C6B8EA6C2}"/>
            </a:ext>
          </a:extLst>
        </xdr:cNvPr>
        <xdr:cNvSpPr/>
      </xdr:nvSpPr>
      <xdr:spPr>
        <a:xfrm>
          <a:off x="16075558" y="885248"/>
          <a:ext cx="1763406" cy="55711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20</xdr:col>
      <xdr:colOff>2272391</xdr:colOff>
      <xdr:row>0</xdr:row>
      <xdr:rowOff>108856</xdr:rowOff>
    </xdr:from>
    <xdr:to>
      <xdr:col>22</xdr:col>
      <xdr:colOff>476249</xdr:colOff>
      <xdr:row>0</xdr:row>
      <xdr:rowOff>734785</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7A80AC0C-9E01-48D8-9AD4-1637E75DD8F3}"/>
            </a:ext>
          </a:extLst>
        </xdr:cNvPr>
        <xdr:cNvSpPr/>
      </xdr:nvSpPr>
      <xdr:spPr>
        <a:xfrm>
          <a:off x="10980962" y="108856"/>
          <a:ext cx="1306287" cy="62592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22</xdr:col>
      <xdr:colOff>535214</xdr:colOff>
      <xdr:row>0</xdr:row>
      <xdr:rowOff>108857</xdr:rowOff>
    </xdr:from>
    <xdr:to>
      <xdr:col>25</xdr:col>
      <xdr:colOff>252261</xdr:colOff>
      <xdr:row>0</xdr:row>
      <xdr:rowOff>702815</xdr:rowOff>
    </xdr:to>
    <xdr:sp macro="" textlink="">
      <xdr:nvSpPr>
        <xdr:cNvPr id="12" name="Rounded Rectangle 1">
          <a:hlinkClick xmlns:r="http://schemas.openxmlformats.org/officeDocument/2006/relationships" r:id="rId7"/>
          <a:extLst>
            <a:ext uri="{FF2B5EF4-FFF2-40B4-BE49-F238E27FC236}">
              <a16:creationId xmlns:a16="http://schemas.microsoft.com/office/drawing/2014/main" id="{23C12429-6138-4142-B62A-13AF95AB39EA}"/>
            </a:ext>
          </a:extLst>
        </xdr:cNvPr>
        <xdr:cNvSpPr/>
      </xdr:nvSpPr>
      <xdr:spPr>
        <a:xfrm>
          <a:off x="12681857" y="108857"/>
          <a:ext cx="183976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22</xdr:col>
      <xdr:colOff>544285</xdr:colOff>
      <xdr:row>1</xdr:row>
      <xdr:rowOff>81643</xdr:rowOff>
    </xdr:from>
    <xdr:to>
      <xdr:col>25</xdr:col>
      <xdr:colOff>240640</xdr:colOff>
      <xdr:row>2</xdr:row>
      <xdr:rowOff>75239</xdr:rowOff>
    </xdr:to>
    <xdr:sp macro="" textlink="">
      <xdr:nvSpPr>
        <xdr:cNvPr id="14" name="Rounded Rectangle 1">
          <a:hlinkClick xmlns:r="http://schemas.openxmlformats.org/officeDocument/2006/relationships" r:id="rId8"/>
          <a:extLst>
            <a:ext uri="{FF2B5EF4-FFF2-40B4-BE49-F238E27FC236}">
              <a16:creationId xmlns:a16="http://schemas.microsoft.com/office/drawing/2014/main" id="{63A62803-61AA-444E-B8D0-C7798E358CCA}"/>
            </a:ext>
          </a:extLst>
        </xdr:cNvPr>
        <xdr:cNvSpPr/>
      </xdr:nvSpPr>
      <xdr:spPr>
        <a:xfrm>
          <a:off x="12690928" y="907143"/>
          <a:ext cx="181906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reigonal caseload percentage</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1</xdr:col>
      <xdr:colOff>135029</xdr:colOff>
      <xdr:row>0</xdr:row>
      <xdr:rowOff>202826</xdr:rowOff>
    </xdr:from>
    <xdr:to>
      <xdr:col>1</xdr:col>
      <xdr:colOff>997323</xdr:colOff>
      <xdr:row>0</xdr:row>
      <xdr:rowOff>638734</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800-000002000000}"/>
            </a:ext>
          </a:extLst>
        </xdr:cNvPr>
        <xdr:cNvSpPr/>
      </xdr:nvSpPr>
      <xdr:spPr>
        <a:xfrm>
          <a:off x="291911" y="202826"/>
          <a:ext cx="862294" cy="43590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2193311</xdr:colOff>
      <xdr:row>0</xdr:row>
      <xdr:rowOff>117502</xdr:rowOff>
    </xdr:from>
    <xdr:to>
      <xdr:col>22</xdr:col>
      <xdr:colOff>586492</xdr:colOff>
      <xdr:row>0</xdr:row>
      <xdr:rowOff>711460</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430B05CE-6A5A-4CC5-B491-A5303BE226EB}"/>
            </a:ext>
          </a:extLst>
        </xdr:cNvPr>
        <xdr:cNvSpPr/>
      </xdr:nvSpPr>
      <xdr:spPr>
        <a:xfrm>
          <a:off x="9600399" y="117502"/>
          <a:ext cx="1799769"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a:t>
          </a:r>
        </a:p>
      </xdr:txBody>
    </xdr:sp>
    <xdr:clientData fPrintsWithSheet="0"/>
  </xdr:twoCellAnchor>
  <xdr:twoCellAnchor>
    <xdr:from>
      <xdr:col>26</xdr:col>
      <xdr:colOff>549087</xdr:colOff>
      <xdr:row>0</xdr:row>
      <xdr:rowOff>381001</xdr:rowOff>
    </xdr:from>
    <xdr:to>
      <xdr:col>29</xdr:col>
      <xdr:colOff>257733</xdr:colOff>
      <xdr:row>1</xdr:row>
      <xdr:rowOff>347383</xdr:rowOff>
    </xdr:to>
    <xdr:sp macro="" textlink="">
      <xdr:nvSpPr>
        <xdr:cNvPr id="13" name="Rounded Rectangle 1">
          <a:hlinkClick xmlns:r="http://schemas.openxmlformats.org/officeDocument/2006/relationships" r:id="rId3"/>
          <a:extLst>
            <a:ext uri="{FF2B5EF4-FFF2-40B4-BE49-F238E27FC236}">
              <a16:creationId xmlns:a16="http://schemas.microsoft.com/office/drawing/2014/main" id="{0F9A821E-6EB7-401E-AC1A-7B68C78A9791}"/>
            </a:ext>
          </a:extLst>
        </xdr:cNvPr>
        <xdr:cNvSpPr/>
      </xdr:nvSpPr>
      <xdr:spPr>
        <a:xfrm>
          <a:off x="13783234" y="381001"/>
          <a:ext cx="1523999" cy="76200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a:t>
          </a:r>
        </a:p>
        <a:p>
          <a:pPr algn="ctr"/>
          <a:r>
            <a:rPr lang="en-GB" sz="1200" baseline="0">
              <a:solidFill>
                <a:srgbClr val="7030A0"/>
              </a:solidFill>
              <a:latin typeface="Arial" panose="020B0604020202020204" pitchFamily="34" charset="0"/>
              <a:cs typeface="Arial" panose="020B0604020202020204" pitchFamily="34" charset="0"/>
            </a:rPr>
            <a:t>caseload percentage</a:t>
          </a:r>
        </a:p>
      </xdr:txBody>
    </xdr:sp>
    <xdr:clientData fPrintsWithSheet="0"/>
  </xdr:twoCellAnchor>
  <xdr:twoCellAnchor>
    <xdr:from>
      <xdr:col>20</xdr:col>
      <xdr:colOff>23531</xdr:colOff>
      <xdr:row>1</xdr:row>
      <xdr:rowOff>192584</xdr:rowOff>
    </xdr:from>
    <xdr:to>
      <xdr:col>22</xdr:col>
      <xdr:colOff>583985</xdr:colOff>
      <xdr:row>2</xdr:row>
      <xdr:rowOff>13290</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D4B7BD73-1640-4A18-8DD6-C1602D362B67}"/>
            </a:ext>
          </a:extLst>
        </xdr:cNvPr>
        <xdr:cNvSpPr/>
      </xdr:nvSpPr>
      <xdr:spPr>
        <a:xfrm>
          <a:off x="9626972" y="988202"/>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23</xdr:col>
      <xdr:colOff>212751</xdr:colOff>
      <xdr:row>1</xdr:row>
      <xdr:rowOff>179297</xdr:rowOff>
    </xdr:from>
    <xdr:to>
      <xdr:col>26</xdr:col>
      <xdr:colOff>168087</xdr:colOff>
      <xdr:row>2</xdr:row>
      <xdr:rowOff>3</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3D0F9FB8-B443-4DF0-960E-5BA599C0D7C4}"/>
            </a:ext>
          </a:extLst>
        </xdr:cNvPr>
        <xdr:cNvSpPr/>
      </xdr:nvSpPr>
      <xdr:spPr>
        <a:xfrm>
          <a:off x="11631545" y="974915"/>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23</xdr:col>
      <xdr:colOff>161691</xdr:colOff>
      <xdr:row>0</xdr:row>
      <xdr:rowOff>99510</xdr:rowOff>
    </xdr:from>
    <xdr:to>
      <xdr:col>26</xdr:col>
      <xdr:colOff>139024</xdr:colOff>
      <xdr:row>0</xdr:row>
      <xdr:rowOff>719584</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8725B7B9-E641-431B-869F-FBEB794DDD53}"/>
            </a:ext>
          </a:extLst>
        </xdr:cNvPr>
        <xdr:cNvSpPr/>
      </xdr:nvSpPr>
      <xdr:spPr>
        <a:xfrm>
          <a:off x="11580485" y="99510"/>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593913</xdr:colOff>
      <xdr:row>0</xdr:row>
      <xdr:rowOff>89649</xdr:rowOff>
    </xdr:from>
    <xdr:to>
      <xdr:col>19</xdr:col>
      <xdr:colOff>1927413</xdr:colOff>
      <xdr:row>0</xdr:row>
      <xdr:rowOff>705971</xdr:rowOff>
    </xdr:to>
    <xdr:sp macro="" textlink="">
      <xdr:nvSpPr>
        <xdr:cNvPr id="20" name="Rounded Rectangle 1">
          <a:hlinkClick xmlns:r="http://schemas.openxmlformats.org/officeDocument/2006/relationships" r:id="rId7"/>
          <a:extLst>
            <a:ext uri="{FF2B5EF4-FFF2-40B4-BE49-F238E27FC236}">
              <a16:creationId xmlns:a16="http://schemas.microsoft.com/office/drawing/2014/main" id="{58E32077-9BE4-45F7-9209-2A661A67E90D}"/>
            </a:ext>
          </a:extLst>
        </xdr:cNvPr>
        <xdr:cNvSpPr/>
      </xdr:nvSpPr>
      <xdr:spPr>
        <a:xfrm>
          <a:off x="8001001" y="89649"/>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19</xdr:col>
      <xdr:colOff>571499</xdr:colOff>
      <xdr:row>1</xdr:row>
      <xdr:rowOff>89647</xdr:rowOff>
    </xdr:from>
    <xdr:to>
      <xdr:col>19</xdr:col>
      <xdr:colOff>1904999</xdr:colOff>
      <xdr:row>1</xdr:row>
      <xdr:rowOff>705969</xdr:rowOff>
    </xdr:to>
    <xdr:sp macro="" textlink="">
      <xdr:nvSpPr>
        <xdr:cNvPr id="9" name="Rounded Rectangle 1">
          <a:hlinkClick xmlns:r="http://schemas.openxmlformats.org/officeDocument/2006/relationships" r:id="rId8"/>
          <a:extLst>
            <a:ext uri="{FF2B5EF4-FFF2-40B4-BE49-F238E27FC236}">
              <a16:creationId xmlns:a16="http://schemas.microsoft.com/office/drawing/2014/main" id="{315936D6-945B-480A-9CB7-7BE16FBE4A08}"/>
            </a:ext>
          </a:extLst>
        </xdr:cNvPr>
        <xdr:cNvSpPr/>
      </xdr:nvSpPr>
      <xdr:spPr>
        <a:xfrm>
          <a:off x="7978587" y="885265"/>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xdr:from>
      <xdr:col>1</xdr:col>
      <xdr:colOff>71093</xdr:colOff>
      <xdr:row>0</xdr:row>
      <xdr:rowOff>155801</xdr:rowOff>
    </xdr:from>
    <xdr:to>
      <xdr:col>1</xdr:col>
      <xdr:colOff>1197428</xdr:colOff>
      <xdr:row>0</xdr:row>
      <xdr:rowOff>680356</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900-000002000000}"/>
            </a:ext>
          </a:extLst>
        </xdr:cNvPr>
        <xdr:cNvSpPr/>
      </xdr:nvSpPr>
      <xdr:spPr>
        <a:xfrm>
          <a:off x="220772" y="155801"/>
          <a:ext cx="1126335" cy="52455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endParaRPr lang="en-GB" sz="16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2177143</xdr:colOff>
      <xdr:row>0</xdr:row>
      <xdr:rowOff>744136</xdr:rowOff>
    </xdr:from>
    <xdr:to>
      <xdr:col>31</xdr:col>
      <xdr:colOff>433729</xdr:colOff>
      <xdr:row>1</xdr:row>
      <xdr:rowOff>537599</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8A17DB77-FCBD-4AC5-BC23-C008C769EF55}"/>
            </a:ext>
          </a:extLst>
        </xdr:cNvPr>
        <xdr:cNvSpPr/>
      </xdr:nvSpPr>
      <xdr:spPr>
        <a:xfrm>
          <a:off x="10014857" y="744136"/>
          <a:ext cx="1848872"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a:t>
          </a:r>
        </a:p>
      </xdr:txBody>
    </xdr:sp>
    <xdr:clientData fPrintsWithSheet="0"/>
  </xdr:twoCellAnchor>
  <xdr:twoCellAnchor>
    <xdr:from>
      <xdr:col>34</xdr:col>
      <xdr:colOff>188527</xdr:colOff>
      <xdr:row>0</xdr:row>
      <xdr:rowOff>0</xdr:rowOff>
    </xdr:from>
    <xdr:to>
      <xdr:col>36</xdr:col>
      <xdr:colOff>556192</xdr:colOff>
      <xdr:row>0</xdr:row>
      <xdr:rowOff>580931</xdr:rowOff>
    </xdr:to>
    <xdr:sp macro="" textlink="">
      <xdr:nvSpPr>
        <xdr:cNvPr id="12" name="Rounded Rectangle 1">
          <a:hlinkClick xmlns:r="http://schemas.openxmlformats.org/officeDocument/2006/relationships" r:id="rId3"/>
          <a:extLst>
            <a:ext uri="{FF2B5EF4-FFF2-40B4-BE49-F238E27FC236}">
              <a16:creationId xmlns:a16="http://schemas.microsoft.com/office/drawing/2014/main" id="{42E8B3DF-C138-4ECE-8792-ECDA18F32DF0}"/>
            </a:ext>
          </a:extLst>
        </xdr:cNvPr>
        <xdr:cNvSpPr/>
      </xdr:nvSpPr>
      <xdr:spPr>
        <a:xfrm>
          <a:off x="13550741" y="0"/>
          <a:ext cx="1655808" cy="5809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a:t>
          </a:r>
        </a:p>
      </xdr:txBody>
    </xdr:sp>
    <xdr:clientData fPrintsWithSheet="0"/>
  </xdr:twoCellAnchor>
  <xdr:twoCellAnchor>
    <xdr:from>
      <xdr:col>34</xdr:col>
      <xdr:colOff>153869</xdr:colOff>
      <xdr:row>0</xdr:row>
      <xdr:rowOff>725185</xdr:rowOff>
    </xdr:from>
    <xdr:to>
      <xdr:col>36</xdr:col>
      <xdr:colOff>554493</xdr:colOff>
      <xdr:row>1</xdr:row>
      <xdr:rowOff>550072</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19F214F7-515F-412D-892D-EDEBE6B99A5C}"/>
            </a:ext>
          </a:extLst>
        </xdr:cNvPr>
        <xdr:cNvSpPr/>
      </xdr:nvSpPr>
      <xdr:spPr>
        <a:xfrm>
          <a:off x="13516083" y="725185"/>
          <a:ext cx="1688767" cy="595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37</xdr:col>
      <xdr:colOff>134778</xdr:colOff>
      <xdr:row>0</xdr:row>
      <xdr:rowOff>736572</xdr:rowOff>
    </xdr:from>
    <xdr:to>
      <xdr:col>40</xdr:col>
      <xdr:colOff>46491</xdr:colOff>
      <xdr:row>1</xdr:row>
      <xdr:rowOff>541001</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A056CFF0-C3BB-4188-9AFD-F0C1B9630991}"/>
            </a:ext>
          </a:extLst>
        </xdr:cNvPr>
        <xdr:cNvSpPr/>
      </xdr:nvSpPr>
      <xdr:spPr>
        <a:xfrm>
          <a:off x="15429207" y="736572"/>
          <a:ext cx="1843927" cy="57550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37</xdr:col>
      <xdr:colOff>162758</xdr:colOff>
      <xdr:row>0</xdr:row>
      <xdr:rowOff>9821</xdr:rowOff>
    </xdr:from>
    <xdr:to>
      <xdr:col>40</xdr:col>
      <xdr:colOff>26080</xdr:colOff>
      <xdr:row>0</xdr:row>
      <xdr:rowOff>626393</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B7966E71-FAF1-47D8-AF69-60100EC96364}"/>
            </a:ext>
          </a:extLst>
        </xdr:cNvPr>
        <xdr:cNvSpPr/>
      </xdr:nvSpPr>
      <xdr:spPr>
        <a:xfrm>
          <a:off x="15457187" y="9821"/>
          <a:ext cx="1795536" cy="61657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32</xdr:col>
      <xdr:colOff>64601</xdr:colOff>
      <xdr:row>0</xdr:row>
      <xdr:rowOff>22227</xdr:rowOff>
    </xdr:from>
    <xdr:to>
      <xdr:col>33</xdr:col>
      <xdr:colOff>574901</xdr:colOff>
      <xdr:row>0</xdr:row>
      <xdr:rowOff>591347</xdr:rowOff>
    </xdr:to>
    <xdr:sp macro="" textlink="">
      <xdr:nvSpPr>
        <xdr:cNvPr id="17" name="Rounded Rectangle 1">
          <a:hlinkClick xmlns:r="http://schemas.openxmlformats.org/officeDocument/2006/relationships" r:id="rId7"/>
          <a:extLst>
            <a:ext uri="{FF2B5EF4-FFF2-40B4-BE49-F238E27FC236}">
              <a16:creationId xmlns:a16="http://schemas.microsoft.com/office/drawing/2014/main" id="{6094617C-5178-424C-AA66-CAF88607D332}"/>
            </a:ext>
          </a:extLst>
        </xdr:cNvPr>
        <xdr:cNvSpPr/>
      </xdr:nvSpPr>
      <xdr:spPr>
        <a:xfrm>
          <a:off x="12138672" y="22227"/>
          <a:ext cx="1154372" cy="5691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32</xdr:col>
      <xdr:colOff>3970</xdr:colOff>
      <xdr:row>0</xdr:row>
      <xdr:rowOff>737170</xdr:rowOff>
    </xdr:from>
    <xdr:to>
      <xdr:col>33</xdr:col>
      <xdr:colOff>514270</xdr:colOff>
      <xdr:row>1</xdr:row>
      <xdr:rowOff>537599</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72BA0468-9D0B-4EA6-9FD1-DC9A8F84AA6B}"/>
            </a:ext>
          </a:extLst>
        </xdr:cNvPr>
        <xdr:cNvSpPr/>
      </xdr:nvSpPr>
      <xdr:spPr>
        <a:xfrm>
          <a:off x="12078041" y="737170"/>
          <a:ext cx="1154372" cy="57150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xdr:from>
      <xdr:col>1</xdr:col>
      <xdr:colOff>227481</xdr:colOff>
      <xdr:row>0</xdr:row>
      <xdr:rowOff>364191</xdr:rowOff>
    </xdr:from>
    <xdr:to>
      <xdr:col>1</xdr:col>
      <xdr:colOff>1221441</xdr:colOff>
      <xdr:row>0</xdr:row>
      <xdr:rowOff>830916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B00-000002000000}"/>
            </a:ext>
          </a:extLst>
        </xdr:cNvPr>
        <xdr:cNvSpPr/>
      </xdr:nvSpPr>
      <xdr:spPr>
        <a:xfrm>
          <a:off x="227481" y="364191"/>
          <a:ext cx="993960" cy="466725"/>
        </a:xfrm>
        <a:prstGeom prst="roundRect">
          <a:avLst>
            <a:gd name="adj" fmla="val 0"/>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421609</xdr:colOff>
      <xdr:row>1</xdr:row>
      <xdr:rowOff>19329</xdr:rowOff>
    </xdr:from>
    <xdr:to>
      <xdr:col>5</xdr:col>
      <xdr:colOff>686718</xdr:colOff>
      <xdr:row>2</xdr:row>
      <xdr:rowOff>131668</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B00-000003000000}"/>
            </a:ext>
          </a:extLst>
        </xdr:cNvPr>
        <xdr:cNvSpPr/>
      </xdr:nvSpPr>
      <xdr:spPr>
        <a:xfrm>
          <a:off x="5284962" y="882182"/>
          <a:ext cx="2203727" cy="65022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regional capacity</a:t>
          </a:r>
        </a:p>
      </xdr:txBody>
    </xdr:sp>
    <xdr:clientData fPrintsWithSheet="0"/>
  </xdr:twoCellAnchor>
  <xdr:twoCellAnchor>
    <xdr:from>
      <xdr:col>6</xdr:col>
      <xdr:colOff>253991</xdr:colOff>
      <xdr:row>1</xdr:row>
      <xdr:rowOff>33618</xdr:rowOff>
    </xdr:from>
    <xdr:to>
      <xdr:col>8</xdr:col>
      <xdr:colOff>405848</xdr:colOff>
      <xdr:row>2</xdr:row>
      <xdr:rowOff>142251</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B00-000004000000}"/>
            </a:ext>
          </a:extLst>
        </xdr:cNvPr>
        <xdr:cNvSpPr/>
      </xdr:nvSpPr>
      <xdr:spPr>
        <a:xfrm>
          <a:off x="7784344" y="896471"/>
          <a:ext cx="1967210" cy="64651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8</xdr:col>
      <xdr:colOff>618892</xdr:colOff>
      <xdr:row>1</xdr:row>
      <xdr:rowOff>56500</xdr:rowOff>
    </xdr:from>
    <xdr:to>
      <xdr:col>10</xdr:col>
      <xdr:colOff>874060</xdr:colOff>
      <xdr:row>2</xdr:row>
      <xdr:rowOff>144824</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B00-000005000000}"/>
            </a:ext>
          </a:extLst>
        </xdr:cNvPr>
        <xdr:cNvSpPr/>
      </xdr:nvSpPr>
      <xdr:spPr>
        <a:xfrm>
          <a:off x="9964598" y="919353"/>
          <a:ext cx="2126550" cy="62620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xdr:from>
      <xdr:col>1</xdr:col>
      <xdr:colOff>494178</xdr:colOff>
      <xdr:row>0</xdr:row>
      <xdr:rowOff>122465</xdr:rowOff>
    </xdr:from>
    <xdr:to>
      <xdr:col>1</xdr:col>
      <xdr:colOff>1524000</xdr:colOff>
      <xdr:row>0</xdr:row>
      <xdr:rowOff>681398</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C5BB2B92-6E85-4597-876B-C506D4D7D10B}"/>
            </a:ext>
          </a:extLst>
        </xdr:cNvPr>
        <xdr:cNvSpPr/>
      </xdr:nvSpPr>
      <xdr:spPr>
        <a:xfrm>
          <a:off x="603035" y="122465"/>
          <a:ext cx="1029822" cy="55893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17</xdr:col>
      <xdr:colOff>424463</xdr:colOff>
      <xdr:row>2</xdr:row>
      <xdr:rowOff>145341</xdr:rowOff>
    </xdr:from>
    <xdr:to>
      <xdr:col>19</xdr:col>
      <xdr:colOff>970643</xdr:colOff>
      <xdr:row>5</xdr:row>
      <xdr:rowOff>9071</xdr:rowOff>
    </xdr:to>
    <xdr:sp macro="" textlink="">
      <xdr:nvSpPr>
        <xdr:cNvPr id="14" name="Rounded Rectangle 1">
          <a:hlinkClick xmlns:r="http://schemas.openxmlformats.org/officeDocument/2006/relationships" r:id="rId2"/>
          <a:extLst>
            <a:ext uri="{FF2B5EF4-FFF2-40B4-BE49-F238E27FC236}">
              <a16:creationId xmlns:a16="http://schemas.microsoft.com/office/drawing/2014/main" id="{847A3EDD-FB78-490B-8F97-2C2047ECFA32}"/>
            </a:ext>
          </a:extLst>
        </xdr:cNvPr>
        <xdr:cNvSpPr/>
      </xdr:nvSpPr>
      <xdr:spPr>
        <a:xfrm>
          <a:off x="6928677" y="1651198"/>
          <a:ext cx="1834323" cy="59851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 percentage</a:t>
          </a:r>
        </a:p>
      </xdr:txBody>
    </xdr:sp>
    <xdr:clientData fPrintsWithSheet="0"/>
  </xdr:twoCellAnchor>
  <xdr:twoCellAnchor>
    <xdr:from>
      <xdr:col>19</xdr:col>
      <xdr:colOff>1135156</xdr:colOff>
      <xdr:row>1</xdr:row>
      <xdr:rowOff>86909</xdr:rowOff>
    </xdr:from>
    <xdr:to>
      <xdr:col>30</xdr:col>
      <xdr:colOff>95970</xdr:colOff>
      <xdr:row>1</xdr:row>
      <xdr:rowOff>649940</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E9AF3482-F134-4043-976B-1069547BCA24}"/>
            </a:ext>
          </a:extLst>
        </xdr:cNvPr>
        <xdr:cNvSpPr/>
      </xdr:nvSpPr>
      <xdr:spPr>
        <a:xfrm>
          <a:off x="8497421" y="927350"/>
          <a:ext cx="1762284" cy="5630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30</xdr:col>
      <xdr:colOff>248050</xdr:colOff>
      <xdr:row>2</xdr:row>
      <xdr:rowOff>143659</xdr:rowOff>
    </xdr:from>
    <xdr:to>
      <xdr:col>33</xdr:col>
      <xdr:colOff>189939</xdr:colOff>
      <xdr:row>4</xdr:row>
      <xdr:rowOff>66675</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353D09B-18CF-4070-85CE-DCB14996A822}"/>
            </a:ext>
          </a:extLst>
        </xdr:cNvPr>
        <xdr:cNvSpPr/>
      </xdr:nvSpPr>
      <xdr:spPr>
        <a:xfrm>
          <a:off x="10458850" y="1658134"/>
          <a:ext cx="1770689" cy="49451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30</xdr:col>
      <xdr:colOff>240133</xdr:colOff>
      <xdr:row>1</xdr:row>
      <xdr:rowOff>76200</xdr:rowOff>
    </xdr:from>
    <xdr:to>
      <xdr:col>33</xdr:col>
      <xdr:colOff>204019</xdr:colOff>
      <xdr:row>1</xdr:row>
      <xdr:rowOff>638735</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1F01837F-21FC-4BF7-B54B-09E98A2C6AF5}"/>
            </a:ext>
          </a:extLst>
        </xdr:cNvPr>
        <xdr:cNvSpPr/>
      </xdr:nvSpPr>
      <xdr:spPr>
        <a:xfrm>
          <a:off x="10403868" y="916641"/>
          <a:ext cx="1779239" cy="56253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14</xdr:col>
      <xdr:colOff>295275</xdr:colOff>
      <xdr:row>1</xdr:row>
      <xdr:rowOff>112059</xdr:rowOff>
    </xdr:from>
    <xdr:to>
      <xdr:col>17</xdr:col>
      <xdr:colOff>281830</xdr:colOff>
      <xdr:row>2</xdr:row>
      <xdr:rowOff>11205</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6DF4EE97-C4CD-4E56-AEC5-514977FE3DE4}"/>
            </a:ext>
          </a:extLst>
        </xdr:cNvPr>
        <xdr:cNvSpPr/>
      </xdr:nvSpPr>
      <xdr:spPr>
        <a:xfrm>
          <a:off x="4631951" y="952500"/>
          <a:ext cx="1801908" cy="57149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14</xdr:col>
      <xdr:colOff>265206</xdr:colOff>
      <xdr:row>2</xdr:row>
      <xdr:rowOff>119530</xdr:rowOff>
    </xdr:from>
    <xdr:to>
      <xdr:col>17</xdr:col>
      <xdr:colOff>251761</xdr:colOff>
      <xdr:row>4</xdr:row>
      <xdr:rowOff>97118</xdr:rowOff>
    </xdr:to>
    <xdr:sp macro="" textlink="">
      <xdr:nvSpPr>
        <xdr:cNvPr id="9" name="Rounded Rectangle 1">
          <a:hlinkClick xmlns:r="http://schemas.openxmlformats.org/officeDocument/2006/relationships" r:id="rId7"/>
          <a:extLst>
            <a:ext uri="{FF2B5EF4-FFF2-40B4-BE49-F238E27FC236}">
              <a16:creationId xmlns:a16="http://schemas.microsoft.com/office/drawing/2014/main" id="{99225A51-413E-47B6-A6FD-3328B33D36BB}"/>
            </a:ext>
          </a:extLst>
        </xdr:cNvPr>
        <xdr:cNvSpPr/>
      </xdr:nvSpPr>
      <xdr:spPr>
        <a:xfrm>
          <a:off x="4601882" y="1632324"/>
          <a:ext cx="1801908"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twoCellAnchor>
    <xdr:from>
      <xdr:col>17</xdr:col>
      <xdr:colOff>453571</xdr:colOff>
      <xdr:row>1</xdr:row>
      <xdr:rowOff>99787</xdr:rowOff>
    </xdr:from>
    <xdr:to>
      <xdr:col>19</xdr:col>
      <xdr:colOff>1014300</xdr:colOff>
      <xdr:row>1</xdr:row>
      <xdr:rowOff>664321</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280D3601-28D1-4233-959B-3464C11C777D}"/>
            </a:ext>
          </a:extLst>
        </xdr:cNvPr>
        <xdr:cNvSpPr/>
      </xdr:nvSpPr>
      <xdr:spPr>
        <a:xfrm>
          <a:off x="6966857" y="934358"/>
          <a:ext cx="1848872"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xdr:from>
      <xdr:col>1</xdr:col>
      <xdr:colOff>76199</xdr:colOff>
      <xdr:row>0</xdr:row>
      <xdr:rowOff>238125</xdr:rowOff>
    </xdr:from>
    <xdr:to>
      <xdr:col>1</xdr:col>
      <xdr:colOff>1390650</xdr:colOff>
      <xdr:row>0</xdr:row>
      <xdr:rowOff>714375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BE49B180-F10B-434C-A41C-EAA306AB684F}"/>
            </a:ext>
          </a:extLst>
        </xdr:cNvPr>
        <xdr:cNvSpPr/>
      </xdr:nvSpPr>
      <xdr:spPr>
        <a:xfrm>
          <a:off x="247649" y="238125"/>
          <a:ext cx="1314451" cy="4762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882225</xdr:colOff>
      <xdr:row>1</xdr:row>
      <xdr:rowOff>74021</xdr:rowOff>
    </xdr:from>
    <xdr:to>
      <xdr:col>20</xdr:col>
      <xdr:colOff>485641</xdr:colOff>
      <xdr:row>1</xdr:row>
      <xdr:rowOff>667979</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4CB39380-5B53-4309-90CD-82F4F133851A}"/>
            </a:ext>
          </a:extLst>
        </xdr:cNvPr>
        <xdr:cNvSpPr/>
      </xdr:nvSpPr>
      <xdr:spPr>
        <a:xfrm>
          <a:off x="8300519" y="1026521"/>
          <a:ext cx="1799769"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a:t>
          </a:r>
        </a:p>
      </xdr:txBody>
    </xdr:sp>
    <xdr:clientData fPrintsWithSheet="0"/>
  </xdr:twoCellAnchor>
  <xdr:twoCellAnchor>
    <xdr:from>
      <xdr:col>17</xdr:col>
      <xdr:colOff>27214</xdr:colOff>
      <xdr:row>2</xdr:row>
      <xdr:rowOff>116766</xdr:rowOff>
    </xdr:from>
    <xdr:to>
      <xdr:col>19</xdr:col>
      <xdr:colOff>587668</xdr:colOff>
      <xdr:row>4</xdr:row>
      <xdr:rowOff>83148</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D2E6ECDB-4BDB-41AB-A0DB-5E22C5563C32}"/>
            </a:ext>
          </a:extLst>
        </xdr:cNvPr>
        <xdr:cNvSpPr/>
      </xdr:nvSpPr>
      <xdr:spPr>
        <a:xfrm>
          <a:off x="6235273" y="1820060"/>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reigonal caseload percentage</a:t>
          </a:r>
        </a:p>
      </xdr:txBody>
    </xdr:sp>
    <xdr:clientData fPrintsWithSheet="0"/>
  </xdr:twoCellAnchor>
  <xdr:twoCellAnchor>
    <xdr:from>
      <xdr:col>28</xdr:col>
      <xdr:colOff>89486</xdr:colOff>
      <xdr:row>2</xdr:row>
      <xdr:rowOff>90992</xdr:rowOff>
    </xdr:from>
    <xdr:to>
      <xdr:col>31</xdr:col>
      <xdr:colOff>44822</xdr:colOff>
      <xdr:row>4</xdr:row>
      <xdr:rowOff>57374</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AFAA047-CD2B-46DE-9DAD-1317189AD50C}"/>
            </a:ext>
          </a:extLst>
        </xdr:cNvPr>
        <xdr:cNvSpPr/>
      </xdr:nvSpPr>
      <xdr:spPr>
        <a:xfrm>
          <a:off x="10309251" y="1794286"/>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28</xdr:col>
      <xdr:colOff>60839</xdr:colOff>
      <xdr:row>1</xdr:row>
      <xdr:rowOff>78441</xdr:rowOff>
    </xdr:from>
    <xdr:to>
      <xdr:col>31</xdr:col>
      <xdr:colOff>38172</xdr:colOff>
      <xdr:row>1</xdr:row>
      <xdr:rowOff>698515</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2D6D50B8-726D-4632-B187-A1EB12011431}"/>
            </a:ext>
          </a:extLst>
        </xdr:cNvPr>
        <xdr:cNvSpPr/>
      </xdr:nvSpPr>
      <xdr:spPr>
        <a:xfrm>
          <a:off x="10280604" y="1030941"/>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13</xdr:col>
      <xdr:colOff>403412</xdr:colOff>
      <xdr:row>1</xdr:row>
      <xdr:rowOff>78441</xdr:rowOff>
    </xdr:from>
    <xdr:to>
      <xdr:col>16</xdr:col>
      <xdr:colOff>403414</xdr:colOff>
      <xdr:row>1</xdr:row>
      <xdr:rowOff>627529</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214167E5-E0D6-4555-83B2-E5DADE90574F}"/>
            </a:ext>
          </a:extLst>
        </xdr:cNvPr>
        <xdr:cNvSpPr/>
      </xdr:nvSpPr>
      <xdr:spPr>
        <a:xfrm>
          <a:off x="4191000" y="1030941"/>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13</xdr:col>
      <xdr:colOff>437030</xdr:colOff>
      <xdr:row>2</xdr:row>
      <xdr:rowOff>67236</xdr:rowOff>
    </xdr:from>
    <xdr:to>
      <xdr:col>16</xdr:col>
      <xdr:colOff>437032</xdr:colOff>
      <xdr:row>4</xdr:row>
      <xdr:rowOff>44824</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58EE818E-4639-48FF-B0CD-B9D43C3624DA}"/>
            </a:ext>
          </a:extLst>
        </xdr:cNvPr>
        <xdr:cNvSpPr/>
      </xdr:nvSpPr>
      <xdr:spPr>
        <a:xfrm>
          <a:off x="4224618" y="1770530"/>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twoCellAnchor>
    <xdr:from>
      <xdr:col>17</xdr:col>
      <xdr:colOff>72571</xdr:colOff>
      <xdr:row>1</xdr:row>
      <xdr:rowOff>90714</xdr:rowOff>
    </xdr:from>
    <xdr:to>
      <xdr:col>19</xdr:col>
      <xdr:colOff>633300</xdr:colOff>
      <xdr:row>1</xdr:row>
      <xdr:rowOff>655248</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6E0D1690-CA80-48DC-818F-CB2A7C323155}"/>
            </a:ext>
          </a:extLst>
        </xdr:cNvPr>
        <xdr:cNvSpPr/>
      </xdr:nvSpPr>
      <xdr:spPr>
        <a:xfrm>
          <a:off x="6640285" y="1043214"/>
          <a:ext cx="1848872"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19</xdr:col>
      <xdr:colOff>1838647</xdr:colOff>
      <xdr:row>0</xdr:row>
      <xdr:rowOff>838823</xdr:rowOff>
    </xdr:from>
    <xdr:to>
      <xdr:col>31</xdr:col>
      <xdr:colOff>218941</xdr:colOff>
      <xdr:row>1</xdr:row>
      <xdr:rowOff>575531</xdr:rowOff>
    </xdr:to>
    <xdr:sp macro="" textlink="">
      <xdr:nvSpPr>
        <xdr:cNvPr id="12" name="Rounded Rectangle 1">
          <a:hlinkClick xmlns:r="http://schemas.openxmlformats.org/officeDocument/2006/relationships" r:id="rId1"/>
          <a:extLst>
            <a:ext uri="{FF2B5EF4-FFF2-40B4-BE49-F238E27FC236}">
              <a16:creationId xmlns:a16="http://schemas.microsoft.com/office/drawing/2014/main" id="{2A5D4F24-21FF-4264-9243-911F3D6C69DA}"/>
            </a:ext>
          </a:extLst>
        </xdr:cNvPr>
        <xdr:cNvSpPr/>
      </xdr:nvSpPr>
      <xdr:spPr>
        <a:xfrm>
          <a:off x="9334822" y="838823"/>
          <a:ext cx="1799769"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a:t>
          </a:r>
        </a:p>
      </xdr:txBody>
    </xdr:sp>
    <xdr:clientData fPrintsWithSheet="0"/>
  </xdr:twoCellAnchor>
  <xdr:twoCellAnchor>
    <xdr:from>
      <xdr:col>17</xdr:col>
      <xdr:colOff>290873</xdr:colOff>
      <xdr:row>3</xdr:row>
      <xdr:rowOff>56895</xdr:rowOff>
    </xdr:from>
    <xdr:to>
      <xdr:col>19</xdr:col>
      <xdr:colOff>845083</xdr:colOff>
      <xdr:row>5</xdr:row>
      <xdr:rowOff>117929</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F5AEE480-63D1-4E70-98E5-F6D8F9D237CE}"/>
            </a:ext>
          </a:extLst>
        </xdr:cNvPr>
        <xdr:cNvSpPr/>
      </xdr:nvSpPr>
      <xdr:spPr>
        <a:xfrm>
          <a:off x="6913016" y="1744181"/>
          <a:ext cx="1842353" cy="59624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 percentage</a:t>
          </a:r>
        </a:p>
      </xdr:txBody>
    </xdr:sp>
    <xdr:clientData fPrintsWithSheet="0"/>
  </xdr:twoCellAnchor>
  <xdr:twoCellAnchor>
    <xdr:from>
      <xdr:col>19</xdr:col>
      <xdr:colOff>1863138</xdr:colOff>
      <xdr:row>3</xdr:row>
      <xdr:rowOff>24317</xdr:rowOff>
    </xdr:from>
    <xdr:to>
      <xdr:col>31</xdr:col>
      <xdr:colOff>214352</xdr:colOff>
      <xdr:row>4</xdr:row>
      <xdr:rowOff>181199</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B1960570-E641-4B5F-8807-872C01DC41E0}"/>
            </a:ext>
          </a:extLst>
        </xdr:cNvPr>
        <xdr:cNvSpPr/>
      </xdr:nvSpPr>
      <xdr:spPr>
        <a:xfrm>
          <a:off x="9374281" y="1697996"/>
          <a:ext cx="1780214"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32</xdr:col>
      <xdr:colOff>446715</xdr:colOff>
      <xdr:row>0</xdr:row>
      <xdr:rowOff>852592</xdr:rowOff>
    </xdr:from>
    <xdr:to>
      <xdr:col>35</xdr:col>
      <xdr:colOff>408213</xdr:colOff>
      <xdr:row>1</xdr:row>
      <xdr:rowOff>612322</xdr:rowOff>
    </xdr:to>
    <xdr:sp macro="" textlink="">
      <xdr:nvSpPr>
        <xdr:cNvPr id="15" name="Rounded Rectangle 1">
          <a:hlinkClick xmlns:r="http://schemas.openxmlformats.org/officeDocument/2006/relationships" r:id="rId4"/>
          <a:extLst>
            <a:ext uri="{FF2B5EF4-FFF2-40B4-BE49-F238E27FC236}">
              <a16:creationId xmlns:a16="http://schemas.microsoft.com/office/drawing/2014/main" id="{FC861751-7D31-4359-A3D3-4EBC5F413078}"/>
            </a:ext>
          </a:extLst>
        </xdr:cNvPr>
        <xdr:cNvSpPr/>
      </xdr:nvSpPr>
      <xdr:spPr>
        <a:xfrm>
          <a:off x="11999179" y="852592"/>
          <a:ext cx="1798463" cy="61698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12</xdr:col>
      <xdr:colOff>495300</xdr:colOff>
      <xdr:row>1</xdr:row>
      <xdr:rowOff>1</xdr:rowOff>
    </xdr:from>
    <xdr:to>
      <xdr:col>15</xdr:col>
      <xdr:colOff>481855</xdr:colOff>
      <xdr:row>1</xdr:row>
      <xdr:rowOff>612321</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F7826FA7-6CE0-4E9D-B63E-12FD29439F38}"/>
            </a:ext>
          </a:extLst>
        </xdr:cNvPr>
        <xdr:cNvSpPr/>
      </xdr:nvSpPr>
      <xdr:spPr>
        <a:xfrm>
          <a:off x="3720193" y="857251"/>
          <a:ext cx="1823519" cy="6123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0</xdr:col>
      <xdr:colOff>123826</xdr:colOff>
      <xdr:row>0</xdr:row>
      <xdr:rowOff>95249</xdr:rowOff>
    </xdr:from>
    <xdr:to>
      <xdr:col>1</xdr:col>
      <xdr:colOff>1047750</xdr:colOff>
      <xdr:row>0</xdr:row>
      <xdr:rowOff>802820</xdr:rowOff>
    </xdr:to>
    <xdr:sp macro="" textlink="">
      <xdr:nvSpPr>
        <xdr:cNvPr id="9" name="Rounded Rectangle 1">
          <a:hlinkClick xmlns:r="http://schemas.openxmlformats.org/officeDocument/2006/relationships" r:id="rId6"/>
          <a:extLst>
            <a:ext uri="{FF2B5EF4-FFF2-40B4-BE49-F238E27FC236}">
              <a16:creationId xmlns:a16="http://schemas.microsoft.com/office/drawing/2014/main" id="{C0070BB8-25FF-4360-901C-174ADEE9349B}"/>
            </a:ext>
          </a:extLst>
        </xdr:cNvPr>
        <xdr:cNvSpPr/>
      </xdr:nvSpPr>
      <xdr:spPr>
        <a:xfrm>
          <a:off x="123826" y="95249"/>
          <a:ext cx="1128031" cy="70757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aseline="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12</xdr:col>
      <xdr:colOff>476250</xdr:colOff>
      <xdr:row>3</xdr:row>
      <xdr:rowOff>25854</xdr:rowOff>
    </xdr:from>
    <xdr:to>
      <xdr:col>15</xdr:col>
      <xdr:colOff>462805</xdr:colOff>
      <xdr:row>4</xdr:row>
      <xdr:rowOff>193942</xdr:rowOff>
    </xdr:to>
    <xdr:sp macro="" textlink="">
      <xdr:nvSpPr>
        <xdr:cNvPr id="11" name="Rounded Rectangle 1">
          <a:hlinkClick xmlns:r="http://schemas.openxmlformats.org/officeDocument/2006/relationships" r:id="rId7"/>
          <a:extLst>
            <a:ext uri="{FF2B5EF4-FFF2-40B4-BE49-F238E27FC236}">
              <a16:creationId xmlns:a16="http://schemas.microsoft.com/office/drawing/2014/main" id="{61CA40A7-DACC-4D22-B0E2-1B79542D0956}"/>
            </a:ext>
          </a:extLst>
        </xdr:cNvPr>
        <xdr:cNvSpPr/>
      </xdr:nvSpPr>
      <xdr:spPr>
        <a:xfrm>
          <a:off x="3701143" y="1699533"/>
          <a:ext cx="1823519"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twoCellAnchor>
    <xdr:from>
      <xdr:col>17</xdr:col>
      <xdr:colOff>281215</xdr:colOff>
      <xdr:row>1</xdr:row>
      <xdr:rowOff>18142</xdr:rowOff>
    </xdr:from>
    <xdr:to>
      <xdr:col>19</xdr:col>
      <xdr:colOff>841944</xdr:colOff>
      <xdr:row>1</xdr:row>
      <xdr:rowOff>582676</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80A07CBD-C1E6-4AE3-A8D7-D935F84608DE}"/>
            </a:ext>
          </a:extLst>
        </xdr:cNvPr>
        <xdr:cNvSpPr/>
      </xdr:nvSpPr>
      <xdr:spPr>
        <a:xfrm>
          <a:off x="6903358" y="879928"/>
          <a:ext cx="1848872"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xdr:from>
      <xdr:col>1</xdr:col>
      <xdr:colOff>112619</xdr:colOff>
      <xdr:row>0</xdr:row>
      <xdr:rowOff>404533</xdr:rowOff>
    </xdr:from>
    <xdr:to>
      <xdr:col>1</xdr:col>
      <xdr:colOff>1427069</xdr:colOff>
      <xdr:row>0</xdr:row>
      <xdr:rowOff>885265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B2B5D1B-3A15-4463-ACB4-CDA1AAEF6692}"/>
            </a:ext>
          </a:extLst>
        </xdr:cNvPr>
        <xdr:cNvSpPr/>
      </xdr:nvSpPr>
      <xdr:spPr>
        <a:xfrm>
          <a:off x="269501" y="404533"/>
          <a:ext cx="1314450" cy="48073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1576989</xdr:colOff>
      <xdr:row>0</xdr:row>
      <xdr:rowOff>1228227</xdr:rowOff>
    </xdr:from>
    <xdr:to>
      <xdr:col>30</xdr:col>
      <xdr:colOff>575287</xdr:colOff>
      <xdr:row>1</xdr:row>
      <xdr:rowOff>533509</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3A97DABF-D489-4FC7-9DAF-D063D148EA39}"/>
            </a:ext>
          </a:extLst>
        </xdr:cNvPr>
        <xdr:cNvSpPr/>
      </xdr:nvSpPr>
      <xdr:spPr>
        <a:xfrm>
          <a:off x="8984077" y="1228227"/>
          <a:ext cx="1799769"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a:t>
          </a:r>
        </a:p>
      </xdr:txBody>
    </xdr:sp>
    <xdr:clientData fPrintsWithSheet="0"/>
  </xdr:twoCellAnchor>
  <xdr:twoCellAnchor>
    <xdr:from>
      <xdr:col>19</xdr:col>
      <xdr:colOff>1603561</xdr:colOff>
      <xdr:row>1</xdr:row>
      <xdr:rowOff>664573</xdr:rowOff>
    </xdr:from>
    <xdr:to>
      <xdr:col>30</xdr:col>
      <xdr:colOff>572779</xdr:colOff>
      <xdr:row>3</xdr:row>
      <xdr:rowOff>171513</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3430FAAA-AC98-4D33-BCCB-24799CFC106A}"/>
            </a:ext>
          </a:extLst>
        </xdr:cNvPr>
        <xdr:cNvSpPr/>
      </xdr:nvSpPr>
      <xdr:spPr>
        <a:xfrm>
          <a:off x="9010649" y="1953249"/>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31</xdr:col>
      <xdr:colOff>128074</xdr:colOff>
      <xdr:row>0</xdr:row>
      <xdr:rowOff>1232647</xdr:rowOff>
    </xdr:from>
    <xdr:to>
      <xdr:col>34</xdr:col>
      <xdr:colOff>105407</xdr:colOff>
      <xdr:row>1</xdr:row>
      <xdr:rowOff>564045</xdr:rowOff>
    </xdr:to>
    <xdr:sp macro="" textlink="">
      <xdr:nvSpPr>
        <xdr:cNvPr id="17" name="Rounded Rectangle 1">
          <a:hlinkClick xmlns:r="http://schemas.openxmlformats.org/officeDocument/2006/relationships" r:id="rId4"/>
          <a:extLst>
            <a:ext uri="{FF2B5EF4-FFF2-40B4-BE49-F238E27FC236}">
              <a16:creationId xmlns:a16="http://schemas.microsoft.com/office/drawing/2014/main" id="{BA97A689-6C7A-4CB5-ABD1-F4D19E70FB82}"/>
            </a:ext>
          </a:extLst>
        </xdr:cNvPr>
        <xdr:cNvSpPr/>
      </xdr:nvSpPr>
      <xdr:spPr>
        <a:xfrm>
          <a:off x="10941750" y="1232647"/>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15</xdr:col>
      <xdr:colOff>11207</xdr:colOff>
      <xdr:row>0</xdr:row>
      <xdr:rowOff>1255058</xdr:rowOff>
    </xdr:from>
    <xdr:to>
      <xdr:col>18</xdr:col>
      <xdr:colOff>11209</xdr:colOff>
      <xdr:row>1</xdr:row>
      <xdr:rowOff>515470</xdr:rowOff>
    </xdr:to>
    <xdr:sp macro="" textlink="">
      <xdr:nvSpPr>
        <xdr:cNvPr id="18" name="Rounded Rectangle 1">
          <a:hlinkClick xmlns:r="http://schemas.openxmlformats.org/officeDocument/2006/relationships" r:id="rId5"/>
          <a:extLst>
            <a:ext uri="{FF2B5EF4-FFF2-40B4-BE49-F238E27FC236}">
              <a16:creationId xmlns:a16="http://schemas.microsoft.com/office/drawing/2014/main" id="{10CFF7C7-9A6E-479D-81CC-DB1B6AED6E96}"/>
            </a:ext>
          </a:extLst>
        </xdr:cNvPr>
        <xdr:cNvSpPr/>
      </xdr:nvSpPr>
      <xdr:spPr>
        <a:xfrm>
          <a:off x="4997825" y="1255058"/>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14</xdr:col>
      <xdr:colOff>593913</xdr:colOff>
      <xdr:row>1</xdr:row>
      <xdr:rowOff>672353</xdr:rowOff>
    </xdr:from>
    <xdr:to>
      <xdr:col>17</xdr:col>
      <xdr:colOff>593915</xdr:colOff>
      <xdr:row>3</xdr:row>
      <xdr:rowOff>190499</xdr:rowOff>
    </xdr:to>
    <xdr:sp macro="" textlink="">
      <xdr:nvSpPr>
        <xdr:cNvPr id="12" name="Rounded Rectangle 1">
          <a:hlinkClick xmlns:r="http://schemas.openxmlformats.org/officeDocument/2006/relationships" r:id="rId6"/>
          <a:extLst>
            <a:ext uri="{FF2B5EF4-FFF2-40B4-BE49-F238E27FC236}">
              <a16:creationId xmlns:a16="http://schemas.microsoft.com/office/drawing/2014/main" id="{90A69594-7901-4254-8EEE-E171661F8C82}"/>
            </a:ext>
          </a:extLst>
        </xdr:cNvPr>
        <xdr:cNvSpPr/>
      </xdr:nvSpPr>
      <xdr:spPr>
        <a:xfrm>
          <a:off x="4975413" y="1961029"/>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twoCellAnchor>
    <xdr:from>
      <xdr:col>18</xdr:col>
      <xdr:colOff>172944</xdr:colOff>
      <xdr:row>1</xdr:row>
      <xdr:rowOff>682825</xdr:rowOff>
    </xdr:from>
    <xdr:to>
      <xdr:col>19</xdr:col>
      <xdr:colOff>1371226</xdr:colOff>
      <xdr:row>3</xdr:row>
      <xdr:rowOff>244930</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0EC26C68-A580-4C61-B80F-201DC5CEE0A8}"/>
            </a:ext>
          </a:extLst>
        </xdr:cNvPr>
        <xdr:cNvSpPr/>
      </xdr:nvSpPr>
      <xdr:spPr>
        <a:xfrm>
          <a:off x="7384730" y="1961896"/>
          <a:ext cx="1842353" cy="59624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 percentage</a:t>
          </a:r>
        </a:p>
      </xdr:txBody>
    </xdr:sp>
    <xdr:clientData fPrintsWithSheet="0"/>
  </xdr:twoCellAnchor>
  <xdr:twoCellAnchor>
    <xdr:from>
      <xdr:col>18</xdr:col>
      <xdr:colOff>154214</xdr:colOff>
      <xdr:row>0</xdr:row>
      <xdr:rowOff>1215571</xdr:rowOff>
    </xdr:from>
    <xdr:to>
      <xdr:col>19</xdr:col>
      <xdr:colOff>1359015</xdr:colOff>
      <xdr:row>1</xdr:row>
      <xdr:rowOff>501034</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BF5D130-6B9B-4181-8EF6-4912F7B71ABE}"/>
            </a:ext>
          </a:extLst>
        </xdr:cNvPr>
        <xdr:cNvSpPr/>
      </xdr:nvSpPr>
      <xdr:spPr>
        <a:xfrm>
          <a:off x="7366000" y="1215571"/>
          <a:ext cx="1848872"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xdr:from>
      <xdr:col>0</xdr:col>
      <xdr:colOff>66676</xdr:colOff>
      <xdr:row>0</xdr:row>
      <xdr:rowOff>114300</xdr:rowOff>
    </xdr:from>
    <xdr:to>
      <xdr:col>1</xdr:col>
      <xdr:colOff>771525</xdr:colOff>
      <xdr:row>0</xdr:row>
      <xdr:rowOff>466725</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A00-000002000000}"/>
            </a:ext>
          </a:extLst>
        </xdr:cNvPr>
        <xdr:cNvSpPr/>
      </xdr:nvSpPr>
      <xdr:spPr>
        <a:xfrm>
          <a:off x="66676" y="114300"/>
          <a:ext cx="923924" cy="35242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4</xdr:col>
      <xdr:colOff>268379</xdr:colOff>
      <xdr:row>0</xdr:row>
      <xdr:rowOff>527008</xdr:rowOff>
    </xdr:from>
    <xdr:to>
      <xdr:col>7</xdr:col>
      <xdr:colOff>212911</xdr:colOff>
      <xdr:row>2</xdr:row>
      <xdr:rowOff>22413</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A00-000003000000}"/>
            </a:ext>
          </a:extLst>
        </xdr:cNvPr>
        <xdr:cNvSpPr/>
      </xdr:nvSpPr>
      <xdr:spPr>
        <a:xfrm>
          <a:off x="4593850" y="527008"/>
          <a:ext cx="2432237" cy="55996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rgbClr val="7030A0"/>
              </a:solidFill>
              <a:latin typeface="Arial" panose="020B0604020202020204" pitchFamily="34" charset="0"/>
              <a:cs typeface="Arial" panose="020B0604020202020204" pitchFamily="34" charset="0"/>
            </a:rPr>
            <a:t>cluster capacity, hours of reduction and unallocated cases</a:t>
          </a:r>
        </a:p>
      </xdr:txBody>
    </xdr:sp>
    <xdr:clientData fPrintsWithSheet="0"/>
  </xdr:twoCellAnchor>
  <xdr:twoCellAnchor>
    <xdr:from>
      <xdr:col>7</xdr:col>
      <xdr:colOff>742391</xdr:colOff>
      <xdr:row>1</xdr:row>
      <xdr:rowOff>3362</xdr:rowOff>
    </xdr:from>
    <xdr:to>
      <xdr:col>9</xdr:col>
      <xdr:colOff>263337</xdr:colOff>
      <xdr:row>1</xdr:row>
      <xdr:rowOff>466600</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A00-000004000000}"/>
            </a:ext>
          </a:extLst>
        </xdr:cNvPr>
        <xdr:cNvSpPr/>
      </xdr:nvSpPr>
      <xdr:spPr>
        <a:xfrm>
          <a:off x="7555567" y="574862"/>
          <a:ext cx="1549211" cy="46323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9</xdr:col>
      <xdr:colOff>643219</xdr:colOff>
      <xdr:row>1</xdr:row>
      <xdr:rowOff>9856</xdr:rowOff>
    </xdr:from>
    <xdr:to>
      <xdr:col>11</xdr:col>
      <xdr:colOff>862854</xdr:colOff>
      <xdr:row>1</xdr:row>
      <xdr:rowOff>468406</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A00-000005000000}"/>
            </a:ext>
          </a:extLst>
        </xdr:cNvPr>
        <xdr:cNvSpPr/>
      </xdr:nvSpPr>
      <xdr:spPr>
        <a:xfrm>
          <a:off x="9484660" y="581356"/>
          <a:ext cx="2057400" cy="45855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xdr:from>
      <xdr:col>3</xdr:col>
      <xdr:colOff>866775</xdr:colOff>
      <xdr:row>1</xdr:row>
      <xdr:rowOff>29133</xdr:rowOff>
    </xdr:from>
    <xdr:to>
      <xdr:col>5</xdr:col>
      <xdr:colOff>1304924</xdr:colOff>
      <xdr:row>2</xdr:row>
      <xdr:rowOff>58740</xdr:rowOff>
    </xdr:to>
    <xdr:sp macro="" textlink="">
      <xdr:nvSpPr>
        <xdr:cNvPr id="4" name="Rounded Rectangle 1">
          <a:hlinkClick xmlns:r="http://schemas.openxmlformats.org/officeDocument/2006/relationships" r:id="rId1"/>
          <a:extLst>
            <a:ext uri="{FF2B5EF4-FFF2-40B4-BE49-F238E27FC236}">
              <a16:creationId xmlns:a16="http://schemas.microsoft.com/office/drawing/2014/main" id="{00000000-0008-0000-0C00-000004000000}"/>
            </a:ext>
          </a:extLst>
        </xdr:cNvPr>
        <xdr:cNvSpPr/>
      </xdr:nvSpPr>
      <xdr:spPr>
        <a:xfrm>
          <a:off x="6076950" y="619683"/>
          <a:ext cx="2438399" cy="54395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cluster capacity, reduction in hours and unallocated cases</a:t>
          </a:r>
        </a:p>
      </xdr:txBody>
    </xdr:sp>
    <xdr:clientData fPrintsWithSheet="0"/>
  </xdr:twoCellAnchor>
  <xdr:twoCellAnchor>
    <xdr:from>
      <xdr:col>0</xdr:col>
      <xdr:colOff>147916</xdr:colOff>
      <xdr:row>0</xdr:row>
      <xdr:rowOff>86285</xdr:rowOff>
    </xdr:from>
    <xdr:to>
      <xdr:col>1</xdr:col>
      <xdr:colOff>788893</xdr:colOff>
      <xdr:row>1</xdr:row>
      <xdr:rowOff>52107</xdr:rowOff>
    </xdr:to>
    <xdr:sp macro="" textlink="">
      <xdr:nvSpPr>
        <xdr:cNvPr id="5" name="Rounded Rectangle 1">
          <a:hlinkClick xmlns:r="http://schemas.openxmlformats.org/officeDocument/2006/relationships" r:id="rId2"/>
          <a:extLst>
            <a:ext uri="{FF2B5EF4-FFF2-40B4-BE49-F238E27FC236}">
              <a16:creationId xmlns:a16="http://schemas.microsoft.com/office/drawing/2014/main" id="{00000000-0008-0000-0C00-000005000000}"/>
            </a:ext>
          </a:extLst>
        </xdr:cNvPr>
        <xdr:cNvSpPr/>
      </xdr:nvSpPr>
      <xdr:spPr>
        <a:xfrm>
          <a:off x="14692591" y="86285"/>
          <a:ext cx="1002927" cy="38492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xdr:col>
      <xdr:colOff>816428</xdr:colOff>
      <xdr:row>1</xdr:row>
      <xdr:rowOff>27213</xdr:rowOff>
    </xdr:from>
    <xdr:to>
      <xdr:col>3</xdr:col>
      <xdr:colOff>744294</xdr:colOff>
      <xdr:row>2</xdr:row>
      <xdr:rowOff>36286</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C8A90310-08AB-4DAE-98E6-AFA3022648E0}"/>
            </a:ext>
          </a:extLst>
        </xdr:cNvPr>
        <xdr:cNvSpPr/>
      </xdr:nvSpPr>
      <xdr:spPr>
        <a:xfrm>
          <a:off x="3900714" y="616856"/>
          <a:ext cx="2304580" cy="52614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regional capacity</a:t>
          </a:r>
        </a:p>
      </xdr:txBody>
    </xdr:sp>
    <xdr:clientData fPrintsWithSheet="0"/>
  </xdr:twoCellAnchor>
  <xdr:twoCellAnchor>
    <xdr:from>
      <xdr:col>5</xdr:col>
      <xdr:colOff>1433285</xdr:colOff>
      <xdr:row>1</xdr:row>
      <xdr:rowOff>0</xdr:rowOff>
    </xdr:from>
    <xdr:to>
      <xdr:col>6</xdr:col>
      <xdr:colOff>1692188</xdr:colOff>
      <xdr:row>2</xdr:row>
      <xdr:rowOff>101664</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96107CE1-3E0A-4CC7-8942-45BB562DF107}"/>
            </a:ext>
          </a:extLst>
        </xdr:cNvPr>
        <xdr:cNvSpPr/>
      </xdr:nvSpPr>
      <xdr:spPr>
        <a:xfrm>
          <a:off x="8989785" y="589643"/>
          <a:ext cx="2227403" cy="61873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xdr:from>
      <xdr:col>1</xdr:col>
      <xdr:colOff>139515</xdr:colOff>
      <xdr:row>0</xdr:row>
      <xdr:rowOff>228599</xdr:rowOff>
    </xdr:from>
    <xdr:to>
      <xdr:col>1</xdr:col>
      <xdr:colOff>1019737</xdr:colOff>
      <xdr:row>0</xdr:row>
      <xdr:rowOff>657224</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D00-000002000000}"/>
            </a:ext>
          </a:extLst>
        </xdr:cNvPr>
        <xdr:cNvSpPr/>
      </xdr:nvSpPr>
      <xdr:spPr>
        <a:xfrm>
          <a:off x="251574" y="228599"/>
          <a:ext cx="880222" cy="42862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7</xdr:col>
      <xdr:colOff>108136</xdr:colOff>
      <xdr:row>1</xdr:row>
      <xdr:rowOff>57482</xdr:rowOff>
    </xdr:from>
    <xdr:to>
      <xdr:col>8</xdr:col>
      <xdr:colOff>168087</xdr:colOff>
      <xdr:row>1</xdr:row>
      <xdr:rowOff>501694</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D00-000003000000}"/>
            </a:ext>
          </a:extLst>
        </xdr:cNvPr>
        <xdr:cNvSpPr/>
      </xdr:nvSpPr>
      <xdr:spPr>
        <a:xfrm>
          <a:off x="6473077" y="965158"/>
          <a:ext cx="2401981" cy="44421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cluster capacity, reduction in hours and </a:t>
          </a:r>
          <a:r>
            <a:rPr lang="en-GB" sz="1100">
              <a:solidFill>
                <a:srgbClr val="7030A0"/>
              </a:solidFill>
              <a:latin typeface="Arial" panose="020B0604020202020204" pitchFamily="34" charset="0"/>
              <a:cs typeface="Arial" panose="020B0604020202020204" pitchFamily="34" charset="0"/>
            </a:rPr>
            <a:t>unallocated</a:t>
          </a:r>
          <a:r>
            <a:rPr lang="en-GB" sz="1000">
              <a:solidFill>
                <a:srgbClr val="7030A0"/>
              </a:solidFill>
              <a:latin typeface="Arial" panose="020B0604020202020204" pitchFamily="34" charset="0"/>
              <a:cs typeface="Arial" panose="020B0604020202020204" pitchFamily="34" charset="0"/>
            </a:rPr>
            <a:t> cases</a:t>
          </a:r>
        </a:p>
      </xdr:txBody>
    </xdr:sp>
    <xdr:clientData fPrintsWithSheet="0"/>
  </xdr:twoCellAnchor>
  <xdr:twoCellAnchor>
    <xdr:from>
      <xdr:col>9</xdr:col>
      <xdr:colOff>24092</xdr:colOff>
      <xdr:row>1</xdr:row>
      <xdr:rowOff>71718</xdr:rowOff>
    </xdr:from>
    <xdr:to>
      <xdr:col>10</xdr:col>
      <xdr:colOff>560294</xdr:colOff>
      <xdr:row>1</xdr:row>
      <xdr:rowOff>519393</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D00-000004000000}"/>
            </a:ext>
          </a:extLst>
        </xdr:cNvPr>
        <xdr:cNvSpPr/>
      </xdr:nvSpPr>
      <xdr:spPr>
        <a:xfrm>
          <a:off x="9470651" y="979394"/>
          <a:ext cx="1634378" cy="44767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4</xdr:col>
      <xdr:colOff>224118</xdr:colOff>
      <xdr:row>1</xdr:row>
      <xdr:rowOff>37352</xdr:rowOff>
    </xdr:from>
    <xdr:to>
      <xdr:col>6</xdr:col>
      <xdr:colOff>511639</xdr:colOff>
      <xdr:row>2</xdr:row>
      <xdr:rowOff>7470</xdr:rowOff>
    </xdr:to>
    <xdr:sp macro="" textlink="">
      <xdr:nvSpPr>
        <xdr:cNvPr id="6" name="Rounded Rectangle 1">
          <a:hlinkClick xmlns:r="http://schemas.openxmlformats.org/officeDocument/2006/relationships" r:id="rId4"/>
          <a:extLst>
            <a:ext uri="{FF2B5EF4-FFF2-40B4-BE49-F238E27FC236}">
              <a16:creationId xmlns:a16="http://schemas.microsoft.com/office/drawing/2014/main" id="{026BE1CB-AD68-4732-BEB9-3EF27735CCC3}"/>
            </a:ext>
          </a:extLst>
        </xdr:cNvPr>
        <xdr:cNvSpPr/>
      </xdr:nvSpPr>
      <xdr:spPr>
        <a:xfrm>
          <a:off x="4071471" y="941293"/>
          <a:ext cx="2304580" cy="493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regional capacity</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0</xdr:col>
      <xdr:colOff>165287</xdr:colOff>
      <xdr:row>0</xdr:row>
      <xdr:rowOff>344020</xdr:rowOff>
    </xdr:from>
    <xdr:to>
      <xdr:col>1</xdr:col>
      <xdr:colOff>728382</xdr:colOff>
      <xdr:row>2</xdr:row>
      <xdr:rowOff>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000-000002000000}"/>
            </a:ext>
          </a:extLst>
        </xdr:cNvPr>
        <xdr:cNvSpPr/>
      </xdr:nvSpPr>
      <xdr:spPr>
        <a:xfrm>
          <a:off x="165287" y="344020"/>
          <a:ext cx="832036" cy="496421"/>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xdr:from>
      <xdr:col>0</xdr:col>
      <xdr:colOff>169332</xdr:colOff>
      <xdr:row>0</xdr:row>
      <xdr:rowOff>169333</xdr:rowOff>
    </xdr:from>
    <xdr:to>
      <xdr:col>1</xdr:col>
      <xdr:colOff>994833</xdr:colOff>
      <xdr:row>0</xdr:row>
      <xdr:rowOff>582083</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1100-000003000000}"/>
            </a:ext>
          </a:extLst>
        </xdr:cNvPr>
        <xdr:cNvSpPr/>
      </xdr:nvSpPr>
      <xdr:spPr>
        <a:xfrm>
          <a:off x="19938999" y="169333"/>
          <a:ext cx="1068917" cy="4127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6</xdr:col>
      <xdr:colOff>17931</xdr:colOff>
      <xdr:row>0</xdr:row>
      <xdr:rowOff>115103</xdr:rowOff>
    </xdr:from>
    <xdr:to>
      <xdr:col>7</xdr:col>
      <xdr:colOff>457332</xdr:colOff>
      <xdr:row>0</xdr:row>
      <xdr:rowOff>566708</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1100-000004000000}"/>
            </a:ext>
          </a:extLst>
        </xdr:cNvPr>
        <xdr:cNvSpPr/>
      </xdr:nvSpPr>
      <xdr:spPr>
        <a:xfrm>
          <a:off x="7996519" y="115103"/>
          <a:ext cx="1750489" cy="45160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c</a:t>
          </a:r>
          <a:r>
            <a:rPr lang="en-GB" sz="1000">
              <a:solidFill>
                <a:srgbClr val="7030A0"/>
              </a:solidFill>
              <a:latin typeface="Arial" panose="020B0604020202020204" pitchFamily="34" charset="0"/>
              <a:cs typeface="Arial" panose="020B0604020202020204" pitchFamily="34" charset="0"/>
            </a:rPr>
            <a:t>luster</a:t>
          </a:r>
        </a:p>
      </xdr:txBody>
    </xdr:sp>
    <xdr:clientData fPrintsWithSheet="0"/>
  </xdr:twoCellAnchor>
  <xdr:twoCellAnchor>
    <xdr:from>
      <xdr:col>7</xdr:col>
      <xdr:colOff>597648</xdr:colOff>
      <xdr:row>0</xdr:row>
      <xdr:rowOff>97118</xdr:rowOff>
    </xdr:from>
    <xdr:to>
      <xdr:col>9</xdr:col>
      <xdr:colOff>788147</xdr:colOff>
      <xdr:row>0</xdr:row>
      <xdr:rowOff>582023</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1100-000005000000}"/>
            </a:ext>
          </a:extLst>
        </xdr:cNvPr>
        <xdr:cNvSpPr/>
      </xdr:nvSpPr>
      <xdr:spPr>
        <a:xfrm>
          <a:off x="11766177" y="97118"/>
          <a:ext cx="3193676" cy="48490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 regional reductions as % of contracted hours</a:t>
          </a:r>
        </a:p>
      </xdr:txBody>
    </xdr:sp>
    <xdr:clientData fPrintsWithSheet="0"/>
  </xdr:twoCellAnchor>
</xdr:wsDr>
</file>

<file path=xl/drawings/drawing22.xml><?xml version="1.0" encoding="utf-8"?>
<xdr:wsDr xmlns:xdr="http://schemas.openxmlformats.org/drawingml/2006/spreadsheetDrawing" xmlns:a="http://schemas.openxmlformats.org/drawingml/2006/main">
  <xdr:twoCellAnchor>
    <xdr:from>
      <xdr:col>0</xdr:col>
      <xdr:colOff>244930</xdr:colOff>
      <xdr:row>0</xdr:row>
      <xdr:rowOff>285750</xdr:rowOff>
    </xdr:from>
    <xdr:to>
      <xdr:col>0</xdr:col>
      <xdr:colOff>1199030</xdr:colOff>
      <xdr:row>0</xdr:row>
      <xdr:rowOff>857250</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0E00-000003000000}"/>
            </a:ext>
          </a:extLst>
        </xdr:cNvPr>
        <xdr:cNvSpPr/>
      </xdr:nvSpPr>
      <xdr:spPr>
        <a:xfrm>
          <a:off x="244930" y="285750"/>
          <a:ext cx="954100" cy="57150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594715</xdr:colOff>
      <xdr:row>0</xdr:row>
      <xdr:rowOff>130333</xdr:rowOff>
    </xdr:from>
    <xdr:to>
      <xdr:col>4</xdr:col>
      <xdr:colOff>1714501</xdr:colOff>
      <xdr:row>0</xdr:row>
      <xdr:rowOff>847217</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0E00-000004000000}"/>
            </a:ext>
          </a:extLst>
        </xdr:cNvPr>
        <xdr:cNvSpPr/>
      </xdr:nvSpPr>
      <xdr:spPr>
        <a:xfrm>
          <a:off x="6769156" y="130333"/>
          <a:ext cx="1724904" cy="71688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region</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4</xdr:col>
      <xdr:colOff>2276023</xdr:colOff>
      <xdr:row>0</xdr:row>
      <xdr:rowOff>120062</xdr:rowOff>
    </xdr:from>
    <xdr:to>
      <xdr:col>6</xdr:col>
      <xdr:colOff>38848</xdr:colOff>
      <xdr:row>0</xdr:row>
      <xdr:rowOff>853341</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0E00-000005000000}"/>
            </a:ext>
          </a:extLst>
        </xdr:cNvPr>
        <xdr:cNvSpPr/>
      </xdr:nvSpPr>
      <xdr:spPr>
        <a:xfrm>
          <a:off x="9055582" y="120062"/>
          <a:ext cx="2009854" cy="7332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regional reductions as % of contracted hours</a:t>
          </a:r>
        </a:p>
      </xdr:txBody>
    </xdr:sp>
    <xdr:clientData fPrintsWithSheet="0"/>
  </xdr:twoCellAnchor>
</xdr:wsDr>
</file>

<file path=xl/drawings/drawing23.xml><?xml version="1.0" encoding="utf-8"?>
<xdr:wsDr xmlns:xdr="http://schemas.openxmlformats.org/drawingml/2006/spreadsheetDrawing" xmlns:a="http://schemas.openxmlformats.org/drawingml/2006/main">
  <xdr:twoCellAnchor>
    <xdr:from>
      <xdr:col>0</xdr:col>
      <xdr:colOff>180975</xdr:colOff>
      <xdr:row>0</xdr:row>
      <xdr:rowOff>124945</xdr:rowOff>
    </xdr:from>
    <xdr:to>
      <xdr:col>1</xdr:col>
      <xdr:colOff>1176618</xdr:colOff>
      <xdr:row>0</xdr:row>
      <xdr:rowOff>582706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200-000002000000}"/>
            </a:ext>
          </a:extLst>
        </xdr:cNvPr>
        <xdr:cNvSpPr/>
      </xdr:nvSpPr>
      <xdr:spPr>
        <a:xfrm>
          <a:off x="180975" y="124945"/>
          <a:ext cx="1286996" cy="457761"/>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9</xdr:col>
      <xdr:colOff>324972</xdr:colOff>
      <xdr:row>0</xdr:row>
      <xdr:rowOff>89646</xdr:rowOff>
    </xdr:from>
    <xdr:to>
      <xdr:col>11</xdr:col>
      <xdr:colOff>289672</xdr:colOff>
      <xdr:row>0</xdr:row>
      <xdr:rowOff>703727</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1200-000003000000}"/>
            </a:ext>
          </a:extLst>
        </xdr:cNvPr>
        <xdr:cNvSpPr/>
      </xdr:nvSpPr>
      <xdr:spPr>
        <a:xfrm>
          <a:off x="9547413" y="89646"/>
          <a:ext cx="1712818" cy="61408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region</a:t>
          </a:r>
          <a:endParaRPr lang="en-GB" sz="10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11</xdr:col>
      <xdr:colOff>505944</xdr:colOff>
      <xdr:row>0</xdr:row>
      <xdr:rowOff>108696</xdr:rowOff>
    </xdr:from>
    <xdr:to>
      <xdr:col>13</xdr:col>
      <xdr:colOff>164725</xdr:colOff>
      <xdr:row>0</xdr:row>
      <xdr:rowOff>717175</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1200-000004000000}"/>
            </a:ext>
          </a:extLst>
        </xdr:cNvPr>
        <xdr:cNvSpPr/>
      </xdr:nvSpPr>
      <xdr:spPr>
        <a:xfrm>
          <a:off x="11476503" y="108696"/>
          <a:ext cx="1552575" cy="608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PDU</a:t>
          </a:r>
          <a:endParaRPr lang="en-GB" sz="1000">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24.xml><?xml version="1.0" encoding="utf-8"?>
<xdr:wsDr xmlns:xdr="http://schemas.openxmlformats.org/drawingml/2006/spreadsheetDrawing" xmlns:a="http://schemas.openxmlformats.org/drawingml/2006/main">
  <xdr:twoCellAnchor>
    <xdr:from>
      <xdr:col>0</xdr:col>
      <xdr:colOff>68159</xdr:colOff>
      <xdr:row>0</xdr:row>
      <xdr:rowOff>176894</xdr:rowOff>
    </xdr:from>
    <xdr:to>
      <xdr:col>1</xdr:col>
      <xdr:colOff>375557</xdr:colOff>
      <xdr:row>0</xdr:row>
      <xdr:rowOff>830036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800-000002000000}"/>
            </a:ext>
          </a:extLst>
        </xdr:cNvPr>
        <xdr:cNvSpPr/>
      </xdr:nvSpPr>
      <xdr:spPr>
        <a:xfrm>
          <a:off x="68159" y="176894"/>
          <a:ext cx="1341541" cy="65314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8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1614714</xdr:colOff>
      <xdr:row>2</xdr:row>
      <xdr:rowOff>974640</xdr:rowOff>
    </xdr:from>
    <xdr:to>
      <xdr:col>3</xdr:col>
      <xdr:colOff>2118714</xdr:colOff>
      <xdr:row>2</xdr:row>
      <xdr:rowOff>1651886</xdr:rowOff>
    </xdr:to>
    <xdr:sp macro="" textlink="">
      <xdr:nvSpPr>
        <xdr:cNvPr id="8" name="Rounded Rectangle 1">
          <a:hlinkClick xmlns:r="http://schemas.openxmlformats.org/officeDocument/2006/relationships" r:id="rId2"/>
          <a:extLst>
            <a:ext uri="{FF2B5EF4-FFF2-40B4-BE49-F238E27FC236}">
              <a16:creationId xmlns:a16="http://schemas.microsoft.com/office/drawing/2014/main" id="{00000000-0008-0000-1800-000008000000}"/>
            </a:ext>
          </a:extLst>
        </xdr:cNvPr>
        <xdr:cNvSpPr/>
      </xdr:nvSpPr>
      <xdr:spPr>
        <a:xfrm>
          <a:off x="4544785" y="2779854"/>
          <a:ext cx="2182215" cy="67724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a:t>
          </a:r>
        </a:p>
      </xdr:txBody>
    </xdr:sp>
    <xdr:clientData fLocksWithSheet="0"/>
  </xdr:twoCellAnchor>
  <xdr:twoCellAnchor>
    <xdr:from>
      <xdr:col>3</xdr:col>
      <xdr:colOff>3048001</xdr:colOff>
      <xdr:row>2</xdr:row>
      <xdr:rowOff>972825</xdr:rowOff>
    </xdr:from>
    <xdr:to>
      <xdr:col>6</xdr:col>
      <xdr:colOff>132858</xdr:colOff>
      <xdr:row>2</xdr:row>
      <xdr:rowOff>1656393</xdr:rowOff>
    </xdr:to>
    <xdr:sp macro="" textlink="">
      <xdr:nvSpPr>
        <xdr:cNvPr id="9" name="Rounded Rectangle 1">
          <a:hlinkClick xmlns:r="http://schemas.openxmlformats.org/officeDocument/2006/relationships" r:id="rId3"/>
          <a:extLst>
            <a:ext uri="{FF2B5EF4-FFF2-40B4-BE49-F238E27FC236}">
              <a16:creationId xmlns:a16="http://schemas.microsoft.com/office/drawing/2014/main" id="{00000000-0008-0000-1800-000009000000}"/>
            </a:ext>
          </a:extLst>
        </xdr:cNvPr>
        <xdr:cNvSpPr/>
      </xdr:nvSpPr>
      <xdr:spPr>
        <a:xfrm>
          <a:off x="7443108" y="2768968"/>
          <a:ext cx="2310000" cy="68356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a:t>
          </a:r>
        </a:p>
      </xdr:txBody>
    </xdr:sp>
    <xdr:clientData fLocksWithSheet="0"/>
  </xdr:twoCellAnchor>
  <xdr:twoCellAnchor>
    <xdr:from>
      <xdr:col>0</xdr:col>
      <xdr:colOff>1030942</xdr:colOff>
      <xdr:row>2</xdr:row>
      <xdr:rowOff>1010924</xdr:rowOff>
    </xdr:from>
    <xdr:to>
      <xdr:col>2</xdr:col>
      <xdr:colOff>530680</xdr:colOff>
      <xdr:row>2</xdr:row>
      <xdr:rowOff>1632857</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00000000-0008-0000-1800-00000A000000}"/>
            </a:ext>
          </a:extLst>
        </xdr:cNvPr>
        <xdr:cNvSpPr/>
      </xdr:nvSpPr>
      <xdr:spPr>
        <a:xfrm>
          <a:off x="1030942" y="2807067"/>
          <a:ext cx="2289202" cy="62193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National caseload</a:t>
          </a:r>
        </a:p>
      </xdr:txBody>
    </xdr:sp>
    <xdr:clientData fLocksWithSheet="0"/>
  </xdr:twoCellAnchor>
  <xdr:twoCellAnchor>
    <xdr:from>
      <xdr:col>1</xdr:col>
      <xdr:colOff>875394</xdr:colOff>
      <xdr:row>2</xdr:row>
      <xdr:rowOff>2444750</xdr:rowOff>
    </xdr:from>
    <xdr:to>
      <xdr:col>3</xdr:col>
      <xdr:colOff>192562</xdr:colOff>
      <xdr:row>2</xdr:row>
      <xdr:rowOff>3297229</xdr:rowOff>
    </xdr:to>
    <xdr:sp macro="" textlink="">
      <xdr:nvSpPr>
        <xdr:cNvPr id="12" name="Rounded Rectangle 1">
          <a:hlinkClick xmlns:r="http://schemas.openxmlformats.org/officeDocument/2006/relationships" r:id="rId5"/>
          <a:extLst>
            <a:ext uri="{FF2B5EF4-FFF2-40B4-BE49-F238E27FC236}">
              <a16:creationId xmlns:a16="http://schemas.microsoft.com/office/drawing/2014/main" id="{10CCF790-0382-4122-BFD8-EAD102398E44}"/>
            </a:ext>
          </a:extLst>
        </xdr:cNvPr>
        <xdr:cNvSpPr/>
      </xdr:nvSpPr>
      <xdr:spPr>
        <a:xfrm>
          <a:off x="1954894" y="4249964"/>
          <a:ext cx="2845954"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 percentage</a:t>
          </a:r>
        </a:p>
      </xdr:txBody>
    </xdr:sp>
    <xdr:clientData fLocksWithSheet="0"/>
  </xdr:twoCellAnchor>
  <xdr:twoCellAnchor>
    <xdr:from>
      <xdr:col>3</xdr:col>
      <xdr:colOff>1200150</xdr:colOff>
      <xdr:row>2</xdr:row>
      <xdr:rowOff>2479222</xdr:rowOff>
    </xdr:from>
    <xdr:to>
      <xdr:col>4</xdr:col>
      <xdr:colOff>354032</xdr:colOff>
      <xdr:row>2</xdr:row>
      <xdr:rowOff>3331701</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48BBB189-CB77-4642-B571-896ADF9DAFA0}"/>
            </a:ext>
          </a:extLst>
        </xdr:cNvPr>
        <xdr:cNvSpPr/>
      </xdr:nvSpPr>
      <xdr:spPr>
        <a:xfrm>
          <a:off x="5595257" y="4275365"/>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 percentage</a:t>
          </a:r>
        </a:p>
      </xdr:txBody>
    </xdr:sp>
    <xdr:clientData fLocksWithSheet="0"/>
  </xdr:twoCellAnchor>
  <xdr:twoCellAnchor>
    <xdr:from>
      <xdr:col>5</xdr:col>
      <xdr:colOff>304801</xdr:colOff>
      <xdr:row>2</xdr:row>
      <xdr:rowOff>2427514</xdr:rowOff>
    </xdr:from>
    <xdr:to>
      <xdr:col>9</xdr:col>
      <xdr:colOff>220683</xdr:colOff>
      <xdr:row>2</xdr:row>
      <xdr:rowOff>3279993</xdr:rowOff>
    </xdr:to>
    <xdr:sp macro="" textlink="">
      <xdr:nvSpPr>
        <xdr:cNvPr id="15" name="Rounded Rectangle 1">
          <a:hlinkClick xmlns:r="http://schemas.openxmlformats.org/officeDocument/2006/relationships" r:id="rId7"/>
          <a:extLst>
            <a:ext uri="{FF2B5EF4-FFF2-40B4-BE49-F238E27FC236}">
              <a16:creationId xmlns:a16="http://schemas.microsoft.com/office/drawing/2014/main" id="{B1AB9B6B-A9C9-44D8-BCC8-9966003091CC}"/>
            </a:ext>
          </a:extLst>
        </xdr:cNvPr>
        <xdr:cNvSpPr/>
      </xdr:nvSpPr>
      <xdr:spPr>
        <a:xfrm>
          <a:off x="9203872" y="4223657"/>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Community caseload percentage</a:t>
          </a:r>
        </a:p>
      </xdr:txBody>
    </xdr:sp>
    <xdr:clientData fLocksWithSheet="0"/>
  </xdr:twoCellAnchor>
  <xdr:twoCellAnchor>
    <xdr:from>
      <xdr:col>7</xdr:col>
      <xdr:colOff>598715</xdr:colOff>
      <xdr:row>2</xdr:row>
      <xdr:rowOff>902068</xdr:rowOff>
    </xdr:from>
    <xdr:to>
      <xdr:col>11</xdr:col>
      <xdr:colOff>230785</xdr:colOff>
      <xdr:row>2</xdr:row>
      <xdr:rowOff>1626726</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150301F-49C0-45D1-9E83-B722A6866DB9}"/>
            </a:ext>
          </a:extLst>
        </xdr:cNvPr>
        <xdr:cNvSpPr/>
      </xdr:nvSpPr>
      <xdr:spPr>
        <a:xfrm>
          <a:off x="10899322" y="2698211"/>
          <a:ext cx="2380713" cy="7246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Community</a:t>
          </a:r>
          <a:r>
            <a:rPr lang="en-GB" sz="1600" baseline="0">
              <a:solidFill>
                <a:srgbClr val="7030A0"/>
              </a:solidFill>
              <a:latin typeface="Arial" panose="020B0604020202020204" pitchFamily="34" charset="0"/>
              <a:cs typeface="Arial" panose="020B0604020202020204" pitchFamily="34" charset="0"/>
            </a:rPr>
            <a:t> caseload</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5.xml><?xml version="1.0" encoding="utf-8"?>
<xdr:wsDr xmlns:xdr="http://schemas.openxmlformats.org/drawingml/2006/spreadsheetDrawing" xmlns:a="http://schemas.openxmlformats.org/drawingml/2006/main">
  <xdr:twoCellAnchor>
    <xdr:from>
      <xdr:col>1</xdr:col>
      <xdr:colOff>235323</xdr:colOff>
      <xdr:row>0</xdr:row>
      <xdr:rowOff>199465</xdr:rowOff>
    </xdr:from>
    <xdr:to>
      <xdr:col>1</xdr:col>
      <xdr:colOff>1146361</xdr:colOff>
      <xdr:row>0</xdr:row>
      <xdr:rowOff>579782</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900-000002000000}"/>
            </a:ext>
          </a:extLst>
        </xdr:cNvPr>
        <xdr:cNvSpPr/>
      </xdr:nvSpPr>
      <xdr:spPr>
        <a:xfrm>
          <a:off x="1266264" y="199465"/>
          <a:ext cx="911038"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493057</xdr:colOff>
      <xdr:row>2</xdr:row>
      <xdr:rowOff>1813668</xdr:rowOff>
    </xdr:from>
    <xdr:to>
      <xdr:col>3</xdr:col>
      <xdr:colOff>1064557</xdr:colOff>
      <xdr:row>2</xdr:row>
      <xdr:rowOff>3025587</xdr:rowOff>
    </xdr:to>
    <xdr:sp macro="" textlink="">
      <xdr:nvSpPr>
        <xdr:cNvPr id="69" name="Rounded Rectangle 1">
          <a:hlinkClick xmlns:r="http://schemas.openxmlformats.org/officeDocument/2006/relationships" r:id="rId2"/>
          <a:extLst>
            <a:ext uri="{FF2B5EF4-FFF2-40B4-BE49-F238E27FC236}">
              <a16:creationId xmlns:a16="http://schemas.microsoft.com/office/drawing/2014/main" id="{00000000-0008-0000-1900-000045000000}"/>
            </a:ext>
          </a:extLst>
        </xdr:cNvPr>
        <xdr:cNvSpPr/>
      </xdr:nvSpPr>
      <xdr:spPr>
        <a:xfrm>
          <a:off x="3272116" y="2889433"/>
          <a:ext cx="2173941" cy="121191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Cluster Level Capacities, Reduction of Hours and Unallocated Cases</a:t>
          </a:r>
          <a:endParaRPr lang="en-GB" sz="20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3</xdr:col>
      <xdr:colOff>1689292</xdr:colOff>
      <xdr:row>2</xdr:row>
      <xdr:rowOff>1961029</xdr:rowOff>
    </xdr:from>
    <xdr:to>
      <xdr:col>3</xdr:col>
      <xdr:colOff>3320489</xdr:colOff>
      <xdr:row>2</xdr:row>
      <xdr:rowOff>2830352</xdr:rowOff>
    </xdr:to>
    <xdr:sp macro="" textlink="">
      <xdr:nvSpPr>
        <xdr:cNvPr id="70" name="Rounded Rectangle 1">
          <a:hlinkClick xmlns:r="http://schemas.openxmlformats.org/officeDocument/2006/relationships" r:id="rId3"/>
          <a:extLst>
            <a:ext uri="{FF2B5EF4-FFF2-40B4-BE49-F238E27FC236}">
              <a16:creationId xmlns:a16="http://schemas.microsoft.com/office/drawing/2014/main" id="{00000000-0008-0000-1900-000046000000}"/>
            </a:ext>
          </a:extLst>
        </xdr:cNvPr>
        <xdr:cNvSpPr/>
      </xdr:nvSpPr>
      <xdr:spPr>
        <a:xfrm>
          <a:off x="6070792" y="3036794"/>
          <a:ext cx="1631197" cy="86932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LocksWithSheet="0"/>
  </xdr:twoCellAnchor>
  <xdr:twoCellAnchor>
    <xdr:from>
      <xdr:col>0</xdr:col>
      <xdr:colOff>930087</xdr:colOff>
      <xdr:row>2</xdr:row>
      <xdr:rowOff>1927411</xdr:rowOff>
    </xdr:from>
    <xdr:to>
      <xdr:col>1</xdr:col>
      <xdr:colOff>1523670</xdr:colOff>
      <xdr:row>2</xdr:row>
      <xdr:rowOff>2801470</xdr:rowOff>
    </xdr:to>
    <xdr:sp macro="" textlink="">
      <xdr:nvSpPr>
        <xdr:cNvPr id="71" name="Rounded Rectangle 1">
          <a:hlinkClick xmlns:r="http://schemas.openxmlformats.org/officeDocument/2006/relationships" r:id="rId4"/>
          <a:extLst>
            <a:ext uri="{FF2B5EF4-FFF2-40B4-BE49-F238E27FC236}">
              <a16:creationId xmlns:a16="http://schemas.microsoft.com/office/drawing/2014/main" id="{00000000-0008-0000-1900-000047000000}"/>
            </a:ext>
          </a:extLst>
        </xdr:cNvPr>
        <xdr:cNvSpPr/>
      </xdr:nvSpPr>
      <xdr:spPr>
        <a:xfrm>
          <a:off x="930087" y="3003176"/>
          <a:ext cx="1624524"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Divisional Capacity</a:t>
          </a:r>
        </a:p>
      </xdr:txBody>
    </xdr:sp>
    <xdr:clientData fLocksWithSheet="0"/>
  </xdr:twoCellAnchor>
  <xdr:twoCellAnchor>
    <xdr:from>
      <xdr:col>4</xdr:col>
      <xdr:colOff>212913</xdr:colOff>
      <xdr:row>2</xdr:row>
      <xdr:rowOff>1972234</xdr:rowOff>
    </xdr:from>
    <xdr:to>
      <xdr:col>6</xdr:col>
      <xdr:colOff>437029</xdr:colOff>
      <xdr:row>2</xdr:row>
      <xdr:rowOff>2846293</xdr:rowOff>
    </xdr:to>
    <xdr:sp macro="" textlink="">
      <xdr:nvSpPr>
        <xdr:cNvPr id="6" name="Rounded Rectangle 1">
          <a:hlinkClick xmlns:r="http://schemas.openxmlformats.org/officeDocument/2006/relationships" r:id="rId5"/>
          <a:extLst>
            <a:ext uri="{FF2B5EF4-FFF2-40B4-BE49-F238E27FC236}">
              <a16:creationId xmlns:a16="http://schemas.microsoft.com/office/drawing/2014/main" id="{00000000-0008-0000-1900-000006000000}"/>
            </a:ext>
          </a:extLst>
        </xdr:cNvPr>
        <xdr:cNvSpPr/>
      </xdr:nvSpPr>
      <xdr:spPr>
        <a:xfrm>
          <a:off x="8505266" y="3047999"/>
          <a:ext cx="1994645"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a:t>
          </a:r>
          <a:r>
            <a:rPr lang="en-GB" sz="1200" baseline="0">
              <a:solidFill>
                <a:srgbClr val="7030A0"/>
              </a:solidFill>
              <a:latin typeface="Arial" panose="020B0604020202020204" pitchFamily="34" charset="0"/>
              <a:cs typeface="Arial" panose="020B0604020202020204" pitchFamily="34" charset="0"/>
            </a:rPr>
            <a:t> Capacity by</a:t>
          </a:r>
        </a:p>
        <a:p>
          <a:pPr algn="ctr"/>
          <a:r>
            <a:rPr lang="en-GB" sz="1200" baseline="0">
              <a:solidFill>
                <a:srgbClr val="7030A0"/>
              </a:solidFill>
              <a:latin typeface="Arial" panose="020B0604020202020204" pitchFamily="34" charset="0"/>
              <a:cs typeface="Arial" panose="020B0604020202020204" pitchFamily="34" charset="0"/>
            </a:rPr>
            <a:t>Division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6.xml><?xml version="1.0" encoding="utf-8"?>
<xdr:wsDr xmlns:xdr="http://schemas.openxmlformats.org/drawingml/2006/spreadsheetDrawing" xmlns:a="http://schemas.openxmlformats.org/drawingml/2006/main">
  <xdr:twoCellAnchor>
    <xdr:from>
      <xdr:col>0</xdr:col>
      <xdr:colOff>526677</xdr:colOff>
      <xdr:row>0</xdr:row>
      <xdr:rowOff>210671</xdr:rowOff>
    </xdr:from>
    <xdr:to>
      <xdr:col>1</xdr:col>
      <xdr:colOff>373156</xdr:colOff>
      <xdr:row>0</xdr:row>
      <xdr:rowOff>590988</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A00-000002000000}"/>
            </a:ext>
          </a:extLst>
        </xdr:cNvPr>
        <xdr:cNvSpPr/>
      </xdr:nvSpPr>
      <xdr:spPr>
        <a:xfrm>
          <a:off x="526677" y="210671"/>
          <a:ext cx="877420"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3</xdr:col>
      <xdr:colOff>149302</xdr:colOff>
      <xdr:row>2</xdr:row>
      <xdr:rowOff>1064553</xdr:rowOff>
    </xdr:from>
    <xdr:to>
      <xdr:col>3</xdr:col>
      <xdr:colOff>2221144</xdr:colOff>
      <xdr:row>2</xdr:row>
      <xdr:rowOff>1975632</xdr:rowOff>
    </xdr:to>
    <xdr:sp macro="" textlink="">
      <xdr:nvSpPr>
        <xdr:cNvPr id="6" name="Rounded Rectangle 1">
          <a:hlinkClick xmlns:r="http://schemas.openxmlformats.org/officeDocument/2006/relationships" r:id="rId2"/>
          <a:extLst>
            <a:ext uri="{FF2B5EF4-FFF2-40B4-BE49-F238E27FC236}">
              <a16:creationId xmlns:a16="http://schemas.microsoft.com/office/drawing/2014/main" id="{00000000-0008-0000-1A00-000006000000}"/>
            </a:ext>
          </a:extLst>
        </xdr:cNvPr>
        <xdr:cNvSpPr/>
      </xdr:nvSpPr>
      <xdr:spPr>
        <a:xfrm>
          <a:off x="4530802" y="2140318"/>
          <a:ext cx="2071842" cy="9110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PDU</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4</xdr:col>
      <xdr:colOff>51323</xdr:colOff>
      <xdr:row>2</xdr:row>
      <xdr:rowOff>1066677</xdr:rowOff>
    </xdr:from>
    <xdr:to>
      <xdr:col>6</xdr:col>
      <xdr:colOff>419090</xdr:colOff>
      <xdr:row>2</xdr:row>
      <xdr:rowOff>1973425</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00000000-0008-0000-1A00-000007000000}"/>
            </a:ext>
          </a:extLst>
        </xdr:cNvPr>
        <xdr:cNvSpPr/>
      </xdr:nvSpPr>
      <xdr:spPr>
        <a:xfrm>
          <a:off x="7962676" y="2142442"/>
          <a:ext cx="2082267" cy="90674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Regional Reductions as % of Contracted Hours</a:t>
          </a:r>
        </a:p>
      </xdr:txBody>
    </xdr:sp>
    <xdr:clientData fLocksWithSheet="0"/>
  </xdr:twoCellAnchor>
  <xdr:twoCellAnchor>
    <xdr:from>
      <xdr:col>1</xdr:col>
      <xdr:colOff>44823</xdr:colOff>
      <xdr:row>2</xdr:row>
      <xdr:rowOff>1064552</xdr:rowOff>
    </xdr:from>
    <xdr:to>
      <xdr:col>2</xdr:col>
      <xdr:colOff>358590</xdr:colOff>
      <xdr:row>2</xdr:row>
      <xdr:rowOff>1994647</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00000000-0008-0000-1A00-000008000000}"/>
            </a:ext>
          </a:extLst>
        </xdr:cNvPr>
        <xdr:cNvSpPr/>
      </xdr:nvSpPr>
      <xdr:spPr>
        <a:xfrm>
          <a:off x="1075764" y="2140317"/>
          <a:ext cx="2061885" cy="93009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Region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justiceuk.sharepoint.com/nd1vcf0011/HBSSHAREDDATA01/NPS/NPS%20NE%20Division%20Hub/Performance%20&amp;%20Quality/Performance/2014-15%20Performance/PTRS%202013-14%20Q4%20Local.xls"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https://justiceuk.sharepoint.com/UKBIA03KDFSJ001.a03.wp360g.svcs.hp.com/ORG/NPS%20Deputy%20Director%20Effective%20Probation%20Practice/NPS%202020%20Knowledge%20Management/1)%20Define/Risk%20Register/NPS202_KM_Risks%20Issues%20Register_v0.7.xlsm?02995023" TargetMode="External"/><Relationship Id="rId1" Type="http://schemas.openxmlformats.org/officeDocument/2006/relationships/externalLinkPath" Target="file:///02995023/NPS202_KM_Risks%20Issues%20Register_v0.7.xlsm" TargetMode="External"/></Relationships>
</file>

<file path=xl/externalLinks/_rels/externalLink3.xml.rels><?xml version="1.0" encoding="UTF-8" standalone="yes"?>
<Relationships xmlns="http://schemas.openxmlformats.org/package/2006/relationships"><Relationship Id="rId2" Type="http://schemas.microsoft.com/office/2019/04/relationships/externalLinkLongPath" Target="https://justiceuk.sharepoint.com/eucw4171nas002.dom1.infra.int/HMPPS_Finance$/NPS%20Deputy%20Director%20Effective%20Probation%20Practice/NPS%202020%20Knowledge%20Management/1)%20Define/Risk%20Register/NPS202_KM_Risks%20Issues%20Register_v0.7.xlsm?CE4A5563" TargetMode="External"/><Relationship Id="rId1" Type="http://schemas.openxmlformats.org/officeDocument/2006/relationships/externalLinkPath" Target="file:///CE4A5563/NPS202_KM_Risks%20Issues%20Register_v0.7.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ng Lookup"/>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46"/>
  <sheetViews>
    <sheetView showGridLines="0" showRowColHeaders="0" tabSelected="1" zoomScale="90" zoomScaleNormal="90" zoomScaleSheetLayoutView="85" workbookViewId="0">
      <selection activeCell="Q11" sqref="Q11"/>
    </sheetView>
  </sheetViews>
  <sheetFormatPr baseColWidth="10" defaultColWidth="8.83203125" defaultRowHeight="14" x14ac:dyDescent="0.15"/>
  <cols>
    <col min="1" max="1" width="3.1640625" customWidth="1"/>
    <col min="10" max="10" width="21.5" customWidth="1"/>
    <col min="11" max="11" width="9.5" bestFit="1" customWidth="1"/>
    <col min="17" max="17" width="12.5" customWidth="1"/>
    <col min="21" max="21" width="11.5" customWidth="1"/>
    <col min="31" max="31" width="6.5" customWidth="1"/>
  </cols>
  <sheetData>
    <row r="1" spans="1:24" ht="45" customHeight="1" x14ac:dyDescent="0.15">
      <c r="A1" s="291" t="s">
        <v>0</v>
      </c>
      <c r="B1" s="291"/>
      <c r="C1" s="291"/>
      <c r="D1" s="291"/>
      <c r="E1" s="291"/>
      <c r="F1" s="291"/>
      <c r="G1" s="291"/>
      <c r="H1" s="291"/>
      <c r="I1" s="291"/>
      <c r="J1" s="291"/>
      <c r="K1" s="291"/>
      <c r="L1" s="291"/>
      <c r="M1" s="291"/>
      <c r="N1" s="291"/>
      <c r="O1" s="291"/>
    </row>
    <row r="2" spans="1:24" x14ac:dyDescent="0.15">
      <c r="A2" s="10"/>
    </row>
    <row r="3" spans="1:24" ht="21.75" customHeight="1" x14ac:dyDescent="0.15">
      <c r="C3" s="223"/>
      <c r="D3" s="223"/>
      <c r="E3" s="223"/>
    </row>
    <row r="4" spans="1:24" ht="18" customHeight="1" x14ac:dyDescent="0.2">
      <c r="C4" s="222"/>
      <c r="D4" s="222"/>
      <c r="E4" s="222"/>
      <c r="Q4" s="255" t="s">
        <v>1</v>
      </c>
      <c r="R4" s="68"/>
      <c r="S4" s="68"/>
      <c r="T4" s="68"/>
      <c r="U4" s="68"/>
      <c r="V4" s="68"/>
      <c r="W4" s="69"/>
    </row>
    <row r="5" spans="1:24" ht="18" customHeight="1" x14ac:dyDescent="0.2">
      <c r="C5" s="222"/>
      <c r="D5" s="222"/>
      <c r="E5" s="222"/>
      <c r="Q5" s="228" t="s">
        <v>2</v>
      </c>
      <c r="R5" s="68"/>
      <c r="S5" s="68"/>
      <c r="T5" s="68"/>
      <c r="U5" s="68"/>
      <c r="V5" s="68"/>
      <c r="W5" s="69"/>
    </row>
    <row r="6" spans="1:24" s="280" customFormat="1" ht="18" customHeight="1" x14ac:dyDescent="0.2">
      <c r="C6" s="222"/>
      <c r="D6" s="222"/>
      <c r="E6" s="222"/>
      <c r="Q6" s="228" t="s">
        <v>1300</v>
      </c>
      <c r="R6" s="68"/>
      <c r="S6" s="68"/>
      <c r="T6" s="68"/>
      <c r="U6" s="68"/>
      <c r="V6" s="68"/>
      <c r="W6" s="69"/>
    </row>
    <row r="7" spans="1:24" s="280" customFormat="1" ht="18" customHeight="1" x14ac:dyDescent="0.2">
      <c r="C7" s="222"/>
      <c r="D7" s="222"/>
      <c r="E7" s="222"/>
      <c r="Q7" s="228" t="s">
        <v>1301</v>
      </c>
      <c r="R7" s="68"/>
      <c r="S7" s="68"/>
      <c r="T7" s="68"/>
      <c r="U7" s="68"/>
      <c r="V7" s="68"/>
      <c r="W7" s="69"/>
    </row>
    <row r="8" spans="1:24" s="280" customFormat="1" ht="18" customHeight="1" x14ac:dyDescent="0.2">
      <c r="C8" s="222"/>
      <c r="D8" s="222"/>
      <c r="E8" s="222"/>
      <c r="Q8" s="228" t="s">
        <v>3</v>
      </c>
      <c r="R8" s="68"/>
      <c r="S8" s="68"/>
      <c r="T8" s="68"/>
      <c r="U8" s="68"/>
      <c r="V8" s="68"/>
      <c r="W8" s="69"/>
    </row>
    <row r="9" spans="1:24" s="280" customFormat="1" ht="18" customHeight="1" x14ac:dyDescent="0.2">
      <c r="C9" s="222"/>
      <c r="D9" s="222"/>
      <c r="E9" s="222"/>
      <c r="Q9" s="228" t="s">
        <v>4</v>
      </c>
      <c r="R9" s="68"/>
      <c r="S9" s="68"/>
      <c r="T9" s="68"/>
      <c r="U9" s="68"/>
      <c r="V9" s="68"/>
      <c r="W9" s="69"/>
    </row>
    <row r="10" spans="1:24" ht="17.25" customHeight="1" x14ac:dyDescent="0.2">
      <c r="C10" s="222"/>
      <c r="D10" s="222"/>
      <c r="E10" s="222"/>
      <c r="Q10" s="228" t="s">
        <v>1331</v>
      </c>
      <c r="R10" s="228"/>
      <c r="S10" s="228"/>
      <c r="T10" s="228"/>
      <c r="U10" s="228"/>
      <c r="V10" s="228"/>
      <c r="W10" s="228"/>
    </row>
    <row r="11" spans="1:24" ht="15" customHeight="1" x14ac:dyDescent="0.2">
      <c r="Q11" s="228" t="s">
        <v>5</v>
      </c>
      <c r="R11" s="228"/>
      <c r="S11" s="228"/>
      <c r="T11" s="228"/>
      <c r="U11" s="228"/>
      <c r="V11" s="228"/>
      <c r="W11" s="228"/>
    </row>
    <row r="12" spans="1:24" ht="15" customHeight="1" x14ac:dyDescent="0.2">
      <c r="Q12" s="228" t="s">
        <v>6</v>
      </c>
      <c r="R12" s="227"/>
      <c r="S12" s="227"/>
      <c r="T12" s="227"/>
      <c r="U12" s="227"/>
      <c r="V12" s="227"/>
      <c r="W12" s="227"/>
    </row>
    <row r="13" spans="1:24" ht="18" x14ac:dyDescent="0.2">
      <c r="Q13" s="228" t="s">
        <v>7</v>
      </c>
      <c r="R13" s="228"/>
      <c r="S13" s="228"/>
      <c r="T13" s="228"/>
      <c r="U13" s="228"/>
      <c r="V13" s="228"/>
      <c r="W13" s="228"/>
    </row>
    <row r="14" spans="1:24" ht="18" x14ac:dyDescent="0.2">
      <c r="Q14" s="228" t="s">
        <v>8</v>
      </c>
      <c r="R14" s="228"/>
      <c r="S14" s="228"/>
      <c r="T14" s="228"/>
      <c r="U14" s="228"/>
      <c r="V14" s="228"/>
      <c r="W14" s="228"/>
      <c r="X14" s="228"/>
    </row>
    <row r="15" spans="1:24" ht="18" x14ac:dyDescent="0.2">
      <c r="Q15" s="228" t="s">
        <v>9</v>
      </c>
      <c r="R15" s="228"/>
      <c r="S15" s="228"/>
      <c r="T15" s="228"/>
      <c r="U15" s="228"/>
      <c r="V15" s="228"/>
      <c r="W15" s="228"/>
    </row>
    <row r="16" spans="1:24" ht="18" x14ac:dyDescent="0.2">
      <c r="Q16" s="228" t="s">
        <v>10</v>
      </c>
      <c r="R16" s="228"/>
      <c r="S16" s="228"/>
      <c r="T16" s="228"/>
      <c r="U16" s="228"/>
      <c r="V16" s="228"/>
      <c r="W16" s="228"/>
    </row>
    <row r="17" spans="16:23" ht="18" x14ac:dyDescent="0.2">
      <c r="Q17" s="228" t="s">
        <v>11</v>
      </c>
      <c r="R17" s="228"/>
      <c r="S17" s="228"/>
      <c r="T17" s="228"/>
      <c r="U17" s="228"/>
      <c r="V17" s="228"/>
      <c r="W17" s="228"/>
    </row>
    <row r="18" spans="16:23" ht="18" x14ac:dyDescent="0.2">
      <c r="Q18" s="228" t="s">
        <v>12</v>
      </c>
      <c r="R18" s="228"/>
      <c r="S18" s="228"/>
      <c r="T18" s="228"/>
      <c r="U18" s="228"/>
      <c r="V18" s="228"/>
      <c r="W18" s="228"/>
    </row>
    <row r="19" spans="16:23" ht="18" x14ac:dyDescent="0.2">
      <c r="Q19" s="228" t="s">
        <v>13</v>
      </c>
      <c r="R19" s="228"/>
      <c r="S19" s="228"/>
      <c r="T19" s="228"/>
      <c r="U19" s="228"/>
      <c r="V19" s="228"/>
      <c r="W19" s="228"/>
    </row>
    <row r="20" spans="16:23" ht="18" x14ac:dyDescent="0.2">
      <c r="Q20" s="228" t="s">
        <v>14</v>
      </c>
      <c r="R20" s="228"/>
      <c r="S20" s="228"/>
      <c r="T20" s="228"/>
      <c r="U20" s="228"/>
      <c r="V20" s="228"/>
      <c r="W20" s="228"/>
    </row>
    <row r="21" spans="16:23" ht="18" x14ac:dyDescent="0.2">
      <c r="Q21" s="228" t="s">
        <v>15</v>
      </c>
    </row>
    <row r="22" spans="16:23" ht="18" x14ac:dyDescent="0.2">
      <c r="Q22" s="228" t="s">
        <v>16</v>
      </c>
      <c r="R22" s="228"/>
      <c r="S22" s="228"/>
      <c r="T22" s="228"/>
      <c r="U22" s="228"/>
      <c r="V22" s="228"/>
      <c r="W22" s="228"/>
    </row>
    <row r="23" spans="16:23" ht="18" x14ac:dyDescent="0.2">
      <c r="Q23" s="228" t="s">
        <v>17</v>
      </c>
      <c r="R23" s="69"/>
      <c r="S23" s="69"/>
      <c r="T23" s="69"/>
      <c r="U23" s="69"/>
      <c r="V23" s="69"/>
      <c r="W23" s="69"/>
    </row>
    <row r="24" spans="16:23" ht="18" x14ac:dyDescent="0.2">
      <c r="Q24" s="227" t="s">
        <v>18</v>
      </c>
      <c r="R24" s="227"/>
      <c r="S24" s="227"/>
      <c r="T24" s="227"/>
      <c r="U24" s="227"/>
      <c r="V24" s="227"/>
      <c r="W24" s="227"/>
    </row>
    <row r="25" spans="16:23" ht="18" x14ac:dyDescent="0.2">
      <c r="Q25" s="228" t="s">
        <v>19</v>
      </c>
      <c r="R25" s="69"/>
      <c r="S25" s="69"/>
      <c r="T25" s="69"/>
      <c r="U25" s="69"/>
      <c r="V25" s="69"/>
      <c r="W25" s="69"/>
    </row>
    <row r="26" spans="16:23" ht="18" x14ac:dyDescent="0.2">
      <c r="R26" s="227"/>
      <c r="S26" s="227"/>
      <c r="T26" s="227"/>
      <c r="U26" s="227"/>
      <c r="V26" s="227"/>
      <c r="W26" s="227"/>
    </row>
    <row r="27" spans="16:23" ht="18" x14ac:dyDescent="0.2">
      <c r="R27" s="69"/>
      <c r="S27" s="69"/>
      <c r="T27" s="69"/>
      <c r="U27" s="69"/>
      <c r="V27" s="69"/>
      <c r="W27" s="69"/>
    </row>
    <row r="28" spans="16:23" ht="18" x14ac:dyDescent="0.2">
      <c r="P28" s="280"/>
      <c r="Q28" s="228"/>
    </row>
    <row r="29" spans="16:23" s="280" customFormat="1" ht="18" x14ac:dyDescent="0.2">
      <c r="Q29" s="228"/>
    </row>
    <row r="30" spans="16:23" s="280" customFormat="1" x14ac:dyDescent="0.15"/>
    <row r="33" spans="2:11" x14ac:dyDescent="0.15">
      <c r="K33" s="7"/>
    </row>
    <row r="41" spans="2:11" x14ac:dyDescent="0.15">
      <c r="D41" s="59"/>
    </row>
    <row r="46" spans="2:11" x14ac:dyDescent="0.15">
      <c r="B46" s="59"/>
    </row>
  </sheetData>
  <sheetProtection selectLockedCells="1"/>
  <mergeCells count="1">
    <mergeCell ref="A1:O1"/>
  </mergeCells>
  <hyperlinks>
    <hyperlink ref="Q8" location="'cluster overview'!A1" display="'cluster overview'!A1" xr:uid="{00000000-0004-0000-0000-000000000000}"/>
    <hyperlink ref="Q9" location="'divisional overview'!A1" display="'divisional overview'!A1" xr:uid="{00000000-0004-0000-0000-000001000000}"/>
    <hyperlink ref="Q12" location="'cluster capacity, unallocateds'!A1" display="'cluster capacity, unallocateds'!A1" xr:uid="{00000000-0004-0000-0000-000002000000}"/>
    <hyperlink ref="Q13" location="'cluster officer capacity ranks'!A1" display="'cluster officer capacity ranks'!A1" xr:uid="{00000000-0004-0000-0000-000003000000}"/>
    <hyperlink ref="Q14" location="'div over-capacities'!A1" display="'div over-capacities'!A1" xr:uid="{00000000-0004-0000-0000-000004000000}"/>
    <hyperlink ref="Q15" location="'reasons for reduction division'!A1" display="'reasons for reduction division'!A1" xr:uid="{00000000-0004-0000-0000-000005000000}"/>
    <hyperlink ref="Q16" location="'cluster reductions'!A1" display="'cluster reductions'!A1" xr:uid="{00000000-0004-0000-0000-000006000000}"/>
    <hyperlink ref="Q17" location="'division reduction in hours'!A1" display="'division reduction in hours'!A1" xr:uid="{00000000-0004-0000-0000-000007000000}"/>
    <hyperlink ref="Q18" location="'national caseload'!A1" display="National Caseload Allocations" xr:uid="{00000000-0004-0000-0000-000008000000}"/>
    <hyperlink ref="Q20" location="'divisional caseload'!A1" display="divisional caseload allocations" xr:uid="{00000000-0004-0000-0000-000009000000}"/>
    <hyperlink ref="Q22" location="'custody caseload'!A1" display="custodial case allocations" xr:uid="{00000000-0004-0000-0000-00000A000000}"/>
    <hyperlink ref="Q24" location="'community caseload'!A1" display="community case allocations" xr:uid="{00000000-0004-0000-0000-00000B000000}"/>
    <hyperlink ref="Q21" location="'divisional &amp; regional caseload%'!A1" display="intra-divisional / regional overall allocation of cases as percentage" xr:uid="{00000000-0004-0000-0000-00000C000000}"/>
    <hyperlink ref="Q23" location="'custody %'!A1" display="      intra-divisional allocation of custody cases as percentage" xr:uid="{00000000-0004-0000-0000-00000D000000}"/>
    <hyperlink ref="Q24:W24" location="'custody caseload'!A1" display="intra-divisional allocation of custody cases" xr:uid="{00000000-0004-0000-0000-00000E000000}"/>
    <hyperlink ref="Q26:W26" location="'community caseload'!A1" display="intra-divisional allocation of cases in the comunity" xr:uid="{00000000-0004-0000-0000-00000F000000}"/>
    <hyperlink ref="Q25" location="'community %'!A1" display="intra-divisional allocation of cases in the community as percentage" xr:uid="{00000000-0004-0000-0000-000010000000}"/>
    <hyperlink ref="Q19" location="'national tier ratios'!A1" display="national breakdown ratios of caseload allocation by tier" xr:uid="{00000000-0004-0000-0000-000011000000}"/>
    <hyperlink ref="Q13:W13" location="'divisional &amp; regional capacity'!A1" display="divisional / regional capacities" xr:uid="{00000000-0004-0000-0000-000012000000}"/>
    <hyperlink ref="Q10" location="'team overview'!A1" display="team overview" xr:uid="{00000000-0004-0000-0000-000013000000}"/>
    <hyperlink ref="Q5" location="FAQs!A1" display="FAQs" xr:uid="{00000000-0004-0000-0000-000014000000}"/>
    <hyperlink ref="Q14:X14" location="'cluster capacity, unallocateds'!A1" display="intra-division capacities, unallocated cases and reductions in hours" xr:uid="{00000000-0004-0000-0000-000015000000}"/>
    <hyperlink ref="Q11:W11" location="'divisional &amp; regional overview'!A1" display="divisional / regional overview" xr:uid="{E78FB61B-A580-48D2-A4E2-3EC2B2C40D75}"/>
    <hyperlink ref="Q16:W16" location="'div &amp; regional over-capacities'!A1" display="divisional / regional over-capacity ratios" xr:uid="{3F2D3A21-17C4-4DDD-8B96-3780F2AA4579}"/>
    <hyperlink ref="Q19:W19" location="'div &amp; regional reduction hours'!A1" display="divisional / regional reduction in hours" xr:uid="{4B1E4BCB-3218-431F-88BC-5A1C2A72E054}"/>
    <hyperlink ref="Q22:W22" location="'divisional &amp; regional caseload'!A1" display="intra-divisional / regional overall allocation of cases" xr:uid="{E2874725-6FDB-4EAA-BF9C-841ADA1B97C9}"/>
    <hyperlink ref="Q6" location="'HMIP caseload divisional'!A1" display="Regional caseload per FTE " xr:uid="{D26B0511-B44F-4B16-91B1-849DE5931B85}"/>
    <hyperlink ref="Q7" location="'HMIP caseload cluster'!A1" display="PDU caseload per FTE" xr:uid="{F658710E-8DD2-4370-B8B2-62ED082E66AF}"/>
  </hyperlinks>
  <pageMargins left="0.7" right="0.7" top="0.75" bottom="0.75" header="0.3" footer="0.3"/>
  <pageSetup paperSize="9" scale="57"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PDUs!$A$30:$A$42</xm:f>
          </x14:formula1>
          <xm:sqref>J33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2">
    <tabColor rgb="FFE27070"/>
  </sheetPr>
  <dimension ref="A1:Y489"/>
  <sheetViews>
    <sheetView topLeftCell="J1" zoomScale="55" zoomScaleNormal="50" workbookViewId="0">
      <selection activeCell="R18" sqref="R18"/>
    </sheetView>
  </sheetViews>
  <sheetFormatPr baseColWidth="10" defaultColWidth="8.83203125" defaultRowHeight="14" x14ac:dyDescent="0.15"/>
  <cols>
    <col min="1" max="1" width="31.5" bestFit="1" customWidth="1"/>
    <col min="2" max="2" width="29.5" bestFit="1" customWidth="1"/>
    <col min="3" max="3" width="26.5" bestFit="1" customWidth="1"/>
    <col min="4" max="4" width="31.83203125" customWidth="1"/>
    <col min="5" max="5" width="51.1640625" bestFit="1" customWidth="1"/>
    <col min="6" max="6" width="45.5" bestFit="1" customWidth="1"/>
    <col min="7" max="7" width="26.5" bestFit="1" customWidth="1"/>
    <col min="8" max="8" width="34.5" bestFit="1" customWidth="1"/>
    <col min="9" max="9" width="50.83203125" bestFit="1" customWidth="1"/>
    <col min="10" max="10" width="23.1640625" bestFit="1" customWidth="1"/>
    <col min="11" max="11" width="31.5" bestFit="1" customWidth="1"/>
    <col min="12" max="12" width="48.83203125" bestFit="1" customWidth="1"/>
    <col min="13" max="13" width="26.5" bestFit="1" customWidth="1"/>
    <col min="14" max="14" width="44.5" bestFit="1" customWidth="1"/>
    <col min="15" max="15" width="31.83203125" bestFit="1" customWidth="1"/>
    <col min="16" max="16" width="39.5" customWidth="1"/>
    <col min="17" max="17" width="33.5" bestFit="1" customWidth="1"/>
    <col min="18" max="18" width="55.1640625" bestFit="1" customWidth="1"/>
    <col min="19" max="19" width="30.5" style="250" bestFit="1" customWidth="1"/>
    <col min="20" max="20" width="41.5" bestFit="1" customWidth="1"/>
    <col min="21" max="22" width="45.1640625" customWidth="1"/>
    <col min="23" max="23" width="46.83203125" bestFit="1" customWidth="1"/>
    <col min="24" max="24" width="35.5" bestFit="1" customWidth="1"/>
    <col min="25" max="25" width="45.1640625" bestFit="1" customWidth="1"/>
  </cols>
  <sheetData>
    <row r="1" spans="1:25" x14ac:dyDescent="0.15">
      <c r="A1" s="8" t="s">
        <v>20</v>
      </c>
      <c r="B1" s="8" t="s">
        <v>21</v>
      </c>
      <c r="C1" s="8" t="s">
        <v>22</v>
      </c>
      <c r="D1" s="8" t="s">
        <v>23</v>
      </c>
      <c r="E1" s="8" t="s">
        <v>24</v>
      </c>
      <c r="F1" s="8" t="s">
        <v>25</v>
      </c>
      <c r="G1" s="8" t="s">
        <v>26</v>
      </c>
      <c r="H1" s="8" t="s">
        <v>27</v>
      </c>
      <c r="I1" s="8" t="s">
        <v>28</v>
      </c>
      <c r="J1" s="8" t="s">
        <v>29</v>
      </c>
      <c r="K1" s="8" t="s">
        <v>30</v>
      </c>
      <c r="L1" s="8" t="s">
        <v>31</v>
      </c>
      <c r="M1" s="8"/>
      <c r="N1" s="8" t="s">
        <v>20</v>
      </c>
      <c r="O1" s="8" t="s">
        <v>21</v>
      </c>
      <c r="P1" s="8" t="s">
        <v>22</v>
      </c>
      <c r="Q1" s="8" t="s">
        <v>23</v>
      </c>
      <c r="R1" s="8" t="s">
        <v>24</v>
      </c>
      <c r="S1" s="249" t="s">
        <v>25</v>
      </c>
      <c r="T1" s="8" t="s">
        <v>26</v>
      </c>
      <c r="U1" s="8" t="s">
        <v>27</v>
      </c>
      <c r="V1" s="8" t="s">
        <v>28</v>
      </c>
      <c r="W1" s="8" t="s">
        <v>29</v>
      </c>
      <c r="X1" s="8" t="s">
        <v>30</v>
      </c>
      <c r="Y1" s="8" t="s">
        <v>31</v>
      </c>
    </row>
    <row r="2" spans="1:25" x14ac:dyDescent="0.15">
      <c r="A2" t="s">
        <v>32</v>
      </c>
      <c r="B2" t="s">
        <v>1281</v>
      </c>
      <c r="C2" t="s">
        <v>34</v>
      </c>
      <c r="D2" t="s">
        <v>35</v>
      </c>
      <c r="E2" t="s">
        <v>36</v>
      </c>
      <c r="F2" t="s">
        <v>37</v>
      </c>
      <c r="G2" t="s">
        <v>38</v>
      </c>
      <c r="H2" t="s">
        <v>39</v>
      </c>
      <c r="I2" t="s">
        <v>40</v>
      </c>
      <c r="J2" t="s">
        <v>41</v>
      </c>
      <c r="K2" t="s">
        <v>42</v>
      </c>
      <c r="L2" t="s">
        <v>43</v>
      </c>
      <c r="N2" s="258" t="s">
        <v>44</v>
      </c>
      <c r="O2" s="258" t="s">
        <v>45</v>
      </c>
      <c r="P2" s="258" t="s">
        <v>46</v>
      </c>
      <c r="Q2" t="s">
        <v>47</v>
      </c>
      <c r="R2" s="258" t="s">
        <v>48</v>
      </c>
      <c r="S2" s="259" t="s">
        <v>49</v>
      </c>
      <c r="T2" s="258" t="s">
        <v>50</v>
      </c>
      <c r="U2" s="258" t="s">
        <v>51</v>
      </c>
      <c r="V2" s="258" t="s">
        <v>52</v>
      </c>
      <c r="W2" s="281" t="s">
        <v>73</v>
      </c>
      <c r="X2" s="281" t="s">
        <v>74</v>
      </c>
      <c r="Y2" s="260" t="s">
        <v>53</v>
      </c>
    </row>
    <row r="3" spans="1:25" x14ac:dyDescent="0.15">
      <c r="A3" t="s">
        <v>54</v>
      </c>
      <c r="B3" t="s">
        <v>1282</v>
      </c>
      <c r="C3" t="s">
        <v>56</v>
      </c>
      <c r="D3" t="s">
        <v>57</v>
      </c>
      <c r="E3" t="s">
        <v>58</v>
      </c>
      <c r="F3" t="s">
        <v>59</v>
      </c>
      <c r="G3" t="s">
        <v>60</v>
      </c>
      <c r="H3" t="s">
        <v>61</v>
      </c>
      <c r="I3" t="s">
        <v>62</v>
      </c>
      <c r="J3" t="s">
        <v>63</v>
      </c>
      <c r="K3" t="s">
        <v>64</v>
      </c>
      <c r="L3" t="s">
        <v>65</v>
      </c>
      <c r="N3" s="258" t="s">
        <v>88</v>
      </c>
      <c r="O3" s="279" t="s">
        <v>1229</v>
      </c>
      <c r="P3" s="258" t="s">
        <v>66</v>
      </c>
      <c r="Q3" s="258" t="s">
        <v>67</v>
      </c>
      <c r="R3" s="258" t="s">
        <v>68</v>
      </c>
      <c r="S3" s="259" t="s">
        <v>69</v>
      </c>
      <c r="T3" s="258" t="s">
        <v>70</v>
      </c>
      <c r="U3" s="258" t="s">
        <v>71</v>
      </c>
      <c r="V3" s="258" t="s">
        <v>72</v>
      </c>
      <c r="W3" s="258" t="s">
        <v>96</v>
      </c>
      <c r="X3" s="258" t="s">
        <v>1290</v>
      </c>
      <c r="Y3" s="260" t="s">
        <v>75</v>
      </c>
    </row>
    <row r="4" spans="1:25" x14ac:dyDescent="0.15">
      <c r="A4" t="s">
        <v>76</v>
      </c>
      <c r="B4" t="s">
        <v>1283</v>
      </c>
      <c r="C4" t="s">
        <v>78</v>
      </c>
      <c r="D4" t="s">
        <v>79</v>
      </c>
      <c r="E4" t="s">
        <v>80</v>
      </c>
      <c r="F4" t="s">
        <v>81</v>
      </c>
      <c r="G4" t="s">
        <v>82</v>
      </c>
      <c r="H4" t="s">
        <v>83</v>
      </c>
      <c r="I4" t="s">
        <v>84</v>
      </c>
      <c r="J4" t="s">
        <v>85</v>
      </c>
      <c r="K4" t="s">
        <v>86</v>
      </c>
      <c r="L4" t="s">
        <v>87</v>
      </c>
      <c r="N4" s="258" t="s">
        <v>111</v>
      </c>
      <c r="O4" s="279" t="s">
        <v>1230</v>
      </c>
      <c r="P4" s="258" t="s">
        <v>89</v>
      </c>
      <c r="Q4" s="258" t="s">
        <v>90</v>
      </c>
      <c r="R4" s="258" t="s">
        <v>91</v>
      </c>
      <c r="S4" s="258" t="s">
        <v>1308</v>
      </c>
      <c r="T4" s="258" t="s">
        <v>93</v>
      </c>
      <c r="U4" s="258" t="s">
        <v>94</v>
      </c>
      <c r="V4" s="258" t="s">
        <v>95</v>
      </c>
      <c r="W4" s="258" t="s">
        <v>119</v>
      </c>
      <c r="X4" s="281" t="s">
        <v>1318</v>
      </c>
      <c r="Y4" s="258" t="s">
        <v>98</v>
      </c>
    </row>
    <row r="5" spans="1:25" x14ac:dyDescent="0.15">
      <c r="A5" t="s">
        <v>99</v>
      </c>
      <c r="B5" t="s">
        <v>1284</v>
      </c>
      <c r="C5" t="s">
        <v>101</v>
      </c>
      <c r="D5" t="s">
        <v>102</v>
      </c>
      <c r="E5" t="s">
        <v>103</v>
      </c>
      <c r="F5" t="s">
        <v>104</v>
      </c>
      <c r="G5" t="s">
        <v>105</v>
      </c>
      <c r="H5" t="s">
        <v>106</v>
      </c>
      <c r="I5" t="s">
        <v>107</v>
      </c>
      <c r="J5" t="s">
        <v>108</v>
      </c>
      <c r="K5" t="s">
        <v>109</v>
      </c>
      <c r="L5" t="s">
        <v>110</v>
      </c>
      <c r="N5" s="258" t="s">
        <v>155</v>
      </c>
      <c r="O5" s="279" t="s">
        <v>200</v>
      </c>
      <c r="P5" s="258" t="s">
        <v>112</v>
      </c>
      <c r="Q5" s="258" t="s">
        <v>113</v>
      </c>
      <c r="R5" s="258" t="s">
        <v>114</v>
      </c>
      <c r="S5" s="258" t="s">
        <v>92</v>
      </c>
      <c r="T5" s="258" t="s">
        <v>116</v>
      </c>
      <c r="U5" s="258" t="s">
        <v>117</v>
      </c>
      <c r="V5" s="258" t="s">
        <v>118</v>
      </c>
      <c r="W5" s="258" t="s">
        <v>140</v>
      </c>
      <c r="X5" s="258" t="s">
        <v>1319</v>
      </c>
      <c r="Y5" s="258" t="s">
        <v>121</v>
      </c>
    </row>
    <row r="6" spans="1:25" x14ac:dyDescent="0.15">
      <c r="A6" t="s">
        <v>122</v>
      </c>
      <c r="B6" t="s">
        <v>1285</v>
      </c>
      <c r="C6" t="s">
        <v>124</v>
      </c>
      <c r="D6" t="s">
        <v>125</v>
      </c>
      <c r="E6" t="s">
        <v>126</v>
      </c>
      <c r="F6" t="s">
        <v>127</v>
      </c>
      <c r="G6" t="s">
        <v>128</v>
      </c>
      <c r="H6" t="s">
        <v>129</v>
      </c>
      <c r="I6" t="s">
        <v>130</v>
      </c>
      <c r="J6" t="s">
        <v>131</v>
      </c>
      <c r="K6" t="s">
        <v>132</v>
      </c>
      <c r="L6" t="s">
        <v>133</v>
      </c>
      <c r="N6" s="258" t="s">
        <v>178</v>
      </c>
      <c r="O6" s="279" t="s">
        <v>1231</v>
      </c>
      <c r="P6" s="258" t="s">
        <v>134</v>
      </c>
      <c r="Q6" s="258" t="s">
        <v>135</v>
      </c>
      <c r="R6" s="258" t="s">
        <v>136</v>
      </c>
      <c r="S6" s="258" t="s">
        <v>115</v>
      </c>
      <c r="T6" s="258" t="s">
        <v>138</v>
      </c>
      <c r="U6" s="258" t="s">
        <v>139</v>
      </c>
      <c r="V6" s="258" t="s">
        <v>1320</v>
      </c>
      <c r="W6" s="258" t="s">
        <v>163</v>
      </c>
      <c r="X6" s="258" t="s">
        <v>97</v>
      </c>
      <c r="Y6" s="258" t="s">
        <v>142</v>
      </c>
    </row>
    <row r="7" spans="1:25" x14ac:dyDescent="0.15">
      <c r="A7" t="s">
        <v>143</v>
      </c>
      <c r="B7" t="s">
        <v>144</v>
      </c>
      <c r="C7" t="s">
        <v>145</v>
      </c>
      <c r="D7" t="s">
        <v>146</v>
      </c>
      <c r="E7" t="s">
        <v>147</v>
      </c>
      <c r="F7" t="s">
        <v>148</v>
      </c>
      <c r="G7" t="s">
        <v>149</v>
      </c>
      <c r="H7" t="s">
        <v>150</v>
      </c>
      <c r="I7" t="s">
        <v>151</v>
      </c>
      <c r="J7" t="s">
        <v>152</v>
      </c>
      <c r="K7" t="s">
        <v>153</v>
      </c>
      <c r="L7" t="s">
        <v>154</v>
      </c>
      <c r="N7" s="258" t="s">
        <v>1321</v>
      </c>
      <c r="O7" s="279" t="s">
        <v>1232</v>
      </c>
      <c r="P7" s="258" t="s">
        <v>156</v>
      </c>
      <c r="Q7" s="258" t="s">
        <v>157</v>
      </c>
      <c r="R7" s="258" t="s">
        <v>158</v>
      </c>
      <c r="S7" s="258" t="s">
        <v>137</v>
      </c>
      <c r="T7" s="258" t="s">
        <v>160</v>
      </c>
      <c r="U7" s="258" t="s">
        <v>161</v>
      </c>
      <c r="V7" s="258" t="s">
        <v>162</v>
      </c>
      <c r="W7" s="258" t="s">
        <v>185</v>
      </c>
      <c r="X7" s="258" t="s">
        <v>120</v>
      </c>
      <c r="Y7" s="258" t="s">
        <v>165</v>
      </c>
    </row>
    <row r="8" spans="1:25" x14ac:dyDescent="0.15">
      <c r="A8" t="s">
        <v>166</v>
      </c>
      <c r="B8" t="s">
        <v>1286</v>
      </c>
      <c r="C8" t="s">
        <v>168</v>
      </c>
      <c r="D8" t="s">
        <v>169</v>
      </c>
      <c r="E8" t="s">
        <v>170</v>
      </c>
      <c r="F8" t="s">
        <v>171</v>
      </c>
      <c r="G8" t="s">
        <v>172</v>
      </c>
      <c r="H8" t="s">
        <v>173</v>
      </c>
      <c r="I8" t="s">
        <v>174</v>
      </c>
      <c r="J8" t="s">
        <v>175</v>
      </c>
      <c r="K8" t="s">
        <v>176</v>
      </c>
      <c r="L8" t="s">
        <v>177</v>
      </c>
      <c r="N8" s="258" t="s">
        <v>1322</v>
      </c>
      <c r="O8" s="279" t="s">
        <v>1233</v>
      </c>
      <c r="P8" s="258" t="s">
        <v>179</v>
      </c>
      <c r="Q8" s="258" t="s">
        <v>180</v>
      </c>
      <c r="R8" s="258" t="s">
        <v>181</v>
      </c>
      <c r="S8" s="258" t="s">
        <v>159</v>
      </c>
      <c r="T8" s="258" t="s">
        <v>182</v>
      </c>
      <c r="U8" s="258" t="s">
        <v>183</v>
      </c>
      <c r="V8" s="258" t="s">
        <v>184</v>
      </c>
      <c r="W8" s="258" t="s">
        <v>208</v>
      </c>
      <c r="X8" s="258" t="s">
        <v>141</v>
      </c>
      <c r="Y8" s="258" t="s">
        <v>187</v>
      </c>
    </row>
    <row r="9" spans="1:25" x14ac:dyDescent="0.15">
      <c r="A9" t="s">
        <v>188</v>
      </c>
      <c r="B9" t="s">
        <v>1287</v>
      </c>
      <c r="C9" t="s">
        <v>190</v>
      </c>
      <c r="E9" t="s">
        <v>191</v>
      </c>
      <c r="F9" t="s">
        <v>192</v>
      </c>
      <c r="G9" t="s">
        <v>193</v>
      </c>
      <c r="H9" t="s">
        <v>194</v>
      </c>
      <c r="I9" t="s">
        <v>195</v>
      </c>
      <c r="J9" t="s">
        <v>196</v>
      </c>
      <c r="K9" t="s">
        <v>197</v>
      </c>
      <c r="L9" t="s">
        <v>198</v>
      </c>
      <c r="N9" s="258" t="s">
        <v>199</v>
      </c>
      <c r="O9" s="279" t="s">
        <v>1234</v>
      </c>
      <c r="P9" s="258" t="s">
        <v>201</v>
      </c>
      <c r="Q9" s="258" t="s">
        <v>202</v>
      </c>
      <c r="R9" s="258" t="s">
        <v>203</v>
      </c>
      <c r="S9" s="258" t="s">
        <v>204</v>
      </c>
      <c r="T9" s="258" t="s">
        <v>205</v>
      </c>
      <c r="U9" s="258" t="s">
        <v>206</v>
      </c>
      <c r="V9" s="258" t="s">
        <v>207</v>
      </c>
      <c r="W9" s="258" t="s">
        <v>227</v>
      </c>
      <c r="X9" s="258" t="s">
        <v>164</v>
      </c>
      <c r="Y9" s="258" t="s">
        <v>210</v>
      </c>
    </row>
    <row r="10" spans="1:25" x14ac:dyDescent="0.15">
      <c r="B10" t="s">
        <v>1288</v>
      </c>
      <c r="C10" t="s">
        <v>212</v>
      </c>
      <c r="E10" t="s">
        <v>213</v>
      </c>
      <c r="F10" t="s">
        <v>214</v>
      </c>
      <c r="G10" t="s">
        <v>215</v>
      </c>
      <c r="H10" t="s">
        <v>216</v>
      </c>
      <c r="I10" t="s">
        <v>217</v>
      </c>
      <c r="K10" t="s">
        <v>218</v>
      </c>
      <c r="L10" t="s">
        <v>219</v>
      </c>
      <c r="N10" s="258" t="s">
        <v>220</v>
      </c>
      <c r="O10" s="279" t="s">
        <v>1235</v>
      </c>
      <c r="P10" s="258" t="s">
        <v>221</v>
      </c>
      <c r="Q10" s="258" t="s">
        <v>222</v>
      </c>
      <c r="R10" s="258" t="s">
        <v>223</v>
      </c>
      <c r="S10" s="258" t="s">
        <v>259</v>
      </c>
      <c r="T10" s="258" t="s">
        <v>224</v>
      </c>
      <c r="U10" s="258" t="s">
        <v>225</v>
      </c>
      <c r="V10" s="258" t="s">
        <v>226</v>
      </c>
      <c r="W10" s="258" t="s">
        <v>245</v>
      </c>
      <c r="X10" s="258" t="s">
        <v>186</v>
      </c>
      <c r="Y10" s="281" t="s">
        <v>229</v>
      </c>
    </row>
    <row r="11" spans="1:25" x14ac:dyDescent="0.15">
      <c r="B11" t="s">
        <v>230</v>
      </c>
      <c r="C11" t="s">
        <v>231</v>
      </c>
      <c r="E11" t="s">
        <v>232</v>
      </c>
      <c r="F11" t="s">
        <v>233</v>
      </c>
      <c r="G11" t="s">
        <v>234</v>
      </c>
      <c r="I11" t="s">
        <v>235</v>
      </c>
      <c r="K11" t="s">
        <v>236</v>
      </c>
      <c r="L11" t="s">
        <v>237</v>
      </c>
      <c r="N11" s="258" t="s">
        <v>238</v>
      </c>
      <c r="O11" s="279" t="s">
        <v>1236</v>
      </c>
      <c r="P11" s="258" t="s">
        <v>239</v>
      </c>
      <c r="Q11" s="258" t="s">
        <v>240</v>
      </c>
      <c r="R11" s="258" t="s">
        <v>241</v>
      </c>
      <c r="S11" s="258" t="s">
        <v>275</v>
      </c>
      <c r="T11" s="258" t="s">
        <v>242</v>
      </c>
      <c r="U11" s="258" t="s">
        <v>243</v>
      </c>
      <c r="V11" s="258" t="s">
        <v>244</v>
      </c>
      <c r="W11" s="258" t="s">
        <v>263</v>
      </c>
      <c r="X11" s="258" t="s">
        <v>209</v>
      </c>
      <c r="Y11" s="281" t="s">
        <v>246</v>
      </c>
    </row>
    <row r="12" spans="1:25" x14ac:dyDescent="0.15">
      <c r="C12" t="s">
        <v>248</v>
      </c>
      <c r="E12" t="s">
        <v>249</v>
      </c>
      <c r="F12" t="s">
        <v>250</v>
      </c>
      <c r="G12" t="s">
        <v>251</v>
      </c>
      <c r="I12" t="s">
        <v>252</v>
      </c>
      <c r="K12" t="s">
        <v>253</v>
      </c>
      <c r="L12" t="s">
        <v>254</v>
      </c>
      <c r="N12" s="258" t="s">
        <v>255</v>
      </c>
      <c r="O12" s="279" t="s">
        <v>353</v>
      </c>
      <c r="P12" s="258" t="s">
        <v>256</v>
      </c>
      <c r="Q12" s="258" t="s">
        <v>257</v>
      </c>
      <c r="R12" s="258" t="s">
        <v>258</v>
      </c>
      <c r="S12" s="258" t="s">
        <v>289</v>
      </c>
      <c r="T12" s="258" t="s">
        <v>260</v>
      </c>
      <c r="U12" s="258" t="s">
        <v>261</v>
      </c>
      <c r="V12" s="258" t="s">
        <v>262</v>
      </c>
      <c r="W12" s="258" t="s">
        <v>279</v>
      </c>
      <c r="X12" s="258" t="s">
        <v>228</v>
      </c>
      <c r="Y12" s="281" t="s">
        <v>265</v>
      </c>
    </row>
    <row r="13" spans="1:25" x14ac:dyDescent="0.15">
      <c r="C13" t="s">
        <v>266</v>
      </c>
      <c r="E13" t="s">
        <v>267</v>
      </c>
      <c r="G13" t="s">
        <v>268</v>
      </c>
      <c r="I13" t="s">
        <v>269</v>
      </c>
      <c r="K13" t="s">
        <v>270</v>
      </c>
      <c r="L13" t="s">
        <v>271</v>
      </c>
      <c r="N13" s="258" t="s">
        <v>1323</v>
      </c>
      <c r="O13" s="279" t="s">
        <v>1237</v>
      </c>
      <c r="P13" s="258" t="s">
        <v>272</v>
      </c>
      <c r="Q13" s="258" t="s">
        <v>273</v>
      </c>
      <c r="R13" s="258" t="s">
        <v>274</v>
      </c>
      <c r="S13" s="258" t="s">
        <v>303</v>
      </c>
      <c r="T13" s="258" t="s">
        <v>276</v>
      </c>
      <c r="U13" s="258" t="s">
        <v>277</v>
      </c>
      <c r="V13" s="258" t="s">
        <v>278</v>
      </c>
      <c r="W13" s="258" t="s">
        <v>293</v>
      </c>
      <c r="X13" s="258" t="s">
        <v>109</v>
      </c>
      <c r="Y13" s="281" t="s">
        <v>1260</v>
      </c>
    </row>
    <row r="14" spans="1:25" x14ac:dyDescent="0.15">
      <c r="E14" t="s">
        <v>282</v>
      </c>
      <c r="G14" t="s">
        <v>283</v>
      </c>
      <c r="L14" t="s">
        <v>284</v>
      </c>
      <c r="N14" s="258" t="s">
        <v>285</v>
      </c>
      <c r="O14" s="279" t="s">
        <v>1238</v>
      </c>
      <c r="P14" s="258" t="s">
        <v>286</v>
      </c>
      <c r="Q14" s="258" t="s">
        <v>287</v>
      </c>
      <c r="R14" s="258" t="s">
        <v>288</v>
      </c>
      <c r="S14" s="258" t="s">
        <v>317</v>
      </c>
      <c r="T14" s="258" t="s">
        <v>290</v>
      </c>
      <c r="U14" s="258" t="s">
        <v>291</v>
      </c>
      <c r="V14" s="258" t="s">
        <v>292</v>
      </c>
      <c r="W14" s="258" t="s">
        <v>307</v>
      </c>
      <c r="X14" s="258" t="s">
        <v>264</v>
      </c>
      <c r="Y14" s="281" t="s">
        <v>1293</v>
      </c>
    </row>
    <row r="15" spans="1:25" x14ac:dyDescent="0.15">
      <c r="E15" t="s">
        <v>296</v>
      </c>
      <c r="G15" t="s">
        <v>297</v>
      </c>
      <c r="L15" t="s">
        <v>298</v>
      </c>
      <c r="N15" s="258" t="s">
        <v>299</v>
      </c>
      <c r="O15" s="279" t="s">
        <v>1239</v>
      </c>
      <c r="P15" s="258" t="s">
        <v>300</v>
      </c>
      <c r="Q15" s="258" t="s">
        <v>301</v>
      </c>
      <c r="R15" s="258" t="s">
        <v>302</v>
      </c>
      <c r="S15" s="258" t="s">
        <v>1294</v>
      </c>
      <c r="T15" s="258" t="s">
        <v>304</v>
      </c>
      <c r="U15" s="258" t="s">
        <v>305</v>
      </c>
      <c r="V15" s="258" t="s">
        <v>306</v>
      </c>
      <c r="W15" s="258" t="s">
        <v>321</v>
      </c>
      <c r="X15" s="258" t="s">
        <v>280</v>
      </c>
      <c r="Y15" s="281" t="s">
        <v>281</v>
      </c>
    </row>
    <row r="16" spans="1:25" x14ac:dyDescent="0.15">
      <c r="E16" t="s">
        <v>310</v>
      </c>
      <c r="G16" t="s">
        <v>311</v>
      </c>
      <c r="L16" t="s">
        <v>312</v>
      </c>
      <c r="N16" s="258" t="s">
        <v>313</v>
      </c>
      <c r="O16" s="279" t="s">
        <v>1240</v>
      </c>
      <c r="P16" s="258" t="s">
        <v>314</v>
      </c>
      <c r="Q16" s="258" t="s">
        <v>315</v>
      </c>
      <c r="R16" s="258" t="s">
        <v>316</v>
      </c>
      <c r="S16" s="281" t="s">
        <v>1295</v>
      </c>
      <c r="T16" s="258" t="s">
        <v>318</v>
      </c>
      <c r="U16" s="258" t="s">
        <v>319</v>
      </c>
      <c r="V16" s="258" t="s">
        <v>320</v>
      </c>
      <c r="W16" s="258" t="s">
        <v>333</v>
      </c>
      <c r="X16" s="258" t="s">
        <v>294</v>
      </c>
      <c r="Y16" s="281" t="s">
        <v>295</v>
      </c>
    </row>
    <row r="17" spans="5:25" x14ac:dyDescent="0.15">
      <c r="E17" t="s">
        <v>324</v>
      </c>
      <c r="G17" t="s">
        <v>325</v>
      </c>
      <c r="L17" t="s">
        <v>326</v>
      </c>
      <c r="N17" s="258" t="s">
        <v>339</v>
      </c>
      <c r="O17" s="279" t="s">
        <v>1241</v>
      </c>
      <c r="P17" s="258" t="s">
        <v>327</v>
      </c>
      <c r="Q17" s="258" t="s">
        <v>328</v>
      </c>
      <c r="R17" s="258" t="s">
        <v>329</v>
      </c>
      <c r="S17" s="281" t="s">
        <v>343</v>
      </c>
      <c r="T17" s="258" t="s">
        <v>330</v>
      </c>
      <c r="U17" s="258" t="s">
        <v>331</v>
      </c>
      <c r="V17" s="258" t="s">
        <v>332</v>
      </c>
      <c r="W17" s="258" t="s">
        <v>347</v>
      </c>
      <c r="X17" s="258" t="s">
        <v>308</v>
      </c>
      <c r="Y17" s="258" t="s">
        <v>309</v>
      </c>
    </row>
    <row r="18" spans="5:25" x14ac:dyDescent="0.15">
      <c r="E18" t="s">
        <v>336</v>
      </c>
      <c r="G18" t="s">
        <v>337</v>
      </c>
      <c r="L18" t="s">
        <v>338</v>
      </c>
      <c r="N18" s="258" t="s">
        <v>352</v>
      </c>
      <c r="O18" s="279" t="s">
        <v>1242</v>
      </c>
      <c r="P18" s="258" t="s">
        <v>340</v>
      </c>
      <c r="Q18" s="258" t="s">
        <v>341</v>
      </c>
      <c r="R18" s="258" t="s">
        <v>1305</v>
      </c>
      <c r="S18" s="281" t="s">
        <v>368</v>
      </c>
      <c r="T18" s="258" t="s">
        <v>344</v>
      </c>
      <c r="U18" s="258" t="s">
        <v>345</v>
      </c>
      <c r="V18" s="258" t="s">
        <v>346</v>
      </c>
      <c r="W18" s="258" t="s">
        <v>360</v>
      </c>
      <c r="X18" s="258" t="s">
        <v>322</v>
      </c>
      <c r="Y18" s="258" t="s">
        <v>323</v>
      </c>
    </row>
    <row r="19" spans="5:25" x14ac:dyDescent="0.15">
      <c r="E19" t="s">
        <v>350</v>
      </c>
      <c r="G19" t="s">
        <v>351</v>
      </c>
      <c r="N19" s="258" t="s">
        <v>365</v>
      </c>
      <c r="O19" s="279" t="s">
        <v>1243</v>
      </c>
      <c r="P19" s="258" t="s">
        <v>354</v>
      </c>
      <c r="Q19" s="258" t="s">
        <v>355</v>
      </c>
      <c r="R19" s="258" t="s">
        <v>342</v>
      </c>
      <c r="S19" s="281" t="s">
        <v>380</v>
      </c>
      <c r="T19" s="258" t="s">
        <v>357</v>
      </c>
      <c r="U19" s="258" t="s">
        <v>358</v>
      </c>
      <c r="V19" s="258" t="s">
        <v>359</v>
      </c>
      <c r="W19" s="258" t="s">
        <v>372</v>
      </c>
      <c r="X19" s="258" t="s">
        <v>334</v>
      </c>
      <c r="Y19" s="258" t="s">
        <v>335</v>
      </c>
    </row>
    <row r="20" spans="5:25" x14ac:dyDescent="0.15">
      <c r="E20" t="s">
        <v>363</v>
      </c>
      <c r="G20" t="s">
        <v>364</v>
      </c>
      <c r="N20" s="258" t="s">
        <v>376</v>
      </c>
      <c r="O20" s="279" t="s">
        <v>1244</v>
      </c>
      <c r="P20" s="258" t="s">
        <v>366</v>
      </c>
      <c r="Q20" s="258" t="s">
        <v>378</v>
      </c>
      <c r="R20" s="258" t="s">
        <v>356</v>
      </c>
      <c r="S20" s="258" t="s">
        <v>392</v>
      </c>
      <c r="T20" s="258" t="s">
        <v>369</v>
      </c>
      <c r="U20" s="258" t="s">
        <v>370</v>
      </c>
      <c r="V20" s="258" t="s">
        <v>371</v>
      </c>
      <c r="W20" s="258" t="s">
        <v>384</v>
      </c>
      <c r="X20" s="258" t="s">
        <v>348</v>
      </c>
      <c r="Y20" s="258" t="s">
        <v>349</v>
      </c>
    </row>
    <row r="21" spans="5:25" x14ac:dyDescent="0.15">
      <c r="E21" t="s">
        <v>375</v>
      </c>
      <c r="N21" s="258" t="s">
        <v>388</v>
      </c>
      <c r="O21" s="279" t="s">
        <v>1245</v>
      </c>
      <c r="P21" s="258" t="s">
        <v>377</v>
      </c>
      <c r="Q21" s="258" t="s">
        <v>390</v>
      </c>
      <c r="R21" s="258" t="s">
        <v>367</v>
      </c>
      <c r="S21" s="258" t="s">
        <v>1324</v>
      </c>
      <c r="T21" s="258" t="s">
        <v>381</v>
      </c>
      <c r="U21" s="258" t="s">
        <v>382</v>
      </c>
      <c r="V21" s="258" t="s">
        <v>383</v>
      </c>
      <c r="W21" s="258" t="s">
        <v>396</v>
      </c>
      <c r="X21" s="258" t="s">
        <v>361</v>
      </c>
      <c r="Y21" s="258" t="s">
        <v>362</v>
      </c>
    </row>
    <row r="22" spans="5:25" x14ac:dyDescent="0.15">
      <c r="E22" t="s">
        <v>387</v>
      </c>
      <c r="N22" s="258" t="s">
        <v>400</v>
      </c>
      <c r="O22" s="279" t="s">
        <v>566</v>
      </c>
      <c r="P22" s="258" t="s">
        <v>389</v>
      </c>
      <c r="Q22" s="258" t="s">
        <v>402</v>
      </c>
      <c r="R22" s="258" t="s">
        <v>379</v>
      </c>
      <c r="S22" s="258" t="s">
        <v>1302</v>
      </c>
      <c r="T22" s="258" t="s">
        <v>393</v>
      </c>
      <c r="U22" s="258" t="s">
        <v>394</v>
      </c>
      <c r="V22" s="258" t="s">
        <v>395</v>
      </c>
      <c r="W22" s="258" t="s">
        <v>408</v>
      </c>
      <c r="X22" s="258" t="s">
        <v>373</v>
      </c>
      <c r="Y22" s="258" t="s">
        <v>374</v>
      </c>
    </row>
    <row r="23" spans="5:25" x14ac:dyDescent="0.15">
      <c r="E23" t="s">
        <v>399</v>
      </c>
      <c r="N23" s="258" t="s">
        <v>412</v>
      </c>
      <c r="O23" s="279" t="s">
        <v>1246</v>
      </c>
      <c r="P23" s="258" t="s">
        <v>401</v>
      </c>
      <c r="Q23" s="258" t="s">
        <v>414</v>
      </c>
      <c r="R23" s="258" t="s">
        <v>1307</v>
      </c>
      <c r="S23" s="258" t="s">
        <v>1303</v>
      </c>
      <c r="T23" s="258" t="s">
        <v>405</v>
      </c>
      <c r="U23" s="258" t="s">
        <v>406</v>
      </c>
      <c r="V23" s="258" t="s">
        <v>407</v>
      </c>
      <c r="W23" s="258" t="s">
        <v>420</v>
      </c>
      <c r="X23" s="258" t="s">
        <v>385</v>
      </c>
      <c r="Y23" s="258" t="s">
        <v>386</v>
      </c>
    </row>
    <row r="24" spans="5:25" x14ac:dyDescent="0.15">
      <c r="E24" t="s">
        <v>411</v>
      </c>
      <c r="N24" s="258" t="s">
        <v>424</v>
      </c>
      <c r="O24" s="279" t="s">
        <v>1247</v>
      </c>
      <c r="P24" s="258" t="s">
        <v>413</v>
      </c>
      <c r="Q24" s="258" t="s">
        <v>426</v>
      </c>
      <c r="R24" s="258" t="s">
        <v>391</v>
      </c>
      <c r="S24" s="258" t="s">
        <v>439</v>
      </c>
      <c r="T24" s="258" t="s">
        <v>417</v>
      </c>
      <c r="U24" s="258" t="s">
        <v>418</v>
      </c>
      <c r="V24" s="258" t="s">
        <v>419</v>
      </c>
      <c r="W24" s="258" t="s">
        <v>432</v>
      </c>
      <c r="X24" s="258" t="s">
        <v>397</v>
      </c>
      <c r="Y24" s="258" t="s">
        <v>398</v>
      </c>
    </row>
    <row r="25" spans="5:25" x14ac:dyDescent="0.15">
      <c r="E25" t="s">
        <v>423</v>
      </c>
      <c r="N25" s="258" t="s">
        <v>435</v>
      </c>
      <c r="O25" s="279" t="s">
        <v>1248</v>
      </c>
      <c r="P25" s="258" t="s">
        <v>425</v>
      </c>
      <c r="Q25" s="258" t="s">
        <v>437</v>
      </c>
      <c r="R25" s="258" t="s">
        <v>403</v>
      </c>
      <c r="S25" s="258" t="s">
        <v>450</v>
      </c>
      <c r="T25" s="258" t="s">
        <v>429</v>
      </c>
      <c r="U25" s="258" t="s">
        <v>430</v>
      </c>
      <c r="V25" s="258" t="s">
        <v>431</v>
      </c>
      <c r="W25" s="258" t="s">
        <v>443</v>
      </c>
      <c r="X25" s="258" t="s">
        <v>409</v>
      </c>
      <c r="Y25" s="258" t="s">
        <v>410</v>
      </c>
    </row>
    <row r="26" spans="5:25" x14ac:dyDescent="0.15">
      <c r="N26" s="258" t="s">
        <v>446</v>
      </c>
      <c r="O26" s="279" t="s">
        <v>1249</v>
      </c>
      <c r="P26" s="258" t="s">
        <v>436</v>
      </c>
      <c r="Q26" s="258" t="s">
        <v>448</v>
      </c>
      <c r="R26" s="258" t="s">
        <v>415</v>
      </c>
      <c r="S26" s="258" t="s">
        <v>460</v>
      </c>
      <c r="T26" s="258" t="s">
        <v>440</v>
      </c>
      <c r="U26" s="258" t="s">
        <v>441</v>
      </c>
      <c r="V26" s="258" t="s">
        <v>442</v>
      </c>
      <c r="W26" s="258" t="s">
        <v>454</v>
      </c>
      <c r="X26" s="258" t="s">
        <v>421</v>
      </c>
      <c r="Y26" s="258" t="s">
        <v>422</v>
      </c>
    </row>
    <row r="27" spans="5:25" x14ac:dyDescent="0.15">
      <c r="N27" s="258" t="s">
        <v>456</v>
      </c>
      <c r="O27" s="279" t="s">
        <v>1304</v>
      </c>
      <c r="P27" s="258" t="s">
        <v>447</v>
      </c>
      <c r="Q27" s="258" t="s">
        <v>458</v>
      </c>
      <c r="R27" s="258" t="s">
        <v>427</v>
      </c>
      <c r="S27" s="258" t="s">
        <v>1277</v>
      </c>
      <c r="T27" s="258" t="s">
        <v>451</v>
      </c>
      <c r="U27" s="258" t="s">
        <v>452</v>
      </c>
      <c r="V27" s="258" t="s">
        <v>453</v>
      </c>
      <c r="W27" s="258" t="s">
        <v>464</v>
      </c>
      <c r="X27" s="258" t="s">
        <v>433</v>
      </c>
      <c r="Y27" s="258" t="s">
        <v>434</v>
      </c>
    </row>
    <row r="28" spans="5:25" x14ac:dyDescent="0.15">
      <c r="N28" s="258" t="s">
        <v>467</v>
      </c>
      <c r="O28" s="279" t="s">
        <v>1250</v>
      </c>
      <c r="P28" s="258" t="s">
        <v>457</v>
      </c>
      <c r="Q28" s="258" t="s">
        <v>469</v>
      </c>
      <c r="R28" s="258" t="s">
        <v>438</v>
      </c>
      <c r="S28" s="258" t="s">
        <v>1279</v>
      </c>
      <c r="T28" s="258" t="s">
        <v>461</v>
      </c>
      <c r="U28" s="258" t="s">
        <v>462</v>
      </c>
      <c r="V28" s="258" t="s">
        <v>463</v>
      </c>
      <c r="W28" s="258" t="s">
        <v>474</v>
      </c>
      <c r="X28" s="281" t="s">
        <v>444</v>
      </c>
      <c r="Y28" s="258" t="s">
        <v>445</v>
      </c>
    </row>
    <row r="29" spans="5:25" x14ac:dyDescent="0.15">
      <c r="N29" s="258" t="s">
        <v>477</v>
      </c>
      <c r="O29" s="279" t="s">
        <v>1289</v>
      </c>
      <c r="P29" s="258" t="s">
        <v>468</v>
      </c>
      <c r="Q29" s="258" t="s">
        <v>479</v>
      </c>
      <c r="R29" s="258" t="s">
        <v>449</v>
      </c>
      <c r="S29" s="258" t="s">
        <v>1280</v>
      </c>
      <c r="T29" s="258" t="s">
        <v>471</v>
      </c>
      <c r="U29" s="258" t="s">
        <v>472</v>
      </c>
      <c r="V29" s="258" t="s">
        <v>473</v>
      </c>
      <c r="W29" s="258" t="s">
        <v>484</v>
      </c>
      <c r="X29" s="258" t="s">
        <v>1310</v>
      </c>
      <c r="Y29" s="258" t="s">
        <v>455</v>
      </c>
    </row>
    <row r="30" spans="5:25" x14ac:dyDescent="0.15">
      <c r="N30" s="258" t="s">
        <v>487</v>
      </c>
      <c r="O30" s="279" t="s">
        <v>1251</v>
      </c>
      <c r="P30" s="258" t="s">
        <v>478</v>
      </c>
      <c r="Q30" s="258" t="s">
        <v>489</v>
      </c>
      <c r="R30" s="258" t="s">
        <v>459</v>
      </c>
      <c r="S30" s="258" t="s">
        <v>1278</v>
      </c>
      <c r="T30" s="258" t="s">
        <v>481</v>
      </c>
      <c r="U30" s="258" t="s">
        <v>482</v>
      </c>
      <c r="V30" s="258" t="s">
        <v>483</v>
      </c>
      <c r="W30" s="258" t="s">
        <v>495</v>
      </c>
      <c r="X30" s="258" t="s">
        <v>465</v>
      </c>
      <c r="Y30" s="258" t="s">
        <v>466</v>
      </c>
    </row>
    <row r="31" spans="5:25" x14ac:dyDescent="0.15">
      <c r="N31" s="258" t="s">
        <v>498</v>
      </c>
      <c r="O31" s="279" t="s">
        <v>1252</v>
      </c>
      <c r="P31" s="258" t="s">
        <v>488</v>
      </c>
      <c r="Q31" s="258" t="s">
        <v>500</v>
      </c>
      <c r="R31" s="258" t="s">
        <v>470</v>
      </c>
      <c r="S31" s="258" t="s">
        <v>491</v>
      </c>
      <c r="T31" s="258" t="s">
        <v>492</v>
      </c>
      <c r="U31" s="258" t="s">
        <v>493</v>
      </c>
      <c r="V31" s="258" t="s">
        <v>494</v>
      </c>
      <c r="W31" s="258" t="s">
        <v>506</v>
      </c>
      <c r="X31" s="258" t="s">
        <v>475</v>
      </c>
      <c r="Y31" s="258" t="s">
        <v>476</v>
      </c>
    </row>
    <row r="32" spans="5:25" x14ac:dyDescent="0.15">
      <c r="N32" s="258" t="s">
        <v>509</v>
      </c>
      <c r="O32" s="279" t="s">
        <v>1253</v>
      </c>
      <c r="P32" s="258" t="s">
        <v>499</v>
      </c>
      <c r="Q32" s="258" t="s">
        <v>511</v>
      </c>
      <c r="R32" s="258" t="s">
        <v>480</v>
      </c>
      <c r="S32" s="258" t="s">
        <v>502</v>
      </c>
      <c r="T32" s="258" t="s">
        <v>503</v>
      </c>
      <c r="U32" s="258" t="s">
        <v>504</v>
      </c>
      <c r="V32" s="258" t="s">
        <v>505</v>
      </c>
      <c r="W32" s="258" t="s">
        <v>517</v>
      </c>
      <c r="X32" s="258" t="s">
        <v>485</v>
      </c>
      <c r="Y32" s="258" t="s">
        <v>486</v>
      </c>
    </row>
    <row r="33" spans="14:25" x14ac:dyDescent="0.15">
      <c r="N33" s="258" t="s">
        <v>520</v>
      </c>
      <c r="O33" s="279" t="s">
        <v>1254</v>
      </c>
      <c r="P33" s="258" t="s">
        <v>510</v>
      </c>
      <c r="Q33" s="258" t="s">
        <v>522</v>
      </c>
      <c r="R33" s="258" t="s">
        <v>490</v>
      </c>
      <c r="S33" s="258" t="s">
        <v>513</v>
      </c>
      <c r="T33" s="258" t="s">
        <v>514</v>
      </c>
      <c r="U33" s="258" t="s">
        <v>515</v>
      </c>
      <c r="V33" s="258" t="s">
        <v>516</v>
      </c>
      <c r="W33" s="258" t="s">
        <v>527</v>
      </c>
      <c r="X33" s="258" t="s">
        <v>496</v>
      </c>
      <c r="Y33" s="258" t="s">
        <v>497</v>
      </c>
    </row>
    <row r="34" spans="14:25" x14ac:dyDescent="0.15">
      <c r="N34" s="258" t="s">
        <v>530</v>
      </c>
      <c r="O34" s="279" t="s">
        <v>1255</v>
      </c>
      <c r="P34" s="258" t="s">
        <v>521</v>
      </c>
      <c r="Q34" s="258"/>
      <c r="R34" s="258" t="s">
        <v>501</v>
      </c>
      <c r="S34" s="281" t="s">
        <v>524</v>
      </c>
      <c r="T34" s="258" t="s">
        <v>525</v>
      </c>
      <c r="U34" s="258" t="s">
        <v>526</v>
      </c>
      <c r="W34" s="258" t="s">
        <v>536</v>
      </c>
      <c r="X34" s="258" t="s">
        <v>507</v>
      </c>
      <c r="Y34" s="260" t="s">
        <v>508</v>
      </c>
    </row>
    <row r="35" spans="14:25" x14ac:dyDescent="0.15">
      <c r="N35" s="258" t="s">
        <v>539</v>
      </c>
      <c r="O35" s="279" t="s">
        <v>1256</v>
      </c>
      <c r="P35" s="258" t="s">
        <v>531</v>
      </c>
      <c r="R35" s="258" t="s">
        <v>512</v>
      </c>
      <c r="S35" s="258" t="s">
        <v>404</v>
      </c>
      <c r="T35" s="258" t="s">
        <v>534</v>
      </c>
      <c r="U35" s="258" t="s">
        <v>535</v>
      </c>
      <c r="W35" s="258" t="s">
        <v>544</v>
      </c>
      <c r="X35" s="258" t="s">
        <v>518</v>
      </c>
      <c r="Y35" s="260" t="s">
        <v>519</v>
      </c>
    </row>
    <row r="36" spans="14:25" x14ac:dyDescent="0.15">
      <c r="N36" s="258" t="s">
        <v>547</v>
      </c>
      <c r="O36" s="279" t="s">
        <v>1257</v>
      </c>
      <c r="P36" s="258" t="s">
        <v>540</v>
      </c>
      <c r="R36" s="258" t="s">
        <v>523</v>
      </c>
      <c r="S36" s="259" t="s">
        <v>416</v>
      </c>
      <c r="T36" s="258" t="s">
        <v>542</v>
      </c>
      <c r="U36" s="258" t="s">
        <v>543</v>
      </c>
      <c r="W36" s="258" t="s">
        <v>553</v>
      </c>
      <c r="X36" s="258" t="s">
        <v>528</v>
      </c>
      <c r="Y36" s="260" t="s">
        <v>529</v>
      </c>
    </row>
    <row r="37" spans="14:25" x14ac:dyDescent="0.15">
      <c r="N37" s="258" t="s">
        <v>556</v>
      </c>
      <c r="O37" s="279" t="s">
        <v>1258</v>
      </c>
      <c r="P37" s="258" t="s">
        <v>548</v>
      </c>
      <c r="R37" s="258" t="s">
        <v>532</v>
      </c>
      <c r="S37" s="258" t="s">
        <v>428</v>
      </c>
      <c r="T37" s="258" t="s">
        <v>551</v>
      </c>
      <c r="U37" s="258" t="s">
        <v>552</v>
      </c>
      <c r="W37" s="258" t="s">
        <v>562</v>
      </c>
      <c r="X37" s="258" t="s">
        <v>537</v>
      </c>
      <c r="Y37" s="260" t="s">
        <v>538</v>
      </c>
    </row>
    <row r="38" spans="14:25" x14ac:dyDescent="0.15">
      <c r="N38" s="258" t="s">
        <v>565</v>
      </c>
      <c r="O38" s="279" t="s">
        <v>1259</v>
      </c>
      <c r="P38" s="258" t="s">
        <v>557</v>
      </c>
      <c r="R38" s="258" t="s">
        <v>541</v>
      </c>
      <c r="S38" s="281" t="s">
        <v>533</v>
      </c>
      <c r="T38" s="258" t="s">
        <v>560</v>
      </c>
      <c r="U38" s="258" t="s">
        <v>561</v>
      </c>
      <c r="W38" s="258" t="s">
        <v>572</v>
      </c>
      <c r="X38" s="258" t="s">
        <v>545</v>
      </c>
      <c r="Y38" s="260" t="s">
        <v>546</v>
      </c>
    </row>
    <row r="39" spans="14:25" x14ac:dyDescent="0.15">
      <c r="N39" s="258" t="s">
        <v>575</v>
      </c>
      <c r="O39" s="279" t="s">
        <v>717</v>
      </c>
      <c r="P39" s="258" t="s">
        <v>567</v>
      </c>
      <c r="R39" s="258" t="s">
        <v>549</v>
      </c>
      <c r="S39" s="281" t="s">
        <v>1296</v>
      </c>
      <c r="T39" s="258" t="s">
        <v>570</v>
      </c>
      <c r="U39" s="258" t="s">
        <v>571</v>
      </c>
      <c r="W39" s="258" t="s">
        <v>580</v>
      </c>
      <c r="X39" s="258" t="s">
        <v>554</v>
      </c>
      <c r="Y39" s="260" t="s">
        <v>555</v>
      </c>
    </row>
    <row r="40" spans="14:25" x14ac:dyDescent="0.15">
      <c r="N40" s="258" t="s">
        <v>583</v>
      </c>
      <c r="O40" s="278"/>
      <c r="P40" s="258" t="s">
        <v>576</v>
      </c>
      <c r="R40" s="258" t="s">
        <v>558</v>
      </c>
      <c r="S40" s="281" t="s">
        <v>1297</v>
      </c>
      <c r="T40" s="258" t="s">
        <v>578</v>
      </c>
      <c r="U40" s="258" t="s">
        <v>579</v>
      </c>
      <c r="W40" s="258" t="s">
        <v>588</v>
      </c>
      <c r="X40" s="258" t="s">
        <v>563</v>
      </c>
      <c r="Y40" s="281" t="s">
        <v>564</v>
      </c>
    </row>
    <row r="41" spans="14:25" x14ac:dyDescent="0.15">
      <c r="N41" s="258" t="s">
        <v>591</v>
      </c>
      <c r="O41" s="278"/>
      <c r="P41" s="258" t="s">
        <v>584</v>
      </c>
      <c r="R41" s="258" t="s">
        <v>568</v>
      </c>
      <c r="S41" s="281" t="s">
        <v>550</v>
      </c>
      <c r="T41" s="258" t="s">
        <v>586</v>
      </c>
      <c r="U41" s="258" t="s">
        <v>587</v>
      </c>
      <c r="W41" s="258" t="s">
        <v>596</v>
      </c>
      <c r="X41" s="258" t="s">
        <v>573</v>
      </c>
      <c r="Y41" s="281" t="s">
        <v>574</v>
      </c>
    </row>
    <row r="42" spans="14:25" x14ac:dyDescent="0.15">
      <c r="N42" s="258" t="s">
        <v>599</v>
      </c>
      <c r="O42" s="278"/>
      <c r="P42" t="s">
        <v>592</v>
      </c>
      <c r="R42" s="258" t="s">
        <v>577</v>
      </c>
      <c r="S42" s="281" t="s">
        <v>559</v>
      </c>
      <c r="T42" s="258" t="s">
        <v>918</v>
      </c>
      <c r="U42" s="258" t="s">
        <v>595</v>
      </c>
      <c r="W42" s="258" t="s">
        <v>603</v>
      </c>
      <c r="X42" s="258" t="s">
        <v>581</v>
      </c>
      <c r="Y42" s="281" t="s">
        <v>582</v>
      </c>
    </row>
    <row r="43" spans="14:25" x14ac:dyDescent="0.15">
      <c r="N43" s="281" t="s">
        <v>606</v>
      </c>
      <c r="O43" s="278"/>
      <c r="R43" s="258" t="s">
        <v>585</v>
      </c>
      <c r="S43" s="259" t="s">
        <v>569</v>
      </c>
      <c r="T43" s="258" t="s">
        <v>594</v>
      </c>
      <c r="U43" s="258" t="s">
        <v>602</v>
      </c>
      <c r="W43" s="258" t="s">
        <v>610</v>
      </c>
      <c r="X43" s="258" t="s">
        <v>589</v>
      </c>
      <c r="Y43" s="281" t="s">
        <v>590</v>
      </c>
    </row>
    <row r="44" spans="14:25" x14ac:dyDescent="0.15">
      <c r="N44" s="258" t="s">
        <v>613</v>
      </c>
      <c r="O44" s="278"/>
      <c r="R44" s="258" t="s">
        <v>593</v>
      </c>
      <c r="S44" s="259"/>
      <c r="T44" s="258" t="s">
        <v>601</v>
      </c>
      <c r="U44" s="258" t="s">
        <v>609</v>
      </c>
      <c r="W44" s="258" t="s">
        <v>617</v>
      </c>
      <c r="X44" s="258" t="s">
        <v>597</v>
      </c>
      <c r="Y44" s="281" t="s">
        <v>598</v>
      </c>
    </row>
    <row r="45" spans="14:25" x14ac:dyDescent="0.15">
      <c r="N45" s="258" t="s">
        <v>620</v>
      </c>
      <c r="O45" s="278"/>
      <c r="R45" s="258" t="s">
        <v>600</v>
      </c>
      <c r="S45" s="259"/>
      <c r="T45" s="258" t="s">
        <v>608</v>
      </c>
      <c r="U45" s="258" t="s">
        <v>616</v>
      </c>
      <c r="W45" s="258" t="s">
        <v>624</v>
      </c>
      <c r="X45" s="258" t="s">
        <v>604</v>
      </c>
      <c r="Y45" s="281" t="s">
        <v>605</v>
      </c>
    </row>
    <row r="46" spans="14:25" x14ac:dyDescent="0.15">
      <c r="N46" s="258" t="s">
        <v>627</v>
      </c>
      <c r="O46" s="278"/>
      <c r="R46" s="258" t="s">
        <v>607</v>
      </c>
      <c r="S46" s="280"/>
      <c r="T46" s="258" t="s">
        <v>615</v>
      </c>
      <c r="U46" s="258" t="s">
        <v>623</v>
      </c>
      <c r="W46" s="258" t="s">
        <v>631</v>
      </c>
      <c r="X46" s="258" t="s">
        <v>611</v>
      </c>
      <c r="Y46" s="281" t="s">
        <v>612</v>
      </c>
    </row>
    <row r="47" spans="14:25" x14ac:dyDescent="0.15">
      <c r="N47" s="258" t="s">
        <v>634</v>
      </c>
      <c r="O47" s="278"/>
      <c r="R47" s="258" t="s">
        <v>614</v>
      </c>
      <c r="S47" s="280"/>
      <c r="T47" s="258" t="s">
        <v>622</v>
      </c>
      <c r="U47" s="258" t="s">
        <v>630</v>
      </c>
      <c r="W47" s="258" t="s">
        <v>638</v>
      </c>
      <c r="X47" s="258" t="s">
        <v>618</v>
      </c>
      <c r="Y47" s="281" t="s">
        <v>619</v>
      </c>
    </row>
    <row r="48" spans="14:25" x14ac:dyDescent="0.15">
      <c r="N48" s="258" t="s">
        <v>641</v>
      </c>
      <c r="O48" s="278"/>
      <c r="R48" s="258" t="s">
        <v>621</v>
      </c>
      <c r="S48" s="280"/>
      <c r="T48" s="258" t="s">
        <v>629</v>
      </c>
      <c r="U48" s="258" t="s">
        <v>637</v>
      </c>
      <c r="W48" s="258" t="s">
        <v>645</v>
      </c>
      <c r="X48" s="258" t="s">
        <v>625</v>
      </c>
      <c r="Y48" s="281" t="s">
        <v>626</v>
      </c>
    </row>
    <row r="49" spans="14:25" x14ac:dyDescent="0.15">
      <c r="N49" s="258" t="s">
        <v>647</v>
      </c>
      <c r="O49" s="278"/>
      <c r="R49" s="258" t="s">
        <v>628</v>
      </c>
      <c r="S49" s="280"/>
      <c r="T49" s="258" t="s">
        <v>636</v>
      </c>
      <c r="U49" s="258" t="s">
        <v>644</v>
      </c>
      <c r="W49" s="258" t="s">
        <v>651</v>
      </c>
      <c r="X49" s="258" t="s">
        <v>632</v>
      </c>
      <c r="Y49" s="281" t="s">
        <v>633</v>
      </c>
    </row>
    <row r="50" spans="14:25" x14ac:dyDescent="0.15">
      <c r="N50" s="258" t="s">
        <v>654</v>
      </c>
      <c r="O50" s="278"/>
      <c r="R50" s="258" t="s">
        <v>635</v>
      </c>
      <c r="S50" s="280"/>
      <c r="T50" s="258" t="s">
        <v>643</v>
      </c>
      <c r="U50" s="258" t="s">
        <v>650</v>
      </c>
      <c r="W50" s="258" t="s">
        <v>658</v>
      </c>
      <c r="X50" s="258" t="s">
        <v>639</v>
      </c>
      <c r="Y50" s="281" t="s">
        <v>640</v>
      </c>
    </row>
    <row r="51" spans="14:25" x14ac:dyDescent="0.15">
      <c r="N51" s="258" t="s">
        <v>660</v>
      </c>
      <c r="O51" s="278"/>
      <c r="R51" s="258" t="s">
        <v>642</v>
      </c>
      <c r="S51" s="280"/>
      <c r="T51" s="258" t="s">
        <v>649</v>
      </c>
      <c r="U51" s="258" t="s">
        <v>657</v>
      </c>
      <c r="W51" s="258" t="s">
        <v>664</v>
      </c>
      <c r="X51" s="258" t="s">
        <v>646</v>
      </c>
      <c r="Y51" s="281" t="s">
        <v>1325</v>
      </c>
    </row>
    <row r="52" spans="14:25" x14ac:dyDescent="0.15">
      <c r="N52" s="258" t="s">
        <v>667</v>
      </c>
      <c r="O52" s="278"/>
      <c r="R52" s="258" t="s">
        <v>648</v>
      </c>
      <c r="S52"/>
      <c r="T52" s="258" t="s">
        <v>656</v>
      </c>
      <c r="U52" s="258" t="s">
        <v>663</v>
      </c>
      <c r="W52" s="258" t="s">
        <v>671</v>
      </c>
      <c r="X52" s="258" t="s">
        <v>652</v>
      </c>
      <c r="Y52" s="281" t="s">
        <v>818</v>
      </c>
    </row>
    <row r="53" spans="14:25" x14ac:dyDescent="0.15">
      <c r="N53" s="258"/>
      <c r="O53" s="278"/>
      <c r="R53" s="258" t="s">
        <v>655</v>
      </c>
      <c r="S53"/>
      <c r="T53" s="258" t="s">
        <v>662</v>
      </c>
      <c r="U53" s="258" t="s">
        <v>670</v>
      </c>
      <c r="W53" s="258" t="s">
        <v>676</v>
      </c>
      <c r="X53" s="258" t="s">
        <v>665</v>
      </c>
      <c r="Y53" s="281" t="s">
        <v>821</v>
      </c>
    </row>
    <row r="54" spans="14:25" x14ac:dyDescent="0.15">
      <c r="N54" s="280"/>
      <c r="O54" s="278"/>
      <c r="R54" s="258" t="s">
        <v>661</v>
      </c>
      <c r="S54"/>
      <c r="T54" s="258" t="s">
        <v>669</v>
      </c>
      <c r="U54" s="258" t="s">
        <v>675</v>
      </c>
      <c r="W54" s="258" t="s">
        <v>682</v>
      </c>
      <c r="X54" s="258" t="s">
        <v>677</v>
      </c>
      <c r="Y54" s="281" t="s">
        <v>824</v>
      </c>
    </row>
    <row r="55" spans="14:25" x14ac:dyDescent="0.15">
      <c r="O55" s="278"/>
      <c r="R55" s="258" t="s">
        <v>668</v>
      </c>
      <c r="S55"/>
      <c r="T55" s="258" t="s">
        <v>674</v>
      </c>
      <c r="U55" s="258" t="s">
        <v>681</v>
      </c>
      <c r="W55" s="258" t="s">
        <v>688</v>
      </c>
      <c r="X55" s="258" t="s">
        <v>1311</v>
      </c>
      <c r="Y55" s="281" t="s">
        <v>827</v>
      </c>
    </row>
    <row r="56" spans="14:25" x14ac:dyDescent="0.15">
      <c r="O56" s="278"/>
      <c r="R56" s="258" t="s">
        <v>673</v>
      </c>
      <c r="S56"/>
      <c r="T56" s="258" t="s">
        <v>680</v>
      </c>
      <c r="U56" s="258" t="s">
        <v>687</v>
      </c>
      <c r="W56" s="258" t="s">
        <v>694</v>
      </c>
      <c r="X56" s="258" t="s">
        <v>683</v>
      </c>
      <c r="Y56" s="281" t="s">
        <v>830</v>
      </c>
    </row>
    <row r="57" spans="14:25" x14ac:dyDescent="0.15">
      <c r="O57" s="278"/>
      <c r="R57" s="258" t="s">
        <v>679</v>
      </c>
      <c r="S57"/>
      <c r="T57" s="258" t="s">
        <v>686</v>
      </c>
      <c r="U57" s="258" t="s">
        <v>693</v>
      </c>
      <c r="W57" s="258"/>
      <c r="X57" s="258" t="s">
        <v>689</v>
      </c>
      <c r="Y57" s="281" t="s">
        <v>833</v>
      </c>
    </row>
    <row r="58" spans="14:25" x14ac:dyDescent="0.15">
      <c r="O58" s="278"/>
      <c r="R58" s="258" t="s">
        <v>685</v>
      </c>
      <c r="S58"/>
      <c r="T58" s="258" t="s">
        <v>692</v>
      </c>
      <c r="X58" s="258" t="s">
        <v>695</v>
      </c>
      <c r="Y58" s="281" t="s">
        <v>653</v>
      </c>
    </row>
    <row r="59" spans="14:25" x14ac:dyDescent="0.15">
      <c r="O59" s="278"/>
      <c r="R59" s="258" t="s">
        <v>691</v>
      </c>
      <c r="S59"/>
      <c r="T59" s="258" t="s">
        <v>698</v>
      </c>
      <c r="X59" s="258" t="s">
        <v>699</v>
      </c>
      <c r="Y59" s="281" t="s">
        <v>659</v>
      </c>
    </row>
    <row r="60" spans="14:25" x14ac:dyDescent="0.15">
      <c r="O60" s="278"/>
      <c r="R60" s="258" t="s">
        <v>697</v>
      </c>
      <c r="S60"/>
      <c r="T60" s="258" t="s">
        <v>702</v>
      </c>
      <c r="X60" s="258" t="s">
        <v>703</v>
      </c>
      <c r="Y60" s="281" t="s">
        <v>666</v>
      </c>
    </row>
    <row r="61" spans="14:25" x14ac:dyDescent="0.15">
      <c r="O61" s="278"/>
      <c r="R61" s="258" t="s">
        <v>701</v>
      </c>
      <c r="S61"/>
      <c r="T61" s="258" t="s">
        <v>706</v>
      </c>
      <c r="X61" s="258" t="s">
        <v>707</v>
      </c>
      <c r="Y61" s="281" t="s">
        <v>672</v>
      </c>
    </row>
    <row r="62" spans="14:25" x14ac:dyDescent="0.15">
      <c r="O62" s="278"/>
      <c r="R62" s="258" t="s">
        <v>705</v>
      </c>
      <c r="S62"/>
      <c r="T62" s="258" t="s">
        <v>710</v>
      </c>
      <c r="X62" s="281" t="s">
        <v>711</v>
      </c>
      <c r="Y62" s="260" t="s">
        <v>678</v>
      </c>
    </row>
    <row r="63" spans="14:25" x14ac:dyDescent="0.15">
      <c r="O63" s="278"/>
      <c r="R63" s="258" t="s">
        <v>709</v>
      </c>
      <c r="S63"/>
      <c r="T63" s="258" t="s">
        <v>714</v>
      </c>
      <c r="X63" s="281" t="s">
        <v>715</v>
      </c>
      <c r="Y63" s="260" t="s">
        <v>684</v>
      </c>
    </row>
    <row r="64" spans="14:25" x14ac:dyDescent="0.15">
      <c r="O64" s="278"/>
      <c r="R64" s="258" t="s">
        <v>713</v>
      </c>
      <c r="S64"/>
      <c r="T64" s="258" t="s">
        <v>719</v>
      </c>
      <c r="X64" s="281" t="s">
        <v>720</v>
      </c>
      <c r="Y64" s="260" t="s">
        <v>690</v>
      </c>
    </row>
    <row r="65" spans="15:25" x14ac:dyDescent="0.15">
      <c r="O65" s="278"/>
      <c r="R65" s="258" t="s">
        <v>718</v>
      </c>
      <c r="S65"/>
      <c r="T65" s="258" t="s">
        <v>723</v>
      </c>
      <c r="X65" s="281" t="s">
        <v>724</v>
      </c>
      <c r="Y65" s="260" t="s">
        <v>696</v>
      </c>
    </row>
    <row r="66" spans="15:25" x14ac:dyDescent="0.15">
      <c r="O66" s="278"/>
      <c r="R66" s="258" t="s">
        <v>722</v>
      </c>
      <c r="S66"/>
      <c r="T66" s="258" t="s">
        <v>727</v>
      </c>
      <c r="X66" s="281" t="s">
        <v>728</v>
      </c>
      <c r="Y66" s="260" t="s">
        <v>700</v>
      </c>
    </row>
    <row r="67" spans="15:25" x14ac:dyDescent="0.15">
      <c r="O67" s="278"/>
      <c r="R67" s="258" t="s">
        <v>726</v>
      </c>
      <c r="S67"/>
      <c r="T67" s="258" t="s">
        <v>731</v>
      </c>
      <c r="X67" s="281" t="s">
        <v>732</v>
      </c>
      <c r="Y67" s="260" t="s">
        <v>704</v>
      </c>
    </row>
    <row r="68" spans="15:25" x14ac:dyDescent="0.15">
      <c r="O68" s="278"/>
      <c r="R68" s="258" t="s">
        <v>730</v>
      </c>
      <c r="S68"/>
      <c r="T68" s="258" t="s">
        <v>735</v>
      </c>
      <c r="X68" s="281" t="s">
        <v>1291</v>
      </c>
      <c r="Y68" s="260" t="s">
        <v>708</v>
      </c>
    </row>
    <row r="69" spans="15:25" x14ac:dyDescent="0.15">
      <c r="O69" s="278"/>
      <c r="R69" s="258" t="s">
        <v>734</v>
      </c>
      <c r="S69"/>
      <c r="T69" s="258" t="s">
        <v>739</v>
      </c>
      <c r="X69" s="281" t="s">
        <v>1292</v>
      </c>
      <c r="Y69" s="260" t="s">
        <v>712</v>
      </c>
    </row>
    <row r="70" spans="15:25" x14ac:dyDescent="0.15">
      <c r="O70" s="278"/>
      <c r="R70" s="258" t="s">
        <v>738</v>
      </c>
      <c r="S70"/>
      <c r="T70" s="258" t="s">
        <v>743</v>
      </c>
      <c r="X70" s="281" t="s">
        <v>736</v>
      </c>
      <c r="Y70" s="260" t="s">
        <v>716</v>
      </c>
    </row>
    <row r="71" spans="15:25" x14ac:dyDescent="0.15">
      <c r="O71" s="278"/>
      <c r="R71" s="258" t="s">
        <v>742</v>
      </c>
      <c r="S71"/>
      <c r="T71" s="258" t="s">
        <v>747</v>
      </c>
      <c r="X71" s="281" t="s">
        <v>740</v>
      </c>
      <c r="Y71" s="260" t="s">
        <v>721</v>
      </c>
    </row>
    <row r="72" spans="15:25" x14ac:dyDescent="0.15">
      <c r="O72" s="278"/>
      <c r="R72" s="258" t="s">
        <v>746</v>
      </c>
      <c r="S72"/>
      <c r="T72" s="258" t="s">
        <v>751</v>
      </c>
      <c r="X72" s="281" t="s">
        <v>744</v>
      </c>
      <c r="Y72" s="260" t="s">
        <v>725</v>
      </c>
    </row>
    <row r="73" spans="15:25" x14ac:dyDescent="0.15">
      <c r="O73" s="278"/>
      <c r="R73" s="258" t="s">
        <v>750</v>
      </c>
      <c r="S73"/>
      <c r="T73" s="258" t="s">
        <v>755</v>
      </c>
      <c r="X73" s="258" t="s">
        <v>748</v>
      </c>
      <c r="Y73" s="260" t="s">
        <v>729</v>
      </c>
    </row>
    <row r="74" spans="15:25" x14ac:dyDescent="0.15">
      <c r="O74" s="278"/>
      <c r="R74" s="258" t="s">
        <v>754</v>
      </c>
      <c r="S74"/>
      <c r="T74" s="258" t="s">
        <v>759</v>
      </c>
      <c r="X74" s="258" t="s">
        <v>752</v>
      </c>
      <c r="Y74" s="260" t="s">
        <v>733</v>
      </c>
    </row>
    <row r="75" spans="15:25" x14ac:dyDescent="0.15">
      <c r="O75" s="278"/>
      <c r="R75" s="258" t="s">
        <v>758</v>
      </c>
      <c r="S75"/>
      <c r="T75" s="258" t="s">
        <v>763</v>
      </c>
      <c r="X75" s="258" t="s">
        <v>756</v>
      </c>
      <c r="Y75" s="260" t="s">
        <v>737</v>
      </c>
    </row>
    <row r="76" spans="15:25" x14ac:dyDescent="0.15">
      <c r="O76" s="278"/>
      <c r="R76" s="258" t="s">
        <v>762</v>
      </c>
      <c r="S76"/>
      <c r="T76" s="258" t="s">
        <v>767</v>
      </c>
      <c r="X76" s="258" t="s">
        <v>760</v>
      </c>
      <c r="Y76" s="260" t="s">
        <v>741</v>
      </c>
    </row>
    <row r="77" spans="15:25" x14ac:dyDescent="0.15">
      <c r="O77" s="278"/>
      <c r="R77" s="258" t="s">
        <v>766</v>
      </c>
      <c r="S77"/>
      <c r="T77" s="258" t="s">
        <v>771</v>
      </c>
      <c r="X77" s="258" t="s">
        <v>764</v>
      </c>
      <c r="Y77" s="260" t="s">
        <v>745</v>
      </c>
    </row>
    <row r="78" spans="15:25" x14ac:dyDescent="0.15">
      <c r="O78" s="278"/>
      <c r="R78" s="258" t="s">
        <v>770</v>
      </c>
      <c r="S78"/>
      <c r="T78" s="258" t="s">
        <v>775</v>
      </c>
      <c r="X78" s="258" t="s">
        <v>768</v>
      </c>
      <c r="Y78" s="260" t="s">
        <v>749</v>
      </c>
    </row>
    <row r="79" spans="15:25" x14ac:dyDescent="0.15">
      <c r="O79" s="278"/>
      <c r="R79" s="258" t="s">
        <v>774</v>
      </c>
      <c r="S79"/>
      <c r="T79" s="258" t="s">
        <v>779</v>
      </c>
      <c r="X79" s="258" t="s">
        <v>772</v>
      </c>
      <c r="Y79" s="260" t="s">
        <v>1326</v>
      </c>
    </row>
    <row r="80" spans="15:25" x14ac:dyDescent="0.15">
      <c r="O80" s="278"/>
      <c r="R80" s="258" t="s">
        <v>778</v>
      </c>
      <c r="S80"/>
      <c r="T80" s="258" t="s">
        <v>783</v>
      </c>
      <c r="X80" s="258" t="s">
        <v>776</v>
      </c>
      <c r="Y80" s="260" t="s">
        <v>753</v>
      </c>
    </row>
    <row r="81" spans="15:25" x14ac:dyDescent="0.15">
      <c r="O81" s="278"/>
      <c r="R81" s="258" t="s">
        <v>782</v>
      </c>
      <c r="S81"/>
      <c r="T81" s="258" t="s">
        <v>787</v>
      </c>
      <c r="X81" s="258" t="s">
        <v>780</v>
      </c>
      <c r="Y81" s="260" t="s">
        <v>757</v>
      </c>
    </row>
    <row r="82" spans="15:25" x14ac:dyDescent="0.15">
      <c r="O82" s="278"/>
      <c r="R82" s="258" t="s">
        <v>786</v>
      </c>
      <c r="S82"/>
      <c r="T82" s="258" t="s">
        <v>791</v>
      </c>
      <c r="X82" s="258" t="s">
        <v>784</v>
      </c>
      <c r="Y82" s="260" t="s">
        <v>761</v>
      </c>
    </row>
    <row r="83" spans="15:25" x14ac:dyDescent="0.15">
      <c r="O83" s="278"/>
      <c r="R83" s="258" t="s">
        <v>790</v>
      </c>
      <c r="S83"/>
      <c r="T83" s="258" t="s">
        <v>795</v>
      </c>
      <c r="X83" s="258" t="s">
        <v>788</v>
      </c>
      <c r="Y83" s="260" t="s">
        <v>765</v>
      </c>
    </row>
    <row r="84" spans="15:25" x14ac:dyDescent="0.15">
      <c r="O84" s="278"/>
      <c r="R84" s="258" t="s">
        <v>794</v>
      </c>
      <c r="S84"/>
      <c r="T84" s="258" t="s">
        <v>799</v>
      </c>
      <c r="X84" s="258" t="s">
        <v>792</v>
      </c>
      <c r="Y84" s="260" t="s">
        <v>769</v>
      </c>
    </row>
    <row r="85" spans="15:25" x14ac:dyDescent="0.15">
      <c r="O85" s="278"/>
      <c r="R85" s="258" t="s">
        <v>798</v>
      </c>
      <c r="S85"/>
      <c r="T85" s="258" t="s">
        <v>803</v>
      </c>
      <c r="X85" s="258" t="s">
        <v>796</v>
      </c>
      <c r="Y85" s="260" t="s">
        <v>773</v>
      </c>
    </row>
    <row r="86" spans="15:25" x14ac:dyDescent="0.15">
      <c r="O86" s="278"/>
      <c r="R86" s="258" t="s">
        <v>802</v>
      </c>
      <c r="S86"/>
      <c r="T86" s="258" t="s">
        <v>807</v>
      </c>
      <c r="X86" s="258" t="s">
        <v>800</v>
      </c>
      <c r="Y86" s="260" t="s">
        <v>777</v>
      </c>
    </row>
    <row r="87" spans="15:25" x14ac:dyDescent="0.15">
      <c r="O87" s="278"/>
      <c r="R87" s="258" t="s">
        <v>806</v>
      </c>
      <c r="S87"/>
      <c r="T87" s="258" t="s">
        <v>811</v>
      </c>
      <c r="X87" s="281" t="s">
        <v>804</v>
      </c>
      <c r="Y87" s="260" t="s">
        <v>781</v>
      </c>
    </row>
    <row r="88" spans="15:25" x14ac:dyDescent="0.15">
      <c r="O88" s="278"/>
      <c r="R88" s="258" t="s">
        <v>810</v>
      </c>
      <c r="S88"/>
      <c r="T88" s="258" t="s">
        <v>815</v>
      </c>
      <c r="X88" s="281" t="s">
        <v>808</v>
      </c>
      <c r="Y88" s="260" t="s">
        <v>785</v>
      </c>
    </row>
    <row r="89" spans="15:25" x14ac:dyDescent="0.15">
      <c r="O89" s="278"/>
      <c r="R89" s="258" t="s">
        <v>814</v>
      </c>
      <c r="S89"/>
      <c r="T89" s="258" t="s">
        <v>817</v>
      </c>
      <c r="X89" s="281" t="s">
        <v>812</v>
      </c>
      <c r="Y89" s="260" t="s">
        <v>789</v>
      </c>
    </row>
    <row r="90" spans="15:25" x14ac:dyDescent="0.15">
      <c r="O90" s="278"/>
      <c r="R90" s="258" t="s">
        <v>816</v>
      </c>
      <c r="S90"/>
      <c r="T90" s="258" t="s">
        <v>820</v>
      </c>
      <c r="X90" s="281"/>
      <c r="Y90" s="260" t="s">
        <v>793</v>
      </c>
    </row>
    <row r="91" spans="15:25" x14ac:dyDescent="0.15">
      <c r="O91" s="278"/>
      <c r="R91" s="258" t="s">
        <v>819</v>
      </c>
      <c r="S91"/>
      <c r="T91" s="258" t="s">
        <v>1309</v>
      </c>
      <c r="Y91" s="260" t="s">
        <v>797</v>
      </c>
    </row>
    <row r="92" spans="15:25" x14ac:dyDescent="0.15">
      <c r="O92" s="278"/>
      <c r="R92" s="258" t="s">
        <v>822</v>
      </c>
      <c r="S92"/>
      <c r="T92" s="258" t="s">
        <v>823</v>
      </c>
      <c r="Y92" s="260" t="s">
        <v>801</v>
      </c>
    </row>
    <row r="93" spans="15:25" x14ac:dyDescent="0.15">
      <c r="O93" s="278"/>
      <c r="R93" s="258" t="s">
        <v>825</v>
      </c>
      <c r="S93"/>
      <c r="T93" s="258" t="s">
        <v>826</v>
      </c>
      <c r="Y93" s="260" t="s">
        <v>805</v>
      </c>
    </row>
    <row r="94" spans="15:25" x14ac:dyDescent="0.15">
      <c r="O94" s="278"/>
      <c r="R94" s="258" t="s">
        <v>828</v>
      </c>
      <c r="S94"/>
      <c r="T94" s="258" t="s">
        <v>829</v>
      </c>
      <c r="Y94" s="282" t="s">
        <v>809</v>
      </c>
    </row>
    <row r="95" spans="15:25" x14ac:dyDescent="0.15">
      <c r="O95" s="278"/>
      <c r="R95" s="258" t="s">
        <v>831</v>
      </c>
      <c r="S95"/>
      <c r="T95" s="258" t="s">
        <v>832</v>
      </c>
      <c r="Y95" s="281" t="s">
        <v>813</v>
      </c>
    </row>
    <row r="96" spans="15:25" x14ac:dyDescent="0.15">
      <c r="O96" s="278"/>
      <c r="R96" s="258" t="s">
        <v>834</v>
      </c>
      <c r="S96"/>
      <c r="T96" s="258" t="s">
        <v>835</v>
      </c>
    </row>
    <row r="97" spans="15:20" x14ac:dyDescent="0.15">
      <c r="O97" s="278"/>
      <c r="R97" s="258" t="s">
        <v>836</v>
      </c>
      <c r="S97"/>
      <c r="T97" s="258" t="s">
        <v>837</v>
      </c>
    </row>
    <row r="98" spans="15:20" x14ac:dyDescent="0.15">
      <c r="O98" s="278"/>
      <c r="R98" s="258" t="s">
        <v>838</v>
      </c>
      <c r="S98"/>
      <c r="T98" s="258" t="s">
        <v>839</v>
      </c>
    </row>
    <row r="99" spans="15:20" x14ac:dyDescent="0.15">
      <c r="O99" s="278"/>
      <c r="R99" s="258" t="s">
        <v>840</v>
      </c>
      <c r="S99"/>
      <c r="T99" s="281" t="s">
        <v>841</v>
      </c>
    </row>
    <row r="100" spans="15:20" x14ac:dyDescent="0.15">
      <c r="O100" s="278"/>
      <c r="R100" s="258" t="s">
        <v>842</v>
      </c>
      <c r="S100"/>
      <c r="T100" t="s">
        <v>843</v>
      </c>
    </row>
    <row r="101" spans="15:20" x14ac:dyDescent="0.15">
      <c r="O101" s="278"/>
      <c r="R101" s="258" t="s">
        <v>844</v>
      </c>
      <c r="S101"/>
    </row>
    <row r="102" spans="15:20" x14ac:dyDescent="0.15">
      <c r="O102" s="278"/>
      <c r="R102" s="258" t="s">
        <v>1306</v>
      </c>
      <c r="S102"/>
    </row>
    <row r="103" spans="15:20" x14ac:dyDescent="0.15">
      <c r="O103" s="261"/>
      <c r="R103" s="258" t="s">
        <v>845</v>
      </c>
      <c r="S103"/>
    </row>
    <row r="104" spans="15:20" x14ac:dyDescent="0.15">
      <c r="O104" s="261"/>
      <c r="R104" s="258" t="s">
        <v>846</v>
      </c>
      <c r="S104"/>
    </row>
    <row r="105" spans="15:20" x14ac:dyDescent="0.15">
      <c r="O105" s="261"/>
      <c r="R105" s="258" t="s">
        <v>847</v>
      </c>
      <c r="S105"/>
    </row>
    <row r="106" spans="15:20" x14ac:dyDescent="0.15">
      <c r="O106" s="261"/>
      <c r="R106" s="258" t="s">
        <v>848</v>
      </c>
      <c r="S106"/>
    </row>
    <row r="107" spans="15:20" x14ac:dyDescent="0.15">
      <c r="O107" s="261"/>
      <c r="R107" s="258" t="s">
        <v>849</v>
      </c>
      <c r="S107"/>
    </row>
    <row r="108" spans="15:20" x14ac:dyDescent="0.15">
      <c r="O108" s="261"/>
      <c r="R108" s="258" t="s">
        <v>850</v>
      </c>
      <c r="S108"/>
    </row>
    <row r="109" spans="15:20" x14ac:dyDescent="0.15">
      <c r="O109" s="261"/>
      <c r="R109" s="258" t="s">
        <v>851</v>
      </c>
      <c r="S109"/>
    </row>
    <row r="110" spans="15:20" x14ac:dyDescent="0.15">
      <c r="O110" s="261"/>
      <c r="R110" s="258" t="s">
        <v>852</v>
      </c>
      <c r="S110"/>
    </row>
    <row r="111" spans="15:20" x14ac:dyDescent="0.15">
      <c r="O111" s="261"/>
      <c r="R111" s="258" t="s">
        <v>853</v>
      </c>
      <c r="S111"/>
    </row>
    <row r="112" spans="15:20" x14ac:dyDescent="0.15">
      <c r="O112" s="261"/>
      <c r="R112" s="258" t="s">
        <v>854</v>
      </c>
      <c r="S112"/>
    </row>
    <row r="113" spans="15:19" x14ac:dyDescent="0.15">
      <c r="O113" s="261"/>
      <c r="R113" s="258" t="s">
        <v>855</v>
      </c>
      <c r="S113"/>
    </row>
    <row r="114" spans="15:19" x14ac:dyDescent="0.15">
      <c r="O114" s="261"/>
      <c r="R114" s="258" t="s">
        <v>856</v>
      </c>
      <c r="S114"/>
    </row>
    <row r="115" spans="15:19" x14ac:dyDescent="0.15">
      <c r="O115" s="261"/>
      <c r="R115" s="258" t="s">
        <v>857</v>
      </c>
      <c r="S115"/>
    </row>
    <row r="116" spans="15:19" x14ac:dyDescent="0.15">
      <c r="O116" s="261"/>
      <c r="R116" s="258" t="s">
        <v>858</v>
      </c>
      <c r="S116"/>
    </row>
    <row r="117" spans="15:19" x14ac:dyDescent="0.15">
      <c r="O117" s="261"/>
      <c r="R117" s="258" t="s">
        <v>859</v>
      </c>
      <c r="S117"/>
    </row>
    <row r="118" spans="15:19" x14ac:dyDescent="0.15">
      <c r="O118" s="261"/>
      <c r="R118" s="258" t="s">
        <v>860</v>
      </c>
      <c r="S118"/>
    </row>
    <row r="119" spans="15:19" x14ac:dyDescent="0.15">
      <c r="O119" s="261"/>
      <c r="R119" s="258" t="s">
        <v>861</v>
      </c>
      <c r="S119"/>
    </row>
    <row r="120" spans="15:19" x14ac:dyDescent="0.15">
      <c r="O120" s="261"/>
      <c r="R120" s="258" t="s">
        <v>862</v>
      </c>
      <c r="S120"/>
    </row>
    <row r="121" spans="15:19" x14ac:dyDescent="0.15">
      <c r="O121" s="261"/>
      <c r="R121" s="258" t="s">
        <v>864</v>
      </c>
      <c r="S121"/>
    </row>
    <row r="122" spans="15:19" x14ac:dyDescent="0.15">
      <c r="O122" s="261"/>
      <c r="R122" s="258" t="s">
        <v>865</v>
      </c>
      <c r="S122"/>
    </row>
    <row r="123" spans="15:19" x14ac:dyDescent="0.15">
      <c r="O123" s="261"/>
      <c r="R123" s="258" t="s">
        <v>866</v>
      </c>
      <c r="S123"/>
    </row>
    <row r="124" spans="15:19" x14ac:dyDescent="0.15">
      <c r="O124" s="261"/>
      <c r="R124" s="258" t="s">
        <v>867</v>
      </c>
      <c r="S124"/>
    </row>
    <row r="125" spans="15:19" x14ac:dyDescent="0.15">
      <c r="O125" s="261"/>
      <c r="R125" s="258" t="s">
        <v>868</v>
      </c>
      <c r="S125"/>
    </row>
    <row r="126" spans="15:19" x14ac:dyDescent="0.15">
      <c r="O126" s="261"/>
      <c r="R126" s="258" t="s">
        <v>869</v>
      </c>
      <c r="S126"/>
    </row>
    <row r="127" spans="15:19" x14ac:dyDescent="0.15">
      <c r="O127" s="261"/>
      <c r="R127" s="258" t="s">
        <v>870</v>
      </c>
      <c r="S127"/>
    </row>
    <row r="128" spans="15:19" x14ac:dyDescent="0.15">
      <c r="O128" s="261"/>
      <c r="R128" s="258" t="s">
        <v>871</v>
      </c>
      <c r="S128"/>
    </row>
    <row r="129" spans="15:19" x14ac:dyDescent="0.15">
      <c r="O129" s="261"/>
      <c r="R129" s="258" t="s">
        <v>863</v>
      </c>
      <c r="S129"/>
    </row>
    <row r="130" spans="15:19" x14ac:dyDescent="0.15">
      <c r="O130" s="261"/>
      <c r="R130" s="258" t="s">
        <v>872</v>
      </c>
      <c r="S130"/>
    </row>
    <row r="131" spans="15:19" x14ac:dyDescent="0.15">
      <c r="O131" s="261"/>
      <c r="R131" s="258" t="s">
        <v>873</v>
      </c>
      <c r="S131"/>
    </row>
    <row r="132" spans="15:19" x14ac:dyDescent="0.15">
      <c r="O132" s="261"/>
      <c r="R132" s="258" t="s">
        <v>874</v>
      </c>
      <c r="S132"/>
    </row>
    <row r="133" spans="15:19" x14ac:dyDescent="0.15">
      <c r="O133" s="261"/>
      <c r="R133" s="258" t="s">
        <v>875</v>
      </c>
      <c r="S133"/>
    </row>
    <row r="134" spans="15:19" x14ac:dyDescent="0.15">
      <c r="O134" s="261"/>
      <c r="R134" s="258" t="s">
        <v>876</v>
      </c>
      <c r="S134"/>
    </row>
    <row r="135" spans="15:19" x14ac:dyDescent="0.15">
      <c r="O135" s="261"/>
      <c r="R135" s="258" t="s">
        <v>877</v>
      </c>
      <c r="S135"/>
    </row>
    <row r="136" spans="15:19" x14ac:dyDescent="0.15">
      <c r="O136" s="261"/>
      <c r="R136" s="258" t="s">
        <v>878</v>
      </c>
      <c r="S136"/>
    </row>
    <row r="137" spans="15:19" x14ac:dyDescent="0.15">
      <c r="O137" s="261"/>
      <c r="R137" s="258" t="s">
        <v>879</v>
      </c>
      <c r="S137"/>
    </row>
    <row r="138" spans="15:19" x14ac:dyDescent="0.15">
      <c r="O138" s="261"/>
      <c r="R138" s="258" t="s">
        <v>880</v>
      </c>
      <c r="S138"/>
    </row>
    <row r="139" spans="15:19" x14ac:dyDescent="0.15">
      <c r="O139" s="261"/>
      <c r="R139" s="258" t="s">
        <v>881</v>
      </c>
      <c r="S139"/>
    </row>
    <row r="140" spans="15:19" x14ac:dyDescent="0.15">
      <c r="O140" s="261"/>
      <c r="R140" s="258" t="s">
        <v>882</v>
      </c>
      <c r="S140"/>
    </row>
    <row r="141" spans="15:19" x14ac:dyDescent="0.15">
      <c r="O141" s="261"/>
      <c r="R141" s="258" t="s">
        <v>883</v>
      </c>
      <c r="S141"/>
    </row>
    <row r="142" spans="15:19" x14ac:dyDescent="0.15">
      <c r="O142" s="261"/>
      <c r="R142" s="258" t="s">
        <v>884</v>
      </c>
      <c r="S142"/>
    </row>
    <row r="143" spans="15:19" x14ac:dyDescent="0.15">
      <c r="O143" s="261"/>
      <c r="R143" s="258" t="s">
        <v>885</v>
      </c>
      <c r="S143"/>
    </row>
    <row r="144" spans="15:19" x14ac:dyDescent="0.15">
      <c r="O144" s="261"/>
      <c r="R144" s="258" t="s">
        <v>886</v>
      </c>
      <c r="S144"/>
    </row>
    <row r="145" spans="15:19" x14ac:dyDescent="0.15">
      <c r="O145" s="261"/>
      <c r="R145" s="258" t="s">
        <v>887</v>
      </c>
      <c r="S145"/>
    </row>
    <row r="146" spans="15:19" x14ac:dyDescent="0.15">
      <c r="O146" s="261"/>
      <c r="R146" s="258" t="s">
        <v>888</v>
      </c>
      <c r="S146"/>
    </row>
    <row r="147" spans="15:19" x14ac:dyDescent="0.15">
      <c r="O147" s="261"/>
      <c r="R147" s="258" t="s">
        <v>889</v>
      </c>
      <c r="S147"/>
    </row>
    <row r="148" spans="15:19" x14ac:dyDescent="0.15">
      <c r="O148" s="261"/>
      <c r="R148" t="s">
        <v>890</v>
      </c>
      <c r="S148"/>
    </row>
    <row r="149" spans="15:19" x14ac:dyDescent="0.15">
      <c r="S149"/>
    </row>
    <row r="150" spans="15:19" x14ac:dyDescent="0.15">
      <c r="S150"/>
    </row>
    <row r="151" spans="15:19" x14ac:dyDescent="0.15">
      <c r="S151"/>
    </row>
    <row r="152" spans="15:19" x14ac:dyDescent="0.15">
      <c r="S152"/>
    </row>
    <row r="153" spans="15:19" x14ac:dyDescent="0.15">
      <c r="S153"/>
    </row>
    <row r="154" spans="15:19" x14ac:dyDescent="0.15">
      <c r="S154"/>
    </row>
    <row r="155" spans="15:19" x14ac:dyDescent="0.15">
      <c r="S155"/>
    </row>
    <row r="156" spans="15:19" x14ac:dyDescent="0.15">
      <c r="S156"/>
    </row>
    <row r="157" spans="15:19" x14ac:dyDescent="0.15">
      <c r="S157"/>
    </row>
    <row r="158" spans="15:19" x14ac:dyDescent="0.15">
      <c r="S158"/>
    </row>
    <row r="159" spans="15:19" x14ac:dyDescent="0.15">
      <c r="S159"/>
    </row>
    <row r="160" spans="15:19" x14ac:dyDescent="0.15">
      <c r="S160"/>
    </row>
    <row r="161" spans="19:19" x14ac:dyDescent="0.15">
      <c r="S161"/>
    </row>
    <row r="162" spans="19:19" x14ac:dyDescent="0.15">
      <c r="S162"/>
    </row>
    <row r="163" spans="19:19" x14ac:dyDescent="0.15">
      <c r="S163"/>
    </row>
    <row r="164" spans="19:19" x14ac:dyDescent="0.15">
      <c r="S164"/>
    </row>
    <row r="165" spans="19:19" x14ac:dyDescent="0.15">
      <c r="S165"/>
    </row>
    <row r="166" spans="19:19" x14ac:dyDescent="0.15">
      <c r="S166"/>
    </row>
    <row r="167" spans="19:19" x14ac:dyDescent="0.15">
      <c r="S167"/>
    </row>
    <row r="168" spans="19:19" x14ac:dyDescent="0.15">
      <c r="S168"/>
    </row>
    <row r="169" spans="19:19" x14ac:dyDescent="0.15">
      <c r="S169"/>
    </row>
    <row r="170" spans="19:19" x14ac:dyDescent="0.15">
      <c r="S170"/>
    </row>
    <row r="171" spans="19:19" x14ac:dyDescent="0.15">
      <c r="S171"/>
    </row>
    <row r="172" spans="19:19" x14ac:dyDescent="0.15">
      <c r="S172"/>
    </row>
    <row r="173" spans="19:19" x14ac:dyDescent="0.15">
      <c r="S173"/>
    </row>
    <row r="174" spans="19:19" x14ac:dyDescent="0.15">
      <c r="S174"/>
    </row>
    <row r="175" spans="19:19" x14ac:dyDescent="0.15">
      <c r="S175"/>
    </row>
    <row r="176" spans="19:19" x14ac:dyDescent="0.15">
      <c r="S176"/>
    </row>
    <row r="177" spans="19:19" x14ac:dyDescent="0.15">
      <c r="S177"/>
    </row>
    <row r="178" spans="19:19" x14ac:dyDescent="0.15">
      <c r="S178"/>
    </row>
    <row r="179" spans="19:19" x14ac:dyDescent="0.15">
      <c r="S179"/>
    </row>
    <row r="180" spans="19:19" x14ac:dyDescent="0.15">
      <c r="S180"/>
    </row>
    <row r="181" spans="19:19" x14ac:dyDescent="0.15">
      <c r="S181"/>
    </row>
    <row r="182" spans="19:19" x14ac:dyDescent="0.15">
      <c r="S182"/>
    </row>
    <row r="183" spans="19:19" x14ac:dyDescent="0.15">
      <c r="S183"/>
    </row>
    <row r="184" spans="19:19" x14ac:dyDescent="0.15">
      <c r="S184"/>
    </row>
    <row r="185" spans="19:19" x14ac:dyDescent="0.15">
      <c r="S185"/>
    </row>
    <row r="186" spans="19:19" x14ac:dyDescent="0.15">
      <c r="S186"/>
    </row>
    <row r="187" spans="19:19" x14ac:dyDescent="0.15">
      <c r="S187"/>
    </row>
    <row r="188" spans="19:19" x14ac:dyDescent="0.15">
      <c r="S188"/>
    </row>
    <row r="189" spans="19:19" x14ac:dyDescent="0.15">
      <c r="S189"/>
    </row>
    <row r="190" spans="19:19" x14ac:dyDescent="0.15">
      <c r="S190"/>
    </row>
    <row r="191" spans="19:19" x14ac:dyDescent="0.15">
      <c r="S191"/>
    </row>
    <row r="192" spans="19:19" x14ac:dyDescent="0.15">
      <c r="S192"/>
    </row>
    <row r="193" spans="19:19" x14ac:dyDescent="0.15">
      <c r="S193"/>
    </row>
    <row r="194" spans="19:19" x14ac:dyDescent="0.15">
      <c r="S194"/>
    </row>
    <row r="195" spans="19:19" x14ac:dyDescent="0.15">
      <c r="S195"/>
    </row>
    <row r="196" spans="19:19" x14ac:dyDescent="0.15">
      <c r="S196"/>
    </row>
    <row r="197" spans="19:19" x14ac:dyDescent="0.15">
      <c r="S197"/>
    </row>
    <row r="198" spans="19:19" x14ac:dyDescent="0.15">
      <c r="S198"/>
    </row>
    <row r="199" spans="19:19" x14ac:dyDescent="0.15">
      <c r="S199"/>
    </row>
    <row r="200" spans="19:19" x14ac:dyDescent="0.15">
      <c r="S200"/>
    </row>
    <row r="201" spans="19:19" x14ac:dyDescent="0.15">
      <c r="S201"/>
    </row>
    <row r="202" spans="19:19" x14ac:dyDescent="0.15">
      <c r="S202"/>
    </row>
    <row r="203" spans="19:19" x14ac:dyDescent="0.15">
      <c r="S203"/>
    </row>
    <row r="204" spans="19:19" x14ac:dyDescent="0.15">
      <c r="S204"/>
    </row>
    <row r="205" spans="19:19" x14ac:dyDescent="0.15">
      <c r="S205"/>
    </row>
    <row r="206" spans="19:19" x14ac:dyDescent="0.15">
      <c r="S206"/>
    </row>
    <row r="207" spans="19:19" x14ac:dyDescent="0.15">
      <c r="S207"/>
    </row>
    <row r="208" spans="19:19" x14ac:dyDescent="0.15">
      <c r="S208"/>
    </row>
    <row r="209" spans="19:19" x14ac:dyDescent="0.15">
      <c r="S209"/>
    </row>
    <row r="210" spans="19:19" x14ac:dyDescent="0.15">
      <c r="S210"/>
    </row>
    <row r="211" spans="19:19" x14ac:dyDescent="0.15">
      <c r="S211"/>
    </row>
    <row r="212" spans="19:19" x14ac:dyDescent="0.15">
      <c r="S212"/>
    </row>
    <row r="213" spans="19:19" x14ac:dyDescent="0.15">
      <c r="S213"/>
    </row>
    <row r="214" spans="19:19" x14ac:dyDescent="0.15">
      <c r="S214"/>
    </row>
    <row r="215" spans="19:19" x14ac:dyDescent="0.15">
      <c r="S215"/>
    </row>
    <row r="216" spans="19:19" x14ac:dyDescent="0.15">
      <c r="S216"/>
    </row>
    <row r="217" spans="19:19" x14ac:dyDescent="0.15">
      <c r="S217"/>
    </row>
    <row r="218" spans="19:19" x14ac:dyDescent="0.15">
      <c r="S218"/>
    </row>
    <row r="219" spans="19:19" x14ac:dyDescent="0.15">
      <c r="S219"/>
    </row>
    <row r="220" spans="19:19" x14ac:dyDescent="0.15">
      <c r="S220"/>
    </row>
    <row r="221" spans="19:19" x14ac:dyDescent="0.15">
      <c r="S221"/>
    </row>
    <row r="222" spans="19:19" x14ac:dyDescent="0.15">
      <c r="S222"/>
    </row>
    <row r="223" spans="19:19" x14ac:dyDescent="0.15">
      <c r="S223"/>
    </row>
    <row r="224" spans="19:19" x14ac:dyDescent="0.15">
      <c r="S224"/>
    </row>
    <row r="225" spans="19:19" x14ac:dyDescent="0.15">
      <c r="S225"/>
    </row>
    <row r="226" spans="19:19" x14ac:dyDescent="0.15">
      <c r="S226"/>
    </row>
    <row r="227" spans="19:19" x14ac:dyDescent="0.15">
      <c r="S227"/>
    </row>
    <row r="228" spans="19:19" x14ac:dyDescent="0.15">
      <c r="S228"/>
    </row>
    <row r="229" spans="19:19" x14ac:dyDescent="0.15">
      <c r="S229"/>
    </row>
    <row r="230" spans="19:19" x14ac:dyDescent="0.15">
      <c r="S230"/>
    </row>
    <row r="231" spans="19:19" x14ac:dyDescent="0.15">
      <c r="S231"/>
    </row>
    <row r="232" spans="19:19" x14ac:dyDescent="0.15">
      <c r="S232"/>
    </row>
    <row r="233" spans="19:19" x14ac:dyDescent="0.15">
      <c r="S233"/>
    </row>
    <row r="234" spans="19:19" x14ac:dyDescent="0.15">
      <c r="S234"/>
    </row>
    <row r="235" spans="19:19" x14ac:dyDescent="0.15">
      <c r="S235"/>
    </row>
    <row r="236" spans="19:19" x14ac:dyDescent="0.15">
      <c r="S236"/>
    </row>
    <row r="237" spans="19:19" x14ac:dyDescent="0.15">
      <c r="S237"/>
    </row>
    <row r="238" spans="19:19" x14ac:dyDescent="0.15">
      <c r="S238"/>
    </row>
    <row r="239" spans="19:19" x14ac:dyDescent="0.15">
      <c r="S239"/>
    </row>
    <row r="240" spans="19:19" x14ac:dyDescent="0.15">
      <c r="S240"/>
    </row>
    <row r="241" spans="19:19" x14ac:dyDescent="0.15">
      <c r="S241"/>
    </row>
    <row r="242" spans="19:19" x14ac:dyDescent="0.15">
      <c r="S242"/>
    </row>
    <row r="243" spans="19:19" x14ac:dyDescent="0.15">
      <c r="S243"/>
    </row>
    <row r="244" spans="19:19" x14ac:dyDescent="0.15">
      <c r="S244"/>
    </row>
    <row r="245" spans="19:19" x14ac:dyDescent="0.15">
      <c r="S245"/>
    </row>
    <row r="246" spans="19:19" x14ac:dyDescent="0.15">
      <c r="S246"/>
    </row>
    <row r="247" spans="19:19" x14ac:dyDescent="0.15">
      <c r="S247"/>
    </row>
    <row r="248" spans="19:19" x14ac:dyDescent="0.15">
      <c r="S248"/>
    </row>
    <row r="249" spans="19:19" x14ac:dyDescent="0.15">
      <c r="S249"/>
    </row>
    <row r="250" spans="19:19" x14ac:dyDescent="0.15">
      <c r="S250"/>
    </row>
    <row r="251" spans="19:19" x14ac:dyDescent="0.15">
      <c r="S251"/>
    </row>
    <row r="252" spans="19:19" x14ac:dyDescent="0.15">
      <c r="S252"/>
    </row>
    <row r="253" spans="19:19" x14ac:dyDescent="0.15">
      <c r="S253"/>
    </row>
    <row r="254" spans="19:19" x14ac:dyDescent="0.15">
      <c r="S254"/>
    </row>
    <row r="255" spans="19:19" x14ac:dyDescent="0.15">
      <c r="S255"/>
    </row>
    <row r="256" spans="19:19" x14ac:dyDescent="0.15">
      <c r="S256"/>
    </row>
    <row r="257" spans="19:19" x14ac:dyDescent="0.15">
      <c r="S257"/>
    </row>
    <row r="258" spans="19:19" x14ac:dyDescent="0.15">
      <c r="S258"/>
    </row>
    <row r="259" spans="19:19" x14ac:dyDescent="0.15">
      <c r="S259"/>
    </row>
    <row r="260" spans="19:19" x14ac:dyDescent="0.15">
      <c r="S260"/>
    </row>
    <row r="261" spans="19:19" x14ac:dyDescent="0.15">
      <c r="S261"/>
    </row>
    <row r="262" spans="19:19" x14ac:dyDescent="0.15">
      <c r="S262"/>
    </row>
    <row r="263" spans="19:19" x14ac:dyDescent="0.15">
      <c r="S263"/>
    </row>
    <row r="264" spans="19:19" x14ac:dyDescent="0.15">
      <c r="S264"/>
    </row>
    <row r="265" spans="19:19" x14ac:dyDescent="0.15">
      <c r="S265"/>
    </row>
    <row r="266" spans="19:19" x14ac:dyDescent="0.15">
      <c r="S266"/>
    </row>
    <row r="267" spans="19:19" x14ac:dyDescent="0.15">
      <c r="S267"/>
    </row>
    <row r="268" spans="19:19" x14ac:dyDescent="0.15">
      <c r="S268"/>
    </row>
    <row r="269" spans="19:19" x14ac:dyDescent="0.15">
      <c r="S269"/>
    </row>
    <row r="270" spans="19:19" x14ac:dyDescent="0.15">
      <c r="S270"/>
    </row>
    <row r="271" spans="19:19" x14ac:dyDescent="0.15">
      <c r="S271"/>
    </row>
    <row r="272" spans="19:19" x14ac:dyDescent="0.15">
      <c r="S272"/>
    </row>
    <row r="273" spans="19:19" x14ac:dyDescent="0.15">
      <c r="S273"/>
    </row>
    <row r="274" spans="19:19" x14ac:dyDescent="0.15">
      <c r="S274"/>
    </row>
    <row r="275" spans="19:19" x14ac:dyDescent="0.15">
      <c r="S275"/>
    </row>
    <row r="276" spans="19:19" x14ac:dyDescent="0.15">
      <c r="S276"/>
    </row>
    <row r="277" spans="19:19" x14ac:dyDescent="0.15">
      <c r="S277"/>
    </row>
    <row r="278" spans="19:19" x14ac:dyDescent="0.15">
      <c r="S278"/>
    </row>
    <row r="279" spans="19:19" x14ac:dyDescent="0.15">
      <c r="S279"/>
    </row>
    <row r="280" spans="19:19" x14ac:dyDescent="0.15">
      <c r="S280"/>
    </row>
    <row r="281" spans="19:19" x14ac:dyDescent="0.15">
      <c r="S281"/>
    </row>
    <row r="282" spans="19:19" x14ac:dyDescent="0.15">
      <c r="S282"/>
    </row>
    <row r="283" spans="19:19" x14ac:dyDescent="0.15">
      <c r="S283"/>
    </row>
    <row r="284" spans="19:19" x14ac:dyDescent="0.15">
      <c r="S284"/>
    </row>
    <row r="285" spans="19:19" x14ac:dyDescent="0.15">
      <c r="S285"/>
    </row>
    <row r="286" spans="19:19" x14ac:dyDescent="0.15">
      <c r="S286"/>
    </row>
    <row r="287" spans="19:19" x14ac:dyDescent="0.15">
      <c r="S287"/>
    </row>
    <row r="288" spans="19:19" x14ac:dyDescent="0.15">
      <c r="S288"/>
    </row>
    <row r="289" spans="19:19" x14ac:dyDescent="0.15">
      <c r="S289"/>
    </row>
    <row r="290" spans="19:19" x14ac:dyDescent="0.15">
      <c r="S290"/>
    </row>
    <row r="291" spans="19:19" x14ac:dyDescent="0.15">
      <c r="S291"/>
    </row>
    <row r="292" spans="19:19" x14ac:dyDescent="0.15">
      <c r="S292"/>
    </row>
    <row r="293" spans="19:19" x14ac:dyDescent="0.15">
      <c r="S293"/>
    </row>
    <row r="294" spans="19:19" x14ac:dyDescent="0.15">
      <c r="S294"/>
    </row>
    <row r="295" spans="19:19" x14ac:dyDescent="0.15">
      <c r="S295"/>
    </row>
    <row r="296" spans="19:19" x14ac:dyDescent="0.15">
      <c r="S296"/>
    </row>
    <row r="297" spans="19:19" x14ac:dyDescent="0.15">
      <c r="S297"/>
    </row>
    <row r="298" spans="19:19" x14ac:dyDescent="0.15">
      <c r="S298"/>
    </row>
    <row r="299" spans="19:19" x14ac:dyDescent="0.15">
      <c r="S299"/>
    </row>
    <row r="300" spans="19:19" x14ac:dyDescent="0.15">
      <c r="S300"/>
    </row>
    <row r="301" spans="19:19" x14ac:dyDescent="0.15">
      <c r="S301"/>
    </row>
    <row r="302" spans="19:19" x14ac:dyDescent="0.15">
      <c r="S302"/>
    </row>
    <row r="303" spans="19:19" x14ac:dyDescent="0.15">
      <c r="S303"/>
    </row>
    <row r="304" spans="19:19" x14ac:dyDescent="0.15">
      <c r="S304"/>
    </row>
    <row r="305" spans="19:19" x14ac:dyDescent="0.15">
      <c r="S305"/>
    </row>
    <row r="306" spans="19:19" x14ac:dyDescent="0.15">
      <c r="S306"/>
    </row>
    <row r="307" spans="19:19" x14ac:dyDescent="0.15">
      <c r="S307"/>
    </row>
    <row r="308" spans="19:19" x14ac:dyDescent="0.15">
      <c r="S308"/>
    </row>
    <row r="309" spans="19:19" x14ac:dyDescent="0.15">
      <c r="S309"/>
    </row>
    <row r="310" spans="19:19" x14ac:dyDescent="0.15">
      <c r="S310"/>
    </row>
    <row r="311" spans="19:19" x14ac:dyDescent="0.15">
      <c r="S311"/>
    </row>
    <row r="312" spans="19:19" x14ac:dyDescent="0.15">
      <c r="S312"/>
    </row>
    <row r="313" spans="19:19" x14ac:dyDescent="0.15">
      <c r="S313"/>
    </row>
    <row r="314" spans="19:19" x14ac:dyDescent="0.15">
      <c r="S314"/>
    </row>
    <row r="315" spans="19:19" x14ac:dyDescent="0.15">
      <c r="S315"/>
    </row>
    <row r="316" spans="19:19" x14ac:dyDescent="0.15">
      <c r="S316"/>
    </row>
    <row r="317" spans="19:19" x14ac:dyDescent="0.15">
      <c r="S317"/>
    </row>
    <row r="318" spans="19:19" x14ac:dyDescent="0.15">
      <c r="S318"/>
    </row>
    <row r="319" spans="19:19" x14ac:dyDescent="0.15">
      <c r="S319"/>
    </row>
    <row r="320" spans="19:19" x14ac:dyDescent="0.15">
      <c r="S320"/>
    </row>
    <row r="321" spans="19:19" x14ac:dyDescent="0.15">
      <c r="S321"/>
    </row>
    <row r="322" spans="19:19" x14ac:dyDescent="0.15">
      <c r="S322"/>
    </row>
    <row r="323" spans="19:19" x14ac:dyDescent="0.15">
      <c r="S323"/>
    </row>
    <row r="324" spans="19:19" x14ac:dyDescent="0.15">
      <c r="S324"/>
    </row>
    <row r="325" spans="19:19" x14ac:dyDescent="0.15">
      <c r="S325"/>
    </row>
    <row r="326" spans="19:19" x14ac:dyDescent="0.15">
      <c r="S326"/>
    </row>
    <row r="327" spans="19:19" x14ac:dyDescent="0.15">
      <c r="S327"/>
    </row>
    <row r="328" spans="19:19" x14ac:dyDescent="0.15">
      <c r="S328"/>
    </row>
    <row r="329" spans="19:19" x14ac:dyDescent="0.15">
      <c r="S329"/>
    </row>
    <row r="330" spans="19:19" x14ac:dyDescent="0.15">
      <c r="S330"/>
    </row>
    <row r="331" spans="19:19" x14ac:dyDescent="0.15">
      <c r="S331"/>
    </row>
    <row r="332" spans="19:19" x14ac:dyDescent="0.15">
      <c r="S332"/>
    </row>
    <row r="333" spans="19:19" x14ac:dyDescent="0.15">
      <c r="S333"/>
    </row>
    <row r="334" spans="19:19" x14ac:dyDescent="0.15">
      <c r="S334"/>
    </row>
    <row r="335" spans="19:19" x14ac:dyDescent="0.15">
      <c r="S335"/>
    </row>
    <row r="336" spans="19:19" x14ac:dyDescent="0.15">
      <c r="S336"/>
    </row>
    <row r="337" spans="19:19" x14ac:dyDescent="0.15">
      <c r="S337"/>
    </row>
    <row r="338" spans="19:19" x14ac:dyDescent="0.15">
      <c r="S338"/>
    </row>
    <row r="339" spans="19:19" x14ac:dyDescent="0.15">
      <c r="S339"/>
    </row>
    <row r="340" spans="19:19" x14ac:dyDescent="0.15">
      <c r="S340"/>
    </row>
    <row r="341" spans="19:19" x14ac:dyDescent="0.15">
      <c r="S341"/>
    </row>
    <row r="342" spans="19:19" x14ac:dyDescent="0.15">
      <c r="S342"/>
    </row>
    <row r="343" spans="19:19" x14ac:dyDescent="0.15">
      <c r="S343"/>
    </row>
    <row r="344" spans="19:19" x14ac:dyDescent="0.15">
      <c r="S344"/>
    </row>
    <row r="345" spans="19:19" x14ac:dyDescent="0.15">
      <c r="S345"/>
    </row>
    <row r="346" spans="19:19" x14ac:dyDescent="0.15">
      <c r="S346"/>
    </row>
    <row r="347" spans="19:19" x14ac:dyDescent="0.15">
      <c r="S347"/>
    </row>
    <row r="348" spans="19:19" x14ac:dyDescent="0.15">
      <c r="S348"/>
    </row>
    <row r="349" spans="19:19" x14ac:dyDescent="0.15">
      <c r="S349"/>
    </row>
    <row r="350" spans="19:19" x14ac:dyDescent="0.15">
      <c r="S350"/>
    </row>
    <row r="351" spans="19:19" x14ac:dyDescent="0.15">
      <c r="S351"/>
    </row>
    <row r="352" spans="19:19" x14ac:dyDescent="0.15">
      <c r="S352"/>
    </row>
    <row r="353" spans="19:19" x14ac:dyDescent="0.15">
      <c r="S353"/>
    </row>
    <row r="354" spans="19:19" x14ac:dyDescent="0.15">
      <c r="S354"/>
    </row>
    <row r="355" spans="19:19" x14ac:dyDescent="0.15">
      <c r="S355"/>
    </row>
    <row r="356" spans="19:19" x14ac:dyDescent="0.15">
      <c r="S356"/>
    </row>
    <row r="357" spans="19:19" x14ac:dyDescent="0.15">
      <c r="S357"/>
    </row>
    <row r="358" spans="19:19" x14ac:dyDescent="0.15">
      <c r="S358"/>
    </row>
    <row r="359" spans="19:19" x14ac:dyDescent="0.15">
      <c r="S359"/>
    </row>
    <row r="360" spans="19:19" x14ac:dyDescent="0.15">
      <c r="S360"/>
    </row>
    <row r="361" spans="19:19" x14ac:dyDescent="0.15">
      <c r="S361"/>
    </row>
    <row r="362" spans="19:19" x14ac:dyDescent="0.15">
      <c r="S362"/>
    </row>
    <row r="363" spans="19:19" x14ac:dyDescent="0.15">
      <c r="S363"/>
    </row>
    <row r="364" spans="19:19" x14ac:dyDescent="0.15">
      <c r="S364"/>
    </row>
    <row r="365" spans="19:19" x14ac:dyDescent="0.15">
      <c r="S365"/>
    </row>
    <row r="366" spans="19:19" x14ac:dyDescent="0.15">
      <c r="S366"/>
    </row>
    <row r="367" spans="19:19" x14ac:dyDescent="0.15">
      <c r="S367"/>
    </row>
    <row r="368" spans="19:19" x14ac:dyDescent="0.15">
      <c r="S368"/>
    </row>
    <row r="369" spans="19:19" x14ac:dyDescent="0.15">
      <c r="S369"/>
    </row>
    <row r="370" spans="19:19" x14ac:dyDescent="0.15">
      <c r="S370"/>
    </row>
    <row r="371" spans="19:19" x14ac:dyDescent="0.15">
      <c r="S371"/>
    </row>
    <row r="372" spans="19:19" x14ac:dyDescent="0.15">
      <c r="S372"/>
    </row>
    <row r="373" spans="19:19" x14ac:dyDescent="0.15">
      <c r="S373"/>
    </row>
    <row r="374" spans="19:19" x14ac:dyDescent="0.15">
      <c r="S374"/>
    </row>
    <row r="375" spans="19:19" x14ac:dyDescent="0.15">
      <c r="S375"/>
    </row>
    <row r="376" spans="19:19" x14ac:dyDescent="0.15">
      <c r="S376"/>
    </row>
    <row r="377" spans="19:19" x14ac:dyDescent="0.15">
      <c r="S377"/>
    </row>
    <row r="378" spans="19:19" x14ac:dyDescent="0.15">
      <c r="S378"/>
    </row>
    <row r="379" spans="19:19" x14ac:dyDescent="0.15">
      <c r="S379"/>
    </row>
    <row r="380" spans="19:19" x14ac:dyDescent="0.15">
      <c r="S380"/>
    </row>
    <row r="381" spans="19:19" x14ac:dyDescent="0.15">
      <c r="S381"/>
    </row>
    <row r="382" spans="19:19" x14ac:dyDescent="0.15">
      <c r="S382"/>
    </row>
    <row r="383" spans="19:19" x14ac:dyDescent="0.15">
      <c r="S383"/>
    </row>
    <row r="384" spans="19:19" x14ac:dyDescent="0.15">
      <c r="S384"/>
    </row>
    <row r="385" spans="19:19" x14ac:dyDescent="0.15">
      <c r="S385"/>
    </row>
    <row r="386" spans="19:19" x14ac:dyDescent="0.15">
      <c r="S386"/>
    </row>
    <row r="387" spans="19:19" x14ac:dyDescent="0.15">
      <c r="S387"/>
    </row>
    <row r="388" spans="19:19" x14ac:dyDescent="0.15">
      <c r="S388"/>
    </row>
    <row r="389" spans="19:19" x14ac:dyDescent="0.15">
      <c r="S389"/>
    </row>
    <row r="390" spans="19:19" x14ac:dyDescent="0.15">
      <c r="S390"/>
    </row>
    <row r="391" spans="19:19" x14ac:dyDescent="0.15">
      <c r="S391"/>
    </row>
    <row r="392" spans="19:19" x14ac:dyDescent="0.15">
      <c r="S392"/>
    </row>
    <row r="393" spans="19:19" x14ac:dyDescent="0.15">
      <c r="S393"/>
    </row>
    <row r="394" spans="19:19" x14ac:dyDescent="0.15">
      <c r="S394"/>
    </row>
    <row r="395" spans="19:19" x14ac:dyDescent="0.15">
      <c r="S395"/>
    </row>
    <row r="396" spans="19:19" x14ac:dyDescent="0.15">
      <c r="S396"/>
    </row>
    <row r="397" spans="19:19" x14ac:dyDescent="0.15">
      <c r="S397"/>
    </row>
    <row r="398" spans="19:19" x14ac:dyDescent="0.15">
      <c r="S398"/>
    </row>
    <row r="399" spans="19:19" x14ac:dyDescent="0.15">
      <c r="S399"/>
    </row>
    <row r="400" spans="19:19" x14ac:dyDescent="0.15">
      <c r="S400"/>
    </row>
    <row r="401" spans="19:19" x14ac:dyDescent="0.15">
      <c r="S401"/>
    </row>
    <row r="402" spans="19:19" x14ac:dyDescent="0.15">
      <c r="S402"/>
    </row>
    <row r="403" spans="19:19" x14ac:dyDescent="0.15">
      <c r="S403"/>
    </row>
    <row r="404" spans="19:19" x14ac:dyDescent="0.15">
      <c r="S404"/>
    </row>
    <row r="405" spans="19:19" x14ac:dyDescent="0.15">
      <c r="S405"/>
    </row>
    <row r="406" spans="19:19" x14ac:dyDescent="0.15">
      <c r="S406"/>
    </row>
    <row r="407" spans="19:19" x14ac:dyDescent="0.15">
      <c r="S407"/>
    </row>
    <row r="408" spans="19:19" x14ac:dyDescent="0.15">
      <c r="S408"/>
    </row>
    <row r="409" spans="19:19" x14ac:dyDescent="0.15">
      <c r="S409"/>
    </row>
    <row r="410" spans="19:19" x14ac:dyDescent="0.15">
      <c r="S410"/>
    </row>
    <row r="411" spans="19:19" x14ac:dyDescent="0.15">
      <c r="S411"/>
    </row>
    <row r="412" spans="19:19" x14ac:dyDescent="0.15">
      <c r="S412"/>
    </row>
    <row r="413" spans="19:19" x14ac:dyDescent="0.15">
      <c r="S413"/>
    </row>
    <row r="414" spans="19:19" x14ac:dyDescent="0.15">
      <c r="S414"/>
    </row>
    <row r="415" spans="19:19" x14ac:dyDescent="0.15">
      <c r="S415"/>
    </row>
    <row r="416" spans="19:19" x14ac:dyDescent="0.15">
      <c r="S416"/>
    </row>
    <row r="417" spans="19:19" x14ac:dyDescent="0.15">
      <c r="S417"/>
    </row>
    <row r="418" spans="19:19" x14ac:dyDescent="0.15">
      <c r="S418"/>
    </row>
    <row r="419" spans="19:19" x14ac:dyDescent="0.15">
      <c r="S419"/>
    </row>
    <row r="420" spans="19:19" x14ac:dyDescent="0.15">
      <c r="S420"/>
    </row>
    <row r="421" spans="19:19" x14ac:dyDescent="0.15">
      <c r="S421"/>
    </row>
    <row r="422" spans="19:19" x14ac:dyDescent="0.15">
      <c r="S422"/>
    </row>
    <row r="423" spans="19:19" x14ac:dyDescent="0.15">
      <c r="S423"/>
    </row>
    <row r="424" spans="19:19" x14ac:dyDescent="0.15">
      <c r="S424"/>
    </row>
    <row r="425" spans="19:19" x14ac:dyDescent="0.15">
      <c r="S425"/>
    </row>
    <row r="426" spans="19:19" x14ac:dyDescent="0.15">
      <c r="S426"/>
    </row>
    <row r="427" spans="19:19" x14ac:dyDescent="0.15">
      <c r="S427"/>
    </row>
    <row r="428" spans="19:19" x14ac:dyDescent="0.15">
      <c r="S428"/>
    </row>
    <row r="429" spans="19:19" x14ac:dyDescent="0.15">
      <c r="S429"/>
    </row>
    <row r="430" spans="19:19" x14ac:dyDescent="0.15">
      <c r="S430"/>
    </row>
    <row r="431" spans="19:19" x14ac:dyDescent="0.15">
      <c r="S431"/>
    </row>
    <row r="432" spans="19:19" x14ac:dyDescent="0.15">
      <c r="S432"/>
    </row>
    <row r="433" spans="19:19" x14ac:dyDescent="0.15">
      <c r="S433"/>
    </row>
    <row r="434" spans="19:19" x14ac:dyDescent="0.15">
      <c r="S434"/>
    </row>
    <row r="435" spans="19:19" x14ac:dyDescent="0.15">
      <c r="S435"/>
    </row>
    <row r="436" spans="19:19" x14ac:dyDescent="0.15">
      <c r="S436"/>
    </row>
    <row r="437" spans="19:19" x14ac:dyDescent="0.15">
      <c r="S437"/>
    </row>
    <row r="438" spans="19:19" x14ac:dyDescent="0.15">
      <c r="S438"/>
    </row>
    <row r="439" spans="19:19" x14ac:dyDescent="0.15">
      <c r="S439"/>
    </row>
    <row r="440" spans="19:19" x14ac:dyDescent="0.15">
      <c r="S440"/>
    </row>
    <row r="441" spans="19:19" x14ac:dyDescent="0.15">
      <c r="S441"/>
    </row>
    <row r="442" spans="19:19" x14ac:dyDescent="0.15">
      <c r="S442"/>
    </row>
    <row r="443" spans="19:19" x14ac:dyDescent="0.15">
      <c r="S443"/>
    </row>
    <row r="444" spans="19:19" x14ac:dyDescent="0.15">
      <c r="S444"/>
    </row>
    <row r="445" spans="19:19" x14ac:dyDescent="0.15">
      <c r="S445"/>
    </row>
    <row r="446" spans="19:19" x14ac:dyDescent="0.15">
      <c r="S446"/>
    </row>
    <row r="447" spans="19:19" x14ac:dyDescent="0.15">
      <c r="S447"/>
    </row>
    <row r="448" spans="19:19" x14ac:dyDescent="0.15">
      <c r="S448"/>
    </row>
    <row r="449" spans="19:19" x14ac:dyDescent="0.15">
      <c r="S449"/>
    </row>
    <row r="450" spans="19:19" x14ac:dyDescent="0.15">
      <c r="S450"/>
    </row>
    <row r="451" spans="19:19" x14ac:dyDescent="0.15">
      <c r="S451"/>
    </row>
    <row r="452" spans="19:19" x14ac:dyDescent="0.15">
      <c r="S452"/>
    </row>
    <row r="453" spans="19:19" x14ac:dyDescent="0.15">
      <c r="S453"/>
    </row>
    <row r="454" spans="19:19" x14ac:dyDescent="0.15">
      <c r="S454"/>
    </row>
    <row r="455" spans="19:19" x14ac:dyDescent="0.15">
      <c r="S455"/>
    </row>
    <row r="456" spans="19:19" x14ac:dyDescent="0.15">
      <c r="S456"/>
    </row>
    <row r="457" spans="19:19" x14ac:dyDescent="0.15">
      <c r="S457"/>
    </row>
    <row r="458" spans="19:19" x14ac:dyDescent="0.15">
      <c r="S458"/>
    </row>
    <row r="459" spans="19:19" x14ac:dyDescent="0.15">
      <c r="S459"/>
    </row>
    <row r="460" spans="19:19" x14ac:dyDescent="0.15">
      <c r="S460"/>
    </row>
    <row r="461" spans="19:19" x14ac:dyDescent="0.15">
      <c r="S461"/>
    </row>
    <row r="462" spans="19:19" x14ac:dyDescent="0.15">
      <c r="S462"/>
    </row>
    <row r="463" spans="19:19" x14ac:dyDescent="0.15">
      <c r="S463"/>
    </row>
    <row r="464" spans="19:19" x14ac:dyDescent="0.15">
      <c r="S464"/>
    </row>
    <row r="465" spans="19:19" x14ac:dyDescent="0.15">
      <c r="S465"/>
    </row>
    <row r="466" spans="19:19" x14ac:dyDescent="0.15">
      <c r="S466"/>
    </row>
    <row r="467" spans="19:19" x14ac:dyDescent="0.15">
      <c r="S467"/>
    </row>
    <row r="468" spans="19:19" x14ac:dyDescent="0.15">
      <c r="S468"/>
    </row>
    <row r="469" spans="19:19" x14ac:dyDescent="0.15">
      <c r="S469"/>
    </row>
    <row r="470" spans="19:19" x14ac:dyDescent="0.15">
      <c r="S470"/>
    </row>
    <row r="471" spans="19:19" x14ac:dyDescent="0.15">
      <c r="S471"/>
    </row>
    <row r="472" spans="19:19" x14ac:dyDescent="0.15">
      <c r="S472"/>
    </row>
    <row r="473" spans="19:19" x14ac:dyDescent="0.15">
      <c r="S473"/>
    </row>
    <row r="474" spans="19:19" x14ac:dyDescent="0.15">
      <c r="S474"/>
    </row>
    <row r="475" spans="19:19" x14ac:dyDescent="0.15">
      <c r="S475"/>
    </row>
    <row r="476" spans="19:19" x14ac:dyDescent="0.15">
      <c r="S476"/>
    </row>
    <row r="477" spans="19:19" x14ac:dyDescent="0.15">
      <c r="S477"/>
    </row>
    <row r="478" spans="19:19" x14ac:dyDescent="0.15">
      <c r="S478"/>
    </row>
    <row r="479" spans="19:19" x14ac:dyDescent="0.15">
      <c r="S479"/>
    </row>
    <row r="480" spans="19:19" x14ac:dyDescent="0.15">
      <c r="S480"/>
    </row>
    <row r="481" spans="19:19" x14ac:dyDescent="0.15">
      <c r="S481"/>
    </row>
    <row r="482" spans="19:19" x14ac:dyDescent="0.15">
      <c r="S482"/>
    </row>
    <row r="483" spans="19:19" x14ac:dyDescent="0.15">
      <c r="S483"/>
    </row>
    <row r="484" spans="19:19" x14ac:dyDescent="0.15">
      <c r="S484"/>
    </row>
    <row r="485" spans="19:19" x14ac:dyDescent="0.15">
      <c r="S485"/>
    </row>
    <row r="486" spans="19:19" x14ac:dyDescent="0.15">
      <c r="S486"/>
    </row>
    <row r="487" spans="19:19" x14ac:dyDescent="0.15">
      <c r="S487"/>
    </row>
    <row r="488" spans="19:19" x14ac:dyDescent="0.15">
      <c r="S488"/>
    </row>
    <row r="489" spans="19:19" x14ac:dyDescent="0.15">
      <c r="S489"/>
    </row>
  </sheetData>
  <sheetProtection selectLockedCells="1" selectUnlockedCells="1"/>
  <sortState xmlns:xlrd2="http://schemas.microsoft.com/office/spreadsheetml/2017/richdata2" ref="S2:S45">
    <sortCondition ref="S45"/>
  </sortState>
  <conditionalFormatting sqref="F2:F12">
    <cfRule type="duplicateValues" dxfId="6907" priority="4350"/>
  </conditionalFormatting>
  <conditionalFormatting sqref="H3:H10">
    <cfRule type="duplicateValues" dxfId="6906" priority="4681"/>
  </conditionalFormatting>
  <conditionalFormatting sqref="F7:F12 B2 A2:A8 D2:E3 D4:D7 C2:C10 I2:J6 J7 E4:E23 J9 I7:I11 K2:L12 G2 F3:G6 G7:G16">
    <cfRule type="duplicateValues" dxfId="6905" priority="4689"/>
  </conditionalFormatting>
  <conditionalFormatting sqref="U2:U3 U34:U57">
    <cfRule type="duplicateValues" dxfId="6904" priority="61"/>
  </conditionalFormatting>
  <conditionalFormatting sqref="S33:S38 S2:S3">
    <cfRule type="duplicateValues" dxfId="6903" priority="4716"/>
  </conditionalFormatting>
  <conditionalFormatting sqref="O2">
    <cfRule type="duplicateValues" dxfId="6902" priority="57"/>
  </conditionalFormatting>
  <conditionalFormatting sqref="S31:S32 P6:Q22 R7:R139 P23:R33 P4:Y5 S6:Y9 S10:S15 T10:Y33">
    <cfRule type="duplicateValues" dxfId="6901" priority="56"/>
  </conditionalFormatting>
  <conditionalFormatting sqref="Q34">
    <cfRule type="duplicateValues" dxfId="6900" priority="55"/>
  </conditionalFormatting>
  <conditionalFormatting sqref="R17:R22">
    <cfRule type="duplicateValues" dxfId="6899" priority="54"/>
  </conditionalFormatting>
  <conditionalFormatting sqref="R6:R15">
    <cfRule type="duplicateValues" dxfId="6898" priority="53"/>
  </conditionalFormatting>
  <conditionalFormatting sqref="R16">
    <cfRule type="duplicateValues" dxfId="6897" priority="52"/>
  </conditionalFormatting>
  <conditionalFormatting sqref="T38">
    <cfRule type="duplicateValues" dxfId="6896" priority="51"/>
  </conditionalFormatting>
  <conditionalFormatting sqref="S20:S30">
    <cfRule type="duplicateValues" dxfId="6895" priority="50"/>
  </conditionalFormatting>
  <conditionalFormatting sqref="O3">
    <cfRule type="duplicateValues" dxfId="6894" priority="49"/>
  </conditionalFormatting>
  <conditionalFormatting sqref="O4">
    <cfRule type="duplicateValues" dxfId="6893" priority="48"/>
  </conditionalFormatting>
  <conditionalFormatting sqref="O5">
    <cfRule type="duplicateValues" dxfId="6892" priority="47"/>
  </conditionalFormatting>
  <conditionalFormatting sqref="O6">
    <cfRule type="duplicateValues" dxfId="6891" priority="46"/>
  </conditionalFormatting>
  <conditionalFormatting sqref="O7">
    <cfRule type="duplicateValues" dxfId="6890" priority="45"/>
  </conditionalFormatting>
  <conditionalFormatting sqref="O8">
    <cfRule type="duplicateValues" dxfId="6889" priority="44"/>
  </conditionalFormatting>
  <conditionalFormatting sqref="O9">
    <cfRule type="duplicateValues" dxfId="6888" priority="43"/>
  </conditionalFormatting>
  <conditionalFormatting sqref="O10">
    <cfRule type="duplicateValues" dxfId="6887" priority="42"/>
  </conditionalFormatting>
  <conditionalFormatting sqref="O11">
    <cfRule type="duplicateValues" dxfId="6886" priority="41"/>
  </conditionalFormatting>
  <conditionalFormatting sqref="O12">
    <cfRule type="duplicateValues" dxfId="6885" priority="40"/>
  </conditionalFormatting>
  <conditionalFormatting sqref="O13">
    <cfRule type="duplicateValues" dxfId="6884" priority="39"/>
  </conditionalFormatting>
  <conditionalFormatting sqref="O14">
    <cfRule type="duplicateValues" dxfId="6883" priority="38"/>
  </conditionalFormatting>
  <conditionalFormatting sqref="O15">
    <cfRule type="duplicateValues" dxfId="6882" priority="37"/>
  </conditionalFormatting>
  <conditionalFormatting sqref="O16">
    <cfRule type="duplicateValues" dxfId="6881" priority="36"/>
  </conditionalFormatting>
  <conditionalFormatting sqref="O17">
    <cfRule type="duplicateValues" dxfId="6880" priority="35"/>
  </conditionalFormatting>
  <conditionalFormatting sqref="O18">
    <cfRule type="duplicateValues" dxfId="6879" priority="34"/>
  </conditionalFormatting>
  <conditionalFormatting sqref="O19">
    <cfRule type="duplicateValues" dxfId="6878" priority="33"/>
  </conditionalFormatting>
  <conditionalFormatting sqref="O20">
    <cfRule type="duplicateValues" dxfId="6877" priority="32"/>
  </conditionalFormatting>
  <conditionalFormatting sqref="O21">
    <cfRule type="duplicateValues" dxfId="6876" priority="31"/>
  </conditionalFormatting>
  <conditionalFormatting sqref="O22">
    <cfRule type="duplicateValues" dxfId="6875" priority="30"/>
  </conditionalFormatting>
  <conditionalFormatting sqref="O23">
    <cfRule type="duplicateValues" dxfId="6874" priority="29"/>
  </conditionalFormatting>
  <conditionalFormatting sqref="O24">
    <cfRule type="duplicateValues" dxfId="6873" priority="28"/>
  </conditionalFormatting>
  <conditionalFormatting sqref="O25">
    <cfRule type="duplicateValues" dxfId="6872" priority="27"/>
  </conditionalFormatting>
  <conditionalFormatting sqref="O26">
    <cfRule type="duplicateValues" dxfId="6871" priority="26"/>
  </conditionalFormatting>
  <conditionalFormatting sqref="O27">
    <cfRule type="duplicateValues" dxfId="6870" priority="25"/>
  </conditionalFormatting>
  <conditionalFormatting sqref="O28">
    <cfRule type="duplicateValues" dxfId="6869" priority="24"/>
  </conditionalFormatting>
  <conditionalFormatting sqref="O29">
    <cfRule type="duplicateValues" dxfId="6868" priority="23"/>
  </conditionalFormatting>
  <conditionalFormatting sqref="O30">
    <cfRule type="duplicateValues" dxfId="6867" priority="22"/>
  </conditionalFormatting>
  <conditionalFormatting sqref="O31">
    <cfRule type="duplicateValues" dxfId="6866" priority="21"/>
  </conditionalFormatting>
  <conditionalFormatting sqref="O32">
    <cfRule type="duplicateValues" dxfId="6865" priority="20"/>
  </conditionalFormatting>
  <conditionalFormatting sqref="O33">
    <cfRule type="duplicateValues" dxfId="6864" priority="19"/>
  </conditionalFormatting>
  <conditionalFormatting sqref="O34">
    <cfRule type="duplicateValues" dxfId="6863" priority="18"/>
  </conditionalFormatting>
  <conditionalFormatting sqref="O35">
    <cfRule type="duplicateValues" dxfId="6862" priority="17"/>
  </conditionalFormatting>
  <conditionalFormatting sqref="O36">
    <cfRule type="duplicateValues" dxfId="6861" priority="16"/>
  </conditionalFormatting>
  <conditionalFormatting sqref="O37">
    <cfRule type="duplicateValues" dxfId="6860" priority="15"/>
  </conditionalFormatting>
  <conditionalFormatting sqref="O38">
    <cfRule type="duplicateValues" dxfId="6859" priority="14"/>
  </conditionalFormatting>
  <conditionalFormatting sqref="O39">
    <cfRule type="duplicateValues" dxfId="6858" priority="13"/>
  </conditionalFormatting>
  <conditionalFormatting sqref="X2">
    <cfRule type="duplicateValues" dxfId="6857" priority="8"/>
  </conditionalFormatting>
  <conditionalFormatting sqref="Y95">
    <cfRule type="duplicateValues" dxfId="6856" priority="7"/>
  </conditionalFormatting>
  <conditionalFormatting sqref="Y40:Y61">
    <cfRule type="duplicateValues" dxfId="6855" priority="6"/>
  </conditionalFormatting>
  <conditionalFormatting sqref="X62:X72">
    <cfRule type="duplicateValues" dxfId="6854" priority="5"/>
  </conditionalFormatting>
  <conditionalFormatting sqref="W2">
    <cfRule type="duplicateValues" dxfId="6853" priority="4"/>
  </conditionalFormatting>
  <conditionalFormatting sqref="S16:S19">
    <cfRule type="duplicateValues" dxfId="6852" priority="3"/>
  </conditionalFormatting>
  <conditionalFormatting sqref="S40:S43">
    <cfRule type="duplicateValues" dxfId="6851" priority="2"/>
  </conditionalFormatting>
  <conditionalFormatting sqref="U34:U43 P2:P3 N2 R34:R72 R2:V2 X3:Z3 X34:Y39 R3:U3 T34:T37 T39:T55 Z4:Z95 Y2:Z2">
    <cfRule type="duplicateValues" dxfId="6850" priority="4727"/>
  </conditionalFormatting>
  <conditionalFormatting sqref="S44:S45">
    <cfRule type="duplicateValues" dxfId="6849"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3">
    <tabColor rgb="FFE27070"/>
  </sheetPr>
  <dimension ref="A1:U7544"/>
  <sheetViews>
    <sheetView topLeftCell="B1" zoomScale="70" zoomScaleNormal="70" workbookViewId="0">
      <pane ySplit="1" topLeftCell="A2" activePane="bottomLeft" state="frozen"/>
      <selection activeCell="B20" sqref="B20"/>
      <selection pane="bottomLeft" activeCell="C6" sqref="C6"/>
    </sheetView>
  </sheetViews>
  <sheetFormatPr baseColWidth="10" defaultColWidth="8.83203125" defaultRowHeight="14" x14ac:dyDescent="0.15"/>
  <cols>
    <col min="1" max="1" width="31.83203125" bestFit="1" customWidth="1"/>
    <col min="2" max="2" width="53.5" customWidth="1"/>
    <col min="3" max="3" width="21" customWidth="1"/>
    <col min="4" max="4" width="20.5" customWidth="1"/>
    <col min="5" max="5" width="12.5" customWidth="1"/>
    <col min="6" max="6" width="17.5" style="247" bestFit="1" customWidth="1"/>
    <col min="7" max="7" width="13.5" bestFit="1" customWidth="1"/>
    <col min="8" max="8" width="18.5" bestFit="1" customWidth="1"/>
    <col min="9" max="9" width="15.5" bestFit="1" customWidth="1"/>
    <col min="10" max="10" width="18.5" bestFit="1" customWidth="1"/>
    <col min="11" max="12" width="11" customWidth="1"/>
    <col min="13" max="13" width="14.5" style="246" customWidth="1"/>
    <col min="14" max="14" width="11.83203125" bestFit="1" customWidth="1"/>
    <col min="15" max="15" width="31.5" bestFit="1" customWidth="1"/>
    <col min="16" max="16" width="26.83203125" customWidth="1"/>
    <col min="17" max="17" width="15.5" customWidth="1"/>
    <col min="18" max="18" width="19.5" customWidth="1"/>
    <col min="19" max="19" width="13.83203125" bestFit="1" customWidth="1"/>
    <col min="20" max="20" width="15.83203125" customWidth="1"/>
    <col min="21" max="21" width="12.5" customWidth="1"/>
  </cols>
  <sheetData>
    <row r="1" spans="1:21" ht="45" customHeight="1" x14ac:dyDescent="0.2">
      <c r="A1" s="235" t="s">
        <v>891</v>
      </c>
      <c r="B1" s="235" t="s">
        <v>892</v>
      </c>
      <c r="C1" s="235" t="s">
        <v>893</v>
      </c>
      <c r="D1" s="235" t="s">
        <v>894</v>
      </c>
      <c r="E1" s="235" t="s">
        <v>895</v>
      </c>
      <c r="F1" s="235" t="s">
        <v>896</v>
      </c>
      <c r="G1" s="235" t="s">
        <v>897</v>
      </c>
      <c r="H1" s="235" t="s">
        <v>898</v>
      </c>
      <c r="I1" s="235" t="s">
        <v>899</v>
      </c>
      <c r="J1" s="235" t="s">
        <v>900</v>
      </c>
      <c r="K1" s="235" t="s">
        <v>901</v>
      </c>
      <c r="L1" s="235" t="s">
        <v>902</v>
      </c>
      <c r="M1" s="235" t="s">
        <v>903</v>
      </c>
      <c r="O1" s="25" t="s">
        <v>904</v>
      </c>
      <c r="P1" s="49" t="s">
        <v>905</v>
      </c>
      <c r="Q1" s="50" t="s">
        <v>906</v>
      </c>
      <c r="R1" s="50" t="s">
        <v>907</v>
      </c>
      <c r="S1" s="51" t="s">
        <v>908</v>
      </c>
      <c r="T1" s="51" t="s">
        <v>909</v>
      </c>
      <c r="U1" s="204" t="s">
        <v>910</v>
      </c>
    </row>
    <row r="2" spans="1:21" ht="16" x14ac:dyDescent="0.2">
      <c r="A2" t="s">
        <v>20</v>
      </c>
      <c r="F2"/>
      <c r="M2"/>
      <c r="O2" s="25" t="s">
        <v>20</v>
      </c>
      <c r="P2" s="25" t="s">
        <v>32</v>
      </c>
      <c r="Q2" s="241" t="str">
        <f>IFERROR(SUM((SUMIFS('capacity data'!$G:$G,'capacity data'!$E:$E,"PO",'capacity data'!$B:$B,P2))-SUMIFS('capacity data'!$H:$H,'capacity data'!$E:$E,"PO",'capacity data'!$B:$B,P2))/SUMIFS('capacity data'!$G:$G,'capacity data'!$E:$E,"PO",'capacity data'!$B:$B,P2),"")</f>
        <v/>
      </c>
      <c r="R2" s="241" t="str">
        <f>IFERROR(SUM((SUMIFS('capacity data'!$G:$G,'capacity data'!$E:$E,"PSO",'capacity data'!$B:$B,P2))-SUMIFS('capacity data'!$H:$H,'capacity data'!$E:$E,"PSO",'capacity data'!$B:$B,P2))/SUMIFS('capacity data'!$G:$G,'capacity data'!$E:$E,"PSO",'capacity data'!$B:$B,P2),"")</f>
        <v/>
      </c>
      <c r="S2" s="24" t="str">
        <f>IFERROR((Q2-R2),"")</f>
        <v/>
      </c>
      <c r="T2" s="242" t="str">
        <f>IFERROR(SUMIFS('capacity data'!$L:$L,'capacity data'!$B:$B,P2,'capacity data'!$E:$E,"PSO")/SUMIFS('capacity data'!$G:$G,'capacity data'!$E:$E,"PSO",'capacity data'!$B:$B,P2),"")</f>
        <v/>
      </c>
      <c r="U2" s="242" t="str">
        <f>IFERROR(SUMIFS('capacity data'!$L:$L,'capacity data'!$B:$B,P2,'capacity data'!$E:$E,"TPO")/SUMIFS('capacity data'!$G:$G,'capacity data'!$E:$E,"TPO",'capacity data'!$B:$B,P2),"")</f>
        <v/>
      </c>
    </row>
    <row r="3" spans="1:21" ht="16" x14ac:dyDescent="0.2">
      <c r="A3" t="s">
        <v>20</v>
      </c>
      <c r="F3"/>
      <c r="M3"/>
      <c r="O3" s="25" t="s">
        <v>20</v>
      </c>
      <c r="P3" t="s">
        <v>54</v>
      </c>
      <c r="Q3" s="241" t="str">
        <f>IFERROR(SUM((SUMIFS('capacity data'!$G:$G,'capacity data'!$E:$E,"PO",'capacity data'!$B:$B,P3))-SUMIFS('capacity data'!$H:$H,'capacity data'!$E:$E,"PO",'capacity data'!$B:$B,P3))/SUMIFS('capacity data'!$G:$G,'capacity data'!$E:$E,"PO",'capacity data'!$B:$B,P3),"")</f>
        <v/>
      </c>
      <c r="R3" s="241" t="str">
        <f>IFERROR(SUM((SUMIFS('capacity data'!$G:$G,'capacity data'!$E:$E,"PSO",'capacity data'!$B:$B,P3))-SUMIFS('capacity data'!$H:$H,'capacity data'!$E:$E,"PSO",'capacity data'!$B:$B,P3))/SUMIFS('capacity data'!$G:$G,'capacity data'!$E:$E,"PSO",'capacity data'!$B:$B,P3),"")</f>
        <v/>
      </c>
      <c r="S3" s="24" t="str">
        <f t="shared" ref="S3:S66" si="0">IFERROR((Q3-R3),"")</f>
        <v/>
      </c>
      <c r="T3" s="242" t="str">
        <f>IFERROR(SUMIFS('capacity data'!$L:$L,'capacity data'!$B:$B,P3,'capacity data'!$E:$E,"PSO")/SUMIFS('capacity data'!$G:$G,'capacity data'!$E:$E,"PSO",'capacity data'!$B:$B,P3),"")</f>
        <v/>
      </c>
      <c r="U3" s="242" t="str">
        <f>IFERROR(SUMIFS('capacity data'!$L:$L,'capacity data'!$B:$B,P3,'capacity data'!$E:$E,"TPO")/SUMIFS('capacity data'!$G:$G,'capacity data'!$E:$E,"TPO",'capacity data'!$B:$B,P3),"")</f>
        <v/>
      </c>
    </row>
    <row r="4" spans="1:21" ht="16" x14ac:dyDescent="0.2">
      <c r="A4" t="s">
        <v>20</v>
      </c>
      <c r="F4"/>
      <c r="M4"/>
      <c r="O4" s="25" t="s">
        <v>20</v>
      </c>
      <c r="P4" t="s">
        <v>76</v>
      </c>
      <c r="Q4" s="241" t="str">
        <f>IFERROR(SUM((SUMIFS('capacity data'!$G:$G,'capacity data'!$E:$E,"PO",'capacity data'!$B:$B,P4))-SUMIFS('capacity data'!$H:$H,'capacity data'!$E:$E,"PO",'capacity data'!$B:$B,P4))/SUMIFS('capacity data'!$G:$G,'capacity data'!$E:$E,"PO",'capacity data'!$B:$B,P4),"")</f>
        <v/>
      </c>
      <c r="R4" s="241" t="str">
        <f>IFERROR(SUM((SUMIFS('capacity data'!$G:$G,'capacity data'!$E:$E,"PSO",'capacity data'!$B:$B,P4))-SUMIFS('capacity data'!$H:$H,'capacity data'!$E:$E,"PSO",'capacity data'!$B:$B,P4))/SUMIFS('capacity data'!$G:$G,'capacity data'!$E:$E,"PSO",'capacity data'!$B:$B,P4),"")</f>
        <v/>
      </c>
      <c r="S4" s="24" t="str">
        <f t="shared" si="0"/>
        <v/>
      </c>
      <c r="T4" s="242" t="str">
        <f>IFERROR(SUMIFS('capacity data'!$L:$L,'capacity data'!$B:$B,P4,'capacity data'!$E:$E,"PSO")/SUMIFS('capacity data'!$G:$G,'capacity data'!$E:$E,"PSO",'capacity data'!$B:$B,P4),"")</f>
        <v/>
      </c>
      <c r="U4" s="242" t="str">
        <f>IFERROR(SUMIFS('capacity data'!$L:$L,'capacity data'!$B:$B,P4,'capacity data'!$E:$E,"TPO")/SUMIFS('capacity data'!$G:$G,'capacity data'!$E:$E,"TPO",'capacity data'!$B:$B,P4),"")</f>
        <v/>
      </c>
    </row>
    <row r="5" spans="1:21" ht="16" x14ac:dyDescent="0.2">
      <c r="A5" t="s">
        <v>20</v>
      </c>
      <c r="F5"/>
      <c r="M5"/>
      <c r="O5" s="25" t="s">
        <v>20</v>
      </c>
      <c r="P5" t="s">
        <v>99</v>
      </c>
      <c r="Q5" s="241" t="str">
        <f>IFERROR(SUM((SUMIFS('capacity data'!$G:$G,'capacity data'!$E:$E,"PO",'capacity data'!$B:$B,P5))-SUMIFS('capacity data'!$H:$H,'capacity data'!$E:$E,"PO",'capacity data'!$B:$B,P5))/SUMIFS('capacity data'!$G:$G,'capacity data'!$E:$E,"PO",'capacity data'!$B:$B,P5),"")</f>
        <v/>
      </c>
      <c r="R5" s="241" t="str">
        <f>IFERROR(SUM((SUMIFS('capacity data'!$G:$G,'capacity data'!$E:$E,"PSO",'capacity data'!$B:$B,P5))-SUMIFS('capacity data'!$H:$H,'capacity data'!$E:$E,"PSO",'capacity data'!$B:$B,P5))/SUMIFS('capacity data'!$G:$G,'capacity data'!$E:$E,"PSO",'capacity data'!$B:$B,P5),"")</f>
        <v/>
      </c>
      <c r="S5" s="24" t="str">
        <f t="shared" si="0"/>
        <v/>
      </c>
      <c r="T5" s="242" t="str">
        <f>IFERROR(SUMIFS('capacity data'!$L:$L,'capacity data'!$B:$B,P5,'capacity data'!$E:$E,"PSO")/SUMIFS('capacity data'!$G:$G,'capacity data'!$E:$E,"PSO",'capacity data'!$B:$B,P5),"")</f>
        <v/>
      </c>
      <c r="U5" s="242" t="str">
        <f>IFERROR(SUMIFS('capacity data'!$L:$L,'capacity data'!$B:$B,P5,'capacity data'!$E:$E,"TPO")/SUMIFS('capacity data'!$G:$G,'capacity data'!$E:$E,"TPO",'capacity data'!$B:$B,P5),"")</f>
        <v/>
      </c>
    </row>
    <row r="6" spans="1:21" ht="16" x14ac:dyDescent="0.2">
      <c r="A6" t="s">
        <v>20</v>
      </c>
      <c r="F6"/>
      <c r="M6"/>
      <c r="O6" s="25" t="s">
        <v>20</v>
      </c>
      <c r="P6" t="s">
        <v>122</v>
      </c>
      <c r="Q6" s="241" t="str">
        <f>IFERROR(SUM((SUMIFS('capacity data'!$G:$G,'capacity data'!$E:$E,"PO",'capacity data'!$B:$B,P6))-SUMIFS('capacity data'!$H:$H,'capacity data'!$E:$E,"PO",'capacity data'!$B:$B,P6))/SUMIFS('capacity data'!$G:$G,'capacity data'!$E:$E,"PO",'capacity data'!$B:$B,P6),"")</f>
        <v/>
      </c>
      <c r="R6" s="241" t="str">
        <f>IFERROR(SUM((SUMIFS('capacity data'!$G:$G,'capacity data'!$E:$E,"PSO",'capacity data'!$B:$B,P6))-SUMIFS('capacity data'!$H:$H,'capacity data'!$E:$E,"PSO",'capacity data'!$B:$B,P6))/SUMIFS('capacity data'!$G:$G,'capacity data'!$E:$E,"PSO",'capacity data'!$B:$B,P6),"")</f>
        <v/>
      </c>
      <c r="S6" s="24" t="str">
        <f t="shared" si="0"/>
        <v/>
      </c>
      <c r="T6" s="242" t="str">
        <f>IFERROR(SUMIFS('capacity data'!$L:$L,'capacity data'!$B:$B,P6,'capacity data'!$E:$E,"PSO")/SUMIFS('capacity data'!$G:$G,'capacity data'!$E:$E,"PSO",'capacity data'!$B:$B,P6),"")</f>
        <v/>
      </c>
      <c r="U6" s="242" t="str">
        <f>IFERROR(SUMIFS('capacity data'!$L:$L,'capacity data'!$B:$B,P6,'capacity data'!$E:$E,"TPO")/SUMIFS('capacity data'!$G:$G,'capacity data'!$E:$E,"TPO",'capacity data'!$B:$B,P6),"")</f>
        <v/>
      </c>
    </row>
    <row r="7" spans="1:21" ht="16" x14ac:dyDescent="0.2">
      <c r="A7" t="s">
        <v>20</v>
      </c>
      <c r="F7"/>
      <c r="M7"/>
      <c r="O7" s="25" t="s">
        <v>20</v>
      </c>
      <c r="P7" t="s">
        <v>143</v>
      </c>
      <c r="Q7" s="241" t="str">
        <f>IFERROR(SUM((SUMIFS('capacity data'!$G:$G,'capacity data'!$E:$E,"PO",'capacity data'!$B:$B,P7))-SUMIFS('capacity data'!$H:$H,'capacity data'!$E:$E,"PO",'capacity data'!$B:$B,P7))/SUMIFS('capacity data'!$G:$G,'capacity data'!$E:$E,"PO",'capacity data'!$B:$B,P7),"")</f>
        <v/>
      </c>
      <c r="R7" s="241" t="str">
        <f>IFERROR(SUM((SUMIFS('capacity data'!$G:$G,'capacity data'!$E:$E,"PSO",'capacity data'!$B:$B,P7))-SUMIFS('capacity data'!$H:$H,'capacity data'!$E:$E,"PSO",'capacity data'!$B:$B,P7))/SUMIFS('capacity data'!$G:$G,'capacity data'!$E:$E,"PSO",'capacity data'!$B:$B,P7),"")</f>
        <v/>
      </c>
      <c r="S7" s="24" t="str">
        <f t="shared" si="0"/>
        <v/>
      </c>
      <c r="T7" s="242" t="str">
        <f>IFERROR(SUMIFS('capacity data'!$L:$L,'capacity data'!$B:$B,P7,'capacity data'!$E:$E,"PSO")/SUMIFS('capacity data'!$G:$G,'capacity data'!$E:$E,"PSO",'capacity data'!$B:$B,P7),"")</f>
        <v/>
      </c>
      <c r="U7" s="242" t="str">
        <f>IFERROR(SUMIFS('capacity data'!$L:$L,'capacity data'!$B:$B,P7,'capacity data'!$E:$E,"TPO")/SUMIFS('capacity data'!$G:$G,'capacity data'!$E:$E,"TPO",'capacity data'!$B:$B,P7),"")</f>
        <v/>
      </c>
    </row>
    <row r="8" spans="1:21" ht="16" x14ac:dyDescent="0.2">
      <c r="A8" t="s">
        <v>20</v>
      </c>
      <c r="F8"/>
      <c r="M8"/>
      <c r="O8" s="25" t="s">
        <v>20</v>
      </c>
      <c r="P8" t="s">
        <v>166</v>
      </c>
      <c r="Q8" s="241" t="str">
        <f>IFERROR(SUM((SUMIFS('capacity data'!$G:$G,'capacity data'!$E:$E,"PO",'capacity data'!$B:$B,P8))-SUMIFS('capacity data'!$H:$H,'capacity data'!$E:$E,"PO",'capacity data'!$B:$B,P8))/SUMIFS('capacity data'!$G:$G,'capacity data'!$E:$E,"PO",'capacity data'!$B:$B,P8),"")</f>
        <v/>
      </c>
      <c r="R8" s="241" t="str">
        <f>IFERROR(SUM((SUMIFS('capacity data'!$G:$G,'capacity data'!$E:$E,"PSO",'capacity data'!$B:$B,P8))-SUMIFS('capacity data'!$H:$H,'capacity data'!$E:$E,"PSO",'capacity data'!$B:$B,P8))/SUMIFS('capacity data'!$G:$G,'capacity data'!$E:$E,"PSO",'capacity data'!$B:$B,P8),"")</f>
        <v/>
      </c>
      <c r="S8" s="24" t="str">
        <f t="shared" si="0"/>
        <v/>
      </c>
      <c r="T8" s="242" t="str">
        <f>IFERROR(SUMIFS('capacity data'!$L:$L,'capacity data'!$B:$B,P8,'capacity data'!$E:$E,"PSO")/SUMIFS('capacity data'!$G:$G,'capacity data'!$E:$E,"PSO",'capacity data'!$B:$B,P8),"")</f>
        <v/>
      </c>
      <c r="U8" s="242" t="str">
        <f>IFERROR(SUMIFS('capacity data'!$L:$L,'capacity data'!$B:$B,P8,'capacity data'!$E:$E,"TPO")/SUMIFS('capacity data'!$G:$G,'capacity data'!$E:$E,"TPO",'capacity data'!$B:$B,P8),"")</f>
        <v/>
      </c>
    </row>
    <row r="9" spans="1:21" ht="16" x14ac:dyDescent="0.2">
      <c r="A9" t="s">
        <v>20</v>
      </c>
      <c r="F9"/>
      <c r="M9"/>
      <c r="O9" s="25" t="s">
        <v>21</v>
      </c>
      <c r="P9" t="s">
        <v>33</v>
      </c>
      <c r="Q9" s="241" t="str">
        <f>IFERROR(SUM((SUMIFS('capacity data'!$G:$G,'capacity data'!$E:$E,"PO",'capacity data'!$B:$B,P9))-SUMIFS('capacity data'!$H:$H,'capacity data'!$E:$E,"PO",'capacity data'!$B:$B,P9))/SUMIFS('capacity data'!$G:$G,'capacity data'!$E:$E,"PO",'capacity data'!$B:$B,P9),"")</f>
        <v/>
      </c>
      <c r="R9" s="241" t="str">
        <f>IFERROR(SUM((SUMIFS('capacity data'!$G:$G,'capacity data'!$E:$E,"PSO",'capacity data'!$B:$B,P9))-SUMIFS('capacity data'!$H:$H,'capacity data'!$E:$E,"PSO",'capacity data'!$B:$B,P9))/SUMIFS('capacity data'!$G:$G,'capacity data'!$E:$E,"PSO",'capacity data'!$B:$B,P9),"")</f>
        <v/>
      </c>
      <c r="S9" s="24" t="str">
        <f t="shared" si="0"/>
        <v/>
      </c>
      <c r="T9" s="242" t="str">
        <f>IFERROR(SUMIFS('capacity data'!$L:$L,'capacity data'!$B:$B,P9,'capacity data'!$E:$E,"PSO")/SUMIFS('capacity data'!$G:$G,'capacity data'!$E:$E,"PSO",'capacity data'!$B:$B,P9),"")</f>
        <v/>
      </c>
      <c r="U9" s="242" t="str">
        <f>IFERROR(SUMIFS('capacity data'!$L:$L,'capacity data'!$B:$B,P9,'capacity data'!$E:$E,"TPO")/SUMIFS('capacity data'!$G:$G,'capacity data'!$E:$E,"TPO",'capacity data'!$B:$B,P9),"")</f>
        <v/>
      </c>
    </row>
    <row r="10" spans="1:21" ht="16" x14ac:dyDescent="0.2">
      <c r="A10" t="s">
        <v>20</v>
      </c>
      <c r="F10"/>
      <c r="M10"/>
      <c r="O10" s="25" t="s">
        <v>21</v>
      </c>
      <c r="P10" t="s">
        <v>55</v>
      </c>
      <c r="Q10" s="241" t="str">
        <f>IFERROR(SUM((SUMIFS('capacity data'!$G:$G,'capacity data'!$E:$E,"PO",'capacity data'!$B:$B,P10))-SUMIFS('capacity data'!$H:$H,'capacity data'!$E:$E,"PO",'capacity data'!$B:$B,P10))/SUMIFS('capacity data'!$G:$G,'capacity data'!$E:$E,"PO",'capacity data'!$B:$B,P10),"")</f>
        <v/>
      </c>
      <c r="R10" s="241" t="str">
        <f>IFERROR(SUM((SUMIFS('capacity data'!$G:$G,'capacity data'!$E:$E,"PSO",'capacity data'!$B:$B,P10))-SUMIFS('capacity data'!$H:$H,'capacity data'!$E:$E,"PSO",'capacity data'!$B:$B,P10))/SUMIFS('capacity data'!$G:$G,'capacity data'!$E:$E,"PSO",'capacity data'!$B:$B,P10),"")</f>
        <v/>
      </c>
      <c r="S10" s="24" t="str">
        <f t="shared" si="0"/>
        <v/>
      </c>
      <c r="T10" s="242" t="str">
        <f>IFERROR(SUMIFS('capacity data'!$L:$L,'capacity data'!$B:$B,P10,'capacity data'!$E:$E,"PSO")/SUMIFS('capacity data'!$G:$G,'capacity data'!$E:$E,"PSO",'capacity data'!$B:$B,P10),"")</f>
        <v/>
      </c>
      <c r="U10" s="242" t="str">
        <f>IFERROR(SUMIFS('capacity data'!$L:$L,'capacity data'!$B:$B,P10,'capacity data'!$E:$E,"TPO")/SUMIFS('capacity data'!$G:$G,'capacity data'!$E:$E,"TPO",'capacity data'!$B:$B,P10),"")</f>
        <v/>
      </c>
    </row>
    <row r="11" spans="1:21" ht="16" x14ac:dyDescent="0.2">
      <c r="A11" t="s">
        <v>20</v>
      </c>
      <c r="F11"/>
      <c r="M11"/>
      <c r="O11" s="25" t="s">
        <v>21</v>
      </c>
      <c r="P11" t="s">
        <v>77</v>
      </c>
      <c r="Q11" s="241" t="str">
        <f>IFERROR(SUM((SUMIFS('capacity data'!$G:$G,'capacity data'!$E:$E,"PO",'capacity data'!$B:$B,P11))-SUMIFS('capacity data'!$H:$H,'capacity data'!$E:$E,"PO",'capacity data'!$B:$B,P11))/SUMIFS('capacity data'!$G:$G,'capacity data'!$E:$E,"PO",'capacity data'!$B:$B,P11),"")</f>
        <v/>
      </c>
      <c r="R11" s="241" t="str">
        <f>IFERROR(SUM((SUMIFS('capacity data'!$G:$G,'capacity data'!$E:$E,"PSO",'capacity data'!$B:$B,P11))-SUMIFS('capacity data'!$H:$H,'capacity data'!$E:$E,"PSO",'capacity data'!$B:$B,P11))/SUMIFS('capacity data'!$G:$G,'capacity data'!$E:$E,"PSO",'capacity data'!$B:$B,P11),"")</f>
        <v/>
      </c>
      <c r="S11" s="24" t="str">
        <f t="shared" si="0"/>
        <v/>
      </c>
      <c r="T11" s="242" t="str">
        <f>IFERROR(SUMIFS('capacity data'!$L:$L,'capacity data'!$B:$B,P11,'capacity data'!$E:$E,"PSO")/SUMIFS('capacity data'!$G:$G,'capacity data'!$E:$E,"PSO",'capacity data'!$B:$B,P11),"")</f>
        <v/>
      </c>
      <c r="U11" s="242" t="str">
        <f>IFERROR(SUMIFS('capacity data'!$L:$L,'capacity data'!$B:$B,P11,'capacity data'!$E:$E,"TPO")/SUMIFS('capacity data'!$G:$G,'capacity data'!$E:$E,"TPO",'capacity data'!$B:$B,P11),"")</f>
        <v/>
      </c>
    </row>
    <row r="12" spans="1:21" ht="16" x14ac:dyDescent="0.2">
      <c r="A12" t="s">
        <v>20</v>
      </c>
      <c r="F12"/>
      <c r="M12"/>
      <c r="O12" s="25" t="s">
        <v>21</v>
      </c>
      <c r="P12" t="s">
        <v>100</v>
      </c>
      <c r="Q12" s="241" t="str">
        <f>IFERROR(SUM((SUMIFS('capacity data'!$G:$G,'capacity data'!$E:$E,"PO",'capacity data'!$B:$B,P12))-SUMIFS('capacity data'!$H:$H,'capacity data'!$E:$E,"PO",'capacity data'!$B:$B,P12))/SUMIFS('capacity data'!$G:$G,'capacity data'!$E:$E,"PO",'capacity data'!$B:$B,P12),"")</f>
        <v/>
      </c>
      <c r="R12" s="241" t="str">
        <f>IFERROR(SUM((SUMIFS('capacity data'!$G:$G,'capacity data'!$E:$E,"PSO",'capacity data'!$B:$B,P12))-SUMIFS('capacity data'!$H:$H,'capacity data'!$E:$E,"PSO",'capacity data'!$B:$B,P12))/SUMIFS('capacity data'!$G:$G,'capacity data'!$E:$E,"PSO",'capacity data'!$B:$B,P12),"")</f>
        <v/>
      </c>
      <c r="S12" s="24" t="str">
        <f t="shared" si="0"/>
        <v/>
      </c>
      <c r="T12" s="242" t="str">
        <f>IFERROR(SUMIFS('capacity data'!$L:$L,'capacity data'!$B:$B,P12,'capacity data'!$E:$E,"PSO")/SUMIFS('capacity data'!$G:$G,'capacity data'!$E:$E,"PSO",'capacity data'!$B:$B,P12),"")</f>
        <v/>
      </c>
      <c r="U12" s="242" t="str">
        <f>IFERROR(SUMIFS('capacity data'!$L:$L,'capacity data'!$B:$B,P12,'capacity data'!$E:$E,"TPO")/SUMIFS('capacity data'!$G:$G,'capacity data'!$E:$E,"TPO",'capacity data'!$B:$B,P12),"")</f>
        <v/>
      </c>
    </row>
    <row r="13" spans="1:21" ht="16" x14ac:dyDescent="0.2">
      <c r="A13" t="s">
        <v>20</v>
      </c>
      <c r="F13"/>
      <c r="M13"/>
      <c r="O13" s="25" t="s">
        <v>21</v>
      </c>
      <c r="P13" t="s">
        <v>123</v>
      </c>
      <c r="Q13" s="241" t="str">
        <f>IFERROR(SUM((SUMIFS('capacity data'!$G:$G,'capacity data'!$E:$E,"PO",'capacity data'!$B:$B,P13))-SUMIFS('capacity data'!$H:$H,'capacity data'!$E:$E,"PO",'capacity data'!$B:$B,P13))/SUMIFS('capacity data'!$G:$G,'capacity data'!$E:$E,"PO",'capacity data'!$B:$B,P13),"")</f>
        <v/>
      </c>
      <c r="R13" s="241" t="str">
        <f>IFERROR(SUM((SUMIFS('capacity data'!$G:$G,'capacity data'!$E:$E,"PSO",'capacity data'!$B:$B,P13))-SUMIFS('capacity data'!$H:$H,'capacity data'!$E:$E,"PSO",'capacity data'!$B:$B,P13))/SUMIFS('capacity data'!$G:$G,'capacity data'!$E:$E,"PSO",'capacity data'!$B:$B,P13),"")</f>
        <v/>
      </c>
      <c r="S13" s="24" t="str">
        <f t="shared" si="0"/>
        <v/>
      </c>
      <c r="T13" s="242" t="str">
        <f>IFERROR(SUMIFS('capacity data'!$L:$L,'capacity data'!$B:$B,P13,'capacity data'!$E:$E,"PSO")/SUMIFS('capacity data'!$G:$G,'capacity data'!$E:$E,"PSO",'capacity data'!$B:$B,P13),"")</f>
        <v/>
      </c>
      <c r="U13" s="242" t="str">
        <f>IFERROR(SUMIFS('capacity data'!$L:$L,'capacity data'!$B:$B,P13,'capacity data'!$E:$E,"TPO")/SUMIFS('capacity data'!$G:$G,'capacity data'!$E:$E,"TPO",'capacity data'!$B:$B,P13),"")</f>
        <v/>
      </c>
    </row>
    <row r="14" spans="1:21" ht="16" x14ac:dyDescent="0.2">
      <c r="A14" t="s">
        <v>20</v>
      </c>
      <c r="F14"/>
      <c r="M14"/>
      <c r="O14" s="25" t="s">
        <v>21</v>
      </c>
      <c r="P14" t="s">
        <v>144</v>
      </c>
      <c r="Q14" s="241" t="str">
        <f>IFERROR(SUM((SUMIFS('capacity data'!$G:$G,'capacity data'!$E:$E,"PO",'capacity data'!$B:$B,P14))-SUMIFS('capacity data'!$H:$H,'capacity data'!$E:$E,"PO",'capacity data'!$B:$B,P14))/SUMIFS('capacity data'!$G:$G,'capacity data'!$E:$E,"PO",'capacity data'!$B:$B,P14),"")</f>
        <v/>
      </c>
      <c r="R14" s="241" t="str">
        <f>IFERROR(SUM((SUMIFS('capacity data'!$G:$G,'capacity data'!$E:$E,"PSO",'capacity data'!$B:$B,P14))-SUMIFS('capacity data'!$H:$H,'capacity data'!$E:$E,"PSO",'capacity data'!$B:$B,P14))/SUMIFS('capacity data'!$G:$G,'capacity data'!$E:$E,"PSO",'capacity data'!$B:$B,P14),"")</f>
        <v/>
      </c>
      <c r="S14" s="24" t="str">
        <f t="shared" si="0"/>
        <v/>
      </c>
      <c r="T14" s="242" t="str">
        <f>IFERROR(SUMIFS('capacity data'!$L:$L,'capacity data'!$B:$B,P14,'capacity data'!$E:$E,"PSO")/SUMIFS('capacity data'!$G:$G,'capacity data'!$E:$E,"PSO",'capacity data'!$B:$B,P14),"")</f>
        <v/>
      </c>
      <c r="U14" s="242" t="str">
        <f>IFERROR(SUMIFS('capacity data'!$L:$L,'capacity data'!$B:$B,P14,'capacity data'!$E:$E,"TPO")/SUMIFS('capacity data'!$G:$G,'capacity data'!$E:$E,"TPO",'capacity data'!$B:$B,P14),"")</f>
        <v/>
      </c>
    </row>
    <row r="15" spans="1:21" ht="16" x14ac:dyDescent="0.2">
      <c r="A15" t="s">
        <v>20</v>
      </c>
      <c r="F15"/>
      <c r="M15"/>
      <c r="O15" s="25" t="s">
        <v>21</v>
      </c>
      <c r="P15" t="s">
        <v>167</v>
      </c>
      <c r="Q15" s="241" t="str">
        <f>IFERROR(SUM((SUMIFS('capacity data'!$G:$G,'capacity data'!$E:$E,"PO",'capacity data'!$B:$B,P15))-SUMIFS('capacity data'!$H:$H,'capacity data'!$E:$E,"PO",'capacity data'!$B:$B,P15))/SUMIFS('capacity data'!$G:$G,'capacity data'!$E:$E,"PO",'capacity data'!$B:$B,P15),"")</f>
        <v/>
      </c>
      <c r="R15" s="241" t="str">
        <f>IFERROR(SUM((SUMIFS('capacity data'!$G:$G,'capacity data'!$E:$E,"PSO",'capacity data'!$B:$B,P15))-SUMIFS('capacity data'!$H:$H,'capacity data'!$E:$E,"PSO",'capacity data'!$B:$B,P15))/SUMIFS('capacity data'!$G:$G,'capacity data'!$E:$E,"PSO",'capacity data'!$B:$B,P15),"")</f>
        <v/>
      </c>
      <c r="S15" s="24" t="str">
        <f t="shared" si="0"/>
        <v/>
      </c>
      <c r="T15" s="242" t="str">
        <f>IFERROR(SUMIFS('capacity data'!$L:$L,'capacity data'!$B:$B,P15,'capacity data'!$E:$E,"PSO")/SUMIFS('capacity data'!$G:$G,'capacity data'!$E:$E,"PSO",'capacity data'!$B:$B,P15),"")</f>
        <v/>
      </c>
      <c r="U15" s="242" t="str">
        <f>IFERROR(SUMIFS('capacity data'!$L:$L,'capacity data'!$B:$B,P15,'capacity data'!$E:$E,"TPO")/SUMIFS('capacity data'!$G:$G,'capacity data'!$E:$E,"TPO",'capacity data'!$B:$B,P15),"")</f>
        <v/>
      </c>
    </row>
    <row r="16" spans="1:21" ht="16" x14ac:dyDescent="0.2">
      <c r="A16" t="s">
        <v>20</v>
      </c>
      <c r="F16"/>
      <c r="M16"/>
      <c r="O16" s="25" t="s">
        <v>21</v>
      </c>
      <c r="P16" t="s">
        <v>189</v>
      </c>
      <c r="Q16" s="241" t="str">
        <f>IFERROR(SUM((SUMIFS('capacity data'!$G:$G,'capacity data'!$E:$E,"PO",'capacity data'!$B:$B,P16))-SUMIFS('capacity data'!$H:$H,'capacity data'!$E:$E,"PO",'capacity data'!$B:$B,P16))/SUMIFS('capacity data'!$G:$G,'capacity data'!$E:$E,"PO",'capacity data'!$B:$B,P16),"")</f>
        <v/>
      </c>
      <c r="R16" s="241" t="str">
        <f>IFERROR(SUM((SUMIFS('capacity data'!$G:$G,'capacity data'!$E:$E,"PSO",'capacity data'!$B:$B,P16))-SUMIFS('capacity data'!$H:$H,'capacity data'!$E:$E,"PSO",'capacity data'!$B:$B,P16))/SUMIFS('capacity data'!$G:$G,'capacity data'!$E:$E,"PSO",'capacity data'!$B:$B,P16),"")</f>
        <v/>
      </c>
      <c r="S16" s="24" t="str">
        <f t="shared" si="0"/>
        <v/>
      </c>
      <c r="T16" s="242" t="str">
        <f>IFERROR(SUMIFS('capacity data'!$L:$L,'capacity data'!$B:$B,P16,'capacity data'!$E:$E,"PSO")/SUMIFS('capacity data'!$G:$G,'capacity data'!$E:$E,"PSO",'capacity data'!$B:$B,P16),"")</f>
        <v/>
      </c>
      <c r="U16" s="242" t="str">
        <f>IFERROR(SUMIFS('capacity data'!$L:$L,'capacity data'!$B:$B,P16,'capacity data'!$E:$E,"TPO")/SUMIFS('capacity data'!$G:$G,'capacity data'!$E:$E,"TPO",'capacity data'!$B:$B,P16),"")</f>
        <v/>
      </c>
    </row>
    <row r="17" spans="1:21" ht="16" x14ac:dyDescent="0.2">
      <c r="A17" t="s">
        <v>20</v>
      </c>
      <c r="F17"/>
      <c r="M17"/>
      <c r="O17" s="25" t="s">
        <v>21</v>
      </c>
      <c r="P17" t="s">
        <v>211</v>
      </c>
      <c r="Q17" s="241" t="str">
        <f>IFERROR(SUM((SUMIFS('capacity data'!$G:$G,'capacity data'!$E:$E,"PO",'capacity data'!$B:$B,P17))-SUMIFS('capacity data'!$H:$H,'capacity data'!$E:$E,"PO",'capacity data'!$B:$B,P17))/SUMIFS('capacity data'!$G:$G,'capacity data'!$E:$E,"PO",'capacity data'!$B:$B,P17),"")</f>
        <v/>
      </c>
      <c r="R17" s="241" t="str">
        <f>IFERROR(SUM((SUMIFS('capacity data'!$G:$G,'capacity data'!$E:$E,"PSO",'capacity data'!$B:$B,P17))-SUMIFS('capacity data'!$H:$H,'capacity data'!$E:$E,"PSO",'capacity data'!$B:$B,P17))/SUMIFS('capacity data'!$G:$G,'capacity data'!$E:$E,"PSO",'capacity data'!$B:$B,P17),"")</f>
        <v/>
      </c>
      <c r="S17" s="24" t="str">
        <f t="shared" si="0"/>
        <v/>
      </c>
      <c r="T17" s="242" t="str">
        <f>IFERROR(SUMIFS('capacity data'!$L:$L,'capacity data'!$B:$B,P17,'capacity data'!$E:$E,"PSO")/SUMIFS('capacity data'!$G:$G,'capacity data'!$E:$E,"PSO",'capacity data'!$B:$B,P17),"")</f>
        <v/>
      </c>
      <c r="U17" s="242" t="str">
        <f>IFERROR(SUMIFS('capacity data'!$L:$L,'capacity data'!$B:$B,P17,'capacity data'!$E:$E,"TPO")/SUMIFS('capacity data'!$G:$G,'capacity data'!$E:$E,"TPO",'capacity data'!$B:$B,P17),"")</f>
        <v/>
      </c>
    </row>
    <row r="18" spans="1:21" ht="16" x14ac:dyDescent="0.2">
      <c r="A18" t="s">
        <v>20</v>
      </c>
      <c r="F18"/>
      <c r="M18"/>
      <c r="O18" s="25" t="s">
        <v>21</v>
      </c>
      <c r="P18" t="s">
        <v>230</v>
      </c>
      <c r="Q18" s="241" t="str">
        <f>IFERROR(SUM((SUMIFS('capacity data'!$G:$G,'capacity data'!$E:$E,"PO",'capacity data'!$B:$B,P18))-SUMIFS('capacity data'!$H:$H,'capacity data'!$E:$E,"PO",'capacity data'!$B:$B,P18))/SUMIFS('capacity data'!$G:$G,'capacity data'!$E:$E,"PO",'capacity data'!$B:$B,P18),"")</f>
        <v/>
      </c>
      <c r="R18" s="241" t="str">
        <f>IFERROR(SUM((SUMIFS('capacity data'!$G:$G,'capacity data'!$E:$E,"PSO",'capacity data'!$B:$B,P18))-SUMIFS('capacity data'!$H:$H,'capacity data'!$E:$E,"PSO",'capacity data'!$B:$B,P18))/SUMIFS('capacity data'!$G:$G,'capacity data'!$E:$E,"PSO",'capacity data'!$B:$B,P18),"")</f>
        <v/>
      </c>
      <c r="S18" s="24" t="str">
        <f t="shared" si="0"/>
        <v/>
      </c>
      <c r="T18" s="242" t="str">
        <f>IFERROR(SUMIFS('capacity data'!$L:$L,'capacity data'!$B:$B,P18,'capacity data'!$E:$E,"PSO")/SUMIFS('capacity data'!$G:$G,'capacity data'!$E:$E,"PSO",'capacity data'!$B:$B,P18),"")</f>
        <v/>
      </c>
      <c r="U18" s="242" t="str">
        <f>IFERROR(SUMIFS('capacity data'!$L:$L,'capacity data'!$B:$B,P18,'capacity data'!$E:$E,"TPO")/SUMIFS('capacity data'!$G:$G,'capacity data'!$E:$E,"TPO",'capacity data'!$B:$B,P18),"")</f>
        <v/>
      </c>
    </row>
    <row r="19" spans="1:21" ht="16" x14ac:dyDescent="0.2">
      <c r="A19" t="s">
        <v>20</v>
      </c>
      <c r="F19"/>
      <c r="M19"/>
      <c r="O19" s="25" t="s">
        <v>21</v>
      </c>
      <c r="P19" t="s">
        <v>247</v>
      </c>
      <c r="Q19" s="241" t="str">
        <f>IFERROR(SUM((SUMIFS('capacity data'!$G:$G,'capacity data'!$E:$E,"PO",'capacity data'!$B:$B,P19))-SUMIFS('capacity data'!$H:$H,'capacity data'!$E:$E,"PO",'capacity data'!$B:$B,P19))/SUMIFS('capacity data'!$G:$G,'capacity data'!$E:$E,"PO",'capacity data'!$B:$B,P19),"")</f>
        <v/>
      </c>
      <c r="R19" s="241" t="str">
        <f>IFERROR(SUM((SUMIFS('capacity data'!$G:$G,'capacity data'!$E:$E,"PSO",'capacity data'!$B:$B,P19))-SUMIFS('capacity data'!$H:$H,'capacity data'!$E:$E,"PSO",'capacity data'!$B:$B,P19))/SUMIFS('capacity data'!$G:$G,'capacity data'!$E:$E,"PSO",'capacity data'!$B:$B,P19),"")</f>
        <v/>
      </c>
      <c r="S19" s="24" t="str">
        <f t="shared" si="0"/>
        <v/>
      </c>
      <c r="T19" s="242" t="str">
        <f>IFERROR(SUMIFS('capacity data'!$L:$L,'capacity data'!$B:$B,P19,'capacity data'!$E:$E,"PSO")/SUMIFS('capacity data'!$G:$G,'capacity data'!$E:$E,"PSO",'capacity data'!$B:$B,P19),"")</f>
        <v/>
      </c>
      <c r="U19" s="242" t="str">
        <f>IFERROR(SUMIFS('capacity data'!$L:$L,'capacity data'!$B:$B,P19,'capacity data'!$E:$E,"TPO")/SUMIFS('capacity data'!$G:$G,'capacity data'!$E:$E,"TPO",'capacity data'!$B:$B,P19),"")</f>
        <v/>
      </c>
    </row>
    <row r="20" spans="1:21" ht="16" x14ac:dyDescent="0.2">
      <c r="A20" t="s">
        <v>20</v>
      </c>
      <c r="F20"/>
      <c r="M20"/>
      <c r="O20" s="25" t="s">
        <v>22</v>
      </c>
      <c r="P20" t="s">
        <v>34</v>
      </c>
      <c r="Q20" s="241" t="str">
        <f>IFERROR(SUM((SUMIFS('capacity data'!$G:$G,'capacity data'!$E:$E,"PO",'capacity data'!$B:$B,P20))-SUMIFS('capacity data'!$H:$H,'capacity data'!$E:$E,"PO",'capacity data'!$B:$B,P20))/SUMIFS('capacity data'!$G:$G,'capacity data'!$E:$E,"PO",'capacity data'!$B:$B,P20),"")</f>
        <v/>
      </c>
      <c r="R20" s="241" t="str">
        <f>IFERROR(SUM((SUMIFS('capacity data'!$G:$G,'capacity data'!$E:$E,"PSO",'capacity data'!$B:$B,P20))-SUMIFS('capacity data'!$H:$H,'capacity data'!$E:$E,"PSO",'capacity data'!$B:$B,P20))/SUMIFS('capacity data'!$G:$G,'capacity data'!$E:$E,"PSO",'capacity data'!$B:$B,P20),"")</f>
        <v/>
      </c>
      <c r="S20" s="24" t="str">
        <f t="shared" si="0"/>
        <v/>
      </c>
      <c r="T20" s="242" t="str">
        <f>IFERROR(SUMIFS('capacity data'!$L:$L,'capacity data'!$B:$B,P20,'capacity data'!$E:$E,"PSO")/SUMIFS('capacity data'!$G:$G,'capacity data'!$E:$E,"PSO",'capacity data'!$B:$B,P20),"")</f>
        <v/>
      </c>
      <c r="U20" s="242" t="str">
        <f>IFERROR(SUMIFS('capacity data'!$L:$L,'capacity data'!$B:$B,P20,'capacity data'!$E:$E,"TPO")/SUMIFS('capacity data'!$G:$G,'capacity data'!$E:$E,"TPO",'capacity data'!$B:$B,P20),"")</f>
        <v/>
      </c>
    </row>
    <row r="21" spans="1:21" ht="16" x14ac:dyDescent="0.2">
      <c r="A21" t="s">
        <v>20</v>
      </c>
      <c r="F21"/>
      <c r="M21"/>
      <c r="O21" s="25" t="s">
        <v>22</v>
      </c>
      <c r="P21" t="s">
        <v>56</v>
      </c>
      <c r="Q21" s="241" t="str">
        <f>IFERROR(SUM((SUMIFS('capacity data'!$G:$G,'capacity data'!$E:$E,"PO",'capacity data'!$B:$B,P21))-SUMIFS('capacity data'!$H:$H,'capacity data'!$E:$E,"PO",'capacity data'!$B:$B,P21))/SUMIFS('capacity data'!$G:$G,'capacity data'!$E:$E,"PO",'capacity data'!$B:$B,P21),"")</f>
        <v/>
      </c>
      <c r="R21" s="241" t="str">
        <f>IFERROR(SUM((SUMIFS('capacity data'!$G:$G,'capacity data'!$E:$E,"PSO",'capacity data'!$B:$B,P21))-SUMIFS('capacity data'!$H:$H,'capacity data'!$E:$E,"PSO",'capacity data'!$B:$B,P21))/SUMIFS('capacity data'!$G:$G,'capacity data'!$E:$E,"PSO",'capacity data'!$B:$B,P21),"")</f>
        <v/>
      </c>
      <c r="S21" s="24" t="str">
        <f t="shared" si="0"/>
        <v/>
      </c>
      <c r="T21" s="242" t="str">
        <f>IFERROR(SUMIFS('capacity data'!$L:$L,'capacity data'!$B:$B,P21,'capacity data'!$E:$E,"PSO")/SUMIFS('capacity data'!$G:$G,'capacity data'!$E:$E,"PSO",'capacity data'!$B:$B,P21),"")</f>
        <v/>
      </c>
      <c r="U21" s="242" t="str">
        <f>IFERROR(SUMIFS('capacity data'!$L:$L,'capacity data'!$B:$B,P21,'capacity data'!$E:$E,"TPO")/SUMIFS('capacity data'!$G:$G,'capacity data'!$E:$E,"TPO",'capacity data'!$B:$B,P21),"")</f>
        <v/>
      </c>
    </row>
    <row r="22" spans="1:21" ht="16" x14ac:dyDescent="0.2">
      <c r="A22" t="s">
        <v>20</v>
      </c>
      <c r="F22"/>
      <c r="M22"/>
      <c r="O22" s="25" t="s">
        <v>22</v>
      </c>
      <c r="P22" t="s">
        <v>78</v>
      </c>
      <c r="Q22" s="241" t="str">
        <f>IFERROR(SUM((SUMIFS('capacity data'!$G:$G,'capacity data'!$E:$E,"PO",'capacity data'!$B:$B,P22))-SUMIFS('capacity data'!$H:$H,'capacity data'!$E:$E,"PO",'capacity data'!$B:$B,P22))/SUMIFS('capacity data'!$G:$G,'capacity data'!$E:$E,"PO",'capacity data'!$B:$B,P22),"")</f>
        <v/>
      </c>
      <c r="R22" s="241" t="str">
        <f>IFERROR(SUM((SUMIFS('capacity data'!$G:$G,'capacity data'!$E:$E,"PSO",'capacity data'!$B:$B,P22))-SUMIFS('capacity data'!$H:$H,'capacity data'!$E:$E,"PSO",'capacity data'!$B:$B,P22))/SUMIFS('capacity data'!$G:$G,'capacity data'!$E:$E,"PSO",'capacity data'!$B:$B,P22),"")</f>
        <v/>
      </c>
      <c r="S22" s="24" t="str">
        <f t="shared" si="0"/>
        <v/>
      </c>
      <c r="T22" s="242" t="str">
        <f>IFERROR(SUMIFS('capacity data'!$L:$L,'capacity data'!$B:$B,P22,'capacity data'!$E:$E,"PSO")/SUMIFS('capacity data'!$G:$G,'capacity data'!$E:$E,"PSO",'capacity data'!$B:$B,P22),"")</f>
        <v/>
      </c>
      <c r="U22" s="242" t="str">
        <f>IFERROR(SUMIFS('capacity data'!$L:$L,'capacity data'!$B:$B,P22,'capacity data'!$E:$E,"TPO")/SUMIFS('capacity data'!$G:$G,'capacity data'!$E:$E,"TPO",'capacity data'!$B:$B,P22),"")</f>
        <v/>
      </c>
    </row>
    <row r="23" spans="1:21" ht="16" x14ac:dyDescent="0.2">
      <c r="A23" t="s">
        <v>20</v>
      </c>
      <c r="F23"/>
      <c r="M23"/>
      <c r="O23" s="25" t="s">
        <v>22</v>
      </c>
      <c r="P23" t="s">
        <v>101</v>
      </c>
      <c r="Q23" s="241" t="str">
        <f>IFERROR(SUM((SUMIFS('capacity data'!$G:$G,'capacity data'!$E:$E,"PO",'capacity data'!$B:$B,P23))-SUMIFS('capacity data'!$H:$H,'capacity data'!$E:$E,"PO",'capacity data'!$B:$B,P23))/SUMIFS('capacity data'!$G:$G,'capacity data'!$E:$E,"PO",'capacity data'!$B:$B,P23),"")</f>
        <v/>
      </c>
      <c r="R23" s="241" t="str">
        <f>IFERROR(SUM((SUMIFS('capacity data'!$G:$G,'capacity data'!$E:$E,"PSO",'capacity data'!$B:$B,P23))-SUMIFS('capacity data'!$H:$H,'capacity data'!$E:$E,"PSO",'capacity data'!$B:$B,P23))/SUMIFS('capacity data'!$G:$G,'capacity data'!$E:$E,"PSO",'capacity data'!$B:$B,P23),"")</f>
        <v/>
      </c>
      <c r="S23" s="24" t="str">
        <f t="shared" si="0"/>
        <v/>
      </c>
      <c r="T23" s="242" t="str">
        <f>IFERROR(SUMIFS('capacity data'!$L:$L,'capacity data'!$B:$B,P23,'capacity data'!$E:$E,"PSO")/SUMIFS('capacity data'!$G:$G,'capacity data'!$E:$E,"PSO",'capacity data'!$B:$B,P23),"")</f>
        <v/>
      </c>
      <c r="U23" s="242" t="str">
        <f>IFERROR(SUMIFS('capacity data'!$L:$L,'capacity data'!$B:$B,P23,'capacity data'!$E:$E,"TPO")/SUMIFS('capacity data'!$G:$G,'capacity data'!$E:$E,"TPO",'capacity data'!$B:$B,P23),"")</f>
        <v/>
      </c>
    </row>
    <row r="24" spans="1:21" ht="16" x14ac:dyDescent="0.2">
      <c r="A24" t="s">
        <v>20</v>
      </c>
      <c r="F24"/>
      <c r="M24"/>
      <c r="O24" s="25" t="s">
        <v>22</v>
      </c>
      <c r="P24" t="s">
        <v>124</v>
      </c>
      <c r="Q24" s="241" t="str">
        <f>IFERROR(SUM((SUMIFS('capacity data'!$G:$G,'capacity data'!$E:$E,"PO",'capacity data'!$B:$B,P24))-SUMIFS('capacity data'!$H:$H,'capacity data'!$E:$E,"PO",'capacity data'!$B:$B,P24))/SUMIFS('capacity data'!$G:$G,'capacity data'!$E:$E,"PO",'capacity data'!$B:$B,P24),"")</f>
        <v/>
      </c>
      <c r="R24" s="241" t="str">
        <f>IFERROR(SUM((SUMIFS('capacity data'!$G:$G,'capacity data'!$E:$E,"PSO",'capacity data'!$B:$B,P24))-SUMIFS('capacity data'!$H:$H,'capacity data'!$E:$E,"PSO",'capacity data'!$B:$B,P24))/SUMIFS('capacity data'!$G:$G,'capacity data'!$E:$E,"PSO",'capacity data'!$B:$B,P24),"")</f>
        <v/>
      </c>
      <c r="S24" s="24" t="str">
        <f t="shared" si="0"/>
        <v/>
      </c>
      <c r="T24" s="242" t="str">
        <f>IFERROR(SUMIFS('capacity data'!$L:$L,'capacity data'!$B:$B,P24,'capacity data'!$E:$E,"PSO")/SUMIFS('capacity data'!$G:$G,'capacity data'!$E:$E,"PSO",'capacity data'!$B:$B,P24),"")</f>
        <v/>
      </c>
      <c r="U24" s="242" t="str">
        <f>IFERROR(SUMIFS('capacity data'!$L:$L,'capacity data'!$B:$B,P24,'capacity data'!$E:$E,"TPO")/SUMIFS('capacity data'!$G:$G,'capacity data'!$E:$E,"TPO",'capacity data'!$B:$B,P24),"")</f>
        <v/>
      </c>
    </row>
    <row r="25" spans="1:21" ht="16" x14ac:dyDescent="0.2">
      <c r="A25" t="s">
        <v>20</v>
      </c>
      <c r="F25"/>
      <c r="M25"/>
      <c r="O25" s="25" t="s">
        <v>22</v>
      </c>
      <c r="P25" t="s">
        <v>145</v>
      </c>
      <c r="Q25" s="241" t="str">
        <f>IFERROR(SUM((SUMIFS('capacity data'!$G:$G,'capacity data'!$E:$E,"PO",'capacity data'!$B:$B,P25))-SUMIFS('capacity data'!$H:$H,'capacity data'!$E:$E,"PO",'capacity data'!$B:$B,P25))/SUMIFS('capacity data'!$G:$G,'capacity data'!$E:$E,"PO",'capacity data'!$B:$B,P25),"")</f>
        <v/>
      </c>
      <c r="R25" s="241" t="str">
        <f>IFERROR(SUM((SUMIFS('capacity data'!$G:$G,'capacity data'!$E:$E,"PSO",'capacity data'!$B:$B,P25))-SUMIFS('capacity data'!$H:$H,'capacity data'!$E:$E,"PSO",'capacity data'!$B:$B,P25))/SUMIFS('capacity data'!$G:$G,'capacity data'!$E:$E,"PSO",'capacity data'!$B:$B,P25),"")</f>
        <v/>
      </c>
      <c r="S25" s="24" t="str">
        <f t="shared" si="0"/>
        <v/>
      </c>
      <c r="T25" s="242" t="str">
        <f>IFERROR(SUMIFS('capacity data'!$L:$L,'capacity data'!$B:$B,P25,'capacity data'!$E:$E,"PSO")/SUMIFS('capacity data'!$G:$G,'capacity data'!$E:$E,"PSO",'capacity data'!$B:$B,P25),"")</f>
        <v/>
      </c>
      <c r="U25" s="242" t="str">
        <f>IFERROR(SUMIFS('capacity data'!$L:$L,'capacity data'!$B:$B,P25,'capacity data'!$E:$E,"TPO")/SUMIFS('capacity data'!$G:$G,'capacity data'!$E:$E,"TPO",'capacity data'!$B:$B,P25),"")</f>
        <v/>
      </c>
    </row>
    <row r="26" spans="1:21" ht="16" x14ac:dyDescent="0.2">
      <c r="A26" t="s">
        <v>20</v>
      </c>
      <c r="F26"/>
      <c r="M26"/>
      <c r="O26" s="25" t="s">
        <v>22</v>
      </c>
      <c r="P26" t="s">
        <v>168</v>
      </c>
      <c r="Q26" s="241" t="str">
        <f>IFERROR(SUM((SUMIFS('capacity data'!$G:$G,'capacity data'!$E:$E,"PO",'capacity data'!$B:$B,P26))-SUMIFS('capacity data'!$H:$H,'capacity data'!$E:$E,"PO",'capacity data'!$B:$B,P26))/SUMIFS('capacity data'!$G:$G,'capacity data'!$E:$E,"PO",'capacity data'!$B:$B,P26),"")</f>
        <v/>
      </c>
      <c r="R26" s="241" t="str">
        <f>IFERROR(SUM((SUMIFS('capacity data'!$G:$G,'capacity data'!$E:$E,"PSO",'capacity data'!$B:$B,P26))-SUMIFS('capacity data'!$H:$H,'capacity data'!$E:$E,"PSO",'capacity data'!$B:$B,P26))/SUMIFS('capacity data'!$G:$G,'capacity data'!$E:$E,"PSO",'capacity data'!$B:$B,P26),"")</f>
        <v/>
      </c>
      <c r="S26" s="24" t="str">
        <f t="shared" si="0"/>
        <v/>
      </c>
      <c r="T26" s="242" t="str">
        <f>IFERROR(SUMIFS('capacity data'!$L:$L,'capacity data'!$B:$B,P26,'capacity data'!$E:$E,"PSO")/SUMIFS('capacity data'!$G:$G,'capacity data'!$E:$E,"PSO",'capacity data'!$B:$B,P26),"")</f>
        <v/>
      </c>
      <c r="U26" s="242" t="str">
        <f>IFERROR(SUMIFS('capacity data'!$L:$L,'capacity data'!$B:$B,P26,'capacity data'!$E:$E,"TPO")/SUMIFS('capacity data'!$G:$G,'capacity data'!$E:$E,"TPO",'capacity data'!$B:$B,P26),"")</f>
        <v/>
      </c>
    </row>
    <row r="27" spans="1:21" ht="16" x14ac:dyDescent="0.2">
      <c r="A27" t="s">
        <v>20</v>
      </c>
      <c r="F27"/>
      <c r="M27"/>
      <c r="O27" s="25" t="s">
        <v>22</v>
      </c>
      <c r="P27" t="s">
        <v>190</v>
      </c>
      <c r="Q27" s="241" t="str">
        <f>IFERROR(SUM((SUMIFS('capacity data'!$G:$G,'capacity data'!$E:$E,"PO",'capacity data'!$B:$B,P27))-SUMIFS('capacity data'!$H:$H,'capacity data'!$E:$E,"PO",'capacity data'!$B:$B,P27))/SUMIFS('capacity data'!$G:$G,'capacity data'!$E:$E,"PO",'capacity data'!$B:$B,P27),"")</f>
        <v/>
      </c>
      <c r="R27" s="241" t="str">
        <f>IFERROR(SUM((SUMIFS('capacity data'!$G:$G,'capacity data'!$E:$E,"PSO",'capacity data'!$B:$B,P27))-SUMIFS('capacity data'!$H:$H,'capacity data'!$E:$E,"PSO",'capacity data'!$B:$B,P27))/SUMIFS('capacity data'!$G:$G,'capacity data'!$E:$E,"PSO",'capacity data'!$B:$B,P27),"")</f>
        <v/>
      </c>
      <c r="S27" s="24" t="str">
        <f t="shared" si="0"/>
        <v/>
      </c>
      <c r="T27" s="242" t="str">
        <f>IFERROR(SUMIFS('capacity data'!$L:$L,'capacity data'!$B:$B,P27,'capacity data'!$E:$E,"PSO")/SUMIFS('capacity data'!$G:$G,'capacity data'!$E:$E,"PSO",'capacity data'!$B:$B,P27),"")</f>
        <v/>
      </c>
      <c r="U27" s="242" t="str">
        <f>IFERROR(SUMIFS('capacity data'!$L:$L,'capacity data'!$B:$B,P27,'capacity data'!$E:$E,"TPO")/SUMIFS('capacity data'!$G:$G,'capacity data'!$E:$E,"TPO",'capacity data'!$B:$B,P27),"")</f>
        <v/>
      </c>
    </row>
    <row r="28" spans="1:21" ht="16" x14ac:dyDescent="0.2">
      <c r="A28" t="s">
        <v>20</v>
      </c>
      <c r="F28"/>
      <c r="M28"/>
      <c r="O28" s="25" t="s">
        <v>22</v>
      </c>
      <c r="P28" t="s">
        <v>212</v>
      </c>
      <c r="Q28" s="241" t="str">
        <f>IFERROR(SUM((SUMIFS('capacity data'!$G:$G,'capacity data'!$E:$E,"PO",'capacity data'!$B:$B,P28))-SUMIFS('capacity data'!$H:$H,'capacity data'!$E:$E,"PO",'capacity data'!$B:$B,P28))/SUMIFS('capacity data'!$G:$G,'capacity data'!$E:$E,"PO",'capacity data'!$B:$B,P28),"")</f>
        <v/>
      </c>
      <c r="R28" s="241" t="str">
        <f>IFERROR(SUM((SUMIFS('capacity data'!$G:$G,'capacity data'!$E:$E,"PSO",'capacity data'!$B:$B,P28))-SUMIFS('capacity data'!$H:$H,'capacity data'!$E:$E,"PSO",'capacity data'!$B:$B,P28))/SUMIFS('capacity data'!$G:$G,'capacity data'!$E:$E,"PSO",'capacity data'!$B:$B,P28),"")</f>
        <v/>
      </c>
      <c r="S28" s="24" t="str">
        <f t="shared" si="0"/>
        <v/>
      </c>
      <c r="T28" s="242" t="str">
        <f>IFERROR(SUMIFS('capacity data'!$L:$L,'capacity data'!$B:$B,P28,'capacity data'!$E:$E,"PSO")/SUMIFS('capacity data'!$G:$G,'capacity data'!$E:$E,"PSO",'capacity data'!$B:$B,P28),"")</f>
        <v/>
      </c>
      <c r="U28" s="242" t="str">
        <f>IFERROR(SUMIFS('capacity data'!$L:$L,'capacity data'!$B:$B,P28,'capacity data'!$E:$E,"TPO")/SUMIFS('capacity data'!$G:$G,'capacity data'!$E:$E,"TPO",'capacity data'!$B:$B,P28),"")</f>
        <v/>
      </c>
    </row>
    <row r="29" spans="1:21" ht="16" x14ac:dyDescent="0.2">
      <c r="A29" t="s">
        <v>20</v>
      </c>
      <c r="F29"/>
      <c r="M29"/>
      <c r="O29" s="25" t="s">
        <v>22</v>
      </c>
      <c r="P29" t="s">
        <v>231</v>
      </c>
      <c r="Q29" s="241" t="str">
        <f>IFERROR(SUM((SUMIFS('capacity data'!$G:$G,'capacity data'!$E:$E,"PO",'capacity data'!$B:$B,P29))-SUMIFS('capacity data'!$H:$H,'capacity data'!$E:$E,"PO",'capacity data'!$B:$B,P29))/SUMIFS('capacity data'!$G:$G,'capacity data'!$E:$E,"PO",'capacity data'!$B:$B,P29),"")</f>
        <v/>
      </c>
      <c r="R29" s="241" t="str">
        <f>IFERROR(SUM((SUMIFS('capacity data'!$G:$G,'capacity data'!$E:$E,"PSO",'capacity data'!$B:$B,P29))-SUMIFS('capacity data'!$H:$H,'capacity data'!$E:$E,"PSO",'capacity data'!$B:$B,P29))/SUMIFS('capacity data'!$G:$G,'capacity data'!$E:$E,"PSO",'capacity data'!$B:$B,P29),"")</f>
        <v/>
      </c>
      <c r="S29" s="24" t="str">
        <f t="shared" si="0"/>
        <v/>
      </c>
      <c r="T29" s="242" t="str">
        <f>IFERROR(SUMIFS('capacity data'!$L:$L,'capacity data'!$B:$B,P29,'capacity data'!$E:$E,"PSO")/SUMIFS('capacity data'!$G:$G,'capacity data'!$E:$E,"PSO",'capacity data'!$B:$B,P29),"")</f>
        <v/>
      </c>
      <c r="U29" s="242" t="str">
        <f>IFERROR(SUMIFS('capacity data'!$L:$L,'capacity data'!$B:$B,P29,'capacity data'!$E:$E,"TPO")/SUMIFS('capacity data'!$G:$G,'capacity data'!$E:$E,"TPO",'capacity data'!$B:$B,P29),"")</f>
        <v/>
      </c>
    </row>
    <row r="30" spans="1:21" ht="16" x14ac:dyDescent="0.2">
      <c r="A30" t="s">
        <v>20</v>
      </c>
      <c r="F30"/>
      <c r="M30"/>
      <c r="O30" s="25" t="s">
        <v>22</v>
      </c>
      <c r="P30" t="s">
        <v>248</v>
      </c>
      <c r="Q30" s="241" t="str">
        <f>IFERROR(SUM((SUMIFS('capacity data'!$G:$G,'capacity data'!$E:$E,"PO",'capacity data'!$B:$B,P30))-SUMIFS('capacity data'!$H:$H,'capacity data'!$E:$E,"PO",'capacity data'!$B:$B,P30))/SUMIFS('capacity data'!$G:$G,'capacity data'!$E:$E,"PO",'capacity data'!$B:$B,P30),"")</f>
        <v/>
      </c>
      <c r="R30" s="241" t="str">
        <f>IFERROR(SUM((SUMIFS('capacity data'!$G:$G,'capacity data'!$E:$E,"PSO",'capacity data'!$B:$B,P30))-SUMIFS('capacity data'!$H:$H,'capacity data'!$E:$E,"PSO",'capacity data'!$B:$B,P30))/SUMIFS('capacity data'!$G:$G,'capacity data'!$E:$E,"PSO",'capacity data'!$B:$B,P30),"")</f>
        <v/>
      </c>
      <c r="S30" s="24" t="str">
        <f t="shared" si="0"/>
        <v/>
      </c>
      <c r="T30" s="242" t="str">
        <f>IFERROR(SUMIFS('capacity data'!$L:$L,'capacity data'!$B:$B,P30,'capacity data'!$E:$E,"PSO")/SUMIFS('capacity data'!$G:$G,'capacity data'!$E:$E,"PSO",'capacity data'!$B:$B,P30),"")</f>
        <v/>
      </c>
      <c r="U30" s="242" t="str">
        <f>IFERROR(SUMIFS('capacity data'!$L:$L,'capacity data'!$B:$B,P30,'capacity data'!$E:$E,"TPO")/SUMIFS('capacity data'!$G:$G,'capacity data'!$E:$E,"TPO",'capacity data'!$B:$B,P30),"")</f>
        <v/>
      </c>
    </row>
    <row r="31" spans="1:21" ht="16" x14ac:dyDescent="0.2">
      <c r="A31" t="s">
        <v>20</v>
      </c>
      <c r="F31"/>
      <c r="M31"/>
      <c r="O31" s="25" t="s">
        <v>22</v>
      </c>
      <c r="P31" t="s">
        <v>266</v>
      </c>
      <c r="Q31" s="241" t="str">
        <f>IFERROR(SUM((SUMIFS('capacity data'!$G:$G,'capacity data'!$E:$E,"PO",'capacity data'!$B:$B,P31))-SUMIFS('capacity data'!$H:$H,'capacity data'!$E:$E,"PO",'capacity data'!$B:$B,P31))/SUMIFS('capacity data'!$G:$G,'capacity data'!$E:$E,"PO",'capacity data'!$B:$B,P31),"")</f>
        <v/>
      </c>
      <c r="R31" s="241" t="str">
        <f>IFERROR(SUM((SUMIFS('capacity data'!$G:$G,'capacity data'!$E:$E,"PSO",'capacity data'!$B:$B,P31))-SUMIFS('capacity data'!$H:$H,'capacity data'!$E:$E,"PSO",'capacity data'!$B:$B,P31))/SUMIFS('capacity data'!$G:$G,'capacity data'!$E:$E,"PSO",'capacity data'!$B:$B,P31),"")</f>
        <v/>
      </c>
      <c r="S31" s="24" t="str">
        <f t="shared" si="0"/>
        <v/>
      </c>
      <c r="T31" s="242" t="str">
        <f>IFERROR(SUMIFS('capacity data'!$L:$L,'capacity data'!$B:$B,P31,'capacity data'!$E:$E,"PSO")/SUMIFS('capacity data'!$G:$G,'capacity data'!$E:$E,"PSO",'capacity data'!$B:$B,P31),"")</f>
        <v/>
      </c>
      <c r="U31" s="242" t="str">
        <f>IFERROR(SUMIFS('capacity data'!$L:$L,'capacity data'!$B:$B,P31,'capacity data'!$E:$E,"TPO")/SUMIFS('capacity data'!$G:$G,'capacity data'!$E:$E,"TPO",'capacity data'!$B:$B,P31),"")</f>
        <v/>
      </c>
    </row>
    <row r="32" spans="1:21" ht="16" x14ac:dyDescent="0.2">
      <c r="A32" t="s">
        <v>20</v>
      </c>
      <c r="F32"/>
      <c r="M32"/>
      <c r="O32" s="25" t="s">
        <v>23</v>
      </c>
      <c r="P32" t="s">
        <v>35</v>
      </c>
      <c r="Q32" s="241" t="str">
        <f>IFERROR(SUM((SUMIFS('capacity data'!$G:$G,'capacity data'!$E:$E,"PO",'capacity data'!$B:$B,P32))-SUMIFS('capacity data'!$H:$H,'capacity data'!$E:$E,"PO",'capacity data'!$B:$B,P32))/SUMIFS('capacity data'!$G:$G,'capacity data'!$E:$E,"PO",'capacity data'!$B:$B,P32),"")</f>
        <v/>
      </c>
      <c r="R32" s="241" t="str">
        <f>IFERROR(SUM((SUMIFS('capacity data'!$G:$G,'capacity data'!$E:$E,"PSO",'capacity data'!$B:$B,P32))-SUMIFS('capacity data'!$H:$H,'capacity data'!$E:$E,"PSO",'capacity data'!$B:$B,P32))/SUMIFS('capacity data'!$G:$G,'capacity data'!$E:$E,"PSO",'capacity data'!$B:$B,P32),"")</f>
        <v/>
      </c>
      <c r="S32" s="24" t="str">
        <f t="shared" si="0"/>
        <v/>
      </c>
      <c r="T32" s="242" t="str">
        <f>IFERROR(SUMIFS('capacity data'!$L:$L,'capacity data'!$B:$B,P32,'capacity data'!$E:$E,"PSO")/SUMIFS('capacity data'!$G:$G,'capacity data'!$E:$E,"PSO",'capacity data'!$B:$B,P32),"")</f>
        <v/>
      </c>
      <c r="U32" s="242" t="str">
        <f>IFERROR(SUMIFS('capacity data'!$L:$L,'capacity data'!$B:$B,P32,'capacity data'!$E:$E,"TPO")/SUMIFS('capacity data'!$G:$G,'capacity data'!$E:$E,"TPO",'capacity data'!$B:$B,P32),"")</f>
        <v/>
      </c>
    </row>
    <row r="33" spans="1:21" ht="16" x14ac:dyDescent="0.2">
      <c r="A33" t="s">
        <v>20</v>
      </c>
      <c r="F33"/>
      <c r="M33"/>
      <c r="O33" s="25" t="s">
        <v>23</v>
      </c>
      <c r="P33" t="s">
        <v>57</v>
      </c>
      <c r="Q33" s="241" t="str">
        <f>IFERROR(SUM((SUMIFS('capacity data'!$G:$G,'capacity data'!$E:$E,"PO",'capacity data'!$B:$B,P33))-SUMIFS('capacity data'!$H:$H,'capacity data'!$E:$E,"PO",'capacity data'!$B:$B,P33))/SUMIFS('capacity data'!$G:$G,'capacity data'!$E:$E,"PO",'capacity data'!$B:$B,P33),"")</f>
        <v/>
      </c>
      <c r="R33" s="241" t="str">
        <f>IFERROR(SUM((SUMIFS('capacity data'!$G:$G,'capacity data'!$E:$E,"PSO",'capacity data'!$B:$B,P33))-SUMIFS('capacity data'!$H:$H,'capacity data'!$E:$E,"PSO",'capacity data'!$B:$B,P33))/SUMIFS('capacity data'!$G:$G,'capacity data'!$E:$E,"PSO",'capacity data'!$B:$B,P33),"")</f>
        <v/>
      </c>
      <c r="S33" s="24" t="str">
        <f t="shared" si="0"/>
        <v/>
      </c>
      <c r="T33" s="242" t="str">
        <f>IFERROR(SUMIFS('capacity data'!$L:$L,'capacity data'!$B:$B,P33,'capacity data'!$E:$E,"PSO")/SUMIFS('capacity data'!$G:$G,'capacity data'!$E:$E,"PSO",'capacity data'!$B:$B,P33),"")</f>
        <v/>
      </c>
      <c r="U33" s="242" t="str">
        <f>IFERROR(SUMIFS('capacity data'!$L:$L,'capacity data'!$B:$B,P33,'capacity data'!$E:$E,"TPO")/SUMIFS('capacity data'!$G:$G,'capacity data'!$E:$E,"TPO",'capacity data'!$B:$B,P33),"")</f>
        <v/>
      </c>
    </row>
    <row r="34" spans="1:21" ht="16" x14ac:dyDescent="0.2">
      <c r="A34" t="s">
        <v>20</v>
      </c>
      <c r="F34"/>
      <c r="M34"/>
      <c r="O34" s="25" t="s">
        <v>23</v>
      </c>
      <c r="P34" t="s">
        <v>79</v>
      </c>
      <c r="Q34" s="241" t="str">
        <f>IFERROR(SUM((SUMIFS('capacity data'!$G:$G,'capacity data'!$E:$E,"PO",'capacity data'!$B:$B,P34))-SUMIFS('capacity data'!$H:$H,'capacity data'!$E:$E,"PO",'capacity data'!$B:$B,P34))/SUMIFS('capacity data'!$G:$G,'capacity data'!$E:$E,"PO",'capacity data'!$B:$B,P34),"")</f>
        <v/>
      </c>
      <c r="R34" s="241" t="str">
        <f>IFERROR(SUM((SUMIFS('capacity data'!$G:$G,'capacity data'!$E:$E,"PSO",'capacity data'!$B:$B,P34))-SUMIFS('capacity data'!$H:$H,'capacity data'!$E:$E,"PSO",'capacity data'!$B:$B,P34))/SUMIFS('capacity data'!$G:$G,'capacity data'!$E:$E,"PSO",'capacity data'!$B:$B,P34),"")</f>
        <v/>
      </c>
      <c r="S34" s="24" t="str">
        <f t="shared" si="0"/>
        <v/>
      </c>
      <c r="T34" s="242" t="str">
        <f>IFERROR(SUMIFS('capacity data'!$L:$L,'capacity data'!$B:$B,P34,'capacity data'!$E:$E,"PSO")/SUMIFS('capacity data'!$G:$G,'capacity data'!$E:$E,"PSO",'capacity data'!$B:$B,P34),"")</f>
        <v/>
      </c>
      <c r="U34" s="242" t="str">
        <f>IFERROR(SUMIFS('capacity data'!$L:$L,'capacity data'!$B:$B,P34,'capacity data'!$E:$E,"TPO")/SUMIFS('capacity data'!$G:$G,'capacity data'!$E:$E,"TPO",'capacity data'!$B:$B,P34),"")</f>
        <v/>
      </c>
    </row>
    <row r="35" spans="1:21" ht="16" x14ac:dyDescent="0.2">
      <c r="A35" t="s">
        <v>20</v>
      </c>
      <c r="F35"/>
      <c r="M35"/>
      <c r="O35" s="25" t="s">
        <v>23</v>
      </c>
      <c r="P35" t="s">
        <v>102</v>
      </c>
      <c r="Q35" s="241" t="str">
        <f>IFERROR(SUM((SUMIFS('capacity data'!$G:$G,'capacity data'!$E:$E,"PO",'capacity data'!$B:$B,P35))-SUMIFS('capacity data'!$H:$H,'capacity data'!$E:$E,"PO",'capacity data'!$B:$B,P35))/SUMIFS('capacity data'!$G:$G,'capacity data'!$E:$E,"PO",'capacity data'!$B:$B,P35),"")</f>
        <v/>
      </c>
      <c r="R35" s="241" t="str">
        <f>IFERROR(SUM((SUMIFS('capacity data'!$G:$G,'capacity data'!$E:$E,"PSO",'capacity data'!$B:$B,P35))-SUMIFS('capacity data'!$H:$H,'capacity data'!$E:$E,"PSO",'capacity data'!$B:$B,P35))/SUMIFS('capacity data'!$G:$G,'capacity data'!$E:$E,"PSO",'capacity data'!$B:$B,P35),"")</f>
        <v/>
      </c>
      <c r="S35" s="24" t="str">
        <f t="shared" si="0"/>
        <v/>
      </c>
      <c r="T35" s="242" t="str">
        <f>IFERROR(SUMIFS('capacity data'!$L:$L,'capacity data'!$B:$B,P35,'capacity data'!$E:$E,"PSO")/SUMIFS('capacity data'!$G:$G,'capacity data'!$E:$E,"PSO",'capacity data'!$B:$B,P35),"")</f>
        <v/>
      </c>
      <c r="U35" s="242" t="str">
        <f>IFERROR(SUMIFS('capacity data'!$L:$L,'capacity data'!$B:$B,P35,'capacity data'!$E:$E,"TPO")/SUMIFS('capacity data'!$G:$G,'capacity data'!$E:$E,"TPO",'capacity data'!$B:$B,P35),"")</f>
        <v/>
      </c>
    </row>
    <row r="36" spans="1:21" ht="16" x14ac:dyDescent="0.2">
      <c r="A36" t="s">
        <v>20</v>
      </c>
      <c r="F36"/>
      <c r="M36"/>
      <c r="O36" s="25" t="s">
        <v>23</v>
      </c>
      <c r="P36" t="s">
        <v>125</v>
      </c>
      <c r="Q36" s="241" t="str">
        <f>IFERROR(SUM((SUMIFS('capacity data'!$G:$G,'capacity data'!$E:$E,"PO",'capacity data'!$B:$B,P36))-SUMIFS('capacity data'!$H:$H,'capacity data'!$E:$E,"PO",'capacity data'!$B:$B,P36))/SUMIFS('capacity data'!$G:$G,'capacity data'!$E:$E,"PO",'capacity data'!$B:$B,P36),"")</f>
        <v/>
      </c>
      <c r="R36" s="241" t="str">
        <f>IFERROR(SUM((SUMIFS('capacity data'!$G:$G,'capacity data'!$E:$E,"PSO",'capacity data'!$B:$B,P36))-SUMIFS('capacity data'!$H:$H,'capacity data'!$E:$E,"PSO",'capacity data'!$B:$B,P36))/SUMIFS('capacity data'!$G:$G,'capacity data'!$E:$E,"PSO",'capacity data'!$B:$B,P36),"")</f>
        <v/>
      </c>
      <c r="S36" s="24" t="str">
        <f t="shared" si="0"/>
        <v/>
      </c>
      <c r="T36" s="242" t="str">
        <f>IFERROR(SUMIFS('capacity data'!$L:$L,'capacity data'!$B:$B,P36,'capacity data'!$E:$E,"PSO")/SUMIFS('capacity data'!$G:$G,'capacity data'!$E:$E,"PSO",'capacity data'!$B:$B,P36),"")</f>
        <v/>
      </c>
      <c r="U36" s="242" t="str">
        <f>IFERROR(SUMIFS('capacity data'!$L:$L,'capacity data'!$B:$B,P36,'capacity data'!$E:$E,"TPO")/SUMIFS('capacity data'!$G:$G,'capacity data'!$E:$E,"TPO",'capacity data'!$B:$B,P36),"")</f>
        <v/>
      </c>
    </row>
    <row r="37" spans="1:21" ht="16" x14ac:dyDescent="0.2">
      <c r="A37" t="s">
        <v>20</v>
      </c>
      <c r="F37"/>
      <c r="M37"/>
      <c r="O37" s="25" t="s">
        <v>23</v>
      </c>
      <c r="P37" t="s">
        <v>146</v>
      </c>
      <c r="Q37" s="241" t="str">
        <f>IFERROR(SUM((SUMIFS('capacity data'!$G:$G,'capacity data'!$E:$E,"PO",'capacity data'!$B:$B,P37))-SUMIFS('capacity data'!$H:$H,'capacity data'!$E:$E,"PO",'capacity data'!$B:$B,P37))/SUMIFS('capacity data'!$G:$G,'capacity data'!$E:$E,"PO",'capacity data'!$B:$B,P37),"")</f>
        <v/>
      </c>
      <c r="R37" s="241" t="str">
        <f>IFERROR(SUM((SUMIFS('capacity data'!$G:$G,'capacity data'!$E:$E,"PSO",'capacity data'!$B:$B,P37))-SUMIFS('capacity data'!$H:$H,'capacity data'!$E:$E,"PSO",'capacity data'!$B:$B,P37))/SUMIFS('capacity data'!$G:$G,'capacity data'!$E:$E,"PSO",'capacity data'!$B:$B,P37),"")</f>
        <v/>
      </c>
      <c r="S37" s="24" t="str">
        <f t="shared" si="0"/>
        <v/>
      </c>
      <c r="T37" s="242" t="str">
        <f>IFERROR(SUMIFS('capacity data'!$L:$L,'capacity data'!$B:$B,P37,'capacity data'!$E:$E,"PSO")/SUMIFS('capacity data'!$G:$G,'capacity data'!$E:$E,"PSO",'capacity data'!$B:$B,P37),"")</f>
        <v/>
      </c>
      <c r="U37" s="242" t="str">
        <f>IFERROR(SUMIFS('capacity data'!$L:$L,'capacity data'!$B:$B,P37,'capacity data'!$E:$E,"TPO")/SUMIFS('capacity data'!$G:$G,'capacity data'!$E:$E,"TPO",'capacity data'!$B:$B,P37),"")</f>
        <v/>
      </c>
    </row>
    <row r="38" spans="1:21" ht="16" x14ac:dyDescent="0.2">
      <c r="A38" t="s">
        <v>20</v>
      </c>
      <c r="F38"/>
      <c r="M38"/>
      <c r="O38" s="25" t="s">
        <v>23</v>
      </c>
      <c r="P38" t="s">
        <v>169</v>
      </c>
      <c r="Q38" s="241" t="str">
        <f>IFERROR(SUM((SUMIFS('capacity data'!$G:$G,'capacity data'!$E:$E,"PO",'capacity data'!$B:$B,P38))-SUMIFS('capacity data'!$H:$H,'capacity data'!$E:$E,"PO",'capacity data'!$B:$B,P38))/SUMIFS('capacity data'!$G:$G,'capacity data'!$E:$E,"PO",'capacity data'!$B:$B,P38),"")</f>
        <v/>
      </c>
      <c r="R38" s="241" t="str">
        <f>IFERROR(SUM((SUMIFS('capacity data'!$G:$G,'capacity data'!$E:$E,"PSO",'capacity data'!$B:$B,P38))-SUMIFS('capacity data'!$H:$H,'capacity data'!$E:$E,"PSO",'capacity data'!$B:$B,P38))/SUMIFS('capacity data'!$G:$G,'capacity data'!$E:$E,"PSO",'capacity data'!$B:$B,P38),"")</f>
        <v/>
      </c>
      <c r="S38" s="24" t="str">
        <f t="shared" si="0"/>
        <v/>
      </c>
      <c r="T38" s="242" t="str">
        <f>IFERROR(SUMIFS('capacity data'!$L:$L,'capacity data'!$B:$B,P38,'capacity data'!$E:$E,"PSO")/SUMIFS('capacity data'!$G:$G,'capacity data'!$E:$E,"PSO",'capacity data'!$B:$B,P38),"")</f>
        <v/>
      </c>
      <c r="U38" s="242" t="str">
        <f>IFERROR(SUMIFS('capacity data'!$L:$L,'capacity data'!$B:$B,P38,'capacity data'!$E:$E,"TPO")/SUMIFS('capacity data'!$G:$G,'capacity data'!$E:$E,"TPO",'capacity data'!$B:$B,P38),"")</f>
        <v/>
      </c>
    </row>
    <row r="39" spans="1:21" ht="16" x14ac:dyDescent="0.2">
      <c r="A39" t="s">
        <v>20</v>
      </c>
      <c r="F39"/>
      <c r="M39"/>
      <c r="O39" s="25" t="s">
        <v>24</v>
      </c>
      <c r="P39" t="s">
        <v>36</v>
      </c>
      <c r="Q39" s="241" t="str">
        <f>IFERROR(SUM((SUMIFS('capacity data'!$G:$G,'capacity data'!$E:$E,"PO",'capacity data'!$B:$B,P39))-SUMIFS('capacity data'!$H:$H,'capacity data'!$E:$E,"PO",'capacity data'!$B:$B,P39))/SUMIFS('capacity data'!$G:$G,'capacity data'!$E:$E,"PO",'capacity data'!$B:$B,P39),"")</f>
        <v/>
      </c>
      <c r="R39" s="241" t="str">
        <f>IFERROR(SUM((SUMIFS('capacity data'!$G:$G,'capacity data'!$E:$E,"PSO",'capacity data'!$B:$B,P39))-SUMIFS('capacity data'!$H:$H,'capacity data'!$E:$E,"PSO",'capacity data'!$B:$B,P39))/SUMIFS('capacity data'!$G:$G,'capacity data'!$E:$E,"PSO",'capacity data'!$B:$B,P39),"")</f>
        <v/>
      </c>
      <c r="S39" s="24" t="str">
        <f t="shared" si="0"/>
        <v/>
      </c>
      <c r="T39" s="242" t="str">
        <f>IFERROR(SUMIFS('capacity data'!$L:$L,'capacity data'!$B:$B,P39,'capacity data'!$E:$E,"PSO")/SUMIFS('capacity data'!$G:$G,'capacity data'!$E:$E,"PSO",'capacity data'!$B:$B,P39),"")</f>
        <v/>
      </c>
      <c r="U39" s="242" t="str">
        <f>IFERROR(SUMIFS('capacity data'!$L:$L,'capacity data'!$B:$B,P39,'capacity data'!$E:$E,"TPO")/SUMIFS('capacity data'!$G:$G,'capacity data'!$E:$E,"TPO",'capacity data'!$B:$B,P39),"")</f>
        <v/>
      </c>
    </row>
    <row r="40" spans="1:21" ht="16" x14ac:dyDescent="0.2">
      <c r="A40" t="s">
        <v>20</v>
      </c>
      <c r="F40"/>
      <c r="M40"/>
      <c r="O40" s="25" t="s">
        <v>24</v>
      </c>
      <c r="P40" t="s">
        <v>58</v>
      </c>
      <c r="Q40" s="241" t="str">
        <f>IFERROR(SUM((SUMIFS('capacity data'!$G:$G,'capacity data'!$E:$E,"PO",'capacity data'!$B:$B,P40))-SUMIFS('capacity data'!$H:$H,'capacity data'!$E:$E,"PO",'capacity data'!$B:$B,P40))/SUMIFS('capacity data'!$G:$G,'capacity data'!$E:$E,"PO",'capacity data'!$B:$B,P40),"")</f>
        <v/>
      </c>
      <c r="R40" s="241" t="str">
        <f>IFERROR(SUM((SUMIFS('capacity data'!$G:$G,'capacity data'!$E:$E,"PSO",'capacity data'!$B:$B,P40))-SUMIFS('capacity data'!$H:$H,'capacity data'!$E:$E,"PSO",'capacity data'!$B:$B,P40))/SUMIFS('capacity data'!$G:$G,'capacity data'!$E:$E,"PSO",'capacity data'!$B:$B,P40),"")</f>
        <v/>
      </c>
      <c r="S40" s="24" t="str">
        <f t="shared" si="0"/>
        <v/>
      </c>
      <c r="T40" s="242" t="str">
        <f>IFERROR(SUMIFS('capacity data'!$L:$L,'capacity data'!$B:$B,P40,'capacity data'!$E:$E,"PSO")/SUMIFS('capacity data'!$G:$G,'capacity data'!$E:$E,"PSO",'capacity data'!$B:$B,P40),"")</f>
        <v/>
      </c>
      <c r="U40" s="242" t="str">
        <f>IFERROR(SUMIFS('capacity data'!$L:$L,'capacity data'!$B:$B,P40,'capacity data'!$E:$E,"TPO")/SUMIFS('capacity data'!$G:$G,'capacity data'!$E:$E,"TPO",'capacity data'!$B:$B,P40),"")</f>
        <v/>
      </c>
    </row>
    <row r="41" spans="1:21" ht="16" x14ac:dyDescent="0.2">
      <c r="A41" t="s">
        <v>20</v>
      </c>
      <c r="F41"/>
      <c r="M41"/>
      <c r="O41" s="25" t="s">
        <v>24</v>
      </c>
      <c r="P41" t="s">
        <v>80</v>
      </c>
      <c r="Q41" s="241" t="str">
        <f>IFERROR(SUM((SUMIFS('capacity data'!$G:$G,'capacity data'!$E:$E,"PO",'capacity data'!$B:$B,P41))-SUMIFS('capacity data'!$H:$H,'capacity data'!$E:$E,"PO",'capacity data'!$B:$B,P41))/SUMIFS('capacity data'!$G:$G,'capacity data'!$E:$E,"PO",'capacity data'!$B:$B,P41),"")</f>
        <v/>
      </c>
      <c r="R41" s="241" t="str">
        <f>IFERROR(SUM((SUMIFS('capacity data'!$G:$G,'capacity data'!$E:$E,"PSO",'capacity data'!$B:$B,P41))-SUMIFS('capacity data'!$H:$H,'capacity data'!$E:$E,"PSO",'capacity data'!$B:$B,P41))/SUMIFS('capacity data'!$G:$G,'capacity data'!$E:$E,"PSO",'capacity data'!$B:$B,P41),"")</f>
        <v/>
      </c>
      <c r="S41" s="24" t="str">
        <f t="shared" si="0"/>
        <v/>
      </c>
      <c r="T41" s="242" t="str">
        <f>IFERROR(SUMIFS('capacity data'!$L:$L,'capacity data'!$B:$B,P41,'capacity data'!$E:$E,"PSO")/SUMIFS('capacity data'!$G:$G,'capacity data'!$E:$E,"PSO",'capacity data'!$B:$B,P41),"")</f>
        <v/>
      </c>
      <c r="U41" s="242" t="str">
        <f>IFERROR(SUMIFS('capacity data'!$L:$L,'capacity data'!$B:$B,P41,'capacity data'!$E:$E,"TPO")/SUMIFS('capacity data'!$G:$G,'capacity data'!$E:$E,"TPO",'capacity data'!$B:$B,P41),"")</f>
        <v/>
      </c>
    </row>
    <row r="42" spans="1:21" ht="16" x14ac:dyDescent="0.2">
      <c r="A42" t="s">
        <v>20</v>
      </c>
      <c r="F42"/>
      <c r="M42"/>
      <c r="O42" s="25" t="s">
        <v>24</v>
      </c>
      <c r="P42" t="s">
        <v>103</v>
      </c>
      <c r="Q42" s="241" t="str">
        <f>IFERROR(SUM((SUMIFS('capacity data'!$G:$G,'capacity data'!$E:$E,"PO",'capacity data'!$B:$B,P42))-SUMIFS('capacity data'!$H:$H,'capacity data'!$E:$E,"PO",'capacity data'!$B:$B,P42))/SUMIFS('capacity data'!$G:$G,'capacity data'!$E:$E,"PO",'capacity data'!$B:$B,P42),"")</f>
        <v/>
      </c>
      <c r="R42" s="241" t="str">
        <f>IFERROR(SUM((SUMIFS('capacity data'!$G:$G,'capacity data'!$E:$E,"PSO",'capacity data'!$B:$B,P42))-SUMIFS('capacity data'!$H:$H,'capacity data'!$E:$E,"PSO",'capacity data'!$B:$B,P42))/SUMIFS('capacity data'!$G:$G,'capacity data'!$E:$E,"PSO",'capacity data'!$B:$B,P42),"")</f>
        <v/>
      </c>
      <c r="S42" s="24" t="str">
        <f t="shared" si="0"/>
        <v/>
      </c>
      <c r="T42" s="242" t="str">
        <f>IFERROR(SUMIFS('capacity data'!$L:$L,'capacity data'!$B:$B,P42,'capacity data'!$E:$E,"PSO")/SUMIFS('capacity data'!$G:$G,'capacity data'!$E:$E,"PSO",'capacity data'!$B:$B,P42),"")</f>
        <v/>
      </c>
      <c r="U42" s="242" t="str">
        <f>IFERROR(SUMIFS('capacity data'!$L:$L,'capacity data'!$B:$B,P42,'capacity data'!$E:$E,"TPO")/SUMIFS('capacity data'!$G:$G,'capacity data'!$E:$E,"TPO",'capacity data'!$B:$B,P42),"")</f>
        <v/>
      </c>
    </row>
    <row r="43" spans="1:21" ht="16" x14ac:dyDescent="0.2">
      <c r="A43" t="s">
        <v>20</v>
      </c>
      <c r="F43"/>
      <c r="M43"/>
      <c r="O43" s="25" t="s">
        <v>24</v>
      </c>
      <c r="P43" t="s">
        <v>126</v>
      </c>
      <c r="Q43" s="241" t="str">
        <f>IFERROR(SUM((SUMIFS('capacity data'!$G:$G,'capacity data'!$E:$E,"PO",'capacity data'!$B:$B,P43))-SUMIFS('capacity data'!$H:$H,'capacity data'!$E:$E,"PO",'capacity data'!$B:$B,P43))/SUMIFS('capacity data'!$G:$G,'capacity data'!$E:$E,"PO",'capacity data'!$B:$B,P43),"")</f>
        <v/>
      </c>
      <c r="R43" s="241" t="str">
        <f>IFERROR(SUM((SUMIFS('capacity data'!$G:$G,'capacity data'!$E:$E,"PSO",'capacity data'!$B:$B,P43))-SUMIFS('capacity data'!$H:$H,'capacity data'!$E:$E,"PSO",'capacity data'!$B:$B,P43))/SUMIFS('capacity data'!$G:$G,'capacity data'!$E:$E,"PSO",'capacity data'!$B:$B,P43),"")</f>
        <v/>
      </c>
      <c r="S43" s="24" t="str">
        <f t="shared" si="0"/>
        <v/>
      </c>
      <c r="T43" s="242" t="str">
        <f>IFERROR(SUMIFS('capacity data'!$L:$L,'capacity data'!$B:$B,P43,'capacity data'!$E:$E,"PSO")/SUMIFS('capacity data'!$G:$G,'capacity data'!$E:$E,"PSO",'capacity data'!$B:$B,P43),"")</f>
        <v/>
      </c>
      <c r="U43" s="242" t="str">
        <f>IFERROR(SUMIFS('capacity data'!$L:$L,'capacity data'!$B:$B,P43,'capacity data'!$E:$E,"TPO")/SUMIFS('capacity data'!$G:$G,'capacity data'!$E:$E,"TPO",'capacity data'!$B:$B,P43),"")</f>
        <v/>
      </c>
    </row>
    <row r="44" spans="1:21" ht="16" x14ac:dyDescent="0.2">
      <c r="A44" t="s">
        <v>20</v>
      </c>
      <c r="F44"/>
      <c r="M44"/>
      <c r="O44" s="25" t="s">
        <v>24</v>
      </c>
      <c r="P44" t="s">
        <v>147</v>
      </c>
      <c r="Q44" s="241" t="str">
        <f>IFERROR(SUM((SUMIFS('capacity data'!$G:$G,'capacity data'!$E:$E,"PO",'capacity data'!$B:$B,P44))-SUMIFS('capacity data'!$H:$H,'capacity data'!$E:$E,"PO",'capacity data'!$B:$B,P44))/SUMIFS('capacity data'!$G:$G,'capacity data'!$E:$E,"PO",'capacity data'!$B:$B,P44),"")</f>
        <v/>
      </c>
      <c r="R44" s="241" t="str">
        <f>IFERROR(SUM((SUMIFS('capacity data'!$G:$G,'capacity data'!$E:$E,"PSO",'capacity data'!$B:$B,P44))-SUMIFS('capacity data'!$H:$H,'capacity data'!$E:$E,"PSO",'capacity data'!$B:$B,P44))/SUMIFS('capacity data'!$G:$G,'capacity data'!$E:$E,"PSO",'capacity data'!$B:$B,P44),"")</f>
        <v/>
      </c>
      <c r="S44" s="24" t="str">
        <f t="shared" si="0"/>
        <v/>
      </c>
      <c r="T44" s="242" t="str">
        <f>IFERROR(SUMIFS('capacity data'!$L:$L,'capacity data'!$B:$B,P44,'capacity data'!$E:$E,"PSO")/SUMIFS('capacity data'!$G:$G,'capacity data'!$E:$E,"PSO",'capacity data'!$B:$B,P44),"")</f>
        <v/>
      </c>
      <c r="U44" s="242" t="str">
        <f>IFERROR(SUMIFS('capacity data'!$L:$L,'capacity data'!$B:$B,P44,'capacity data'!$E:$E,"TPO")/SUMIFS('capacity data'!$G:$G,'capacity data'!$E:$E,"TPO",'capacity data'!$B:$B,P44),"")</f>
        <v/>
      </c>
    </row>
    <row r="45" spans="1:21" ht="16" x14ac:dyDescent="0.2">
      <c r="A45" t="s">
        <v>20</v>
      </c>
      <c r="F45"/>
      <c r="M45"/>
      <c r="O45" s="25" t="s">
        <v>24</v>
      </c>
      <c r="P45" t="s">
        <v>170</v>
      </c>
      <c r="Q45" s="241" t="str">
        <f>IFERROR(SUM((SUMIFS('capacity data'!$G:$G,'capacity data'!$E:$E,"PO",'capacity data'!$B:$B,P45))-SUMIFS('capacity data'!$H:$H,'capacity data'!$E:$E,"PO",'capacity data'!$B:$B,P45))/SUMIFS('capacity data'!$G:$G,'capacity data'!$E:$E,"PO",'capacity data'!$B:$B,P45),"")</f>
        <v/>
      </c>
      <c r="R45" s="241" t="str">
        <f>IFERROR(SUM((SUMIFS('capacity data'!$G:$G,'capacity data'!$E:$E,"PSO",'capacity data'!$B:$B,P45))-SUMIFS('capacity data'!$H:$H,'capacity data'!$E:$E,"PSO",'capacity data'!$B:$B,P45))/SUMIFS('capacity data'!$G:$G,'capacity data'!$E:$E,"PSO",'capacity data'!$B:$B,P45),"")</f>
        <v/>
      </c>
      <c r="S45" s="24" t="str">
        <f t="shared" si="0"/>
        <v/>
      </c>
      <c r="T45" s="242" t="str">
        <f>IFERROR(SUMIFS('capacity data'!$L:$L,'capacity data'!$B:$B,P45,'capacity data'!$E:$E,"PSO")/SUMIFS('capacity data'!$G:$G,'capacity data'!$E:$E,"PSO",'capacity data'!$B:$B,P45),"")</f>
        <v/>
      </c>
      <c r="U45" s="242" t="str">
        <f>IFERROR(SUMIFS('capacity data'!$L:$L,'capacity data'!$B:$B,P45,'capacity data'!$E:$E,"TPO")/SUMIFS('capacity data'!$G:$G,'capacity data'!$E:$E,"TPO",'capacity data'!$B:$B,P45),"")</f>
        <v/>
      </c>
    </row>
    <row r="46" spans="1:21" ht="16" x14ac:dyDescent="0.2">
      <c r="A46" t="s">
        <v>20</v>
      </c>
      <c r="F46"/>
      <c r="M46"/>
      <c r="O46" s="25" t="s">
        <v>24</v>
      </c>
      <c r="P46" t="s">
        <v>191</v>
      </c>
      <c r="Q46" s="241" t="str">
        <f>IFERROR(SUM((SUMIFS('capacity data'!$G:$G,'capacity data'!$E:$E,"PO",'capacity data'!$B:$B,P46))-SUMIFS('capacity data'!$H:$H,'capacity data'!$E:$E,"PO",'capacity data'!$B:$B,P46))/SUMIFS('capacity data'!$G:$G,'capacity data'!$E:$E,"PO",'capacity data'!$B:$B,P46),"")</f>
        <v/>
      </c>
      <c r="R46" s="241" t="str">
        <f>IFERROR(SUM((SUMIFS('capacity data'!$G:$G,'capacity data'!$E:$E,"PSO",'capacity data'!$B:$B,P46))-SUMIFS('capacity data'!$H:$H,'capacity data'!$E:$E,"PSO",'capacity data'!$B:$B,P46))/SUMIFS('capacity data'!$G:$G,'capacity data'!$E:$E,"PSO",'capacity data'!$B:$B,P46),"")</f>
        <v/>
      </c>
      <c r="S46" s="24" t="str">
        <f t="shared" si="0"/>
        <v/>
      </c>
      <c r="T46" s="242" t="str">
        <f>IFERROR(SUMIFS('capacity data'!$L:$L,'capacity data'!$B:$B,P46,'capacity data'!$E:$E,"PSO")/SUMIFS('capacity data'!$G:$G,'capacity data'!$E:$E,"PSO",'capacity data'!$B:$B,P46),"")</f>
        <v/>
      </c>
      <c r="U46" s="242" t="str">
        <f>IFERROR(SUMIFS('capacity data'!$L:$L,'capacity data'!$B:$B,P46,'capacity data'!$E:$E,"TPO")/SUMIFS('capacity data'!$G:$G,'capacity data'!$E:$E,"TPO",'capacity data'!$B:$B,P46),"")</f>
        <v/>
      </c>
    </row>
    <row r="47" spans="1:21" ht="16" x14ac:dyDescent="0.2">
      <c r="A47" t="s">
        <v>20</v>
      </c>
      <c r="F47"/>
      <c r="M47"/>
      <c r="O47" s="25" t="s">
        <v>24</v>
      </c>
      <c r="P47" t="s">
        <v>213</v>
      </c>
      <c r="Q47" s="241" t="str">
        <f>IFERROR(SUM((SUMIFS('capacity data'!$G:$G,'capacity data'!$E:$E,"PO",'capacity data'!$B:$B,P47))-SUMIFS('capacity data'!$H:$H,'capacity data'!$E:$E,"PO",'capacity data'!$B:$B,P47))/SUMIFS('capacity data'!$G:$G,'capacity data'!$E:$E,"PO",'capacity data'!$B:$B,P47),"")</f>
        <v/>
      </c>
      <c r="R47" s="241" t="str">
        <f>IFERROR(SUM((SUMIFS('capacity data'!$G:$G,'capacity data'!$E:$E,"PSO",'capacity data'!$B:$B,P47))-SUMIFS('capacity data'!$H:$H,'capacity data'!$E:$E,"PSO",'capacity data'!$B:$B,P47))/SUMIFS('capacity data'!$G:$G,'capacity data'!$E:$E,"PSO",'capacity data'!$B:$B,P47),"")</f>
        <v/>
      </c>
      <c r="S47" s="24" t="str">
        <f t="shared" si="0"/>
        <v/>
      </c>
      <c r="T47" s="242" t="str">
        <f>IFERROR(SUMIFS('capacity data'!$L:$L,'capacity data'!$B:$B,P47,'capacity data'!$E:$E,"PSO")/SUMIFS('capacity data'!$G:$G,'capacity data'!$E:$E,"PSO",'capacity data'!$B:$B,P47),"")</f>
        <v/>
      </c>
      <c r="U47" s="242" t="str">
        <f>IFERROR(SUMIFS('capacity data'!$L:$L,'capacity data'!$B:$B,P47,'capacity data'!$E:$E,"TPO")/SUMIFS('capacity data'!$G:$G,'capacity data'!$E:$E,"TPO",'capacity data'!$B:$B,P47),"")</f>
        <v/>
      </c>
    </row>
    <row r="48" spans="1:21" ht="16" x14ac:dyDescent="0.2">
      <c r="A48" t="s">
        <v>20</v>
      </c>
      <c r="F48"/>
      <c r="M48"/>
      <c r="O48" s="25" t="s">
        <v>24</v>
      </c>
      <c r="P48" t="s">
        <v>232</v>
      </c>
      <c r="Q48" s="241" t="str">
        <f>IFERROR(SUM((SUMIFS('capacity data'!$G:$G,'capacity data'!$E:$E,"PO",'capacity data'!$B:$B,P48))-SUMIFS('capacity data'!$H:$H,'capacity data'!$E:$E,"PO",'capacity data'!$B:$B,P48))/SUMIFS('capacity data'!$G:$G,'capacity data'!$E:$E,"PO",'capacity data'!$B:$B,P48),"")</f>
        <v/>
      </c>
      <c r="R48" s="241" t="str">
        <f>IFERROR(SUM((SUMIFS('capacity data'!$G:$G,'capacity data'!$E:$E,"PSO",'capacity data'!$B:$B,P48))-SUMIFS('capacity data'!$H:$H,'capacity data'!$E:$E,"PSO",'capacity data'!$B:$B,P48))/SUMIFS('capacity data'!$G:$G,'capacity data'!$E:$E,"PSO",'capacity data'!$B:$B,P48),"")</f>
        <v/>
      </c>
      <c r="S48" s="24" t="str">
        <f t="shared" si="0"/>
        <v/>
      </c>
      <c r="T48" s="242" t="str">
        <f>IFERROR(SUMIFS('capacity data'!$L:$L,'capacity data'!$B:$B,P48,'capacity data'!$E:$E,"PSO")/SUMIFS('capacity data'!$G:$G,'capacity data'!$E:$E,"PSO",'capacity data'!$B:$B,P48),"")</f>
        <v/>
      </c>
      <c r="U48" s="242" t="str">
        <f>IFERROR(SUMIFS('capacity data'!$L:$L,'capacity data'!$B:$B,P48,'capacity data'!$E:$E,"TPO")/SUMIFS('capacity data'!$G:$G,'capacity data'!$E:$E,"TPO",'capacity data'!$B:$B,P48),"")</f>
        <v/>
      </c>
    </row>
    <row r="49" spans="1:21" ht="16" x14ac:dyDescent="0.2">
      <c r="A49" t="s">
        <v>20</v>
      </c>
      <c r="F49"/>
      <c r="M49"/>
      <c r="O49" s="25" t="s">
        <v>24</v>
      </c>
      <c r="P49" t="s">
        <v>249</v>
      </c>
      <c r="Q49" s="241" t="str">
        <f>IFERROR(SUM((SUMIFS('capacity data'!$G:$G,'capacity data'!$E:$E,"PO",'capacity data'!$B:$B,P49))-SUMIFS('capacity data'!$H:$H,'capacity data'!$E:$E,"PO",'capacity data'!$B:$B,P49))/SUMIFS('capacity data'!$G:$G,'capacity data'!$E:$E,"PO",'capacity data'!$B:$B,P49),"")</f>
        <v/>
      </c>
      <c r="R49" s="241" t="str">
        <f>IFERROR(SUM((SUMIFS('capacity data'!$G:$G,'capacity data'!$E:$E,"PSO",'capacity data'!$B:$B,P49))-SUMIFS('capacity data'!$H:$H,'capacity data'!$E:$E,"PSO",'capacity data'!$B:$B,P49))/SUMIFS('capacity data'!$G:$G,'capacity data'!$E:$E,"PSO",'capacity data'!$B:$B,P49),"")</f>
        <v/>
      </c>
      <c r="S49" s="24" t="str">
        <f t="shared" si="0"/>
        <v/>
      </c>
      <c r="T49" s="242" t="str">
        <f>IFERROR(SUMIFS('capacity data'!$L:$L,'capacity data'!$B:$B,P49,'capacity data'!$E:$E,"PSO")/SUMIFS('capacity data'!$G:$G,'capacity data'!$E:$E,"PSO",'capacity data'!$B:$B,P49),"")</f>
        <v/>
      </c>
      <c r="U49" s="242" t="str">
        <f>IFERROR(SUMIFS('capacity data'!$L:$L,'capacity data'!$B:$B,P49,'capacity data'!$E:$E,"TPO")/SUMIFS('capacity data'!$G:$G,'capacity data'!$E:$E,"TPO",'capacity data'!$B:$B,P49),"")</f>
        <v/>
      </c>
    </row>
    <row r="50" spans="1:21" ht="16" x14ac:dyDescent="0.2">
      <c r="A50" t="s">
        <v>20</v>
      </c>
      <c r="F50"/>
      <c r="M50"/>
      <c r="O50" s="25" t="s">
        <v>24</v>
      </c>
      <c r="P50" t="s">
        <v>267</v>
      </c>
      <c r="Q50" s="241" t="str">
        <f>IFERROR(SUM((SUMIFS('capacity data'!$G:$G,'capacity data'!$E:$E,"PO",'capacity data'!$B:$B,P50))-SUMIFS('capacity data'!$H:$H,'capacity data'!$E:$E,"PO",'capacity data'!$B:$B,P50))/SUMIFS('capacity data'!$G:$G,'capacity data'!$E:$E,"PO",'capacity data'!$B:$B,P50),"")</f>
        <v/>
      </c>
      <c r="R50" s="241" t="str">
        <f>IFERROR(SUM((SUMIFS('capacity data'!$G:$G,'capacity data'!$E:$E,"PSO",'capacity data'!$B:$B,P50))-SUMIFS('capacity data'!$H:$H,'capacity data'!$E:$E,"PSO",'capacity data'!$B:$B,P50))/SUMIFS('capacity data'!$G:$G,'capacity data'!$E:$E,"PSO",'capacity data'!$B:$B,P50),"")</f>
        <v/>
      </c>
      <c r="S50" s="24" t="str">
        <f t="shared" si="0"/>
        <v/>
      </c>
      <c r="T50" s="242" t="str">
        <f>IFERROR(SUMIFS('capacity data'!$L:$L,'capacity data'!$B:$B,P50,'capacity data'!$E:$E,"PSO")/SUMIFS('capacity data'!$G:$G,'capacity data'!$E:$E,"PSO",'capacity data'!$B:$B,P50),"")</f>
        <v/>
      </c>
      <c r="U50" s="242" t="str">
        <f>IFERROR(SUMIFS('capacity data'!$L:$L,'capacity data'!$B:$B,P50,'capacity data'!$E:$E,"TPO")/SUMIFS('capacity data'!$G:$G,'capacity data'!$E:$E,"TPO",'capacity data'!$B:$B,P50),"")</f>
        <v/>
      </c>
    </row>
    <row r="51" spans="1:21" ht="16" x14ac:dyDescent="0.2">
      <c r="A51" t="s">
        <v>20</v>
      </c>
      <c r="F51"/>
      <c r="M51"/>
      <c r="O51" s="25" t="s">
        <v>24</v>
      </c>
      <c r="P51" t="s">
        <v>282</v>
      </c>
      <c r="Q51" s="241" t="str">
        <f>IFERROR(SUM((SUMIFS('capacity data'!$G:$G,'capacity data'!$E:$E,"PO",'capacity data'!$B:$B,P51))-SUMIFS('capacity data'!$H:$H,'capacity data'!$E:$E,"PO",'capacity data'!$B:$B,P51))/SUMIFS('capacity data'!$G:$G,'capacity data'!$E:$E,"PO",'capacity data'!$B:$B,P51),"")</f>
        <v/>
      </c>
      <c r="R51" s="241" t="str">
        <f>IFERROR(SUM((SUMIFS('capacity data'!$G:$G,'capacity data'!$E:$E,"PSO",'capacity data'!$B:$B,P51))-SUMIFS('capacity data'!$H:$H,'capacity data'!$E:$E,"PSO",'capacity data'!$B:$B,P51))/SUMIFS('capacity data'!$G:$G,'capacity data'!$E:$E,"PSO",'capacity data'!$B:$B,P51),"")</f>
        <v/>
      </c>
      <c r="S51" s="24" t="str">
        <f t="shared" si="0"/>
        <v/>
      </c>
      <c r="T51" s="242" t="str">
        <f>IFERROR(SUMIFS('capacity data'!$L:$L,'capacity data'!$B:$B,P51,'capacity data'!$E:$E,"PSO")/SUMIFS('capacity data'!$G:$G,'capacity data'!$E:$E,"PSO",'capacity data'!$B:$B,P51),"")</f>
        <v/>
      </c>
      <c r="U51" s="242" t="str">
        <f>IFERROR(SUMIFS('capacity data'!$L:$L,'capacity data'!$B:$B,P51,'capacity data'!$E:$E,"TPO")/SUMIFS('capacity data'!$G:$G,'capacity data'!$E:$E,"TPO",'capacity data'!$B:$B,P51),"")</f>
        <v/>
      </c>
    </row>
    <row r="52" spans="1:21" ht="16" x14ac:dyDescent="0.2">
      <c r="A52" t="s">
        <v>20</v>
      </c>
      <c r="F52"/>
      <c r="M52"/>
      <c r="O52" s="25" t="s">
        <v>24</v>
      </c>
      <c r="P52" t="s">
        <v>296</v>
      </c>
      <c r="Q52" s="241" t="str">
        <f>IFERROR(SUM((SUMIFS('capacity data'!$G:$G,'capacity data'!$E:$E,"PO",'capacity data'!$B:$B,P52))-SUMIFS('capacity data'!$H:$H,'capacity data'!$E:$E,"PO",'capacity data'!$B:$B,P52))/SUMIFS('capacity data'!$G:$G,'capacity data'!$E:$E,"PO",'capacity data'!$B:$B,P52),"")</f>
        <v/>
      </c>
      <c r="R52" s="241" t="str">
        <f>IFERROR(SUM((SUMIFS('capacity data'!$G:$G,'capacity data'!$E:$E,"PSO",'capacity data'!$B:$B,P52))-SUMIFS('capacity data'!$H:$H,'capacity data'!$E:$E,"PSO",'capacity data'!$B:$B,P52))/SUMIFS('capacity data'!$G:$G,'capacity data'!$E:$E,"PSO",'capacity data'!$B:$B,P52),"")</f>
        <v/>
      </c>
      <c r="S52" s="24" t="str">
        <f t="shared" si="0"/>
        <v/>
      </c>
      <c r="T52" s="242" t="str">
        <f>IFERROR(SUMIFS('capacity data'!$L:$L,'capacity data'!$B:$B,P52,'capacity data'!$E:$E,"PSO")/SUMIFS('capacity data'!$G:$G,'capacity data'!$E:$E,"PSO",'capacity data'!$B:$B,P52),"")</f>
        <v/>
      </c>
      <c r="U52" s="242" t="str">
        <f>IFERROR(SUMIFS('capacity data'!$L:$L,'capacity data'!$B:$B,P52,'capacity data'!$E:$E,"TPO")/SUMIFS('capacity data'!$G:$G,'capacity data'!$E:$E,"TPO",'capacity data'!$B:$B,P52),"")</f>
        <v/>
      </c>
    </row>
    <row r="53" spans="1:21" ht="16" x14ac:dyDescent="0.2">
      <c r="A53" t="s">
        <v>20</v>
      </c>
      <c r="F53"/>
      <c r="M53"/>
      <c r="O53" s="25" t="s">
        <v>24</v>
      </c>
      <c r="P53" t="s">
        <v>310</v>
      </c>
      <c r="Q53" s="241" t="str">
        <f>IFERROR(SUM((SUMIFS('capacity data'!$G:$G,'capacity data'!$E:$E,"PO",'capacity data'!$B:$B,P53))-SUMIFS('capacity data'!$H:$H,'capacity data'!$E:$E,"PO",'capacity data'!$B:$B,P53))/SUMIFS('capacity data'!$G:$G,'capacity data'!$E:$E,"PO",'capacity data'!$B:$B,P53),"")</f>
        <v/>
      </c>
      <c r="R53" s="241" t="str">
        <f>IFERROR(SUM((SUMIFS('capacity data'!$G:$G,'capacity data'!$E:$E,"PSO",'capacity data'!$B:$B,P53))-SUMIFS('capacity data'!$H:$H,'capacity data'!$E:$E,"PSO",'capacity data'!$B:$B,P53))/SUMIFS('capacity data'!$G:$G,'capacity data'!$E:$E,"PSO",'capacity data'!$B:$B,P53),"")</f>
        <v/>
      </c>
      <c r="S53" s="24" t="str">
        <f t="shared" si="0"/>
        <v/>
      </c>
      <c r="T53" s="242" t="str">
        <f>IFERROR(SUMIFS('capacity data'!$L:$L,'capacity data'!$B:$B,P53,'capacity data'!$E:$E,"PSO")/SUMIFS('capacity data'!$G:$G,'capacity data'!$E:$E,"PSO",'capacity data'!$B:$B,P53),"")</f>
        <v/>
      </c>
      <c r="U53" s="242" t="str">
        <f>IFERROR(SUMIFS('capacity data'!$L:$L,'capacity data'!$B:$B,P53,'capacity data'!$E:$E,"TPO")/SUMIFS('capacity data'!$G:$G,'capacity data'!$E:$E,"TPO",'capacity data'!$B:$B,P53),"")</f>
        <v/>
      </c>
    </row>
    <row r="54" spans="1:21" ht="16" x14ac:dyDescent="0.2">
      <c r="A54" t="s">
        <v>20</v>
      </c>
      <c r="F54"/>
      <c r="M54"/>
      <c r="O54" s="25" t="s">
        <v>24</v>
      </c>
      <c r="P54" t="s">
        <v>324</v>
      </c>
      <c r="Q54" s="241" t="str">
        <f>IFERROR(SUM((SUMIFS('capacity data'!$G:$G,'capacity data'!$E:$E,"PO",'capacity data'!$B:$B,P54))-SUMIFS('capacity data'!$H:$H,'capacity data'!$E:$E,"PO",'capacity data'!$B:$B,P54))/SUMIFS('capacity data'!$G:$G,'capacity data'!$E:$E,"PO",'capacity data'!$B:$B,P54),"")</f>
        <v/>
      </c>
      <c r="R54" s="241" t="str">
        <f>IFERROR(SUM((SUMIFS('capacity data'!$G:$G,'capacity data'!$E:$E,"PSO",'capacity data'!$B:$B,P54))-SUMIFS('capacity data'!$H:$H,'capacity data'!$E:$E,"PSO",'capacity data'!$B:$B,P54))/SUMIFS('capacity data'!$G:$G,'capacity data'!$E:$E,"PSO",'capacity data'!$B:$B,P54),"")</f>
        <v/>
      </c>
      <c r="S54" s="24" t="str">
        <f t="shared" si="0"/>
        <v/>
      </c>
      <c r="T54" s="242" t="str">
        <f>IFERROR(SUMIFS('capacity data'!$L:$L,'capacity data'!$B:$B,P54,'capacity data'!$E:$E,"PSO")/SUMIFS('capacity data'!$G:$G,'capacity data'!$E:$E,"PSO",'capacity data'!$B:$B,P54),"")</f>
        <v/>
      </c>
      <c r="U54" s="242" t="str">
        <f>IFERROR(SUMIFS('capacity data'!$L:$L,'capacity data'!$B:$B,P54,'capacity data'!$E:$E,"TPO")/SUMIFS('capacity data'!$G:$G,'capacity data'!$E:$E,"TPO",'capacity data'!$B:$B,P54),"")</f>
        <v/>
      </c>
    </row>
    <row r="55" spans="1:21" ht="16" x14ac:dyDescent="0.2">
      <c r="A55" t="s">
        <v>20</v>
      </c>
      <c r="F55"/>
      <c r="M55"/>
      <c r="O55" s="25" t="s">
        <v>24</v>
      </c>
      <c r="P55" t="s">
        <v>336</v>
      </c>
      <c r="Q55" s="241" t="str">
        <f>IFERROR(SUM((SUMIFS('capacity data'!$G:$G,'capacity data'!$E:$E,"PO",'capacity data'!$B:$B,P55))-SUMIFS('capacity data'!$H:$H,'capacity data'!$E:$E,"PO",'capacity data'!$B:$B,P55))/SUMIFS('capacity data'!$G:$G,'capacity data'!$E:$E,"PO",'capacity data'!$B:$B,P55),"")</f>
        <v/>
      </c>
      <c r="R55" s="241" t="str">
        <f>IFERROR(SUM((SUMIFS('capacity data'!$G:$G,'capacity data'!$E:$E,"PSO",'capacity data'!$B:$B,P55))-SUMIFS('capacity data'!$H:$H,'capacity data'!$E:$E,"PSO",'capacity data'!$B:$B,P55))/SUMIFS('capacity data'!$G:$G,'capacity data'!$E:$E,"PSO",'capacity data'!$B:$B,P55),"")</f>
        <v/>
      </c>
      <c r="S55" s="24" t="str">
        <f t="shared" si="0"/>
        <v/>
      </c>
      <c r="T55" s="242" t="str">
        <f>IFERROR(SUMIFS('capacity data'!$L:$L,'capacity data'!$B:$B,P55,'capacity data'!$E:$E,"PSO")/SUMIFS('capacity data'!$G:$G,'capacity data'!$E:$E,"PSO",'capacity data'!$B:$B,P55),"")</f>
        <v/>
      </c>
      <c r="U55" s="242" t="str">
        <f>IFERROR(SUMIFS('capacity data'!$L:$L,'capacity data'!$B:$B,P55,'capacity data'!$E:$E,"TPO")/SUMIFS('capacity data'!$G:$G,'capacity data'!$E:$E,"TPO",'capacity data'!$B:$B,P55),"")</f>
        <v/>
      </c>
    </row>
    <row r="56" spans="1:21" ht="16" x14ac:dyDescent="0.2">
      <c r="A56" t="s">
        <v>20</v>
      </c>
      <c r="F56"/>
      <c r="M56"/>
      <c r="O56" s="25" t="s">
        <v>24</v>
      </c>
      <c r="P56" t="s">
        <v>350</v>
      </c>
      <c r="Q56" s="241" t="str">
        <f>IFERROR(SUM((SUMIFS('capacity data'!$G:$G,'capacity data'!$E:$E,"PO",'capacity data'!$B:$B,P56))-SUMIFS('capacity data'!$H:$H,'capacity data'!$E:$E,"PO",'capacity data'!$B:$B,P56))/SUMIFS('capacity data'!$G:$G,'capacity data'!$E:$E,"PO",'capacity data'!$B:$B,P56),"")</f>
        <v/>
      </c>
      <c r="R56" s="241" t="str">
        <f>IFERROR(SUM((SUMIFS('capacity data'!$G:$G,'capacity data'!$E:$E,"PSO",'capacity data'!$B:$B,P56))-SUMIFS('capacity data'!$H:$H,'capacity data'!$E:$E,"PSO",'capacity data'!$B:$B,P56))/SUMIFS('capacity data'!$G:$G,'capacity data'!$E:$E,"PSO",'capacity data'!$B:$B,P56),"")</f>
        <v/>
      </c>
      <c r="S56" s="24" t="str">
        <f t="shared" si="0"/>
        <v/>
      </c>
      <c r="T56" s="242" t="str">
        <f>IFERROR(SUMIFS('capacity data'!$L:$L,'capacity data'!$B:$B,P56,'capacity data'!$E:$E,"PSO")/SUMIFS('capacity data'!$G:$G,'capacity data'!$E:$E,"PSO",'capacity data'!$B:$B,P56),"")</f>
        <v/>
      </c>
      <c r="U56" s="242" t="str">
        <f>IFERROR(SUMIFS('capacity data'!$L:$L,'capacity data'!$B:$B,P56,'capacity data'!$E:$E,"TPO")/SUMIFS('capacity data'!$G:$G,'capacity data'!$E:$E,"TPO",'capacity data'!$B:$B,P56),"")</f>
        <v/>
      </c>
    </row>
    <row r="57" spans="1:21" ht="16" x14ac:dyDescent="0.2">
      <c r="A57" t="s">
        <v>20</v>
      </c>
      <c r="F57"/>
      <c r="M57"/>
      <c r="O57" s="25" t="s">
        <v>24</v>
      </c>
      <c r="P57" t="s">
        <v>363</v>
      </c>
      <c r="Q57" s="241" t="str">
        <f>IFERROR(SUM((SUMIFS('capacity data'!$G:$G,'capacity data'!$E:$E,"PO",'capacity data'!$B:$B,P57))-SUMIFS('capacity data'!$H:$H,'capacity data'!$E:$E,"PO",'capacity data'!$B:$B,P57))/SUMIFS('capacity data'!$G:$G,'capacity data'!$E:$E,"PO",'capacity data'!$B:$B,P57),"")</f>
        <v/>
      </c>
      <c r="R57" s="241" t="str">
        <f>IFERROR(SUM((SUMIFS('capacity data'!$G:$G,'capacity data'!$E:$E,"PSO",'capacity data'!$B:$B,P57))-SUMIFS('capacity data'!$H:$H,'capacity data'!$E:$E,"PSO",'capacity data'!$B:$B,P57))/SUMIFS('capacity data'!$G:$G,'capacity data'!$E:$E,"PSO",'capacity data'!$B:$B,P57),"")</f>
        <v/>
      </c>
      <c r="S57" s="24" t="str">
        <f t="shared" si="0"/>
        <v/>
      </c>
      <c r="T57" s="242" t="str">
        <f>IFERROR(SUMIFS('capacity data'!$L:$L,'capacity data'!$B:$B,P57,'capacity data'!$E:$E,"PSO")/SUMIFS('capacity data'!$G:$G,'capacity data'!$E:$E,"PSO",'capacity data'!$B:$B,P57),"")</f>
        <v/>
      </c>
      <c r="U57" s="242" t="str">
        <f>IFERROR(SUMIFS('capacity data'!$L:$L,'capacity data'!$B:$B,P57,'capacity data'!$E:$E,"TPO")/SUMIFS('capacity data'!$G:$G,'capacity data'!$E:$E,"TPO",'capacity data'!$B:$B,P57),"")</f>
        <v/>
      </c>
    </row>
    <row r="58" spans="1:21" ht="16" x14ac:dyDescent="0.2">
      <c r="A58" t="s">
        <v>20</v>
      </c>
      <c r="F58"/>
      <c r="M58"/>
      <c r="O58" s="25" t="s">
        <v>24</v>
      </c>
      <c r="P58" t="s">
        <v>375</v>
      </c>
      <c r="Q58" s="241" t="str">
        <f>IFERROR(SUM((SUMIFS('capacity data'!$G:$G,'capacity data'!$E:$E,"PO",'capacity data'!$B:$B,P58))-SUMIFS('capacity data'!$H:$H,'capacity data'!$E:$E,"PO",'capacity data'!$B:$B,P58))/SUMIFS('capacity data'!$G:$G,'capacity data'!$E:$E,"PO",'capacity data'!$B:$B,P58),"")</f>
        <v/>
      </c>
      <c r="R58" s="241" t="str">
        <f>IFERROR(SUM((SUMIFS('capacity data'!$G:$G,'capacity data'!$E:$E,"PSO",'capacity data'!$B:$B,P58))-SUMIFS('capacity data'!$H:$H,'capacity data'!$E:$E,"PSO",'capacity data'!$B:$B,P58))/SUMIFS('capacity data'!$G:$G,'capacity data'!$E:$E,"PSO",'capacity data'!$B:$B,P58),"")</f>
        <v/>
      </c>
      <c r="S58" s="24" t="str">
        <f t="shared" si="0"/>
        <v/>
      </c>
      <c r="T58" s="242" t="str">
        <f>IFERROR(SUMIFS('capacity data'!$L:$L,'capacity data'!$B:$B,P58,'capacity data'!$E:$E,"PSO")/SUMIFS('capacity data'!$G:$G,'capacity data'!$E:$E,"PSO",'capacity data'!$B:$B,P58),"")</f>
        <v/>
      </c>
      <c r="U58" s="242" t="str">
        <f>IFERROR(SUMIFS('capacity data'!$L:$L,'capacity data'!$B:$B,P58,'capacity data'!$E:$E,"TPO")/SUMIFS('capacity data'!$G:$G,'capacity data'!$E:$E,"TPO",'capacity data'!$B:$B,P58),"")</f>
        <v/>
      </c>
    </row>
    <row r="59" spans="1:21" ht="16" x14ac:dyDescent="0.2">
      <c r="A59" t="s">
        <v>20</v>
      </c>
      <c r="F59"/>
      <c r="M59"/>
      <c r="O59" s="25" t="s">
        <v>24</v>
      </c>
      <c r="P59" t="s">
        <v>387</v>
      </c>
      <c r="Q59" s="241" t="str">
        <f>IFERROR(SUM((SUMIFS('capacity data'!$G:$G,'capacity data'!$E:$E,"PO",'capacity data'!$B:$B,P59))-SUMIFS('capacity data'!$H:$H,'capacity data'!$E:$E,"PO",'capacity data'!$B:$B,P59))/SUMIFS('capacity data'!$G:$G,'capacity data'!$E:$E,"PO",'capacity data'!$B:$B,P59),"")</f>
        <v/>
      </c>
      <c r="R59" s="241" t="str">
        <f>IFERROR(SUM((SUMIFS('capacity data'!$G:$G,'capacity data'!$E:$E,"PSO",'capacity data'!$B:$B,P59))-SUMIFS('capacity data'!$H:$H,'capacity data'!$E:$E,"PSO",'capacity data'!$B:$B,P59))/SUMIFS('capacity data'!$G:$G,'capacity data'!$E:$E,"PSO",'capacity data'!$B:$B,P59),"")</f>
        <v/>
      </c>
      <c r="S59" s="24" t="str">
        <f t="shared" si="0"/>
        <v/>
      </c>
      <c r="T59" s="242" t="str">
        <f>IFERROR(SUMIFS('capacity data'!$L:$L,'capacity data'!$B:$B,P59,'capacity data'!$E:$E,"PSO")/SUMIFS('capacity data'!$G:$G,'capacity data'!$E:$E,"PSO",'capacity data'!$B:$B,P59),"")</f>
        <v/>
      </c>
      <c r="U59" s="242" t="str">
        <f>IFERROR(SUMIFS('capacity data'!$L:$L,'capacity data'!$B:$B,P59,'capacity data'!$E:$E,"TPO")/SUMIFS('capacity data'!$G:$G,'capacity data'!$E:$E,"TPO",'capacity data'!$B:$B,P59),"")</f>
        <v/>
      </c>
    </row>
    <row r="60" spans="1:21" ht="16" x14ac:dyDescent="0.2">
      <c r="A60" t="s">
        <v>20</v>
      </c>
      <c r="F60"/>
      <c r="M60"/>
      <c r="O60" s="25" t="s">
        <v>24</v>
      </c>
      <c r="P60" t="s">
        <v>399</v>
      </c>
      <c r="Q60" s="241" t="str">
        <f>IFERROR(SUM((SUMIFS('capacity data'!$G:$G,'capacity data'!$E:$E,"PO",'capacity data'!$B:$B,P60))-SUMIFS('capacity data'!$H:$H,'capacity data'!$E:$E,"PO",'capacity data'!$B:$B,P60))/SUMIFS('capacity data'!$G:$G,'capacity data'!$E:$E,"PO",'capacity data'!$B:$B,P60),"")</f>
        <v/>
      </c>
      <c r="R60" s="241" t="str">
        <f>IFERROR(SUM((SUMIFS('capacity data'!$G:$G,'capacity data'!$E:$E,"PSO",'capacity data'!$B:$B,P60))-SUMIFS('capacity data'!$H:$H,'capacity data'!$E:$E,"PSO",'capacity data'!$B:$B,P60))/SUMIFS('capacity data'!$G:$G,'capacity data'!$E:$E,"PSO",'capacity data'!$B:$B,P60),"")</f>
        <v/>
      </c>
      <c r="S60" s="24" t="str">
        <f t="shared" si="0"/>
        <v/>
      </c>
      <c r="T60" s="242" t="str">
        <f>IFERROR(SUMIFS('capacity data'!$L:$L,'capacity data'!$B:$B,P60,'capacity data'!$E:$E,"PSO")/SUMIFS('capacity data'!$G:$G,'capacity data'!$E:$E,"PSO",'capacity data'!$B:$B,P60),"")</f>
        <v/>
      </c>
      <c r="U60" s="242" t="str">
        <f>IFERROR(SUMIFS('capacity data'!$L:$L,'capacity data'!$B:$B,P60,'capacity data'!$E:$E,"TPO")/SUMIFS('capacity data'!$G:$G,'capacity data'!$E:$E,"TPO",'capacity data'!$B:$B,P60),"")</f>
        <v/>
      </c>
    </row>
    <row r="61" spans="1:21" ht="16" x14ac:dyDescent="0.2">
      <c r="A61" t="s">
        <v>20</v>
      </c>
      <c r="F61"/>
      <c r="M61"/>
      <c r="O61" s="25" t="s">
        <v>24</v>
      </c>
      <c r="P61" t="s">
        <v>411</v>
      </c>
      <c r="Q61" s="241" t="str">
        <f>IFERROR(SUM((SUMIFS('capacity data'!$G:$G,'capacity data'!$E:$E,"PO",'capacity data'!$B:$B,P61))-SUMIFS('capacity data'!$H:$H,'capacity data'!$E:$E,"PO",'capacity data'!$B:$B,P61))/SUMIFS('capacity data'!$G:$G,'capacity data'!$E:$E,"PO",'capacity data'!$B:$B,P61),"")</f>
        <v/>
      </c>
      <c r="R61" s="241" t="str">
        <f>IFERROR(SUM((SUMIFS('capacity data'!$G:$G,'capacity data'!$E:$E,"PSO",'capacity data'!$B:$B,P61))-SUMIFS('capacity data'!$H:$H,'capacity data'!$E:$E,"PSO",'capacity data'!$B:$B,P61))/SUMIFS('capacity data'!$G:$G,'capacity data'!$E:$E,"PSO",'capacity data'!$B:$B,P61),"")</f>
        <v/>
      </c>
      <c r="S61" s="24" t="str">
        <f t="shared" si="0"/>
        <v/>
      </c>
      <c r="T61" s="242" t="str">
        <f>IFERROR(SUMIFS('capacity data'!$L:$L,'capacity data'!$B:$B,P61,'capacity data'!$E:$E,"PSO")/SUMIFS('capacity data'!$G:$G,'capacity data'!$E:$E,"PSO",'capacity data'!$B:$B,P61),"")</f>
        <v/>
      </c>
      <c r="U61" s="242" t="str">
        <f>IFERROR(SUMIFS('capacity data'!$L:$L,'capacity data'!$B:$B,P61,'capacity data'!$E:$E,"TPO")/SUMIFS('capacity data'!$G:$G,'capacity data'!$E:$E,"TPO",'capacity data'!$B:$B,P61),"")</f>
        <v/>
      </c>
    </row>
    <row r="62" spans="1:21" ht="16" x14ac:dyDescent="0.2">
      <c r="A62" t="s">
        <v>20</v>
      </c>
      <c r="F62"/>
      <c r="M62"/>
      <c r="O62" s="25" t="s">
        <v>24</v>
      </c>
      <c r="P62" t="s">
        <v>423</v>
      </c>
      <c r="Q62" s="241" t="str">
        <f>IFERROR(SUM((SUMIFS('capacity data'!$G:$G,'capacity data'!$E:$E,"PO",'capacity data'!$B:$B,P62))-SUMIFS('capacity data'!$H:$H,'capacity data'!$E:$E,"PO",'capacity data'!$B:$B,P62))/SUMIFS('capacity data'!$G:$G,'capacity data'!$E:$E,"PO",'capacity data'!$B:$B,P62),"")</f>
        <v/>
      </c>
      <c r="R62" s="241" t="str">
        <f>IFERROR(SUM((SUMIFS('capacity data'!$G:$G,'capacity data'!$E:$E,"PSO",'capacity data'!$B:$B,P62))-SUMIFS('capacity data'!$H:$H,'capacity data'!$E:$E,"PSO",'capacity data'!$B:$B,P62))/SUMIFS('capacity data'!$G:$G,'capacity data'!$E:$E,"PSO",'capacity data'!$B:$B,P62),"")</f>
        <v/>
      </c>
      <c r="S62" s="24" t="str">
        <f t="shared" si="0"/>
        <v/>
      </c>
      <c r="T62" s="242" t="str">
        <f>IFERROR(SUMIFS('capacity data'!$L:$L,'capacity data'!$B:$B,P62,'capacity data'!$E:$E,"PSO")/SUMIFS('capacity data'!$G:$G,'capacity data'!$E:$E,"PSO",'capacity data'!$B:$B,P62),"")</f>
        <v/>
      </c>
      <c r="U62" s="242" t="str">
        <f>IFERROR(SUMIFS('capacity data'!$L:$L,'capacity data'!$B:$B,P62,'capacity data'!$E:$E,"TPO")/SUMIFS('capacity data'!$G:$G,'capacity data'!$E:$E,"TPO",'capacity data'!$B:$B,P62),"")</f>
        <v/>
      </c>
    </row>
    <row r="63" spans="1:21" ht="16" x14ac:dyDescent="0.2">
      <c r="A63" t="s">
        <v>20</v>
      </c>
      <c r="F63"/>
      <c r="M63"/>
      <c r="O63" s="25" t="s">
        <v>25</v>
      </c>
      <c r="P63" t="s">
        <v>37</v>
      </c>
      <c r="Q63" s="241" t="str">
        <f>IFERROR(SUM((SUMIFS('capacity data'!$G:$G,'capacity data'!$E:$E,"PO",'capacity data'!$B:$B,P63))-SUMIFS('capacity data'!$H:$H,'capacity data'!$E:$E,"PO",'capacity data'!$B:$B,P63))/SUMIFS('capacity data'!$G:$G,'capacity data'!$E:$E,"PO",'capacity data'!$B:$B,P63),"")</f>
        <v/>
      </c>
      <c r="R63" s="241" t="str">
        <f>IFERROR(SUM((SUMIFS('capacity data'!$G:$G,'capacity data'!$E:$E,"PSO",'capacity data'!$B:$B,P63))-SUMIFS('capacity data'!$H:$H,'capacity data'!$E:$E,"PSO",'capacity data'!$B:$B,P63))/SUMIFS('capacity data'!$G:$G,'capacity data'!$E:$E,"PSO",'capacity data'!$B:$B,P63),"")</f>
        <v/>
      </c>
      <c r="S63" s="24" t="str">
        <f t="shared" si="0"/>
        <v/>
      </c>
      <c r="T63" s="242" t="str">
        <f>IFERROR(SUMIFS('capacity data'!$L:$L,'capacity data'!$B:$B,P63,'capacity data'!$E:$E,"PSO")/SUMIFS('capacity data'!$G:$G,'capacity data'!$E:$E,"PSO",'capacity data'!$B:$B,P63),"")</f>
        <v/>
      </c>
      <c r="U63" s="242" t="str">
        <f>IFERROR(SUMIFS('capacity data'!$L:$L,'capacity data'!$B:$B,P63,'capacity data'!$E:$E,"TPO")/SUMIFS('capacity data'!$G:$G,'capacity data'!$E:$E,"TPO",'capacity data'!$B:$B,P63),"")</f>
        <v/>
      </c>
    </row>
    <row r="64" spans="1:21" ht="16" x14ac:dyDescent="0.2">
      <c r="A64" t="s">
        <v>20</v>
      </c>
      <c r="F64"/>
      <c r="M64"/>
      <c r="O64" s="25" t="s">
        <v>25</v>
      </c>
      <c r="P64" t="s">
        <v>59</v>
      </c>
      <c r="Q64" s="241" t="str">
        <f>IFERROR(SUM((SUMIFS('capacity data'!$G:$G,'capacity data'!$E:$E,"PO",'capacity data'!$B:$B,P64))-SUMIFS('capacity data'!$H:$H,'capacity data'!$E:$E,"PO",'capacity data'!$B:$B,P64))/SUMIFS('capacity data'!$G:$G,'capacity data'!$E:$E,"PO",'capacity data'!$B:$B,P64),"")</f>
        <v/>
      </c>
      <c r="R64" s="241" t="str">
        <f>IFERROR(SUM((SUMIFS('capacity data'!$G:$G,'capacity data'!$E:$E,"PSO",'capacity data'!$B:$B,P64))-SUMIFS('capacity data'!$H:$H,'capacity data'!$E:$E,"PSO",'capacity data'!$B:$B,P64))/SUMIFS('capacity data'!$G:$G,'capacity data'!$E:$E,"PSO",'capacity data'!$B:$B,P64),"")</f>
        <v/>
      </c>
      <c r="S64" s="24" t="str">
        <f t="shared" si="0"/>
        <v/>
      </c>
      <c r="T64" s="242" t="str">
        <f>IFERROR(SUMIFS('capacity data'!$L:$L,'capacity data'!$B:$B,P64,'capacity data'!$E:$E,"PSO")/SUMIFS('capacity data'!$G:$G,'capacity data'!$E:$E,"PSO",'capacity data'!$B:$B,P64),"")</f>
        <v/>
      </c>
      <c r="U64" s="242" t="str">
        <f>IFERROR(SUMIFS('capacity data'!$L:$L,'capacity data'!$B:$B,P64,'capacity data'!$E:$E,"TPO")/SUMIFS('capacity data'!$G:$G,'capacity data'!$E:$E,"TPO",'capacity data'!$B:$B,P64),"")</f>
        <v/>
      </c>
    </row>
    <row r="65" spans="1:21" ht="16" x14ac:dyDescent="0.2">
      <c r="A65" t="s">
        <v>20</v>
      </c>
      <c r="F65"/>
      <c r="M65"/>
      <c r="O65" s="25" t="s">
        <v>25</v>
      </c>
      <c r="P65" t="s">
        <v>81</v>
      </c>
      <c r="Q65" s="241" t="str">
        <f>IFERROR(SUM((SUMIFS('capacity data'!$G:$G,'capacity data'!$E:$E,"PO",'capacity data'!$B:$B,P65))-SUMIFS('capacity data'!$H:$H,'capacity data'!$E:$E,"PO",'capacity data'!$B:$B,P65))/SUMIFS('capacity data'!$G:$G,'capacity data'!$E:$E,"PO",'capacity data'!$B:$B,P65),"")</f>
        <v/>
      </c>
      <c r="R65" s="241" t="str">
        <f>IFERROR(SUM((SUMIFS('capacity data'!$G:$G,'capacity data'!$E:$E,"PSO",'capacity data'!$B:$B,P65))-SUMIFS('capacity data'!$H:$H,'capacity data'!$E:$E,"PSO",'capacity data'!$B:$B,P65))/SUMIFS('capacity data'!$G:$G,'capacity data'!$E:$E,"PSO",'capacity data'!$B:$B,P65),"")</f>
        <v/>
      </c>
      <c r="S65" s="24" t="str">
        <f t="shared" si="0"/>
        <v/>
      </c>
      <c r="T65" s="242" t="str">
        <f>IFERROR(SUMIFS('capacity data'!$L:$L,'capacity data'!$B:$B,P65,'capacity data'!$E:$E,"PSO")/SUMIFS('capacity data'!$G:$G,'capacity data'!$E:$E,"PSO",'capacity data'!$B:$B,P65),"")</f>
        <v/>
      </c>
      <c r="U65" s="242" t="str">
        <f>IFERROR(SUMIFS('capacity data'!$L:$L,'capacity data'!$B:$B,P65,'capacity data'!$E:$E,"TPO")/SUMIFS('capacity data'!$G:$G,'capacity data'!$E:$E,"TPO",'capacity data'!$B:$B,P65),"")</f>
        <v/>
      </c>
    </row>
    <row r="66" spans="1:21" ht="16" x14ac:dyDescent="0.2">
      <c r="A66" t="s">
        <v>20</v>
      </c>
      <c r="F66"/>
      <c r="M66"/>
      <c r="O66" s="25" t="s">
        <v>25</v>
      </c>
      <c r="P66" t="s">
        <v>104</v>
      </c>
      <c r="Q66" s="241" t="str">
        <f>IFERROR(SUM((SUMIFS('capacity data'!$G:$G,'capacity data'!$E:$E,"PO",'capacity data'!$B:$B,P66))-SUMIFS('capacity data'!$H:$H,'capacity data'!$E:$E,"PO",'capacity data'!$B:$B,P66))/SUMIFS('capacity data'!$G:$G,'capacity data'!$E:$E,"PO",'capacity data'!$B:$B,P66),"")</f>
        <v/>
      </c>
      <c r="R66" s="241" t="str">
        <f>IFERROR(SUM((SUMIFS('capacity data'!$G:$G,'capacity data'!$E:$E,"PSO",'capacity data'!$B:$B,P66))-SUMIFS('capacity data'!$H:$H,'capacity data'!$E:$E,"PSO",'capacity data'!$B:$B,P66))/SUMIFS('capacity data'!$G:$G,'capacity data'!$E:$E,"PSO",'capacity data'!$B:$B,P66),"")</f>
        <v/>
      </c>
      <c r="S66" s="24" t="str">
        <f t="shared" si="0"/>
        <v/>
      </c>
      <c r="T66" s="242" t="str">
        <f>IFERROR(SUMIFS('capacity data'!$L:$L,'capacity data'!$B:$B,P66,'capacity data'!$E:$E,"PSO")/SUMIFS('capacity data'!$G:$G,'capacity data'!$E:$E,"PSO",'capacity data'!$B:$B,P66),"")</f>
        <v/>
      </c>
      <c r="U66" s="242" t="str">
        <f>IFERROR(SUMIFS('capacity data'!$L:$L,'capacity data'!$B:$B,P66,'capacity data'!$E:$E,"TPO")/SUMIFS('capacity data'!$G:$G,'capacity data'!$E:$E,"TPO",'capacity data'!$B:$B,P66),"")</f>
        <v/>
      </c>
    </row>
    <row r="67" spans="1:21" ht="16" x14ac:dyDescent="0.2">
      <c r="A67" t="s">
        <v>20</v>
      </c>
      <c r="F67"/>
      <c r="M67"/>
      <c r="O67" s="25" t="s">
        <v>25</v>
      </c>
      <c r="P67" t="s">
        <v>127</v>
      </c>
      <c r="Q67" s="241" t="str">
        <f>IFERROR(SUM((SUMIFS('capacity data'!$G:$G,'capacity data'!$E:$E,"PO",'capacity data'!$B:$B,P67))-SUMIFS('capacity data'!$H:$H,'capacity data'!$E:$E,"PO",'capacity data'!$B:$B,P67))/SUMIFS('capacity data'!$G:$G,'capacity data'!$E:$E,"PO",'capacity data'!$B:$B,P67),"")</f>
        <v/>
      </c>
      <c r="R67" s="241" t="str">
        <f>IFERROR(SUM((SUMIFS('capacity data'!$G:$G,'capacity data'!$E:$E,"PSO",'capacity data'!$B:$B,P67))-SUMIFS('capacity data'!$H:$H,'capacity data'!$E:$E,"PSO",'capacity data'!$B:$B,P67))/SUMIFS('capacity data'!$G:$G,'capacity data'!$E:$E,"PSO",'capacity data'!$B:$B,P67),"")</f>
        <v/>
      </c>
      <c r="S67" s="24" t="str">
        <f t="shared" ref="S67:S130" si="1">IFERROR((Q67-R67),"")</f>
        <v/>
      </c>
      <c r="T67" s="242" t="str">
        <f>IFERROR(SUMIFS('capacity data'!$L:$L,'capacity data'!$B:$B,P67,'capacity data'!$E:$E,"PSO")/SUMIFS('capacity data'!$G:$G,'capacity data'!$E:$E,"PSO",'capacity data'!$B:$B,P67),"")</f>
        <v/>
      </c>
      <c r="U67" s="242" t="str">
        <f>IFERROR(SUMIFS('capacity data'!$L:$L,'capacity data'!$B:$B,P67,'capacity data'!$E:$E,"TPO")/SUMIFS('capacity data'!$G:$G,'capacity data'!$E:$E,"TPO",'capacity data'!$B:$B,P67),"")</f>
        <v/>
      </c>
    </row>
    <row r="68" spans="1:21" ht="16" x14ac:dyDescent="0.2">
      <c r="A68" t="s">
        <v>20</v>
      </c>
      <c r="F68"/>
      <c r="M68"/>
      <c r="O68" s="25" t="s">
        <v>25</v>
      </c>
      <c r="P68" t="s">
        <v>148</v>
      </c>
      <c r="Q68" s="241" t="str">
        <f>IFERROR(SUM((SUMIFS('capacity data'!$G:$G,'capacity data'!$E:$E,"PO",'capacity data'!$B:$B,P68))-SUMIFS('capacity data'!$H:$H,'capacity data'!$E:$E,"PO",'capacity data'!$B:$B,P68))/SUMIFS('capacity data'!$G:$G,'capacity data'!$E:$E,"PO",'capacity data'!$B:$B,P68),"")</f>
        <v/>
      </c>
      <c r="R68" s="241" t="str">
        <f>IFERROR(SUM((SUMIFS('capacity data'!$G:$G,'capacity data'!$E:$E,"PSO",'capacity data'!$B:$B,P68))-SUMIFS('capacity data'!$H:$H,'capacity data'!$E:$E,"PSO",'capacity data'!$B:$B,P68))/SUMIFS('capacity data'!$G:$G,'capacity data'!$E:$E,"PSO",'capacity data'!$B:$B,P68),"")</f>
        <v/>
      </c>
      <c r="S68" s="24" t="str">
        <f t="shared" si="1"/>
        <v/>
      </c>
      <c r="T68" s="242" t="str">
        <f>IFERROR(SUMIFS('capacity data'!$L:$L,'capacity data'!$B:$B,P68,'capacity data'!$E:$E,"PSO")/SUMIFS('capacity data'!$G:$G,'capacity data'!$E:$E,"PSO",'capacity data'!$B:$B,P68),"")</f>
        <v/>
      </c>
      <c r="U68" s="242" t="str">
        <f>IFERROR(SUMIFS('capacity data'!$L:$L,'capacity data'!$B:$B,P68,'capacity data'!$E:$E,"TPO")/SUMIFS('capacity data'!$G:$G,'capacity data'!$E:$E,"TPO",'capacity data'!$B:$B,P68),"")</f>
        <v/>
      </c>
    </row>
    <row r="69" spans="1:21" ht="16" x14ac:dyDescent="0.2">
      <c r="A69" t="s">
        <v>20</v>
      </c>
      <c r="F69"/>
      <c r="M69"/>
      <c r="O69" s="25" t="s">
        <v>25</v>
      </c>
      <c r="P69" t="s">
        <v>171</v>
      </c>
      <c r="Q69" s="241" t="str">
        <f>IFERROR(SUM((SUMIFS('capacity data'!$G:$G,'capacity data'!$E:$E,"PO",'capacity data'!$B:$B,P69))-SUMIFS('capacity data'!$H:$H,'capacity data'!$E:$E,"PO",'capacity data'!$B:$B,P69))/SUMIFS('capacity data'!$G:$G,'capacity data'!$E:$E,"PO",'capacity data'!$B:$B,P69),"")</f>
        <v/>
      </c>
      <c r="R69" s="241" t="str">
        <f>IFERROR(SUM((SUMIFS('capacity data'!$G:$G,'capacity data'!$E:$E,"PSO",'capacity data'!$B:$B,P69))-SUMIFS('capacity data'!$H:$H,'capacity data'!$E:$E,"PSO",'capacity data'!$B:$B,P69))/SUMIFS('capacity data'!$G:$G,'capacity data'!$E:$E,"PSO",'capacity data'!$B:$B,P69),"")</f>
        <v/>
      </c>
      <c r="S69" s="24" t="str">
        <f t="shared" si="1"/>
        <v/>
      </c>
      <c r="T69" s="242" t="str">
        <f>IFERROR(SUMIFS('capacity data'!$L:$L,'capacity data'!$B:$B,P69,'capacity data'!$E:$E,"PSO")/SUMIFS('capacity data'!$G:$G,'capacity data'!$E:$E,"PSO",'capacity data'!$B:$B,P69),"")</f>
        <v/>
      </c>
      <c r="U69" s="242" t="str">
        <f>IFERROR(SUMIFS('capacity data'!$L:$L,'capacity data'!$B:$B,P69,'capacity data'!$E:$E,"TPO")/SUMIFS('capacity data'!$G:$G,'capacity data'!$E:$E,"TPO",'capacity data'!$B:$B,P69),"")</f>
        <v/>
      </c>
    </row>
    <row r="70" spans="1:21" ht="16" x14ac:dyDescent="0.2">
      <c r="A70" t="s">
        <v>20</v>
      </c>
      <c r="F70"/>
      <c r="M70"/>
      <c r="O70" s="25" t="s">
        <v>25</v>
      </c>
      <c r="P70" t="s">
        <v>192</v>
      </c>
      <c r="Q70" s="241" t="str">
        <f>IFERROR(SUM((SUMIFS('capacity data'!$G:$G,'capacity data'!$E:$E,"PO",'capacity data'!$B:$B,P70))-SUMIFS('capacity data'!$H:$H,'capacity data'!$E:$E,"PO",'capacity data'!$B:$B,P70))/SUMIFS('capacity data'!$G:$G,'capacity data'!$E:$E,"PO",'capacity data'!$B:$B,P70),"")</f>
        <v/>
      </c>
      <c r="R70" s="241" t="str">
        <f>IFERROR(SUM((SUMIFS('capacity data'!$G:$G,'capacity data'!$E:$E,"PSO",'capacity data'!$B:$B,P70))-SUMIFS('capacity data'!$H:$H,'capacity data'!$E:$E,"PSO",'capacity data'!$B:$B,P70))/SUMIFS('capacity data'!$G:$G,'capacity data'!$E:$E,"PSO",'capacity data'!$B:$B,P70),"")</f>
        <v/>
      </c>
      <c r="S70" s="24" t="str">
        <f t="shared" si="1"/>
        <v/>
      </c>
      <c r="T70" s="242" t="str">
        <f>IFERROR(SUMIFS('capacity data'!$L:$L,'capacity data'!$B:$B,P70,'capacity data'!$E:$E,"PSO")/SUMIFS('capacity data'!$G:$G,'capacity data'!$E:$E,"PSO",'capacity data'!$B:$B,P70),"")</f>
        <v/>
      </c>
      <c r="U70" s="242" t="str">
        <f>IFERROR(SUMIFS('capacity data'!$L:$L,'capacity data'!$B:$B,P70,'capacity data'!$E:$E,"TPO")/SUMIFS('capacity data'!$G:$G,'capacity data'!$E:$E,"TPO",'capacity data'!$B:$B,P70),"")</f>
        <v/>
      </c>
    </row>
    <row r="71" spans="1:21" ht="16" x14ac:dyDescent="0.2">
      <c r="A71" t="s">
        <v>20</v>
      </c>
      <c r="F71"/>
      <c r="M71"/>
      <c r="O71" s="25" t="s">
        <v>25</v>
      </c>
      <c r="P71" t="s">
        <v>214</v>
      </c>
      <c r="Q71" s="241" t="str">
        <f>IFERROR(SUM((SUMIFS('capacity data'!$G:$G,'capacity data'!$E:$E,"PO",'capacity data'!$B:$B,P71))-SUMIFS('capacity data'!$H:$H,'capacity data'!$E:$E,"PO",'capacity data'!$B:$B,P71))/SUMIFS('capacity data'!$G:$G,'capacity data'!$E:$E,"PO",'capacity data'!$B:$B,P71),"")</f>
        <v/>
      </c>
      <c r="R71" s="241" t="str">
        <f>IFERROR(SUM((SUMIFS('capacity data'!$G:$G,'capacity data'!$E:$E,"PSO",'capacity data'!$B:$B,P71))-SUMIFS('capacity data'!$H:$H,'capacity data'!$E:$E,"PSO",'capacity data'!$B:$B,P71))/SUMIFS('capacity data'!$G:$G,'capacity data'!$E:$E,"PSO",'capacity data'!$B:$B,P71),"")</f>
        <v/>
      </c>
      <c r="S71" s="24" t="str">
        <f t="shared" si="1"/>
        <v/>
      </c>
      <c r="T71" s="242" t="str">
        <f>IFERROR(SUMIFS('capacity data'!$L:$L,'capacity data'!$B:$B,P71,'capacity data'!$E:$E,"PSO")/SUMIFS('capacity data'!$G:$G,'capacity data'!$E:$E,"PSO",'capacity data'!$B:$B,P71),"")</f>
        <v/>
      </c>
      <c r="U71" s="242" t="str">
        <f>IFERROR(SUMIFS('capacity data'!$L:$L,'capacity data'!$B:$B,P71,'capacity data'!$E:$E,"TPO")/SUMIFS('capacity data'!$G:$G,'capacity data'!$E:$E,"TPO",'capacity data'!$B:$B,P71),"")</f>
        <v/>
      </c>
    </row>
    <row r="72" spans="1:21" ht="16" x14ac:dyDescent="0.2">
      <c r="A72" t="s">
        <v>20</v>
      </c>
      <c r="F72"/>
      <c r="M72"/>
      <c r="O72" s="25" t="s">
        <v>25</v>
      </c>
      <c r="P72" t="s">
        <v>233</v>
      </c>
      <c r="Q72" s="241" t="str">
        <f>IFERROR(SUM((SUMIFS('capacity data'!$G:$G,'capacity data'!$E:$E,"PO",'capacity data'!$B:$B,P72))-SUMIFS('capacity data'!$H:$H,'capacity data'!$E:$E,"PO",'capacity data'!$B:$B,P72))/SUMIFS('capacity data'!$G:$G,'capacity data'!$E:$E,"PO",'capacity data'!$B:$B,P72),"")</f>
        <v/>
      </c>
      <c r="R72" s="241" t="str">
        <f>IFERROR(SUM((SUMIFS('capacity data'!$G:$G,'capacity data'!$E:$E,"PSO",'capacity data'!$B:$B,P72))-SUMIFS('capacity data'!$H:$H,'capacity data'!$E:$E,"PSO",'capacity data'!$B:$B,P72))/SUMIFS('capacity data'!$G:$G,'capacity data'!$E:$E,"PSO",'capacity data'!$B:$B,P72),"")</f>
        <v/>
      </c>
      <c r="S72" s="24" t="str">
        <f t="shared" si="1"/>
        <v/>
      </c>
      <c r="T72" s="242" t="str">
        <f>IFERROR(SUMIFS('capacity data'!$L:$L,'capacity data'!$B:$B,P72,'capacity data'!$E:$E,"PSO")/SUMIFS('capacity data'!$G:$G,'capacity data'!$E:$E,"PSO",'capacity data'!$B:$B,P72),"")</f>
        <v/>
      </c>
      <c r="U72" s="242" t="str">
        <f>IFERROR(SUMIFS('capacity data'!$L:$L,'capacity data'!$B:$B,P72,'capacity data'!$E:$E,"TPO")/SUMIFS('capacity data'!$G:$G,'capacity data'!$E:$E,"TPO",'capacity data'!$B:$B,P72),"")</f>
        <v/>
      </c>
    </row>
    <row r="73" spans="1:21" ht="16" x14ac:dyDescent="0.2">
      <c r="A73" t="s">
        <v>20</v>
      </c>
      <c r="F73"/>
      <c r="M73"/>
      <c r="O73" s="25" t="s">
        <v>25</v>
      </c>
      <c r="P73" t="s">
        <v>250</v>
      </c>
      <c r="Q73" s="241" t="str">
        <f>IFERROR(SUM((SUMIFS('capacity data'!$G:$G,'capacity data'!$E:$E,"PO",'capacity data'!$B:$B,P73))-SUMIFS('capacity data'!$H:$H,'capacity data'!$E:$E,"PO",'capacity data'!$B:$B,P73))/SUMIFS('capacity data'!$G:$G,'capacity data'!$E:$E,"PO",'capacity data'!$B:$B,P73),"")</f>
        <v/>
      </c>
      <c r="R73" s="241" t="str">
        <f>IFERROR(SUM((SUMIFS('capacity data'!$G:$G,'capacity data'!$E:$E,"PSO",'capacity data'!$B:$B,P73))-SUMIFS('capacity data'!$H:$H,'capacity data'!$E:$E,"PSO",'capacity data'!$B:$B,P73))/SUMIFS('capacity data'!$G:$G,'capacity data'!$E:$E,"PSO",'capacity data'!$B:$B,P73),"")</f>
        <v/>
      </c>
      <c r="S73" s="24" t="str">
        <f t="shared" si="1"/>
        <v/>
      </c>
      <c r="T73" s="242" t="str">
        <f>IFERROR(SUMIFS('capacity data'!$L:$L,'capacity data'!$B:$B,P73,'capacity data'!$E:$E,"PSO")/SUMIFS('capacity data'!$G:$G,'capacity data'!$E:$E,"PSO",'capacity data'!$B:$B,P73),"")</f>
        <v/>
      </c>
      <c r="U73" s="242" t="str">
        <f>IFERROR(SUMIFS('capacity data'!$L:$L,'capacity data'!$B:$B,P73,'capacity data'!$E:$E,"TPO")/SUMIFS('capacity data'!$G:$G,'capacity data'!$E:$E,"TPO",'capacity data'!$B:$B,P73),"")</f>
        <v/>
      </c>
    </row>
    <row r="74" spans="1:21" ht="16" x14ac:dyDescent="0.2">
      <c r="A74" t="s">
        <v>20</v>
      </c>
      <c r="F74"/>
      <c r="M74"/>
      <c r="O74" s="25" t="s">
        <v>26</v>
      </c>
      <c r="P74" t="s">
        <v>38</v>
      </c>
      <c r="Q74" s="241" t="str">
        <f>IFERROR(SUM((SUMIFS('capacity data'!$G:$G,'capacity data'!$E:$E,"PO",'capacity data'!$B:$B,P74))-SUMIFS('capacity data'!$H:$H,'capacity data'!$E:$E,"PO",'capacity data'!$B:$B,P74))/SUMIFS('capacity data'!$G:$G,'capacity data'!$E:$E,"PO",'capacity data'!$B:$B,P74),"")</f>
        <v/>
      </c>
      <c r="R74" s="241" t="str">
        <f>IFERROR(SUM((SUMIFS('capacity data'!$G:$G,'capacity data'!$E:$E,"PSO",'capacity data'!$B:$B,P74))-SUMIFS('capacity data'!$H:$H,'capacity data'!$E:$E,"PSO",'capacity data'!$B:$B,P74))/SUMIFS('capacity data'!$G:$G,'capacity data'!$E:$E,"PSO",'capacity data'!$B:$B,P74),"")</f>
        <v/>
      </c>
      <c r="S74" s="24" t="str">
        <f t="shared" si="1"/>
        <v/>
      </c>
      <c r="T74" s="242" t="str">
        <f>IFERROR(SUMIFS('capacity data'!$L:$L,'capacity data'!$B:$B,P74,'capacity data'!$E:$E,"PSO")/SUMIFS('capacity data'!$G:$G,'capacity data'!$E:$E,"PSO",'capacity data'!$B:$B,P74),"")</f>
        <v/>
      </c>
      <c r="U74" s="242" t="str">
        <f>IFERROR(SUMIFS('capacity data'!$L:$L,'capacity data'!$B:$B,P74,'capacity data'!$E:$E,"TPO")/SUMIFS('capacity data'!$G:$G,'capacity data'!$E:$E,"TPO",'capacity data'!$B:$B,P74),"")</f>
        <v/>
      </c>
    </row>
    <row r="75" spans="1:21" ht="16" x14ac:dyDescent="0.2">
      <c r="A75" t="s">
        <v>20</v>
      </c>
      <c r="F75"/>
      <c r="M75"/>
      <c r="O75" s="25" t="s">
        <v>26</v>
      </c>
      <c r="P75" t="s">
        <v>60</v>
      </c>
      <c r="Q75" s="241" t="str">
        <f>IFERROR(SUM((SUMIFS('capacity data'!$G:$G,'capacity data'!$E:$E,"PO",'capacity data'!$B:$B,P75))-SUMIFS('capacity data'!$H:$H,'capacity data'!$E:$E,"PO",'capacity data'!$B:$B,P75))/SUMIFS('capacity data'!$G:$G,'capacity data'!$E:$E,"PO",'capacity data'!$B:$B,P75),"")</f>
        <v/>
      </c>
      <c r="R75" s="241" t="str">
        <f>IFERROR(SUM((SUMIFS('capacity data'!$G:$G,'capacity data'!$E:$E,"PSO",'capacity data'!$B:$B,P75))-SUMIFS('capacity data'!$H:$H,'capacity data'!$E:$E,"PSO",'capacity data'!$B:$B,P75))/SUMIFS('capacity data'!$G:$G,'capacity data'!$E:$E,"PSO",'capacity data'!$B:$B,P75),"")</f>
        <v/>
      </c>
      <c r="S75" s="24" t="str">
        <f t="shared" si="1"/>
        <v/>
      </c>
      <c r="T75" s="242" t="str">
        <f>IFERROR(SUMIFS('capacity data'!$L:$L,'capacity data'!$B:$B,P75,'capacity data'!$E:$E,"PSO")/SUMIFS('capacity data'!$G:$G,'capacity data'!$E:$E,"PSO",'capacity data'!$B:$B,P75),"")</f>
        <v/>
      </c>
      <c r="U75" s="242" t="str">
        <f>IFERROR(SUMIFS('capacity data'!$L:$L,'capacity data'!$B:$B,P75,'capacity data'!$E:$E,"TPO")/SUMIFS('capacity data'!$G:$G,'capacity data'!$E:$E,"TPO",'capacity data'!$B:$B,P75),"")</f>
        <v/>
      </c>
    </row>
    <row r="76" spans="1:21" ht="16" x14ac:dyDescent="0.2">
      <c r="A76" t="s">
        <v>20</v>
      </c>
      <c r="F76"/>
      <c r="M76"/>
      <c r="O76" s="25" t="s">
        <v>26</v>
      </c>
      <c r="P76" t="s">
        <v>82</v>
      </c>
      <c r="Q76" s="241" t="str">
        <f>IFERROR(SUM((SUMIFS('capacity data'!$G:$G,'capacity data'!$E:$E,"PO",'capacity data'!$B:$B,P76))-SUMIFS('capacity data'!$H:$H,'capacity data'!$E:$E,"PO",'capacity data'!$B:$B,P76))/SUMIFS('capacity data'!$G:$G,'capacity data'!$E:$E,"PO",'capacity data'!$B:$B,P76),"")</f>
        <v/>
      </c>
      <c r="R76" s="241" t="str">
        <f>IFERROR(SUM((SUMIFS('capacity data'!$G:$G,'capacity data'!$E:$E,"PSO",'capacity data'!$B:$B,P76))-SUMIFS('capacity data'!$H:$H,'capacity data'!$E:$E,"PSO",'capacity data'!$B:$B,P76))/SUMIFS('capacity data'!$G:$G,'capacity data'!$E:$E,"PSO",'capacity data'!$B:$B,P76),"")</f>
        <v/>
      </c>
      <c r="S76" s="24" t="str">
        <f t="shared" si="1"/>
        <v/>
      </c>
      <c r="T76" s="242" t="str">
        <f>IFERROR(SUMIFS('capacity data'!$L:$L,'capacity data'!$B:$B,P76,'capacity data'!$E:$E,"PSO")/SUMIFS('capacity data'!$G:$G,'capacity data'!$E:$E,"PSO",'capacity data'!$B:$B,P76),"")</f>
        <v/>
      </c>
      <c r="U76" s="242" t="str">
        <f>IFERROR(SUMIFS('capacity data'!$L:$L,'capacity data'!$B:$B,P76,'capacity data'!$E:$E,"TPO")/SUMIFS('capacity data'!$G:$G,'capacity data'!$E:$E,"TPO",'capacity data'!$B:$B,P76),"")</f>
        <v/>
      </c>
    </row>
    <row r="77" spans="1:21" ht="16" x14ac:dyDescent="0.2">
      <c r="A77" t="s">
        <v>20</v>
      </c>
      <c r="F77"/>
      <c r="M77"/>
      <c r="O77" s="25" t="s">
        <v>26</v>
      </c>
      <c r="P77" t="s">
        <v>105</v>
      </c>
      <c r="Q77" s="241" t="str">
        <f>IFERROR(SUM((SUMIFS('capacity data'!$G:$G,'capacity data'!$E:$E,"PO",'capacity data'!$B:$B,P77))-SUMIFS('capacity data'!$H:$H,'capacity data'!$E:$E,"PO",'capacity data'!$B:$B,P77))/SUMIFS('capacity data'!$G:$G,'capacity data'!$E:$E,"PO",'capacity data'!$B:$B,P77),"")</f>
        <v/>
      </c>
      <c r="R77" s="241" t="str">
        <f>IFERROR(SUM((SUMIFS('capacity data'!$G:$G,'capacity data'!$E:$E,"PSO",'capacity data'!$B:$B,P77))-SUMIFS('capacity data'!$H:$H,'capacity data'!$E:$E,"PSO",'capacity data'!$B:$B,P77))/SUMIFS('capacity data'!$G:$G,'capacity data'!$E:$E,"PSO",'capacity data'!$B:$B,P77),"")</f>
        <v/>
      </c>
      <c r="S77" s="24" t="str">
        <f t="shared" si="1"/>
        <v/>
      </c>
      <c r="T77" s="242" t="str">
        <f>IFERROR(SUMIFS('capacity data'!$L:$L,'capacity data'!$B:$B,P77,'capacity data'!$E:$E,"PSO")/SUMIFS('capacity data'!$G:$G,'capacity data'!$E:$E,"PSO",'capacity data'!$B:$B,P77),"")</f>
        <v/>
      </c>
      <c r="U77" s="242" t="str">
        <f>IFERROR(SUMIFS('capacity data'!$L:$L,'capacity data'!$B:$B,P77,'capacity data'!$E:$E,"TPO")/SUMIFS('capacity data'!$G:$G,'capacity data'!$E:$E,"TPO",'capacity data'!$B:$B,P77),"")</f>
        <v/>
      </c>
    </row>
    <row r="78" spans="1:21" ht="16" x14ac:dyDescent="0.2">
      <c r="A78" t="s">
        <v>20</v>
      </c>
      <c r="F78"/>
      <c r="M78"/>
      <c r="O78" s="25" t="s">
        <v>26</v>
      </c>
      <c r="P78" t="s">
        <v>128</v>
      </c>
      <c r="Q78" s="241" t="str">
        <f>IFERROR(SUM((SUMIFS('capacity data'!$G:$G,'capacity data'!$E:$E,"PO",'capacity data'!$B:$B,P78))-SUMIFS('capacity data'!$H:$H,'capacity data'!$E:$E,"PO",'capacity data'!$B:$B,P78))/SUMIFS('capacity data'!$G:$G,'capacity data'!$E:$E,"PO",'capacity data'!$B:$B,P78),"")</f>
        <v/>
      </c>
      <c r="R78" s="241" t="str">
        <f>IFERROR(SUM((SUMIFS('capacity data'!$G:$G,'capacity data'!$E:$E,"PSO",'capacity data'!$B:$B,P78))-SUMIFS('capacity data'!$H:$H,'capacity data'!$E:$E,"PSO",'capacity data'!$B:$B,P78))/SUMIFS('capacity data'!$G:$G,'capacity data'!$E:$E,"PSO",'capacity data'!$B:$B,P78),"")</f>
        <v/>
      </c>
      <c r="S78" s="24" t="str">
        <f t="shared" si="1"/>
        <v/>
      </c>
      <c r="T78" s="242" t="str">
        <f>IFERROR(SUMIFS('capacity data'!$L:$L,'capacity data'!$B:$B,P78,'capacity data'!$E:$E,"PSO")/SUMIFS('capacity data'!$G:$G,'capacity data'!$E:$E,"PSO",'capacity data'!$B:$B,P78),"")</f>
        <v/>
      </c>
      <c r="U78" s="242" t="str">
        <f>IFERROR(SUMIFS('capacity data'!$L:$L,'capacity data'!$B:$B,P78,'capacity data'!$E:$E,"TPO")/SUMIFS('capacity data'!$G:$G,'capacity data'!$E:$E,"TPO",'capacity data'!$B:$B,P78),"")</f>
        <v/>
      </c>
    </row>
    <row r="79" spans="1:21" ht="16" x14ac:dyDescent="0.2">
      <c r="A79" t="s">
        <v>20</v>
      </c>
      <c r="F79"/>
      <c r="M79"/>
      <c r="O79" s="25" t="s">
        <v>26</v>
      </c>
      <c r="P79" t="s">
        <v>149</v>
      </c>
      <c r="Q79" s="241" t="str">
        <f>IFERROR(SUM((SUMIFS('capacity data'!$G:$G,'capacity data'!$E:$E,"PO",'capacity data'!$B:$B,P79))-SUMIFS('capacity data'!$H:$H,'capacity data'!$E:$E,"PO",'capacity data'!$B:$B,P79))/SUMIFS('capacity data'!$G:$G,'capacity data'!$E:$E,"PO",'capacity data'!$B:$B,P79),"")</f>
        <v/>
      </c>
      <c r="R79" s="241" t="str">
        <f>IFERROR(SUM((SUMIFS('capacity data'!$G:$G,'capacity data'!$E:$E,"PSO",'capacity data'!$B:$B,P79))-SUMIFS('capacity data'!$H:$H,'capacity data'!$E:$E,"PSO",'capacity data'!$B:$B,P79))/SUMIFS('capacity data'!$G:$G,'capacity data'!$E:$E,"PSO",'capacity data'!$B:$B,P79),"")</f>
        <v/>
      </c>
      <c r="S79" s="24" t="str">
        <f t="shared" si="1"/>
        <v/>
      </c>
      <c r="T79" s="242" t="str">
        <f>IFERROR(SUMIFS('capacity data'!$L:$L,'capacity data'!$B:$B,P79,'capacity data'!$E:$E,"PSO")/SUMIFS('capacity data'!$G:$G,'capacity data'!$E:$E,"PSO",'capacity data'!$B:$B,P79),"")</f>
        <v/>
      </c>
      <c r="U79" s="242" t="str">
        <f>IFERROR(SUMIFS('capacity data'!$L:$L,'capacity data'!$B:$B,P79,'capacity data'!$E:$E,"TPO")/SUMIFS('capacity data'!$G:$G,'capacity data'!$E:$E,"TPO",'capacity data'!$B:$B,P79),"")</f>
        <v/>
      </c>
    </row>
    <row r="80" spans="1:21" ht="16" x14ac:dyDescent="0.2">
      <c r="A80" t="s">
        <v>20</v>
      </c>
      <c r="F80"/>
      <c r="M80"/>
      <c r="O80" s="25" t="s">
        <v>26</v>
      </c>
      <c r="P80" t="s">
        <v>172</v>
      </c>
      <c r="Q80" s="241" t="str">
        <f>IFERROR(SUM((SUMIFS('capacity data'!$G:$G,'capacity data'!$E:$E,"PO",'capacity data'!$B:$B,P80))-SUMIFS('capacity data'!$H:$H,'capacity data'!$E:$E,"PO",'capacity data'!$B:$B,P80))/SUMIFS('capacity data'!$G:$G,'capacity data'!$E:$E,"PO",'capacity data'!$B:$B,P80),"")</f>
        <v/>
      </c>
      <c r="R80" s="241" t="str">
        <f>IFERROR(SUM((SUMIFS('capacity data'!$G:$G,'capacity data'!$E:$E,"PSO",'capacity data'!$B:$B,P80))-SUMIFS('capacity data'!$H:$H,'capacity data'!$E:$E,"PSO",'capacity data'!$B:$B,P80))/SUMIFS('capacity data'!$G:$G,'capacity data'!$E:$E,"PSO",'capacity data'!$B:$B,P80),"")</f>
        <v/>
      </c>
      <c r="S80" s="24" t="str">
        <f t="shared" si="1"/>
        <v/>
      </c>
      <c r="T80" s="242" t="str">
        <f>IFERROR(SUMIFS('capacity data'!$L:$L,'capacity data'!$B:$B,P80,'capacity data'!$E:$E,"PSO")/SUMIFS('capacity data'!$G:$G,'capacity data'!$E:$E,"PSO",'capacity data'!$B:$B,P80),"")</f>
        <v/>
      </c>
      <c r="U80" s="242" t="str">
        <f>IFERROR(SUMIFS('capacity data'!$L:$L,'capacity data'!$B:$B,P80,'capacity data'!$E:$E,"TPO")/SUMIFS('capacity data'!$G:$G,'capacity data'!$E:$E,"TPO",'capacity data'!$B:$B,P80),"")</f>
        <v/>
      </c>
    </row>
    <row r="81" spans="1:21" ht="16" x14ac:dyDescent="0.2">
      <c r="A81" t="s">
        <v>20</v>
      </c>
      <c r="F81"/>
      <c r="M81"/>
      <c r="O81" s="25" t="s">
        <v>26</v>
      </c>
      <c r="P81" t="s">
        <v>193</v>
      </c>
      <c r="Q81" s="241" t="str">
        <f>IFERROR(SUM((SUMIFS('capacity data'!$G:$G,'capacity data'!$E:$E,"PO",'capacity data'!$B:$B,P81))-SUMIFS('capacity data'!$H:$H,'capacity data'!$E:$E,"PO",'capacity data'!$B:$B,P81))/SUMIFS('capacity data'!$G:$G,'capacity data'!$E:$E,"PO",'capacity data'!$B:$B,P81),"")</f>
        <v/>
      </c>
      <c r="R81" s="241" t="str">
        <f>IFERROR(SUM((SUMIFS('capacity data'!$G:$G,'capacity data'!$E:$E,"PSO",'capacity data'!$B:$B,P81))-SUMIFS('capacity data'!$H:$H,'capacity data'!$E:$E,"PSO",'capacity data'!$B:$B,P81))/SUMIFS('capacity data'!$G:$G,'capacity data'!$E:$E,"PSO",'capacity data'!$B:$B,P81),"")</f>
        <v/>
      </c>
      <c r="S81" s="24" t="str">
        <f t="shared" si="1"/>
        <v/>
      </c>
      <c r="T81" s="242" t="str">
        <f>IFERROR(SUMIFS('capacity data'!$L:$L,'capacity data'!$B:$B,P81,'capacity data'!$E:$E,"PSO")/SUMIFS('capacity data'!$G:$G,'capacity data'!$E:$E,"PSO",'capacity data'!$B:$B,P81),"")</f>
        <v/>
      </c>
      <c r="U81" s="242" t="str">
        <f>IFERROR(SUMIFS('capacity data'!$L:$L,'capacity data'!$B:$B,P81,'capacity data'!$E:$E,"TPO")/SUMIFS('capacity data'!$G:$G,'capacity data'!$E:$E,"TPO",'capacity data'!$B:$B,P81),"")</f>
        <v/>
      </c>
    </row>
    <row r="82" spans="1:21" ht="16" x14ac:dyDescent="0.2">
      <c r="A82" t="s">
        <v>20</v>
      </c>
      <c r="F82"/>
      <c r="M82"/>
      <c r="O82" s="25" t="s">
        <v>26</v>
      </c>
      <c r="P82" t="s">
        <v>215</v>
      </c>
      <c r="Q82" s="241" t="str">
        <f>IFERROR(SUM((SUMIFS('capacity data'!$G:$G,'capacity data'!$E:$E,"PO",'capacity data'!$B:$B,P82))-SUMIFS('capacity data'!$H:$H,'capacity data'!$E:$E,"PO",'capacity data'!$B:$B,P82))/SUMIFS('capacity data'!$G:$G,'capacity data'!$E:$E,"PO",'capacity data'!$B:$B,P82),"")</f>
        <v/>
      </c>
      <c r="R82" s="241" t="str">
        <f>IFERROR(SUM((SUMIFS('capacity data'!$G:$G,'capacity data'!$E:$E,"PSO",'capacity data'!$B:$B,P82))-SUMIFS('capacity data'!$H:$H,'capacity data'!$E:$E,"PSO",'capacity data'!$B:$B,P82))/SUMIFS('capacity data'!$G:$G,'capacity data'!$E:$E,"PSO",'capacity data'!$B:$B,P82),"")</f>
        <v/>
      </c>
      <c r="S82" s="24" t="str">
        <f t="shared" si="1"/>
        <v/>
      </c>
      <c r="T82" s="242" t="str">
        <f>IFERROR(SUMIFS('capacity data'!$L:$L,'capacity data'!$B:$B,P82,'capacity data'!$E:$E,"PSO")/SUMIFS('capacity data'!$G:$G,'capacity data'!$E:$E,"PSO",'capacity data'!$B:$B,P82),"")</f>
        <v/>
      </c>
      <c r="U82" s="242" t="str">
        <f>IFERROR(SUMIFS('capacity data'!$L:$L,'capacity data'!$B:$B,P82,'capacity data'!$E:$E,"TPO")/SUMIFS('capacity data'!$G:$G,'capacity data'!$E:$E,"TPO",'capacity data'!$B:$B,P82),"")</f>
        <v/>
      </c>
    </row>
    <row r="83" spans="1:21" ht="16" x14ac:dyDescent="0.2">
      <c r="A83" t="s">
        <v>20</v>
      </c>
      <c r="F83"/>
      <c r="M83"/>
      <c r="O83" s="25" t="s">
        <v>26</v>
      </c>
      <c r="P83" t="s">
        <v>234</v>
      </c>
      <c r="Q83" s="241" t="str">
        <f>IFERROR(SUM((SUMIFS('capacity data'!$G:$G,'capacity data'!$E:$E,"PO",'capacity data'!$B:$B,P83))-SUMIFS('capacity data'!$H:$H,'capacity data'!$E:$E,"PO",'capacity data'!$B:$B,P83))/SUMIFS('capacity data'!$G:$G,'capacity data'!$E:$E,"PO",'capacity data'!$B:$B,P83),"")</f>
        <v/>
      </c>
      <c r="R83" s="241" t="str">
        <f>IFERROR(SUM((SUMIFS('capacity data'!$G:$G,'capacity data'!$E:$E,"PSO",'capacity data'!$B:$B,P83))-SUMIFS('capacity data'!$H:$H,'capacity data'!$E:$E,"PSO",'capacity data'!$B:$B,P83))/SUMIFS('capacity data'!$G:$G,'capacity data'!$E:$E,"PSO",'capacity data'!$B:$B,P83),"")</f>
        <v/>
      </c>
      <c r="S83" s="24" t="str">
        <f t="shared" si="1"/>
        <v/>
      </c>
      <c r="T83" s="242" t="str">
        <f>IFERROR(SUMIFS('capacity data'!$L:$L,'capacity data'!$B:$B,P83,'capacity data'!$E:$E,"PSO")/SUMIFS('capacity data'!$G:$G,'capacity data'!$E:$E,"PSO",'capacity data'!$B:$B,P83),"")</f>
        <v/>
      </c>
      <c r="U83" s="242" t="str">
        <f>IFERROR(SUMIFS('capacity data'!$L:$L,'capacity data'!$B:$B,P83,'capacity data'!$E:$E,"TPO")/SUMIFS('capacity data'!$G:$G,'capacity data'!$E:$E,"TPO",'capacity data'!$B:$B,P83),"")</f>
        <v/>
      </c>
    </row>
    <row r="84" spans="1:21" ht="16" x14ac:dyDescent="0.2">
      <c r="A84" t="s">
        <v>20</v>
      </c>
      <c r="F84"/>
      <c r="M84"/>
      <c r="O84" s="25" t="s">
        <v>26</v>
      </c>
      <c r="P84" t="s">
        <v>251</v>
      </c>
      <c r="Q84" s="241" t="str">
        <f>IFERROR(SUM((SUMIFS('capacity data'!$G:$G,'capacity data'!$E:$E,"PO",'capacity data'!$B:$B,P84))-SUMIFS('capacity data'!$H:$H,'capacity data'!$E:$E,"PO",'capacity data'!$B:$B,P84))/SUMIFS('capacity data'!$G:$G,'capacity data'!$E:$E,"PO",'capacity data'!$B:$B,P84),"")</f>
        <v/>
      </c>
      <c r="R84" s="241" t="str">
        <f>IFERROR(SUM((SUMIFS('capacity data'!$G:$G,'capacity data'!$E:$E,"PSO",'capacity data'!$B:$B,P84))-SUMIFS('capacity data'!$H:$H,'capacity data'!$E:$E,"PSO",'capacity data'!$B:$B,P84))/SUMIFS('capacity data'!$G:$G,'capacity data'!$E:$E,"PSO",'capacity data'!$B:$B,P84),"")</f>
        <v/>
      </c>
      <c r="S84" s="24" t="str">
        <f t="shared" si="1"/>
        <v/>
      </c>
      <c r="T84" s="242" t="str">
        <f>IFERROR(SUMIFS('capacity data'!$L:$L,'capacity data'!$B:$B,P84,'capacity data'!$E:$E,"PSO")/SUMIFS('capacity data'!$G:$G,'capacity data'!$E:$E,"PSO",'capacity data'!$B:$B,P84),"")</f>
        <v/>
      </c>
      <c r="U84" s="242" t="str">
        <f>IFERROR(SUMIFS('capacity data'!$L:$L,'capacity data'!$B:$B,P84,'capacity data'!$E:$E,"TPO")/SUMIFS('capacity data'!$G:$G,'capacity data'!$E:$E,"TPO",'capacity data'!$B:$B,P84),"")</f>
        <v/>
      </c>
    </row>
    <row r="85" spans="1:21" ht="16" x14ac:dyDescent="0.2">
      <c r="A85" t="s">
        <v>20</v>
      </c>
      <c r="F85"/>
      <c r="M85"/>
      <c r="O85" s="25" t="s">
        <v>26</v>
      </c>
      <c r="P85" t="s">
        <v>268</v>
      </c>
      <c r="Q85" s="241" t="str">
        <f>IFERROR(SUM((SUMIFS('capacity data'!$G:$G,'capacity data'!$E:$E,"PO",'capacity data'!$B:$B,P85))-SUMIFS('capacity data'!$H:$H,'capacity data'!$E:$E,"PO",'capacity data'!$B:$B,P85))/SUMIFS('capacity data'!$G:$G,'capacity data'!$E:$E,"PO",'capacity data'!$B:$B,P85),"")</f>
        <v/>
      </c>
      <c r="R85" s="241" t="str">
        <f>IFERROR(SUM((SUMIFS('capacity data'!$G:$G,'capacity data'!$E:$E,"PSO",'capacity data'!$B:$B,P85))-SUMIFS('capacity data'!$H:$H,'capacity data'!$E:$E,"PSO",'capacity data'!$B:$B,P85))/SUMIFS('capacity data'!$G:$G,'capacity data'!$E:$E,"PSO",'capacity data'!$B:$B,P85),"")</f>
        <v/>
      </c>
      <c r="S85" s="24" t="str">
        <f t="shared" si="1"/>
        <v/>
      </c>
      <c r="T85" s="242" t="str">
        <f>IFERROR(SUMIFS('capacity data'!$L:$L,'capacity data'!$B:$B,P85,'capacity data'!$E:$E,"PSO")/SUMIFS('capacity data'!$G:$G,'capacity data'!$E:$E,"PSO",'capacity data'!$B:$B,P85),"")</f>
        <v/>
      </c>
      <c r="U85" s="242" t="str">
        <f>IFERROR(SUMIFS('capacity data'!$L:$L,'capacity data'!$B:$B,P85,'capacity data'!$E:$E,"TPO")/SUMIFS('capacity data'!$G:$G,'capacity data'!$E:$E,"TPO",'capacity data'!$B:$B,P85),"")</f>
        <v/>
      </c>
    </row>
    <row r="86" spans="1:21" ht="16" x14ac:dyDescent="0.2">
      <c r="A86" t="s">
        <v>20</v>
      </c>
      <c r="F86"/>
      <c r="M86"/>
      <c r="O86" s="25" t="s">
        <v>26</v>
      </c>
      <c r="P86" t="s">
        <v>283</v>
      </c>
      <c r="Q86" s="241" t="str">
        <f>IFERROR(SUM((SUMIFS('capacity data'!$G:$G,'capacity data'!$E:$E,"PO",'capacity data'!$B:$B,P86))-SUMIFS('capacity data'!$H:$H,'capacity data'!$E:$E,"PO",'capacity data'!$B:$B,P86))/SUMIFS('capacity data'!$G:$G,'capacity data'!$E:$E,"PO",'capacity data'!$B:$B,P86),"")</f>
        <v/>
      </c>
      <c r="R86" s="241" t="str">
        <f>IFERROR(SUM((SUMIFS('capacity data'!$G:$G,'capacity data'!$E:$E,"PSO",'capacity data'!$B:$B,P86))-SUMIFS('capacity data'!$H:$H,'capacity data'!$E:$E,"PSO",'capacity data'!$B:$B,P86))/SUMIFS('capacity data'!$G:$G,'capacity data'!$E:$E,"PSO",'capacity data'!$B:$B,P86),"")</f>
        <v/>
      </c>
      <c r="S86" s="24" t="str">
        <f t="shared" si="1"/>
        <v/>
      </c>
      <c r="T86" s="242" t="str">
        <f>IFERROR(SUMIFS('capacity data'!$L:$L,'capacity data'!$B:$B,P86,'capacity data'!$E:$E,"PSO")/SUMIFS('capacity data'!$G:$G,'capacity data'!$E:$E,"PSO",'capacity data'!$B:$B,P86),"")</f>
        <v/>
      </c>
      <c r="U86" s="242" t="str">
        <f>IFERROR(SUMIFS('capacity data'!$L:$L,'capacity data'!$B:$B,P86,'capacity data'!$E:$E,"TPO")/SUMIFS('capacity data'!$G:$G,'capacity data'!$E:$E,"TPO",'capacity data'!$B:$B,P86),"")</f>
        <v/>
      </c>
    </row>
    <row r="87" spans="1:21" ht="16" x14ac:dyDescent="0.2">
      <c r="A87" t="s">
        <v>20</v>
      </c>
      <c r="F87"/>
      <c r="M87"/>
      <c r="O87" s="25" t="s">
        <v>26</v>
      </c>
      <c r="P87" t="s">
        <v>297</v>
      </c>
      <c r="Q87" s="241" t="str">
        <f>IFERROR(SUM((SUMIFS('capacity data'!$G:$G,'capacity data'!$E:$E,"PO",'capacity data'!$B:$B,P87))-SUMIFS('capacity data'!$H:$H,'capacity data'!$E:$E,"PO",'capacity data'!$B:$B,P87))/SUMIFS('capacity data'!$G:$G,'capacity data'!$E:$E,"PO",'capacity data'!$B:$B,P87),"")</f>
        <v/>
      </c>
      <c r="R87" s="241" t="str">
        <f>IFERROR(SUM((SUMIFS('capacity data'!$G:$G,'capacity data'!$E:$E,"PSO",'capacity data'!$B:$B,P87))-SUMIFS('capacity data'!$H:$H,'capacity data'!$E:$E,"PSO",'capacity data'!$B:$B,P87))/SUMIFS('capacity data'!$G:$G,'capacity data'!$E:$E,"PSO",'capacity data'!$B:$B,P87),"")</f>
        <v/>
      </c>
      <c r="S87" s="24" t="str">
        <f t="shared" si="1"/>
        <v/>
      </c>
      <c r="T87" s="242" t="str">
        <f>IFERROR(SUMIFS('capacity data'!$L:$L,'capacity data'!$B:$B,P87,'capacity data'!$E:$E,"PSO")/SUMIFS('capacity data'!$G:$G,'capacity data'!$E:$E,"PSO",'capacity data'!$B:$B,P87),"")</f>
        <v/>
      </c>
      <c r="U87" s="242" t="str">
        <f>IFERROR(SUMIFS('capacity data'!$L:$L,'capacity data'!$B:$B,P87,'capacity data'!$E:$E,"TPO")/SUMIFS('capacity data'!$G:$G,'capacity data'!$E:$E,"TPO",'capacity data'!$B:$B,P87),"")</f>
        <v/>
      </c>
    </row>
    <row r="88" spans="1:21" ht="16" x14ac:dyDescent="0.2">
      <c r="A88" t="s">
        <v>20</v>
      </c>
      <c r="F88"/>
      <c r="M88"/>
      <c r="O88" s="25" t="s">
        <v>26</v>
      </c>
      <c r="P88" t="s">
        <v>311</v>
      </c>
      <c r="Q88" s="241" t="str">
        <f>IFERROR(SUM((SUMIFS('capacity data'!$G:$G,'capacity data'!$E:$E,"PO",'capacity data'!$B:$B,P88))-SUMIFS('capacity data'!$H:$H,'capacity data'!$E:$E,"PO",'capacity data'!$B:$B,P88))/SUMIFS('capacity data'!$G:$G,'capacity data'!$E:$E,"PO",'capacity data'!$B:$B,P88),"")</f>
        <v/>
      </c>
      <c r="R88" s="241" t="str">
        <f>IFERROR(SUM((SUMIFS('capacity data'!$G:$G,'capacity data'!$E:$E,"PSO",'capacity data'!$B:$B,P88))-SUMIFS('capacity data'!$H:$H,'capacity data'!$E:$E,"PSO",'capacity data'!$B:$B,P88))/SUMIFS('capacity data'!$G:$G,'capacity data'!$E:$E,"PSO",'capacity data'!$B:$B,P88),"")</f>
        <v/>
      </c>
      <c r="S88" s="24" t="str">
        <f t="shared" si="1"/>
        <v/>
      </c>
      <c r="T88" s="242" t="str">
        <f>IFERROR(SUMIFS('capacity data'!$L:$L,'capacity data'!$B:$B,P88,'capacity data'!$E:$E,"PSO")/SUMIFS('capacity data'!$G:$G,'capacity data'!$E:$E,"PSO",'capacity data'!$B:$B,P88),"")</f>
        <v/>
      </c>
      <c r="U88" s="242" t="str">
        <f>IFERROR(SUMIFS('capacity data'!$L:$L,'capacity data'!$B:$B,P88,'capacity data'!$E:$E,"TPO")/SUMIFS('capacity data'!$G:$G,'capacity data'!$E:$E,"TPO",'capacity data'!$B:$B,P88),"")</f>
        <v/>
      </c>
    </row>
    <row r="89" spans="1:21" ht="16" x14ac:dyDescent="0.2">
      <c r="A89" t="s">
        <v>20</v>
      </c>
      <c r="F89"/>
      <c r="M89"/>
      <c r="O89" s="25" t="s">
        <v>26</v>
      </c>
      <c r="P89" t="s">
        <v>325</v>
      </c>
      <c r="Q89" s="241" t="str">
        <f>IFERROR(SUM((SUMIFS('capacity data'!$G:$G,'capacity data'!$E:$E,"PO",'capacity data'!$B:$B,P89))-SUMIFS('capacity data'!$H:$H,'capacity data'!$E:$E,"PO",'capacity data'!$B:$B,P89))/SUMIFS('capacity data'!$G:$G,'capacity data'!$E:$E,"PO",'capacity data'!$B:$B,P89),"")</f>
        <v/>
      </c>
      <c r="R89" s="241" t="str">
        <f>IFERROR(SUM((SUMIFS('capacity data'!$G:$G,'capacity data'!$E:$E,"PSO",'capacity data'!$B:$B,P89))-SUMIFS('capacity data'!$H:$H,'capacity data'!$E:$E,"PSO",'capacity data'!$B:$B,P89))/SUMIFS('capacity data'!$G:$G,'capacity data'!$E:$E,"PSO",'capacity data'!$B:$B,P89),"")</f>
        <v/>
      </c>
      <c r="S89" s="24" t="str">
        <f t="shared" si="1"/>
        <v/>
      </c>
      <c r="T89" s="242" t="str">
        <f>IFERROR(SUMIFS('capacity data'!$L:$L,'capacity data'!$B:$B,P89,'capacity data'!$E:$E,"PSO")/SUMIFS('capacity data'!$G:$G,'capacity data'!$E:$E,"PSO",'capacity data'!$B:$B,P89),"")</f>
        <v/>
      </c>
      <c r="U89" s="242" t="str">
        <f>IFERROR(SUMIFS('capacity data'!$L:$L,'capacity data'!$B:$B,P89,'capacity data'!$E:$E,"TPO")/SUMIFS('capacity data'!$G:$G,'capacity data'!$E:$E,"TPO",'capacity data'!$B:$B,P89),"")</f>
        <v/>
      </c>
    </row>
    <row r="90" spans="1:21" ht="16" x14ac:dyDescent="0.2">
      <c r="A90" t="s">
        <v>20</v>
      </c>
      <c r="F90"/>
      <c r="M90"/>
      <c r="O90" s="25" t="s">
        <v>26</v>
      </c>
      <c r="P90" t="s">
        <v>337</v>
      </c>
      <c r="Q90" s="241" t="str">
        <f>IFERROR(SUM((SUMIFS('capacity data'!$G:$G,'capacity data'!$E:$E,"PO",'capacity data'!$B:$B,P90))-SUMIFS('capacity data'!$H:$H,'capacity data'!$E:$E,"PO",'capacity data'!$B:$B,P90))/SUMIFS('capacity data'!$G:$G,'capacity data'!$E:$E,"PO",'capacity data'!$B:$B,P90),"")</f>
        <v/>
      </c>
      <c r="R90" s="241" t="str">
        <f>IFERROR(SUM((SUMIFS('capacity data'!$G:$G,'capacity data'!$E:$E,"PSO",'capacity data'!$B:$B,P90))-SUMIFS('capacity data'!$H:$H,'capacity data'!$E:$E,"PSO",'capacity data'!$B:$B,P90))/SUMIFS('capacity data'!$G:$G,'capacity data'!$E:$E,"PSO",'capacity data'!$B:$B,P90),"")</f>
        <v/>
      </c>
      <c r="S90" s="24" t="str">
        <f t="shared" si="1"/>
        <v/>
      </c>
      <c r="T90" s="242" t="str">
        <f>IFERROR(SUMIFS('capacity data'!$L:$L,'capacity data'!$B:$B,P90,'capacity data'!$E:$E,"PSO")/SUMIFS('capacity data'!$G:$G,'capacity data'!$E:$E,"PSO",'capacity data'!$B:$B,P90),"")</f>
        <v/>
      </c>
      <c r="U90" s="242" t="str">
        <f>IFERROR(SUMIFS('capacity data'!$L:$L,'capacity data'!$B:$B,P90,'capacity data'!$E:$E,"TPO")/SUMIFS('capacity data'!$G:$G,'capacity data'!$E:$E,"TPO",'capacity data'!$B:$B,P90),"")</f>
        <v/>
      </c>
    </row>
    <row r="91" spans="1:21" ht="16" x14ac:dyDescent="0.2">
      <c r="A91" t="s">
        <v>20</v>
      </c>
      <c r="F91"/>
      <c r="M91"/>
      <c r="O91" s="25" t="s">
        <v>26</v>
      </c>
      <c r="P91" t="s">
        <v>351</v>
      </c>
      <c r="Q91" s="241" t="str">
        <f>IFERROR(SUM((SUMIFS('capacity data'!$G:$G,'capacity data'!$E:$E,"PO",'capacity data'!$B:$B,P91))-SUMIFS('capacity data'!$H:$H,'capacity data'!$E:$E,"PO",'capacity data'!$B:$B,P91))/SUMIFS('capacity data'!$G:$G,'capacity data'!$E:$E,"PO",'capacity data'!$B:$B,P91),"")</f>
        <v/>
      </c>
      <c r="R91" s="241" t="str">
        <f>IFERROR(SUM((SUMIFS('capacity data'!$G:$G,'capacity data'!$E:$E,"PSO",'capacity data'!$B:$B,P91))-SUMIFS('capacity data'!$H:$H,'capacity data'!$E:$E,"PSO",'capacity data'!$B:$B,P91))/SUMIFS('capacity data'!$G:$G,'capacity data'!$E:$E,"PSO",'capacity data'!$B:$B,P91),"")</f>
        <v/>
      </c>
      <c r="S91" s="24" t="str">
        <f t="shared" si="1"/>
        <v/>
      </c>
      <c r="T91" s="242" t="str">
        <f>IFERROR(SUMIFS('capacity data'!$L:$L,'capacity data'!$B:$B,P91,'capacity data'!$E:$E,"PSO")/SUMIFS('capacity data'!$G:$G,'capacity data'!$E:$E,"PSO",'capacity data'!$B:$B,P91),"")</f>
        <v/>
      </c>
      <c r="U91" s="242" t="str">
        <f>IFERROR(SUMIFS('capacity data'!$L:$L,'capacity data'!$B:$B,P91,'capacity data'!$E:$E,"TPO")/SUMIFS('capacity data'!$G:$G,'capacity data'!$E:$E,"TPO",'capacity data'!$B:$B,P91),"")</f>
        <v/>
      </c>
    </row>
    <row r="92" spans="1:21" ht="16" x14ac:dyDescent="0.2">
      <c r="A92" t="s">
        <v>20</v>
      </c>
      <c r="F92"/>
      <c r="M92"/>
      <c r="O92" s="25" t="s">
        <v>26</v>
      </c>
      <c r="P92" t="s">
        <v>364</v>
      </c>
      <c r="Q92" s="241" t="str">
        <f>IFERROR(SUM((SUMIFS('capacity data'!$G:$G,'capacity data'!$E:$E,"PO",'capacity data'!$B:$B,P92))-SUMIFS('capacity data'!$H:$H,'capacity data'!$E:$E,"PO",'capacity data'!$B:$B,P92))/SUMIFS('capacity data'!$G:$G,'capacity data'!$E:$E,"PO",'capacity data'!$B:$B,P92),"")</f>
        <v/>
      </c>
      <c r="R92" s="241" t="str">
        <f>IFERROR(SUM((SUMIFS('capacity data'!$G:$G,'capacity data'!$E:$E,"PSO",'capacity data'!$B:$B,P92))-SUMIFS('capacity data'!$H:$H,'capacity data'!$E:$E,"PSO",'capacity data'!$B:$B,P92))/SUMIFS('capacity data'!$G:$G,'capacity data'!$E:$E,"PSO",'capacity data'!$B:$B,P92),"")</f>
        <v/>
      </c>
      <c r="S92" s="24" t="str">
        <f t="shared" si="1"/>
        <v/>
      </c>
      <c r="T92" s="242" t="str">
        <f>IFERROR(SUMIFS('capacity data'!$L:$L,'capacity data'!$B:$B,P92,'capacity data'!$E:$E,"PSO")/SUMIFS('capacity data'!$G:$G,'capacity data'!$E:$E,"PSO",'capacity data'!$B:$B,P92),"")</f>
        <v/>
      </c>
      <c r="U92" s="242" t="str">
        <f>IFERROR(SUMIFS('capacity data'!$L:$L,'capacity data'!$B:$B,P92,'capacity data'!$E:$E,"TPO")/SUMIFS('capacity data'!$G:$G,'capacity data'!$E:$E,"TPO",'capacity data'!$B:$B,P92),"")</f>
        <v/>
      </c>
    </row>
    <row r="93" spans="1:21" ht="16" x14ac:dyDescent="0.2">
      <c r="A93" t="s">
        <v>20</v>
      </c>
      <c r="F93"/>
      <c r="M93"/>
      <c r="O93" s="25" t="s">
        <v>27</v>
      </c>
      <c r="P93" t="s">
        <v>39</v>
      </c>
      <c r="Q93" s="241" t="str">
        <f>IFERROR(SUM((SUMIFS('capacity data'!$G:$G,'capacity data'!$E:$E,"PO",'capacity data'!$B:$B,P93))-SUMIFS('capacity data'!$H:$H,'capacity data'!$E:$E,"PO",'capacity data'!$B:$B,P93))/SUMIFS('capacity data'!$G:$G,'capacity data'!$E:$E,"PO",'capacity data'!$B:$B,P93),"")</f>
        <v/>
      </c>
      <c r="R93" s="241" t="str">
        <f>IFERROR(SUM((SUMIFS('capacity data'!$G:$G,'capacity data'!$E:$E,"PSO",'capacity data'!$B:$B,P93))-SUMIFS('capacity data'!$H:$H,'capacity data'!$E:$E,"PSO",'capacity data'!$B:$B,P93))/SUMIFS('capacity data'!$G:$G,'capacity data'!$E:$E,"PSO",'capacity data'!$B:$B,P93),"")</f>
        <v/>
      </c>
      <c r="S93" s="24" t="str">
        <f t="shared" si="1"/>
        <v/>
      </c>
      <c r="T93" s="242" t="str">
        <f>IFERROR(SUMIFS('capacity data'!$L:$L,'capacity data'!$B:$B,P93,'capacity data'!$E:$E,"PSO")/SUMIFS('capacity data'!$G:$G,'capacity data'!$E:$E,"PSO",'capacity data'!$B:$B,P93),"")</f>
        <v/>
      </c>
      <c r="U93" s="242" t="str">
        <f>IFERROR(SUMIFS('capacity data'!$L:$L,'capacity data'!$B:$B,P93,'capacity data'!$E:$E,"TPO")/SUMIFS('capacity data'!$G:$G,'capacity data'!$E:$E,"TPO",'capacity data'!$B:$B,P93),"")</f>
        <v/>
      </c>
    </row>
    <row r="94" spans="1:21" ht="16" x14ac:dyDescent="0.2">
      <c r="A94" t="s">
        <v>20</v>
      </c>
      <c r="F94"/>
      <c r="M94"/>
      <c r="O94" s="25" t="s">
        <v>27</v>
      </c>
      <c r="P94" t="s">
        <v>61</v>
      </c>
      <c r="Q94" s="241" t="str">
        <f>IFERROR(SUM((SUMIFS('capacity data'!$G:$G,'capacity data'!$E:$E,"PO",'capacity data'!$B:$B,P94))-SUMIFS('capacity data'!$H:$H,'capacity data'!$E:$E,"PO",'capacity data'!$B:$B,P94))/SUMIFS('capacity data'!$G:$G,'capacity data'!$E:$E,"PO",'capacity data'!$B:$B,P94),"")</f>
        <v/>
      </c>
      <c r="R94" s="241" t="str">
        <f>IFERROR(SUM((SUMIFS('capacity data'!$G:$G,'capacity data'!$E:$E,"PSO",'capacity data'!$B:$B,P94))-SUMIFS('capacity data'!$H:$H,'capacity data'!$E:$E,"PSO",'capacity data'!$B:$B,P94))/SUMIFS('capacity data'!$G:$G,'capacity data'!$E:$E,"PSO",'capacity data'!$B:$B,P94),"")</f>
        <v/>
      </c>
      <c r="S94" s="24" t="str">
        <f t="shared" si="1"/>
        <v/>
      </c>
      <c r="T94" s="242" t="str">
        <f>IFERROR(SUMIFS('capacity data'!$L:$L,'capacity data'!$B:$B,P94,'capacity data'!$E:$E,"PSO")/SUMIFS('capacity data'!$G:$G,'capacity data'!$E:$E,"PSO",'capacity data'!$B:$B,P94),"")</f>
        <v/>
      </c>
      <c r="U94" s="242" t="str">
        <f>IFERROR(SUMIFS('capacity data'!$L:$L,'capacity data'!$B:$B,P94,'capacity data'!$E:$E,"TPO")/SUMIFS('capacity data'!$G:$G,'capacity data'!$E:$E,"TPO",'capacity data'!$B:$B,P94),"")</f>
        <v/>
      </c>
    </row>
    <row r="95" spans="1:21" ht="16" x14ac:dyDescent="0.2">
      <c r="A95" t="s">
        <v>20</v>
      </c>
      <c r="F95"/>
      <c r="M95"/>
      <c r="O95" s="25" t="s">
        <v>27</v>
      </c>
      <c r="P95" t="s">
        <v>83</v>
      </c>
      <c r="Q95" s="241" t="str">
        <f>IFERROR(SUM((SUMIFS('capacity data'!$G:$G,'capacity data'!$E:$E,"PO",'capacity data'!$B:$B,P95))-SUMIFS('capacity data'!$H:$H,'capacity data'!$E:$E,"PO",'capacity data'!$B:$B,P95))/SUMIFS('capacity data'!$G:$G,'capacity data'!$E:$E,"PO",'capacity data'!$B:$B,P95),"")</f>
        <v/>
      </c>
      <c r="R95" s="241" t="str">
        <f>IFERROR(SUM((SUMIFS('capacity data'!$G:$G,'capacity data'!$E:$E,"PSO",'capacity data'!$B:$B,P95))-SUMIFS('capacity data'!$H:$H,'capacity data'!$E:$E,"PSO",'capacity data'!$B:$B,P95))/SUMIFS('capacity data'!$G:$G,'capacity data'!$E:$E,"PSO",'capacity data'!$B:$B,P95),"")</f>
        <v/>
      </c>
      <c r="S95" s="24" t="str">
        <f t="shared" si="1"/>
        <v/>
      </c>
      <c r="T95" s="242" t="str">
        <f>IFERROR(SUMIFS('capacity data'!$L:$L,'capacity data'!$B:$B,P95,'capacity data'!$E:$E,"PSO")/SUMIFS('capacity data'!$G:$G,'capacity data'!$E:$E,"PSO",'capacity data'!$B:$B,P95),"")</f>
        <v/>
      </c>
      <c r="U95" s="242" t="str">
        <f>IFERROR(SUMIFS('capacity data'!$L:$L,'capacity data'!$B:$B,P95,'capacity data'!$E:$E,"TPO")/SUMIFS('capacity data'!$G:$G,'capacity data'!$E:$E,"TPO",'capacity data'!$B:$B,P95),"")</f>
        <v/>
      </c>
    </row>
    <row r="96" spans="1:21" ht="16" x14ac:dyDescent="0.2">
      <c r="A96" t="s">
        <v>20</v>
      </c>
      <c r="F96"/>
      <c r="M96"/>
      <c r="O96" s="25" t="s">
        <v>27</v>
      </c>
      <c r="P96" t="s">
        <v>106</v>
      </c>
      <c r="Q96" s="241" t="str">
        <f>IFERROR(SUM((SUMIFS('capacity data'!$G:$G,'capacity data'!$E:$E,"PO",'capacity data'!$B:$B,P96))-SUMIFS('capacity data'!$H:$H,'capacity data'!$E:$E,"PO",'capacity data'!$B:$B,P96))/SUMIFS('capacity data'!$G:$G,'capacity data'!$E:$E,"PO",'capacity data'!$B:$B,P96),"")</f>
        <v/>
      </c>
      <c r="R96" s="241" t="str">
        <f>IFERROR(SUM((SUMIFS('capacity data'!$G:$G,'capacity data'!$E:$E,"PSO",'capacity data'!$B:$B,P96))-SUMIFS('capacity data'!$H:$H,'capacity data'!$E:$E,"PSO",'capacity data'!$B:$B,P96))/SUMIFS('capacity data'!$G:$G,'capacity data'!$E:$E,"PSO",'capacity data'!$B:$B,P96),"")</f>
        <v/>
      </c>
      <c r="S96" s="24" t="str">
        <f t="shared" si="1"/>
        <v/>
      </c>
      <c r="T96" s="242" t="str">
        <f>IFERROR(SUMIFS('capacity data'!$L:$L,'capacity data'!$B:$B,P96,'capacity data'!$E:$E,"PSO")/SUMIFS('capacity data'!$G:$G,'capacity data'!$E:$E,"PSO",'capacity data'!$B:$B,P96),"")</f>
        <v/>
      </c>
      <c r="U96" s="242" t="str">
        <f>IFERROR(SUMIFS('capacity data'!$L:$L,'capacity data'!$B:$B,P96,'capacity data'!$E:$E,"TPO")/SUMIFS('capacity data'!$G:$G,'capacity data'!$E:$E,"TPO",'capacity data'!$B:$B,P96),"")</f>
        <v/>
      </c>
    </row>
    <row r="97" spans="1:21" ht="16" x14ac:dyDescent="0.2">
      <c r="A97" t="s">
        <v>20</v>
      </c>
      <c r="F97"/>
      <c r="M97"/>
      <c r="O97" s="25" t="s">
        <v>27</v>
      </c>
      <c r="P97" t="s">
        <v>129</v>
      </c>
      <c r="Q97" s="241" t="str">
        <f>IFERROR(SUM((SUMIFS('capacity data'!$G:$G,'capacity data'!$E:$E,"PO",'capacity data'!$B:$B,P97))-SUMIFS('capacity data'!$H:$H,'capacity data'!$E:$E,"PO",'capacity data'!$B:$B,P97))/SUMIFS('capacity data'!$G:$G,'capacity data'!$E:$E,"PO",'capacity data'!$B:$B,P97),"")</f>
        <v/>
      </c>
      <c r="R97" s="241" t="str">
        <f>IFERROR(SUM((SUMIFS('capacity data'!$G:$G,'capacity data'!$E:$E,"PSO",'capacity data'!$B:$B,P97))-SUMIFS('capacity data'!$H:$H,'capacity data'!$E:$E,"PSO",'capacity data'!$B:$B,P97))/SUMIFS('capacity data'!$G:$G,'capacity data'!$E:$E,"PSO",'capacity data'!$B:$B,P97),"")</f>
        <v/>
      </c>
      <c r="S97" s="24" t="str">
        <f t="shared" si="1"/>
        <v/>
      </c>
      <c r="T97" s="242" t="str">
        <f>IFERROR(SUMIFS('capacity data'!$L:$L,'capacity data'!$B:$B,P97,'capacity data'!$E:$E,"PSO")/SUMIFS('capacity data'!$G:$G,'capacity data'!$E:$E,"PSO",'capacity data'!$B:$B,P97),"")</f>
        <v/>
      </c>
      <c r="U97" s="242" t="str">
        <f>IFERROR(SUMIFS('capacity data'!$L:$L,'capacity data'!$B:$B,P97,'capacity data'!$E:$E,"TPO")/SUMIFS('capacity data'!$G:$G,'capacity data'!$E:$E,"TPO",'capacity data'!$B:$B,P97),"")</f>
        <v/>
      </c>
    </row>
    <row r="98" spans="1:21" ht="16" x14ac:dyDescent="0.2">
      <c r="A98" t="s">
        <v>20</v>
      </c>
      <c r="F98"/>
      <c r="M98"/>
      <c r="O98" s="25" t="s">
        <v>27</v>
      </c>
      <c r="P98" t="s">
        <v>150</v>
      </c>
      <c r="Q98" s="241" t="str">
        <f>IFERROR(SUM((SUMIFS('capacity data'!$G:$G,'capacity data'!$E:$E,"PO",'capacity data'!$B:$B,P98))-SUMIFS('capacity data'!$H:$H,'capacity data'!$E:$E,"PO",'capacity data'!$B:$B,P98))/SUMIFS('capacity data'!$G:$G,'capacity data'!$E:$E,"PO",'capacity data'!$B:$B,P98),"")</f>
        <v/>
      </c>
      <c r="R98" s="241" t="str">
        <f>IFERROR(SUM((SUMIFS('capacity data'!$G:$G,'capacity data'!$E:$E,"PSO",'capacity data'!$B:$B,P98))-SUMIFS('capacity data'!$H:$H,'capacity data'!$E:$E,"PSO",'capacity data'!$B:$B,P98))/SUMIFS('capacity data'!$G:$G,'capacity data'!$E:$E,"PSO",'capacity data'!$B:$B,P98),"")</f>
        <v/>
      </c>
      <c r="S98" s="24" t="str">
        <f t="shared" si="1"/>
        <v/>
      </c>
      <c r="T98" s="242" t="str">
        <f>IFERROR(SUMIFS('capacity data'!$L:$L,'capacity data'!$B:$B,P98,'capacity data'!$E:$E,"PSO")/SUMIFS('capacity data'!$G:$G,'capacity data'!$E:$E,"PSO",'capacity data'!$B:$B,P98),"")</f>
        <v/>
      </c>
      <c r="U98" s="242" t="str">
        <f>IFERROR(SUMIFS('capacity data'!$L:$L,'capacity data'!$B:$B,P98,'capacity data'!$E:$E,"TPO")/SUMIFS('capacity data'!$G:$G,'capacity data'!$E:$E,"TPO",'capacity data'!$B:$B,P98),"")</f>
        <v/>
      </c>
    </row>
    <row r="99" spans="1:21" ht="16" x14ac:dyDescent="0.2">
      <c r="A99" t="s">
        <v>20</v>
      </c>
      <c r="F99"/>
      <c r="M99"/>
      <c r="O99" s="25" t="s">
        <v>27</v>
      </c>
      <c r="P99" t="s">
        <v>173</v>
      </c>
      <c r="Q99" s="241" t="str">
        <f>IFERROR(SUM((SUMIFS('capacity data'!$G:$G,'capacity data'!$E:$E,"PO",'capacity data'!$B:$B,P99))-SUMIFS('capacity data'!$H:$H,'capacity data'!$E:$E,"PO",'capacity data'!$B:$B,P99))/SUMIFS('capacity data'!$G:$G,'capacity data'!$E:$E,"PO",'capacity data'!$B:$B,P99),"")</f>
        <v/>
      </c>
      <c r="R99" s="241" t="str">
        <f>IFERROR(SUM((SUMIFS('capacity data'!$G:$G,'capacity data'!$E:$E,"PSO",'capacity data'!$B:$B,P99))-SUMIFS('capacity data'!$H:$H,'capacity data'!$E:$E,"PSO",'capacity data'!$B:$B,P99))/SUMIFS('capacity data'!$G:$G,'capacity data'!$E:$E,"PSO",'capacity data'!$B:$B,P99),"")</f>
        <v/>
      </c>
      <c r="S99" s="24" t="str">
        <f t="shared" si="1"/>
        <v/>
      </c>
      <c r="T99" s="242" t="str">
        <f>IFERROR(SUMIFS('capacity data'!$L:$L,'capacity data'!$B:$B,P99,'capacity data'!$E:$E,"PSO")/SUMIFS('capacity data'!$G:$G,'capacity data'!$E:$E,"PSO",'capacity data'!$B:$B,P99),"")</f>
        <v/>
      </c>
      <c r="U99" s="242" t="str">
        <f>IFERROR(SUMIFS('capacity data'!$L:$L,'capacity data'!$B:$B,P99,'capacity data'!$E:$E,"TPO")/SUMIFS('capacity data'!$G:$G,'capacity data'!$E:$E,"TPO",'capacity data'!$B:$B,P99),"")</f>
        <v/>
      </c>
    </row>
    <row r="100" spans="1:21" ht="16" x14ac:dyDescent="0.2">
      <c r="A100" t="s">
        <v>20</v>
      </c>
      <c r="F100"/>
      <c r="M100"/>
      <c r="O100" s="25" t="s">
        <v>27</v>
      </c>
      <c r="P100" t="s">
        <v>194</v>
      </c>
      <c r="Q100" s="241" t="str">
        <f>IFERROR(SUM((SUMIFS('capacity data'!$G:$G,'capacity data'!$E:$E,"PO",'capacity data'!$B:$B,P100))-SUMIFS('capacity data'!$H:$H,'capacity data'!$E:$E,"PO",'capacity data'!$B:$B,P100))/SUMIFS('capacity data'!$G:$G,'capacity data'!$E:$E,"PO",'capacity data'!$B:$B,P100),"")</f>
        <v/>
      </c>
      <c r="R100" s="241" t="str">
        <f>IFERROR(SUM((SUMIFS('capacity data'!$G:$G,'capacity data'!$E:$E,"PSO",'capacity data'!$B:$B,P100))-SUMIFS('capacity data'!$H:$H,'capacity data'!$E:$E,"PSO",'capacity data'!$B:$B,P100))/SUMIFS('capacity data'!$G:$G,'capacity data'!$E:$E,"PSO",'capacity data'!$B:$B,P100),"")</f>
        <v/>
      </c>
      <c r="S100" s="24" t="str">
        <f t="shared" si="1"/>
        <v/>
      </c>
      <c r="T100" s="242" t="str">
        <f>IFERROR(SUMIFS('capacity data'!$L:$L,'capacity data'!$B:$B,P100,'capacity data'!$E:$E,"PSO")/SUMIFS('capacity data'!$G:$G,'capacity data'!$E:$E,"PSO",'capacity data'!$B:$B,P100),"")</f>
        <v/>
      </c>
      <c r="U100" s="242" t="str">
        <f>IFERROR(SUMIFS('capacity data'!$L:$L,'capacity data'!$B:$B,P100,'capacity data'!$E:$E,"TPO")/SUMIFS('capacity data'!$G:$G,'capacity data'!$E:$E,"TPO",'capacity data'!$B:$B,P100),"")</f>
        <v/>
      </c>
    </row>
    <row r="101" spans="1:21" ht="16" x14ac:dyDescent="0.2">
      <c r="A101" t="s">
        <v>20</v>
      </c>
      <c r="F101"/>
      <c r="M101"/>
      <c r="O101" s="25" t="s">
        <v>27</v>
      </c>
      <c r="P101" t="s">
        <v>216</v>
      </c>
      <c r="Q101" s="241" t="str">
        <f>IFERROR(SUM((SUMIFS('capacity data'!$G:$G,'capacity data'!$E:$E,"PO",'capacity data'!$B:$B,P101))-SUMIFS('capacity data'!$H:$H,'capacity data'!$E:$E,"PO",'capacity data'!$B:$B,P101))/SUMIFS('capacity data'!$G:$G,'capacity data'!$E:$E,"PO",'capacity data'!$B:$B,P101),"")</f>
        <v/>
      </c>
      <c r="R101" s="241" t="str">
        <f>IFERROR(SUM((SUMIFS('capacity data'!$G:$G,'capacity data'!$E:$E,"PSO",'capacity data'!$B:$B,P101))-SUMIFS('capacity data'!$H:$H,'capacity data'!$E:$E,"PSO",'capacity data'!$B:$B,P101))/SUMIFS('capacity data'!$G:$G,'capacity data'!$E:$E,"PSO",'capacity data'!$B:$B,P101),"")</f>
        <v/>
      </c>
      <c r="S101" s="24" t="str">
        <f t="shared" si="1"/>
        <v/>
      </c>
      <c r="T101" s="242" t="str">
        <f>IFERROR(SUMIFS('capacity data'!$L:$L,'capacity data'!$B:$B,P101,'capacity data'!$E:$E,"PSO")/SUMIFS('capacity data'!$G:$G,'capacity data'!$E:$E,"PSO",'capacity data'!$B:$B,P101),"")</f>
        <v/>
      </c>
      <c r="U101" s="242" t="str">
        <f>IFERROR(SUMIFS('capacity data'!$L:$L,'capacity data'!$B:$B,P101,'capacity data'!$E:$E,"TPO")/SUMIFS('capacity data'!$G:$G,'capacity data'!$E:$E,"TPO",'capacity data'!$B:$B,P101),"")</f>
        <v/>
      </c>
    </row>
    <row r="102" spans="1:21" ht="16" x14ac:dyDescent="0.2">
      <c r="A102" t="s">
        <v>20</v>
      </c>
      <c r="F102"/>
      <c r="M102"/>
      <c r="O102" s="25" t="s">
        <v>28</v>
      </c>
      <c r="P102" t="s">
        <v>40</v>
      </c>
      <c r="Q102" s="241" t="str">
        <f>IFERROR(SUM((SUMIFS('capacity data'!$G:$G,'capacity data'!$E:$E,"PO",'capacity data'!$B:$B,P102))-SUMIFS('capacity data'!$H:$H,'capacity data'!$E:$E,"PO",'capacity data'!$B:$B,P102))/SUMIFS('capacity data'!$G:$G,'capacity data'!$E:$E,"PO",'capacity data'!$B:$B,P102),"")</f>
        <v/>
      </c>
      <c r="R102" s="241" t="str">
        <f>IFERROR(SUM((SUMIFS('capacity data'!$G:$G,'capacity data'!$E:$E,"PSO",'capacity data'!$B:$B,P102))-SUMIFS('capacity data'!$H:$H,'capacity data'!$E:$E,"PSO",'capacity data'!$B:$B,P102))/SUMIFS('capacity data'!$G:$G,'capacity data'!$E:$E,"PSO",'capacity data'!$B:$B,P102),"")</f>
        <v/>
      </c>
      <c r="S102" s="24" t="str">
        <f t="shared" si="1"/>
        <v/>
      </c>
      <c r="T102" s="242" t="str">
        <f>IFERROR(SUMIFS('capacity data'!$L:$L,'capacity data'!$B:$B,P102,'capacity data'!$E:$E,"PSO")/SUMIFS('capacity data'!$G:$G,'capacity data'!$E:$E,"PSO",'capacity data'!$B:$B,P102),"")</f>
        <v/>
      </c>
      <c r="U102" s="242" t="str">
        <f>IFERROR(SUMIFS('capacity data'!$L:$L,'capacity data'!$B:$B,P102,'capacity data'!$E:$E,"TPO")/SUMIFS('capacity data'!$G:$G,'capacity data'!$E:$E,"TPO",'capacity data'!$B:$B,P102),"")</f>
        <v/>
      </c>
    </row>
    <row r="103" spans="1:21" ht="16" x14ac:dyDescent="0.2">
      <c r="A103" t="s">
        <v>20</v>
      </c>
      <c r="F103"/>
      <c r="M103"/>
      <c r="O103" s="25" t="s">
        <v>28</v>
      </c>
      <c r="P103" t="s">
        <v>62</v>
      </c>
      <c r="Q103" s="241" t="str">
        <f>IFERROR(SUM((SUMIFS('capacity data'!$G:$G,'capacity data'!$E:$E,"PO",'capacity data'!$B:$B,P103))-SUMIFS('capacity data'!$H:$H,'capacity data'!$E:$E,"PO",'capacity data'!$B:$B,P103))/SUMIFS('capacity data'!$G:$G,'capacity data'!$E:$E,"PO",'capacity data'!$B:$B,P103),"")</f>
        <v/>
      </c>
      <c r="R103" s="241" t="str">
        <f>IFERROR(SUM((SUMIFS('capacity data'!$G:$G,'capacity data'!$E:$E,"PSO",'capacity data'!$B:$B,P103))-SUMIFS('capacity data'!$H:$H,'capacity data'!$E:$E,"PSO",'capacity data'!$B:$B,P103))/SUMIFS('capacity data'!$G:$G,'capacity data'!$E:$E,"PSO",'capacity data'!$B:$B,P103),"")</f>
        <v/>
      </c>
      <c r="S103" s="24" t="str">
        <f t="shared" si="1"/>
        <v/>
      </c>
      <c r="T103" s="242" t="str">
        <f>IFERROR(SUMIFS('capacity data'!$L:$L,'capacity data'!$B:$B,P103,'capacity data'!$E:$E,"PSO")/SUMIFS('capacity data'!$G:$G,'capacity data'!$E:$E,"PSO",'capacity data'!$B:$B,P103),"")</f>
        <v/>
      </c>
      <c r="U103" s="242" t="str">
        <f>IFERROR(SUMIFS('capacity data'!$L:$L,'capacity data'!$B:$B,P103,'capacity data'!$E:$E,"TPO")/SUMIFS('capacity data'!$G:$G,'capacity data'!$E:$E,"TPO",'capacity data'!$B:$B,P103),"")</f>
        <v/>
      </c>
    </row>
    <row r="104" spans="1:21" ht="16" x14ac:dyDescent="0.2">
      <c r="A104" t="s">
        <v>20</v>
      </c>
      <c r="F104"/>
      <c r="M104"/>
      <c r="O104" s="25" t="s">
        <v>28</v>
      </c>
      <c r="P104" t="s">
        <v>84</v>
      </c>
      <c r="Q104" s="241" t="str">
        <f>IFERROR(SUM((SUMIFS('capacity data'!$G:$G,'capacity data'!$E:$E,"PO",'capacity data'!$B:$B,P104))-SUMIFS('capacity data'!$H:$H,'capacity data'!$E:$E,"PO",'capacity data'!$B:$B,P104))/SUMIFS('capacity data'!$G:$G,'capacity data'!$E:$E,"PO",'capacity data'!$B:$B,P104),"")</f>
        <v/>
      </c>
      <c r="R104" s="241" t="str">
        <f>IFERROR(SUM((SUMIFS('capacity data'!$G:$G,'capacity data'!$E:$E,"PSO",'capacity data'!$B:$B,P104))-SUMIFS('capacity data'!$H:$H,'capacity data'!$E:$E,"PSO",'capacity data'!$B:$B,P104))/SUMIFS('capacity data'!$G:$G,'capacity data'!$E:$E,"PSO",'capacity data'!$B:$B,P104),"")</f>
        <v/>
      </c>
      <c r="S104" s="24" t="str">
        <f t="shared" si="1"/>
        <v/>
      </c>
      <c r="T104" s="242" t="str">
        <f>IFERROR(SUMIFS('capacity data'!$L:$L,'capacity data'!$B:$B,P104,'capacity data'!$E:$E,"PSO")/SUMIFS('capacity data'!$G:$G,'capacity data'!$E:$E,"PSO",'capacity data'!$B:$B,P104),"")</f>
        <v/>
      </c>
      <c r="U104" s="242" t="str">
        <f>IFERROR(SUMIFS('capacity data'!$L:$L,'capacity data'!$B:$B,P104,'capacity data'!$E:$E,"TPO")/SUMIFS('capacity data'!$G:$G,'capacity data'!$E:$E,"TPO",'capacity data'!$B:$B,P104),"")</f>
        <v/>
      </c>
    </row>
    <row r="105" spans="1:21" ht="16" x14ac:dyDescent="0.2">
      <c r="A105" t="s">
        <v>20</v>
      </c>
      <c r="F105"/>
      <c r="M105"/>
      <c r="O105" s="25" t="s">
        <v>28</v>
      </c>
      <c r="P105" t="s">
        <v>107</v>
      </c>
      <c r="Q105" s="241" t="str">
        <f>IFERROR(SUM((SUMIFS('capacity data'!$G:$G,'capacity data'!$E:$E,"PO",'capacity data'!$B:$B,P105))-SUMIFS('capacity data'!$H:$H,'capacity data'!$E:$E,"PO",'capacity data'!$B:$B,P105))/SUMIFS('capacity data'!$G:$G,'capacity data'!$E:$E,"PO",'capacity data'!$B:$B,P105),"")</f>
        <v/>
      </c>
      <c r="R105" s="241" t="str">
        <f>IFERROR(SUM((SUMIFS('capacity data'!$G:$G,'capacity data'!$E:$E,"PSO",'capacity data'!$B:$B,P105))-SUMIFS('capacity data'!$H:$H,'capacity data'!$E:$E,"PSO",'capacity data'!$B:$B,P105))/SUMIFS('capacity data'!$G:$G,'capacity data'!$E:$E,"PSO",'capacity data'!$B:$B,P105),"")</f>
        <v/>
      </c>
      <c r="S105" s="24" t="str">
        <f t="shared" si="1"/>
        <v/>
      </c>
      <c r="T105" s="242" t="str">
        <f>IFERROR(SUMIFS('capacity data'!$L:$L,'capacity data'!$B:$B,P105,'capacity data'!$E:$E,"PSO")/SUMIFS('capacity data'!$G:$G,'capacity data'!$E:$E,"PSO",'capacity data'!$B:$B,P105),"")</f>
        <v/>
      </c>
      <c r="U105" s="242" t="str">
        <f>IFERROR(SUMIFS('capacity data'!$L:$L,'capacity data'!$B:$B,P105,'capacity data'!$E:$E,"TPO")/SUMIFS('capacity data'!$G:$G,'capacity data'!$E:$E,"TPO",'capacity data'!$B:$B,P105),"")</f>
        <v/>
      </c>
    </row>
    <row r="106" spans="1:21" ht="16" x14ac:dyDescent="0.2">
      <c r="A106" t="s">
        <v>20</v>
      </c>
      <c r="F106"/>
      <c r="M106"/>
      <c r="O106" s="25" t="s">
        <v>28</v>
      </c>
      <c r="P106" t="s">
        <v>130</v>
      </c>
      <c r="Q106" s="241" t="str">
        <f>IFERROR(SUM((SUMIFS('capacity data'!$G:$G,'capacity data'!$E:$E,"PO",'capacity data'!$B:$B,P106))-SUMIFS('capacity data'!$H:$H,'capacity data'!$E:$E,"PO",'capacity data'!$B:$B,P106))/SUMIFS('capacity data'!$G:$G,'capacity data'!$E:$E,"PO",'capacity data'!$B:$B,P106),"")</f>
        <v/>
      </c>
      <c r="R106" s="241" t="str">
        <f>IFERROR(SUM((SUMIFS('capacity data'!$G:$G,'capacity data'!$E:$E,"PSO",'capacity data'!$B:$B,P106))-SUMIFS('capacity data'!$H:$H,'capacity data'!$E:$E,"PSO",'capacity data'!$B:$B,P106))/SUMIFS('capacity data'!$G:$G,'capacity data'!$E:$E,"PSO",'capacity data'!$B:$B,P106),"")</f>
        <v/>
      </c>
      <c r="S106" s="24" t="str">
        <f t="shared" si="1"/>
        <v/>
      </c>
      <c r="T106" s="242" t="str">
        <f>IFERROR(SUMIFS('capacity data'!$L:$L,'capacity data'!$B:$B,P106,'capacity data'!$E:$E,"PSO")/SUMIFS('capacity data'!$G:$G,'capacity data'!$E:$E,"PSO",'capacity data'!$B:$B,P106),"")</f>
        <v/>
      </c>
      <c r="U106" s="242" t="str">
        <f>IFERROR(SUMIFS('capacity data'!$L:$L,'capacity data'!$B:$B,P106,'capacity data'!$E:$E,"TPO")/SUMIFS('capacity data'!$G:$G,'capacity data'!$E:$E,"TPO",'capacity data'!$B:$B,P106),"")</f>
        <v/>
      </c>
    </row>
    <row r="107" spans="1:21" ht="16" x14ac:dyDescent="0.2">
      <c r="A107" t="s">
        <v>20</v>
      </c>
      <c r="F107"/>
      <c r="M107"/>
      <c r="O107" s="25" t="s">
        <v>28</v>
      </c>
      <c r="P107" t="s">
        <v>151</v>
      </c>
      <c r="Q107" s="241" t="str">
        <f>IFERROR(SUM((SUMIFS('capacity data'!$G:$G,'capacity data'!$E:$E,"PO",'capacity data'!$B:$B,P107))-SUMIFS('capacity data'!$H:$H,'capacity data'!$E:$E,"PO",'capacity data'!$B:$B,P107))/SUMIFS('capacity data'!$G:$G,'capacity data'!$E:$E,"PO",'capacity data'!$B:$B,P107),"")</f>
        <v/>
      </c>
      <c r="R107" s="241" t="str">
        <f>IFERROR(SUM((SUMIFS('capacity data'!$G:$G,'capacity data'!$E:$E,"PSO",'capacity data'!$B:$B,P107))-SUMIFS('capacity data'!$H:$H,'capacity data'!$E:$E,"PSO",'capacity data'!$B:$B,P107))/SUMIFS('capacity data'!$G:$G,'capacity data'!$E:$E,"PSO",'capacity data'!$B:$B,P107),"")</f>
        <v/>
      </c>
      <c r="S107" s="24" t="str">
        <f t="shared" si="1"/>
        <v/>
      </c>
      <c r="T107" s="242" t="str">
        <f>IFERROR(SUMIFS('capacity data'!$L:$L,'capacity data'!$B:$B,P107,'capacity data'!$E:$E,"PSO")/SUMIFS('capacity data'!$G:$G,'capacity data'!$E:$E,"PSO",'capacity data'!$B:$B,P107),"")</f>
        <v/>
      </c>
      <c r="U107" s="242" t="str">
        <f>IFERROR(SUMIFS('capacity data'!$L:$L,'capacity data'!$B:$B,P107,'capacity data'!$E:$E,"TPO")/SUMIFS('capacity data'!$G:$G,'capacity data'!$E:$E,"TPO",'capacity data'!$B:$B,P107),"")</f>
        <v/>
      </c>
    </row>
    <row r="108" spans="1:21" ht="16" x14ac:dyDescent="0.2">
      <c r="A108" t="s">
        <v>20</v>
      </c>
      <c r="F108"/>
      <c r="M108"/>
      <c r="O108" s="25" t="s">
        <v>28</v>
      </c>
      <c r="P108" t="s">
        <v>174</v>
      </c>
      <c r="Q108" s="241" t="str">
        <f>IFERROR(SUM((SUMIFS('capacity data'!$G:$G,'capacity data'!$E:$E,"PO",'capacity data'!$B:$B,P108))-SUMIFS('capacity data'!$H:$H,'capacity data'!$E:$E,"PO",'capacity data'!$B:$B,P108))/SUMIFS('capacity data'!$G:$G,'capacity data'!$E:$E,"PO",'capacity data'!$B:$B,P108),"")</f>
        <v/>
      </c>
      <c r="R108" s="241" t="str">
        <f>IFERROR(SUM((SUMIFS('capacity data'!$G:$G,'capacity data'!$E:$E,"PSO",'capacity data'!$B:$B,P108))-SUMIFS('capacity data'!$H:$H,'capacity data'!$E:$E,"PSO",'capacity data'!$B:$B,P108))/SUMIFS('capacity data'!$G:$G,'capacity data'!$E:$E,"PSO",'capacity data'!$B:$B,P108),"")</f>
        <v/>
      </c>
      <c r="S108" s="24" t="str">
        <f t="shared" si="1"/>
        <v/>
      </c>
      <c r="T108" s="242" t="str">
        <f>IFERROR(SUMIFS('capacity data'!$L:$L,'capacity data'!$B:$B,P108,'capacity data'!$E:$E,"PSO")/SUMIFS('capacity data'!$G:$G,'capacity data'!$E:$E,"PSO",'capacity data'!$B:$B,P108),"")</f>
        <v/>
      </c>
      <c r="U108" s="242" t="str">
        <f>IFERROR(SUMIFS('capacity data'!$L:$L,'capacity data'!$B:$B,P108,'capacity data'!$E:$E,"TPO")/SUMIFS('capacity data'!$G:$G,'capacity data'!$E:$E,"TPO",'capacity data'!$B:$B,P108),"")</f>
        <v/>
      </c>
    </row>
    <row r="109" spans="1:21" ht="16" x14ac:dyDescent="0.2">
      <c r="A109" t="s">
        <v>20</v>
      </c>
      <c r="F109"/>
      <c r="M109"/>
      <c r="O109" s="25" t="s">
        <v>28</v>
      </c>
      <c r="P109" t="s">
        <v>195</v>
      </c>
      <c r="Q109" s="241" t="str">
        <f>IFERROR(SUM((SUMIFS('capacity data'!$G:$G,'capacity data'!$E:$E,"PO",'capacity data'!$B:$B,P109))-SUMIFS('capacity data'!$H:$H,'capacity data'!$E:$E,"PO",'capacity data'!$B:$B,P109))/SUMIFS('capacity data'!$G:$G,'capacity data'!$E:$E,"PO",'capacity data'!$B:$B,P109),"")</f>
        <v/>
      </c>
      <c r="R109" s="241" t="str">
        <f>IFERROR(SUM((SUMIFS('capacity data'!$G:$G,'capacity data'!$E:$E,"PSO",'capacity data'!$B:$B,P109))-SUMIFS('capacity data'!$H:$H,'capacity data'!$E:$E,"PSO",'capacity data'!$B:$B,P109))/SUMIFS('capacity data'!$G:$G,'capacity data'!$E:$E,"PSO",'capacity data'!$B:$B,P109),"")</f>
        <v/>
      </c>
      <c r="S109" s="24" t="str">
        <f t="shared" si="1"/>
        <v/>
      </c>
      <c r="T109" s="242" t="str">
        <f>IFERROR(SUMIFS('capacity data'!$L:$L,'capacity data'!$B:$B,P109,'capacity data'!$E:$E,"PSO")/SUMIFS('capacity data'!$G:$G,'capacity data'!$E:$E,"PSO",'capacity data'!$B:$B,P109),"")</f>
        <v/>
      </c>
      <c r="U109" s="242" t="str">
        <f>IFERROR(SUMIFS('capacity data'!$L:$L,'capacity data'!$B:$B,P109,'capacity data'!$E:$E,"TPO")/SUMIFS('capacity data'!$G:$G,'capacity data'!$E:$E,"TPO",'capacity data'!$B:$B,P109),"")</f>
        <v/>
      </c>
    </row>
    <row r="110" spans="1:21" ht="16" x14ac:dyDescent="0.2">
      <c r="A110" t="s">
        <v>20</v>
      </c>
      <c r="F110"/>
      <c r="M110"/>
      <c r="O110" s="25" t="s">
        <v>28</v>
      </c>
      <c r="P110" t="s">
        <v>217</v>
      </c>
      <c r="Q110" s="241" t="str">
        <f>IFERROR(SUM((SUMIFS('capacity data'!$G:$G,'capacity data'!$E:$E,"PO",'capacity data'!$B:$B,P110))-SUMIFS('capacity data'!$H:$H,'capacity data'!$E:$E,"PO",'capacity data'!$B:$B,P110))/SUMIFS('capacity data'!$G:$G,'capacity data'!$E:$E,"PO",'capacity data'!$B:$B,P110),"")</f>
        <v/>
      </c>
      <c r="R110" s="241" t="str">
        <f>IFERROR(SUM((SUMIFS('capacity data'!$G:$G,'capacity data'!$E:$E,"PSO",'capacity data'!$B:$B,P110))-SUMIFS('capacity data'!$H:$H,'capacity data'!$E:$E,"PSO",'capacity data'!$B:$B,P110))/SUMIFS('capacity data'!$G:$G,'capacity data'!$E:$E,"PSO",'capacity data'!$B:$B,P110),"")</f>
        <v/>
      </c>
      <c r="S110" s="24" t="str">
        <f t="shared" si="1"/>
        <v/>
      </c>
      <c r="T110" s="242" t="str">
        <f>IFERROR(SUMIFS('capacity data'!$L:$L,'capacity data'!$B:$B,P110,'capacity data'!$E:$E,"PSO")/SUMIFS('capacity data'!$G:$G,'capacity data'!$E:$E,"PSO",'capacity data'!$B:$B,P110),"")</f>
        <v/>
      </c>
      <c r="U110" s="242" t="str">
        <f>IFERROR(SUMIFS('capacity data'!$L:$L,'capacity data'!$B:$B,P110,'capacity data'!$E:$E,"TPO")/SUMIFS('capacity data'!$G:$G,'capacity data'!$E:$E,"TPO",'capacity data'!$B:$B,P110),"")</f>
        <v/>
      </c>
    </row>
    <row r="111" spans="1:21" ht="16" x14ac:dyDescent="0.2">
      <c r="A111" t="s">
        <v>20</v>
      </c>
      <c r="F111"/>
      <c r="M111"/>
      <c r="O111" s="25" t="s">
        <v>28</v>
      </c>
      <c r="P111" t="s">
        <v>235</v>
      </c>
      <c r="Q111" s="241" t="str">
        <f>IFERROR(SUM((SUMIFS('capacity data'!$G:$G,'capacity data'!$E:$E,"PO",'capacity data'!$B:$B,P111))-SUMIFS('capacity data'!$H:$H,'capacity data'!$E:$E,"PO",'capacity data'!$B:$B,P111))/SUMIFS('capacity data'!$G:$G,'capacity data'!$E:$E,"PO",'capacity data'!$B:$B,P111),"")</f>
        <v/>
      </c>
      <c r="R111" s="241" t="str">
        <f>IFERROR(SUM((SUMIFS('capacity data'!$G:$G,'capacity data'!$E:$E,"PSO",'capacity data'!$B:$B,P111))-SUMIFS('capacity data'!$H:$H,'capacity data'!$E:$E,"PSO",'capacity data'!$B:$B,P111))/SUMIFS('capacity data'!$G:$G,'capacity data'!$E:$E,"PSO",'capacity data'!$B:$B,P111),"")</f>
        <v/>
      </c>
      <c r="S111" s="24" t="str">
        <f t="shared" si="1"/>
        <v/>
      </c>
      <c r="T111" s="242" t="str">
        <f>IFERROR(SUMIFS('capacity data'!$L:$L,'capacity data'!$B:$B,P111,'capacity data'!$E:$E,"PSO")/SUMIFS('capacity data'!$G:$G,'capacity data'!$E:$E,"PSO",'capacity data'!$B:$B,P111),"")</f>
        <v/>
      </c>
      <c r="U111" s="242" t="str">
        <f>IFERROR(SUMIFS('capacity data'!$L:$L,'capacity data'!$B:$B,P111,'capacity data'!$E:$E,"TPO")/SUMIFS('capacity data'!$G:$G,'capacity data'!$E:$E,"TPO",'capacity data'!$B:$B,P111),"")</f>
        <v/>
      </c>
    </row>
    <row r="112" spans="1:21" ht="16" x14ac:dyDescent="0.2">
      <c r="A112" t="s">
        <v>20</v>
      </c>
      <c r="F112"/>
      <c r="M112"/>
      <c r="O112" s="25" t="s">
        <v>28</v>
      </c>
      <c r="P112" t="s">
        <v>252</v>
      </c>
      <c r="Q112" s="241" t="str">
        <f>IFERROR(SUM((SUMIFS('capacity data'!$G:$G,'capacity data'!$E:$E,"PO",'capacity data'!$B:$B,P112))-SUMIFS('capacity data'!$H:$H,'capacity data'!$E:$E,"PO",'capacity data'!$B:$B,P112))/SUMIFS('capacity data'!$G:$G,'capacity data'!$E:$E,"PO",'capacity data'!$B:$B,P112),"")</f>
        <v/>
      </c>
      <c r="R112" s="241" t="str">
        <f>IFERROR(SUM((SUMIFS('capacity data'!$G:$G,'capacity data'!$E:$E,"PSO",'capacity data'!$B:$B,P112))-SUMIFS('capacity data'!$H:$H,'capacity data'!$E:$E,"PSO",'capacity data'!$B:$B,P112))/SUMIFS('capacity data'!$G:$G,'capacity data'!$E:$E,"PSO",'capacity data'!$B:$B,P112),"")</f>
        <v/>
      </c>
      <c r="S112" s="24" t="str">
        <f t="shared" si="1"/>
        <v/>
      </c>
      <c r="T112" s="242" t="str">
        <f>IFERROR(SUMIFS('capacity data'!$L:$L,'capacity data'!$B:$B,P112,'capacity data'!$E:$E,"PSO")/SUMIFS('capacity data'!$G:$G,'capacity data'!$E:$E,"PSO",'capacity data'!$B:$B,P112),"")</f>
        <v/>
      </c>
      <c r="U112" s="242" t="str">
        <f>IFERROR(SUMIFS('capacity data'!$L:$L,'capacity data'!$B:$B,P112,'capacity data'!$E:$E,"TPO")/SUMIFS('capacity data'!$G:$G,'capacity data'!$E:$E,"TPO",'capacity data'!$B:$B,P112),"")</f>
        <v/>
      </c>
    </row>
    <row r="113" spans="1:21" ht="16" x14ac:dyDescent="0.2">
      <c r="A113" t="s">
        <v>20</v>
      </c>
      <c r="F113"/>
      <c r="M113"/>
      <c r="O113" s="25" t="s">
        <v>28</v>
      </c>
      <c r="P113" t="s">
        <v>269</v>
      </c>
      <c r="Q113" s="241" t="str">
        <f>IFERROR(SUM((SUMIFS('capacity data'!$G:$G,'capacity data'!$E:$E,"PO",'capacity data'!$B:$B,P113))-SUMIFS('capacity data'!$H:$H,'capacity data'!$E:$E,"PO",'capacity data'!$B:$B,P113))/SUMIFS('capacity data'!$G:$G,'capacity data'!$E:$E,"PO",'capacity data'!$B:$B,P113),"")</f>
        <v/>
      </c>
      <c r="R113" s="241" t="str">
        <f>IFERROR(SUM((SUMIFS('capacity data'!$G:$G,'capacity data'!$E:$E,"PSO",'capacity data'!$B:$B,P113))-SUMIFS('capacity data'!$H:$H,'capacity data'!$E:$E,"PSO",'capacity data'!$B:$B,P113))/SUMIFS('capacity data'!$G:$G,'capacity data'!$E:$E,"PSO",'capacity data'!$B:$B,P113),"")</f>
        <v/>
      </c>
      <c r="S113" s="24" t="str">
        <f t="shared" si="1"/>
        <v/>
      </c>
      <c r="T113" s="242" t="str">
        <f>IFERROR(SUMIFS('capacity data'!$L:$L,'capacity data'!$B:$B,P113,'capacity data'!$E:$E,"PSO")/SUMIFS('capacity data'!$G:$G,'capacity data'!$E:$E,"PSO",'capacity data'!$B:$B,P113),"")</f>
        <v/>
      </c>
      <c r="U113" s="242" t="str">
        <f>IFERROR(SUMIFS('capacity data'!$L:$L,'capacity data'!$B:$B,P113,'capacity data'!$E:$E,"TPO")/SUMIFS('capacity data'!$G:$G,'capacity data'!$E:$E,"TPO",'capacity data'!$B:$B,P113),"")</f>
        <v/>
      </c>
    </row>
    <row r="114" spans="1:21" ht="16" x14ac:dyDescent="0.2">
      <c r="A114" t="s">
        <v>20</v>
      </c>
      <c r="F114"/>
      <c r="M114"/>
      <c r="O114" s="25" t="s">
        <v>29</v>
      </c>
      <c r="P114" t="s">
        <v>41</v>
      </c>
      <c r="Q114" s="241" t="str">
        <f>IFERROR(SUM((SUMIFS('capacity data'!$G:$G,'capacity data'!$E:$E,"PO",'capacity data'!$B:$B,P114))-SUMIFS('capacity data'!$H:$H,'capacity data'!$E:$E,"PO",'capacity data'!$B:$B,P114))/SUMIFS('capacity data'!$G:$G,'capacity data'!$E:$E,"PO",'capacity data'!$B:$B,P114),"")</f>
        <v/>
      </c>
      <c r="R114" s="241" t="str">
        <f>IFERROR(SUM((SUMIFS('capacity data'!$G:$G,'capacity data'!$E:$E,"PSO",'capacity data'!$B:$B,P114))-SUMIFS('capacity data'!$H:$H,'capacity data'!$E:$E,"PSO",'capacity data'!$B:$B,P114))/SUMIFS('capacity data'!$G:$G,'capacity data'!$E:$E,"PSO",'capacity data'!$B:$B,P114),"")</f>
        <v/>
      </c>
      <c r="S114" s="24" t="str">
        <f t="shared" si="1"/>
        <v/>
      </c>
      <c r="T114" s="242" t="str">
        <f>IFERROR(SUMIFS('capacity data'!$L:$L,'capacity data'!$B:$B,P114,'capacity data'!$E:$E,"PSO")/SUMIFS('capacity data'!$G:$G,'capacity data'!$E:$E,"PSO",'capacity data'!$B:$B,P114),"")</f>
        <v/>
      </c>
      <c r="U114" s="242" t="str">
        <f>IFERROR(SUMIFS('capacity data'!$L:$L,'capacity data'!$B:$B,P114,'capacity data'!$E:$E,"TPO")/SUMIFS('capacity data'!$G:$G,'capacity data'!$E:$E,"TPO",'capacity data'!$B:$B,P114),"")</f>
        <v/>
      </c>
    </row>
    <row r="115" spans="1:21" ht="16" x14ac:dyDescent="0.2">
      <c r="A115" t="s">
        <v>20</v>
      </c>
      <c r="F115"/>
      <c r="M115"/>
      <c r="O115" s="25" t="s">
        <v>29</v>
      </c>
      <c r="P115" t="s">
        <v>63</v>
      </c>
      <c r="Q115" s="241" t="str">
        <f>IFERROR(SUM((SUMIFS('capacity data'!$G:$G,'capacity data'!$E:$E,"PO",'capacity data'!$B:$B,P115))-SUMIFS('capacity data'!$H:$H,'capacity data'!$E:$E,"PO",'capacity data'!$B:$B,P115))/SUMIFS('capacity data'!$G:$G,'capacity data'!$E:$E,"PO",'capacity data'!$B:$B,P115),"")</f>
        <v/>
      </c>
      <c r="R115" s="241" t="str">
        <f>IFERROR(SUM((SUMIFS('capacity data'!$G:$G,'capacity data'!$E:$E,"PSO",'capacity data'!$B:$B,P115))-SUMIFS('capacity data'!$H:$H,'capacity data'!$E:$E,"PSO",'capacity data'!$B:$B,P115))/SUMIFS('capacity data'!$G:$G,'capacity data'!$E:$E,"PSO",'capacity data'!$B:$B,P115),"")</f>
        <v/>
      </c>
      <c r="S115" s="24" t="str">
        <f t="shared" si="1"/>
        <v/>
      </c>
      <c r="T115" s="242" t="str">
        <f>IFERROR(SUMIFS('capacity data'!$L:$L,'capacity data'!$B:$B,P115,'capacity data'!$E:$E,"PSO")/SUMIFS('capacity data'!$G:$G,'capacity data'!$E:$E,"PSO",'capacity data'!$B:$B,P115),"")</f>
        <v/>
      </c>
      <c r="U115" s="242" t="str">
        <f>IFERROR(SUMIFS('capacity data'!$L:$L,'capacity data'!$B:$B,P115,'capacity data'!$E:$E,"TPO")/SUMIFS('capacity data'!$G:$G,'capacity data'!$E:$E,"TPO",'capacity data'!$B:$B,P115),"")</f>
        <v/>
      </c>
    </row>
    <row r="116" spans="1:21" ht="16" x14ac:dyDescent="0.2">
      <c r="A116" t="s">
        <v>20</v>
      </c>
      <c r="F116"/>
      <c r="M116"/>
      <c r="O116" s="25" t="s">
        <v>29</v>
      </c>
      <c r="P116" t="s">
        <v>85</v>
      </c>
      <c r="Q116" s="241" t="str">
        <f>IFERROR(SUM((SUMIFS('capacity data'!$G:$G,'capacity data'!$E:$E,"PO",'capacity data'!$B:$B,P116))-SUMIFS('capacity data'!$H:$H,'capacity data'!$E:$E,"PO",'capacity data'!$B:$B,P116))/SUMIFS('capacity data'!$G:$G,'capacity data'!$E:$E,"PO",'capacity data'!$B:$B,P116),"")</f>
        <v/>
      </c>
      <c r="R116" s="241" t="str">
        <f>IFERROR(SUM((SUMIFS('capacity data'!$G:$G,'capacity data'!$E:$E,"PSO",'capacity data'!$B:$B,P116))-SUMIFS('capacity data'!$H:$H,'capacity data'!$E:$E,"PSO",'capacity data'!$B:$B,P116))/SUMIFS('capacity data'!$G:$G,'capacity data'!$E:$E,"PSO",'capacity data'!$B:$B,P116),"")</f>
        <v/>
      </c>
      <c r="S116" s="24" t="str">
        <f t="shared" si="1"/>
        <v/>
      </c>
      <c r="T116" s="242" t="str">
        <f>IFERROR(SUMIFS('capacity data'!$L:$L,'capacity data'!$B:$B,P116,'capacity data'!$E:$E,"PSO")/SUMIFS('capacity data'!$G:$G,'capacity data'!$E:$E,"PSO",'capacity data'!$B:$B,P116),"")</f>
        <v/>
      </c>
      <c r="U116" s="242" t="str">
        <f>IFERROR(SUMIFS('capacity data'!$L:$L,'capacity data'!$B:$B,P116,'capacity data'!$E:$E,"TPO")/SUMIFS('capacity data'!$G:$G,'capacity data'!$E:$E,"TPO",'capacity data'!$B:$B,P116),"")</f>
        <v/>
      </c>
    </row>
    <row r="117" spans="1:21" ht="16" x14ac:dyDescent="0.2">
      <c r="A117" t="s">
        <v>20</v>
      </c>
      <c r="F117"/>
      <c r="M117"/>
      <c r="O117" s="25" t="s">
        <v>29</v>
      </c>
      <c r="P117" t="s">
        <v>108</v>
      </c>
      <c r="Q117" s="241" t="str">
        <f>IFERROR(SUM((SUMIFS('capacity data'!$G:$G,'capacity data'!$E:$E,"PO",'capacity data'!$B:$B,P117))-SUMIFS('capacity data'!$H:$H,'capacity data'!$E:$E,"PO",'capacity data'!$B:$B,P117))/SUMIFS('capacity data'!$G:$G,'capacity data'!$E:$E,"PO",'capacity data'!$B:$B,P117),"")</f>
        <v/>
      </c>
      <c r="R117" s="241" t="str">
        <f>IFERROR(SUM((SUMIFS('capacity data'!$G:$G,'capacity data'!$E:$E,"PSO",'capacity data'!$B:$B,P117))-SUMIFS('capacity data'!$H:$H,'capacity data'!$E:$E,"PSO",'capacity data'!$B:$B,P117))/SUMIFS('capacity data'!$G:$G,'capacity data'!$E:$E,"PSO",'capacity data'!$B:$B,P117),"")</f>
        <v/>
      </c>
      <c r="S117" s="24" t="str">
        <f t="shared" si="1"/>
        <v/>
      </c>
      <c r="T117" s="242" t="str">
        <f>IFERROR(SUMIFS('capacity data'!$L:$L,'capacity data'!$B:$B,P117,'capacity data'!$E:$E,"PSO")/SUMIFS('capacity data'!$G:$G,'capacity data'!$E:$E,"PSO",'capacity data'!$B:$B,P117),"")</f>
        <v/>
      </c>
      <c r="U117" s="242" t="str">
        <f>IFERROR(SUMIFS('capacity data'!$L:$L,'capacity data'!$B:$B,P117,'capacity data'!$E:$E,"TPO")/SUMIFS('capacity data'!$G:$G,'capacity data'!$E:$E,"TPO",'capacity data'!$B:$B,P117),"")</f>
        <v/>
      </c>
    </row>
    <row r="118" spans="1:21" ht="16" x14ac:dyDescent="0.2">
      <c r="A118" t="s">
        <v>20</v>
      </c>
      <c r="F118"/>
      <c r="M118"/>
      <c r="O118" s="25" t="s">
        <v>29</v>
      </c>
      <c r="P118" t="s">
        <v>131</v>
      </c>
      <c r="Q118" s="241" t="str">
        <f>IFERROR(SUM((SUMIFS('capacity data'!$G:$G,'capacity data'!$E:$E,"PO",'capacity data'!$B:$B,P118))-SUMIFS('capacity data'!$H:$H,'capacity data'!$E:$E,"PO",'capacity data'!$B:$B,P118))/SUMIFS('capacity data'!$G:$G,'capacity data'!$E:$E,"PO",'capacity data'!$B:$B,P118),"")</f>
        <v/>
      </c>
      <c r="R118" s="241" t="str">
        <f>IFERROR(SUM((SUMIFS('capacity data'!$G:$G,'capacity data'!$E:$E,"PSO",'capacity data'!$B:$B,P118))-SUMIFS('capacity data'!$H:$H,'capacity data'!$E:$E,"PSO",'capacity data'!$B:$B,P118))/SUMIFS('capacity data'!$G:$G,'capacity data'!$E:$E,"PSO",'capacity data'!$B:$B,P118),"")</f>
        <v/>
      </c>
      <c r="S118" s="24" t="str">
        <f t="shared" si="1"/>
        <v/>
      </c>
      <c r="T118" s="242" t="str">
        <f>IFERROR(SUMIFS('capacity data'!$L:$L,'capacity data'!$B:$B,P118,'capacity data'!$E:$E,"PSO")/SUMIFS('capacity data'!$G:$G,'capacity data'!$E:$E,"PSO",'capacity data'!$B:$B,P118),"")</f>
        <v/>
      </c>
      <c r="U118" s="242" t="str">
        <f>IFERROR(SUMIFS('capacity data'!$L:$L,'capacity data'!$B:$B,P118,'capacity data'!$E:$E,"TPO")/SUMIFS('capacity data'!$G:$G,'capacity data'!$E:$E,"TPO",'capacity data'!$B:$B,P118),"")</f>
        <v/>
      </c>
    </row>
    <row r="119" spans="1:21" ht="16" x14ac:dyDescent="0.2">
      <c r="A119" t="s">
        <v>20</v>
      </c>
      <c r="F119"/>
      <c r="M119"/>
      <c r="O119" s="25" t="s">
        <v>29</v>
      </c>
      <c r="P119" t="s">
        <v>152</v>
      </c>
      <c r="Q119" s="241" t="str">
        <f>IFERROR(SUM((SUMIFS('capacity data'!$G:$G,'capacity data'!$E:$E,"PO",'capacity data'!$B:$B,P119))-SUMIFS('capacity data'!$H:$H,'capacity data'!$E:$E,"PO",'capacity data'!$B:$B,P119))/SUMIFS('capacity data'!$G:$G,'capacity data'!$E:$E,"PO",'capacity data'!$B:$B,P119),"")</f>
        <v/>
      </c>
      <c r="R119" s="241" t="str">
        <f>IFERROR(SUM((SUMIFS('capacity data'!$G:$G,'capacity data'!$E:$E,"PSO",'capacity data'!$B:$B,P119))-SUMIFS('capacity data'!$H:$H,'capacity data'!$E:$E,"PSO",'capacity data'!$B:$B,P119))/SUMIFS('capacity data'!$G:$G,'capacity data'!$E:$E,"PSO",'capacity data'!$B:$B,P119),"")</f>
        <v/>
      </c>
      <c r="S119" s="24" t="str">
        <f t="shared" si="1"/>
        <v/>
      </c>
      <c r="T119" s="242" t="str">
        <f>IFERROR(SUMIFS('capacity data'!$L:$L,'capacity data'!$B:$B,P119,'capacity data'!$E:$E,"PSO")/SUMIFS('capacity data'!$G:$G,'capacity data'!$E:$E,"PSO",'capacity data'!$B:$B,P119),"")</f>
        <v/>
      </c>
      <c r="U119" s="242" t="str">
        <f>IFERROR(SUMIFS('capacity data'!$L:$L,'capacity data'!$B:$B,P119,'capacity data'!$E:$E,"TPO")/SUMIFS('capacity data'!$G:$G,'capacity data'!$E:$E,"TPO",'capacity data'!$B:$B,P119),"")</f>
        <v/>
      </c>
    </row>
    <row r="120" spans="1:21" ht="16" x14ac:dyDescent="0.2">
      <c r="A120" t="s">
        <v>20</v>
      </c>
      <c r="F120"/>
      <c r="M120"/>
      <c r="O120" s="25" t="s">
        <v>29</v>
      </c>
      <c r="P120" t="s">
        <v>175</v>
      </c>
      <c r="Q120" s="241" t="str">
        <f>IFERROR(SUM((SUMIFS('capacity data'!$G:$G,'capacity data'!$E:$E,"PO",'capacity data'!$B:$B,P120))-SUMIFS('capacity data'!$H:$H,'capacity data'!$E:$E,"PO",'capacity data'!$B:$B,P120))/SUMIFS('capacity data'!$G:$G,'capacity data'!$E:$E,"PO",'capacity data'!$B:$B,P120),"")</f>
        <v/>
      </c>
      <c r="R120" s="241" t="str">
        <f>IFERROR(SUM((SUMIFS('capacity data'!$G:$G,'capacity data'!$E:$E,"PSO",'capacity data'!$B:$B,P120))-SUMIFS('capacity data'!$H:$H,'capacity data'!$E:$E,"PSO",'capacity data'!$B:$B,P120))/SUMIFS('capacity data'!$G:$G,'capacity data'!$E:$E,"PSO",'capacity data'!$B:$B,P120),"")</f>
        <v/>
      </c>
      <c r="S120" s="24" t="str">
        <f t="shared" si="1"/>
        <v/>
      </c>
      <c r="T120" s="242" t="str">
        <f>IFERROR(SUMIFS('capacity data'!$L:$L,'capacity data'!$B:$B,P120,'capacity data'!$E:$E,"PSO")/SUMIFS('capacity data'!$G:$G,'capacity data'!$E:$E,"PSO",'capacity data'!$B:$B,P120),"")</f>
        <v/>
      </c>
      <c r="U120" s="242" t="str">
        <f>IFERROR(SUMIFS('capacity data'!$L:$L,'capacity data'!$B:$B,P120,'capacity data'!$E:$E,"TPO")/SUMIFS('capacity data'!$G:$G,'capacity data'!$E:$E,"TPO",'capacity data'!$B:$B,P120),"")</f>
        <v/>
      </c>
    </row>
    <row r="121" spans="1:21" ht="16" x14ac:dyDescent="0.2">
      <c r="A121" t="s">
        <v>20</v>
      </c>
      <c r="F121"/>
      <c r="M121"/>
      <c r="O121" s="25" t="s">
        <v>29</v>
      </c>
      <c r="P121" t="s">
        <v>196</v>
      </c>
      <c r="Q121" s="241" t="str">
        <f>IFERROR(SUM((SUMIFS('capacity data'!$G:$G,'capacity data'!$E:$E,"PO",'capacity data'!$B:$B,P121))-SUMIFS('capacity data'!$H:$H,'capacity data'!$E:$E,"PO",'capacity data'!$B:$B,P121))/SUMIFS('capacity data'!$G:$G,'capacity data'!$E:$E,"PO",'capacity data'!$B:$B,P121),"")</f>
        <v/>
      </c>
      <c r="R121" s="241" t="str">
        <f>IFERROR(SUM((SUMIFS('capacity data'!$G:$G,'capacity data'!$E:$E,"PSO",'capacity data'!$B:$B,P121))-SUMIFS('capacity data'!$H:$H,'capacity data'!$E:$E,"PSO",'capacity data'!$B:$B,P121))/SUMIFS('capacity data'!$G:$G,'capacity data'!$E:$E,"PSO",'capacity data'!$B:$B,P121),"")</f>
        <v/>
      </c>
      <c r="S121" s="24" t="str">
        <f t="shared" si="1"/>
        <v/>
      </c>
      <c r="T121" s="242" t="str">
        <f>IFERROR(SUMIFS('capacity data'!$L:$L,'capacity data'!$B:$B,P121,'capacity data'!$E:$E,"PSO")/SUMIFS('capacity data'!$G:$G,'capacity data'!$E:$E,"PSO",'capacity data'!$B:$B,P121),"")</f>
        <v/>
      </c>
      <c r="U121" s="242" t="str">
        <f>IFERROR(SUMIFS('capacity data'!$L:$L,'capacity data'!$B:$B,P121,'capacity data'!$E:$E,"TPO")/SUMIFS('capacity data'!$G:$G,'capacity data'!$E:$E,"TPO",'capacity data'!$B:$B,P121),"")</f>
        <v/>
      </c>
    </row>
    <row r="122" spans="1:21" ht="16" x14ac:dyDescent="0.2">
      <c r="A122" t="s">
        <v>20</v>
      </c>
      <c r="F122"/>
      <c r="M122"/>
      <c r="O122" s="25" t="s">
        <v>30</v>
      </c>
      <c r="P122" t="s">
        <v>42</v>
      </c>
      <c r="Q122" s="241" t="str">
        <f>IFERROR(SUM((SUMIFS('capacity data'!$G:$G,'capacity data'!$E:$E,"PO",'capacity data'!$B:$B,P122))-SUMIFS('capacity data'!$H:$H,'capacity data'!$E:$E,"PO",'capacity data'!$B:$B,P122))/SUMIFS('capacity data'!$G:$G,'capacity data'!$E:$E,"PO",'capacity data'!$B:$B,P122),"")</f>
        <v/>
      </c>
      <c r="R122" s="241" t="str">
        <f>IFERROR(SUM((SUMIFS('capacity data'!$G:$G,'capacity data'!$E:$E,"PSO",'capacity data'!$B:$B,P122))-SUMIFS('capacity data'!$H:$H,'capacity data'!$E:$E,"PSO",'capacity data'!$B:$B,P122))/SUMIFS('capacity data'!$G:$G,'capacity data'!$E:$E,"PSO",'capacity data'!$B:$B,P122),"")</f>
        <v/>
      </c>
      <c r="S122" s="24" t="str">
        <f t="shared" si="1"/>
        <v/>
      </c>
      <c r="T122" s="242" t="str">
        <f>IFERROR(SUMIFS('capacity data'!$L:$L,'capacity data'!$B:$B,P122,'capacity data'!$E:$E,"PSO")/SUMIFS('capacity data'!$G:$G,'capacity data'!$E:$E,"PSO",'capacity data'!$B:$B,P122),"")</f>
        <v/>
      </c>
      <c r="U122" s="242" t="str">
        <f>IFERROR(SUMIFS('capacity data'!$L:$L,'capacity data'!$B:$B,P122,'capacity data'!$E:$E,"TPO")/SUMIFS('capacity data'!$G:$G,'capacity data'!$E:$E,"TPO",'capacity data'!$B:$B,P122),"")</f>
        <v/>
      </c>
    </row>
    <row r="123" spans="1:21" ht="16" x14ac:dyDescent="0.2">
      <c r="A123" t="s">
        <v>20</v>
      </c>
      <c r="F123"/>
      <c r="M123"/>
      <c r="O123" s="25" t="s">
        <v>30</v>
      </c>
      <c r="P123" t="s">
        <v>64</v>
      </c>
      <c r="Q123" s="241" t="str">
        <f>IFERROR(SUM((SUMIFS('capacity data'!$G:$G,'capacity data'!$E:$E,"PO",'capacity data'!$B:$B,P123))-SUMIFS('capacity data'!$H:$H,'capacity data'!$E:$E,"PO",'capacity data'!$B:$B,P123))/SUMIFS('capacity data'!$G:$G,'capacity data'!$E:$E,"PO",'capacity data'!$B:$B,P123),"")</f>
        <v/>
      </c>
      <c r="R123" s="241" t="str">
        <f>IFERROR(SUM((SUMIFS('capacity data'!$G:$G,'capacity data'!$E:$E,"PSO",'capacity data'!$B:$B,P123))-SUMIFS('capacity data'!$H:$H,'capacity data'!$E:$E,"PSO",'capacity data'!$B:$B,P123))/SUMIFS('capacity data'!$G:$G,'capacity data'!$E:$E,"PSO",'capacity data'!$B:$B,P123),"")</f>
        <v/>
      </c>
      <c r="S123" s="24" t="str">
        <f t="shared" si="1"/>
        <v/>
      </c>
      <c r="T123" s="242" t="str">
        <f>IFERROR(SUMIFS('capacity data'!$L:$L,'capacity data'!$B:$B,P123,'capacity data'!$E:$E,"PSO")/SUMIFS('capacity data'!$G:$G,'capacity data'!$E:$E,"PSO",'capacity data'!$B:$B,P123),"")</f>
        <v/>
      </c>
      <c r="U123" s="242" t="str">
        <f>IFERROR(SUMIFS('capacity data'!$L:$L,'capacity data'!$B:$B,P123,'capacity data'!$E:$E,"TPO")/SUMIFS('capacity data'!$G:$G,'capacity data'!$E:$E,"TPO",'capacity data'!$B:$B,P123),"")</f>
        <v/>
      </c>
    </row>
    <row r="124" spans="1:21" ht="16" x14ac:dyDescent="0.2">
      <c r="A124" t="s">
        <v>20</v>
      </c>
      <c r="F124"/>
      <c r="M124"/>
      <c r="O124" s="25" t="s">
        <v>30</v>
      </c>
      <c r="P124" t="s">
        <v>86</v>
      </c>
      <c r="Q124" s="241" t="str">
        <f>IFERROR(SUM((SUMIFS('capacity data'!$G:$G,'capacity data'!$E:$E,"PO",'capacity data'!$B:$B,P124))-SUMIFS('capacity data'!$H:$H,'capacity data'!$E:$E,"PO",'capacity data'!$B:$B,P124))/SUMIFS('capacity data'!$G:$G,'capacity data'!$E:$E,"PO",'capacity data'!$B:$B,P124),"")</f>
        <v/>
      </c>
      <c r="R124" s="241" t="str">
        <f>IFERROR(SUM((SUMIFS('capacity data'!$G:$G,'capacity data'!$E:$E,"PSO",'capacity data'!$B:$B,P124))-SUMIFS('capacity data'!$H:$H,'capacity data'!$E:$E,"PSO",'capacity data'!$B:$B,P124))/SUMIFS('capacity data'!$G:$G,'capacity data'!$E:$E,"PSO",'capacity data'!$B:$B,P124),"")</f>
        <v/>
      </c>
      <c r="S124" s="24" t="str">
        <f t="shared" si="1"/>
        <v/>
      </c>
      <c r="T124" s="242" t="str">
        <f>IFERROR(SUMIFS('capacity data'!$L:$L,'capacity data'!$B:$B,P124,'capacity data'!$E:$E,"PSO")/SUMIFS('capacity data'!$G:$G,'capacity data'!$E:$E,"PSO",'capacity data'!$B:$B,P124),"")</f>
        <v/>
      </c>
      <c r="U124" s="242" t="str">
        <f>IFERROR(SUMIFS('capacity data'!$L:$L,'capacity data'!$B:$B,P124,'capacity data'!$E:$E,"TPO")/SUMIFS('capacity data'!$G:$G,'capacity data'!$E:$E,"TPO",'capacity data'!$B:$B,P124),"")</f>
        <v/>
      </c>
    </row>
    <row r="125" spans="1:21" ht="16" x14ac:dyDescent="0.2">
      <c r="A125" t="s">
        <v>20</v>
      </c>
      <c r="F125"/>
      <c r="M125"/>
      <c r="O125" s="25" t="s">
        <v>30</v>
      </c>
      <c r="P125" t="s">
        <v>109</v>
      </c>
      <c r="Q125" s="241" t="str">
        <f>IFERROR(SUM((SUMIFS('capacity data'!$G:$G,'capacity data'!$E:$E,"PO",'capacity data'!$B:$B,P125))-SUMIFS('capacity data'!$H:$H,'capacity data'!$E:$E,"PO",'capacity data'!$B:$B,P125))/SUMIFS('capacity data'!$G:$G,'capacity data'!$E:$E,"PO",'capacity data'!$B:$B,P125),"")</f>
        <v/>
      </c>
      <c r="R125" s="241" t="str">
        <f>IFERROR(SUM((SUMIFS('capacity data'!$G:$G,'capacity data'!$E:$E,"PSO",'capacity data'!$B:$B,P125))-SUMIFS('capacity data'!$H:$H,'capacity data'!$E:$E,"PSO",'capacity data'!$B:$B,P125))/SUMIFS('capacity data'!$G:$G,'capacity data'!$E:$E,"PSO",'capacity data'!$B:$B,P125),"")</f>
        <v/>
      </c>
      <c r="S125" s="24" t="str">
        <f t="shared" si="1"/>
        <v/>
      </c>
      <c r="T125" s="242" t="str">
        <f>IFERROR(SUMIFS('capacity data'!$L:$L,'capacity data'!$B:$B,P125,'capacity data'!$E:$E,"PSO")/SUMIFS('capacity data'!$G:$G,'capacity data'!$E:$E,"PSO",'capacity data'!$B:$B,P125),"")</f>
        <v/>
      </c>
      <c r="U125" s="242" t="str">
        <f>IFERROR(SUMIFS('capacity data'!$L:$L,'capacity data'!$B:$B,P125,'capacity data'!$E:$E,"TPO")/SUMIFS('capacity data'!$G:$G,'capacity data'!$E:$E,"TPO",'capacity data'!$B:$B,P125),"")</f>
        <v/>
      </c>
    </row>
    <row r="126" spans="1:21" ht="16" x14ac:dyDescent="0.2">
      <c r="A126" t="s">
        <v>20</v>
      </c>
      <c r="F126"/>
      <c r="M126"/>
      <c r="O126" s="25" t="s">
        <v>30</v>
      </c>
      <c r="P126" t="s">
        <v>132</v>
      </c>
      <c r="Q126" s="241" t="str">
        <f>IFERROR(SUM((SUMIFS('capacity data'!$G:$G,'capacity data'!$E:$E,"PO",'capacity data'!$B:$B,P126))-SUMIFS('capacity data'!$H:$H,'capacity data'!$E:$E,"PO",'capacity data'!$B:$B,P126))/SUMIFS('capacity data'!$G:$G,'capacity data'!$E:$E,"PO",'capacity data'!$B:$B,P126),"")</f>
        <v/>
      </c>
      <c r="R126" s="241" t="str">
        <f>IFERROR(SUM((SUMIFS('capacity data'!$G:$G,'capacity data'!$E:$E,"PSO",'capacity data'!$B:$B,P126))-SUMIFS('capacity data'!$H:$H,'capacity data'!$E:$E,"PSO",'capacity data'!$B:$B,P126))/SUMIFS('capacity data'!$G:$G,'capacity data'!$E:$E,"PSO",'capacity data'!$B:$B,P126),"")</f>
        <v/>
      </c>
      <c r="S126" s="24" t="str">
        <f t="shared" si="1"/>
        <v/>
      </c>
      <c r="T126" s="242" t="str">
        <f>IFERROR(SUMIFS('capacity data'!$L:$L,'capacity data'!$B:$B,P126,'capacity data'!$E:$E,"PSO")/SUMIFS('capacity data'!$G:$G,'capacity data'!$E:$E,"PSO",'capacity data'!$B:$B,P126),"")</f>
        <v/>
      </c>
      <c r="U126" s="242" t="str">
        <f>IFERROR(SUMIFS('capacity data'!$L:$L,'capacity data'!$B:$B,P126,'capacity data'!$E:$E,"TPO")/SUMIFS('capacity data'!$G:$G,'capacity data'!$E:$E,"TPO",'capacity data'!$B:$B,P126),"")</f>
        <v/>
      </c>
    </row>
    <row r="127" spans="1:21" ht="16" x14ac:dyDescent="0.2">
      <c r="A127" t="s">
        <v>20</v>
      </c>
      <c r="F127"/>
      <c r="M127"/>
      <c r="O127" s="25" t="s">
        <v>30</v>
      </c>
      <c r="P127" t="s">
        <v>153</v>
      </c>
      <c r="Q127" s="241" t="str">
        <f>IFERROR(SUM((SUMIFS('capacity data'!$G:$G,'capacity data'!$E:$E,"PO",'capacity data'!$B:$B,P127))-SUMIFS('capacity data'!$H:$H,'capacity data'!$E:$E,"PO",'capacity data'!$B:$B,P127))/SUMIFS('capacity data'!$G:$G,'capacity data'!$E:$E,"PO",'capacity data'!$B:$B,P127),"")</f>
        <v/>
      </c>
      <c r="R127" s="241" t="str">
        <f>IFERROR(SUM((SUMIFS('capacity data'!$G:$G,'capacity data'!$E:$E,"PSO",'capacity data'!$B:$B,P127))-SUMIFS('capacity data'!$H:$H,'capacity data'!$E:$E,"PSO",'capacity data'!$B:$B,P127))/SUMIFS('capacity data'!$G:$G,'capacity data'!$E:$E,"PSO",'capacity data'!$B:$B,P127),"")</f>
        <v/>
      </c>
      <c r="S127" s="24" t="str">
        <f t="shared" si="1"/>
        <v/>
      </c>
      <c r="T127" s="242" t="str">
        <f>IFERROR(SUMIFS('capacity data'!$L:$L,'capacity data'!$B:$B,P127,'capacity data'!$E:$E,"PSO")/SUMIFS('capacity data'!$G:$G,'capacity data'!$E:$E,"PSO",'capacity data'!$B:$B,P127),"")</f>
        <v/>
      </c>
      <c r="U127" s="242" t="str">
        <f>IFERROR(SUMIFS('capacity data'!$L:$L,'capacity data'!$B:$B,P127,'capacity data'!$E:$E,"TPO")/SUMIFS('capacity data'!$G:$G,'capacity data'!$E:$E,"TPO",'capacity data'!$B:$B,P127),"")</f>
        <v/>
      </c>
    </row>
    <row r="128" spans="1:21" ht="16" x14ac:dyDescent="0.2">
      <c r="A128" t="s">
        <v>20</v>
      </c>
      <c r="F128"/>
      <c r="M128"/>
      <c r="O128" s="25" t="s">
        <v>30</v>
      </c>
      <c r="P128" t="s">
        <v>176</v>
      </c>
      <c r="Q128" s="241" t="str">
        <f>IFERROR(SUM((SUMIFS('capacity data'!$G:$G,'capacity data'!$E:$E,"PO",'capacity data'!$B:$B,P128))-SUMIFS('capacity data'!$H:$H,'capacity data'!$E:$E,"PO",'capacity data'!$B:$B,P128))/SUMIFS('capacity data'!$G:$G,'capacity data'!$E:$E,"PO",'capacity data'!$B:$B,P128),"")</f>
        <v/>
      </c>
      <c r="R128" s="241" t="str">
        <f>IFERROR(SUM((SUMIFS('capacity data'!$G:$G,'capacity data'!$E:$E,"PSO",'capacity data'!$B:$B,P128))-SUMIFS('capacity data'!$H:$H,'capacity data'!$E:$E,"PSO",'capacity data'!$B:$B,P128))/SUMIFS('capacity data'!$G:$G,'capacity data'!$E:$E,"PSO",'capacity data'!$B:$B,P128),"")</f>
        <v/>
      </c>
      <c r="S128" s="24" t="str">
        <f t="shared" si="1"/>
        <v/>
      </c>
      <c r="T128" s="242" t="str">
        <f>IFERROR(SUMIFS('capacity data'!$L:$L,'capacity data'!$B:$B,P128,'capacity data'!$E:$E,"PSO")/SUMIFS('capacity data'!$G:$G,'capacity data'!$E:$E,"PSO",'capacity data'!$B:$B,P128),"")</f>
        <v/>
      </c>
      <c r="U128" s="242" t="str">
        <f>IFERROR(SUMIFS('capacity data'!$L:$L,'capacity data'!$B:$B,P128,'capacity data'!$E:$E,"TPO")/SUMIFS('capacity data'!$G:$G,'capacity data'!$E:$E,"TPO",'capacity data'!$B:$B,P128),"")</f>
        <v/>
      </c>
    </row>
    <row r="129" spans="1:21" ht="16" x14ac:dyDescent="0.2">
      <c r="A129" t="s">
        <v>20</v>
      </c>
      <c r="F129"/>
      <c r="M129"/>
      <c r="O129" s="25" t="s">
        <v>30</v>
      </c>
      <c r="P129" t="s">
        <v>197</v>
      </c>
      <c r="Q129" s="241" t="str">
        <f>IFERROR(SUM((SUMIFS('capacity data'!$G:$G,'capacity data'!$E:$E,"PO",'capacity data'!$B:$B,P129))-SUMIFS('capacity data'!$H:$H,'capacity data'!$E:$E,"PO",'capacity data'!$B:$B,P129))/SUMIFS('capacity data'!$G:$G,'capacity data'!$E:$E,"PO",'capacity data'!$B:$B,P129),"")</f>
        <v/>
      </c>
      <c r="R129" s="241" t="str">
        <f>IFERROR(SUM((SUMIFS('capacity data'!$G:$G,'capacity data'!$E:$E,"PSO",'capacity data'!$B:$B,P129))-SUMIFS('capacity data'!$H:$H,'capacity data'!$E:$E,"PSO",'capacity data'!$B:$B,P129))/SUMIFS('capacity data'!$G:$G,'capacity data'!$E:$E,"PSO",'capacity data'!$B:$B,P129),"")</f>
        <v/>
      </c>
      <c r="S129" s="24" t="str">
        <f t="shared" si="1"/>
        <v/>
      </c>
      <c r="T129" s="242" t="str">
        <f>IFERROR(SUMIFS('capacity data'!$L:$L,'capacity data'!$B:$B,P129,'capacity data'!$E:$E,"PSO")/SUMIFS('capacity data'!$G:$G,'capacity data'!$E:$E,"PSO",'capacity data'!$B:$B,P129),"")</f>
        <v/>
      </c>
      <c r="U129" s="242" t="str">
        <f>IFERROR(SUMIFS('capacity data'!$L:$L,'capacity data'!$B:$B,P129,'capacity data'!$E:$E,"TPO")/SUMIFS('capacity data'!$G:$G,'capacity data'!$E:$E,"TPO",'capacity data'!$B:$B,P129),"")</f>
        <v/>
      </c>
    </row>
    <row r="130" spans="1:21" ht="16" x14ac:dyDescent="0.2">
      <c r="A130" t="s">
        <v>20</v>
      </c>
      <c r="F130"/>
      <c r="M130"/>
      <c r="O130" s="25" t="s">
        <v>30</v>
      </c>
      <c r="P130" t="s">
        <v>218</v>
      </c>
      <c r="Q130" s="241" t="str">
        <f>IFERROR(SUM((SUMIFS('capacity data'!$G:$G,'capacity data'!$E:$E,"PO",'capacity data'!$B:$B,P130))-SUMIFS('capacity data'!$H:$H,'capacity data'!$E:$E,"PO",'capacity data'!$B:$B,P130))/SUMIFS('capacity data'!$G:$G,'capacity data'!$E:$E,"PO",'capacity data'!$B:$B,P130),"")</f>
        <v/>
      </c>
      <c r="R130" s="241" t="str">
        <f>IFERROR(SUM((SUMIFS('capacity data'!$G:$G,'capacity data'!$E:$E,"PSO",'capacity data'!$B:$B,P130))-SUMIFS('capacity data'!$H:$H,'capacity data'!$E:$E,"PSO",'capacity data'!$B:$B,P130))/SUMIFS('capacity data'!$G:$G,'capacity data'!$E:$E,"PSO",'capacity data'!$B:$B,P130),"")</f>
        <v/>
      </c>
      <c r="S130" s="24" t="str">
        <f t="shared" si="1"/>
        <v/>
      </c>
      <c r="T130" s="242" t="str">
        <f>IFERROR(SUMIFS('capacity data'!$L:$L,'capacity data'!$B:$B,P130,'capacity data'!$E:$E,"PSO")/SUMIFS('capacity data'!$G:$G,'capacity data'!$E:$E,"PSO",'capacity data'!$B:$B,P130),"")</f>
        <v/>
      </c>
      <c r="U130" s="242" t="str">
        <f>IFERROR(SUMIFS('capacity data'!$L:$L,'capacity data'!$B:$B,P130,'capacity data'!$E:$E,"TPO")/SUMIFS('capacity data'!$G:$G,'capacity data'!$E:$E,"TPO",'capacity data'!$B:$B,P130),"")</f>
        <v/>
      </c>
    </row>
    <row r="131" spans="1:21" ht="16" x14ac:dyDescent="0.2">
      <c r="A131" t="s">
        <v>20</v>
      </c>
      <c r="F131"/>
      <c r="M131"/>
      <c r="O131" s="25" t="s">
        <v>30</v>
      </c>
      <c r="P131" t="s">
        <v>236</v>
      </c>
      <c r="Q131" s="241" t="str">
        <f>IFERROR(SUM((SUMIFS('capacity data'!$G:$G,'capacity data'!$E:$E,"PO",'capacity data'!$B:$B,P131))-SUMIFS('capacity data'!$H:$H,'capacity data'!$E:$E,"PO",'capacity data'!$B:$B,P131))/SUMIFS('capacity data'!$G:$G,'capacity data'!$E:$E,"PO",'capacity data'!$B:$B,P131),"")</f>
        <v/>
      </c>
      <c r="R131" s="241" t="str">
        <f>IFERROR(SUM((SUMIFS('capacity data'!$G:$G,'capacity data'!$E:$E,"PSO",'capacity data'!$B:$B,P131))-SUMIFS('capacity data'!$H:$H,'capacity data'!$E:$E,"PSO",'capacity data'!$B:$B,P131))/SUMIFS('capacity data'!$G:$G,'capacity data'!$E:$E,"PSO",'capacity data'!$B:$B,P131),"")</f>
        <v/>
      </c>
      <c r="S131" s="24" t="str">
        <f t="shared" ref="S131:S153" si="2">IFERROR((Q131-R131),"")</f>
        <v/>
      </c>
      <c r="T131" s="242" t="str">
        <f>IFERROR(SUMIFS('capacity data'!$L:$L,'capacity data'!$B:$B,P131,'capacity data'!$E:$E,"PSO")/SUMIFS('capacity data'!$G:$G,'capacity data'!$E:$E,"PSO",'capacity data'!$B:$B,P131),"")</f>
        <v/>
      </c>
      <c r="U131" s="242" t="str">
        <f>IFERROR(SUMIFS('capacity data'!$L:$L,'capacity data'!$B:$B,P131,'capacity data'!$E:$E,"TPO")/SUMIFS('capacity data'!$G:$G,'capacity data'!$E:$E,"TPO",'capacity data'!$B:$B,P131),"")</f>
        <v/>
      </c>
    </row>
    <row r="132" spans="1:21" ht="16" x14ac:dyDescent="0.2">
      <c r="A132" t="s">
        <v>20</v>
      </c>
      <c r="F132"/>
      <c r="M132"/>
      <c r="O132" s="25" t="s">
        <v>30</v>
      </c>
      <c r="P132" t="s">
        <v>253</v>
      </c>
      <c r="Q132" s="241" t="str">
        <f>IFERROR(SUM((SUMIFS('capacity data'!$G:$G,'capacity data'!$E:$E,"PO",'capacity data'!$B:$B,P132))-SUMIFS('capacity data'!$H:$H,'capacity data'!$E:$E,"PO",'capacity data'!$B:$B,P132))/SUMIFS('capacity data'!$G:$G,'capacity data'!$E:$E,"PO",'capacity data'!$B:$B,P132),"")</f>
        <v/>
      </c>
      <c r="R132" s="241" t="str">
        <f>IFERROR(SUM((SUMIFS('capacity data'!$G:$G,'capacity data'!$E:$E,"PSO",'capacity data'!$B:$B,P132))-SUMIFS('capacity data'!$H:$H,'capacity data'!$E:$E,"PSO",'capacity data'!$B:$B,P132))/SUMIFS('capacity data'!$G:$G,'capacity data'!$E:$E,"PSO",'capacity data'!$B:$B,P132),"")</f>
        <v/>
      </c>
      <c r="S132" s="24" t="str">
        <f t="shared" si="2"/>
        <v/>
      </c>
      <c r="T132" s="242" t="str">
        <f>IFERROR(SUMIFS('capacity data'!$L:$L,'capacity data'!$B:$B,P132,'capacity data'!$E:$E,"PSO")/SUMIFS('capacity data'!$G:$G,'capacity data'!$E:$E,"PSO",'capacity data'!$B:$B,P132),"")</f>
        <v/>
      </c>
      <c r="U132" s="242" t="str">
        <f>IFERROR(SUMIFS('capacity data'!$L:$L,'capacity data'!$B:$B,P132,'capacity data'!$E:$E,"TPO")/SUMIFS('capacity data'!$G:$G,'capacity data'!$E:$E,"TPO",'capacity data'!$B:$B,P132),"")</f>
        <v/>
      </c>
    </row>
    <row r="133" spans="1:21" ht="16" x14ac:dyDescent="0.2">
      <c r="A133" t="s">
        <v>20</v>
      </c>
      <c r="F133"/>
      <c r="M133"/>
      <c r="O133" s="25" t="s">
        <v>30</v>
      </c>
      <c r="P133" t="s">
        <v>270</v>
      </c>
      <c r="Q133" s="241" t="str">
        <f>IFERROR(SUM((SUMIFS('capacity data'!$G:$G,'capacity data'!$E:$E,"PO",'capacity data'!$B:$B,P133))-SUMIFS('capacity data'!$H:$H,'capacity data'!$E:$E,"PO",'capacity data'!$B:$B,P133))/SUMIFS('capacity data'!$G:$G,'capacity data'!$E:$E,"PO",'capacity data'!$B:$B,P133),"")</f>
        <v/>
      </c>
      <c r="R133" s="241" t="str">
        <f>IFERROR(SUM((SUMIFS('capacity data'!$G:$G,'capacity data'!$E:$E,"PSO",'capacity data'!$B:$B,P133))-SUMIFS('capacity data'!$H:$H,'capacity data'!$E:$E,"PSO",'capacity data'!$B:$B,P133))/SUMIFS('capacity data'!$G:$G,'capacity data'!$E:$E,"PSO",'capacity data'!$B:$B,P133),"")</f>
        <v/>
      </c>
      <c r="S133" s="24" t="str">
        <f t="shared" si="2"/>
        <v/>
      </c>
      <c r="T133" s="242" t="str">
        <f>IFERROR(SUMIFS('capacity data'!$L:$L,'capacity data'!$B:$B,P133,'capacity data'!$E:$E,"PSO")/SUMIFS('capacity data'!$G:$G,'capacity data'!$E:$E,"PSO",'capacity data'!$B:$B,P133),"")</f>
        <v/>
      </c>
      <c r="U133" s="242" t="str">
        <f>IFERROR(SUMIFS('capacity data'!$L:$L,'capacity data'!$B:$B,P133,'capacity data'!$E:$E,"TPO")/SUMIFS('capacity data'!$G:$G,'capacity data'!$E:$E,"TPO",'capacity data'!$B:$B,P133),"")</f>
        <v/>
      </c>
    </row>
    <row r="134" spans="1:21" ht="16" x14ac:dyDescent="0.2">
      <c r="A134" t="s">
        <v>20</v>
      </c>
      <c r="F134"/>
      <c r="M134"/>
      <c r="O134" s="25" t="s">
        <v>31</v>
      </c>
      <c r="P134" t="s">
        <v>43</v>
      </c>
      <c r="Q134" s="241" t="str">
        <f>IFERROR(SUM((SUMIFS('capacity data'!$G:$G,'capacity data'!$E:$E,"PO",'capacity data'!$B:$B,P134))-SUMIFS('capacity data'!$H:$H,'capacity data'!$E:$E,"PO",'capacity data'!$B:$B,P134))/SUMIFS('capacity data'!$G:$G,'capacity data'!$E:$E,"PO",'capacity data'!$B:$B,P134),"")</f>
        <v/>
      </c>
      <c r="R134" s="241" t="str">
        <f>IFERROR(SUM((SUMIFS('capacity data'!$G:$G,'capacity data'!$E:$E,"PSO",'capacity data'!$B:$B,P134))-SUMIFS('capacity data'!$H:$H,'capacity data'!$E:$E,"PSO",'capacity data'!$B:$B,P134))/SUMIFS('capacity data'!$G:$G,'capacity data'!$E:$E,"PSO",'capacity data'!$B:$B,P134),"")</f>
        <v/>
      </c>
      <c r="S134" s="24" t="str">
        <f t="shared" si="2"/>
        <v/>
      </c>
      <c r="T134" s="242" t="str">
        <f>IFERROR(SUMIFS('capacity data'!$L:$L,'capacity data'!$B:$B,P134,'capacity data'!$E:$E,"PSO")/SUMIFS('capacity data'!$G:$G,'capacity data'!$E:$E,"PSO",'capacity data'!$B:$B,P134),"")</f>
        <v/>
      </c>
      <c r="U134" s="242" t="str">
        <f>IFERROR(SUMIFS('capacity data'!$L:$L,'capacity data'!$B:$B,P134,'capacity data'!$E:$E,"TPO")/SUMIFS('capacity data'!$G:$G,'capacity data'!$E:$E,"TPO",'capacity data'!$B:$B,P134),"")</f>
        <v/>
      </c>
    </row>
    <row r="135" spans="1:21" ht="16" x14ac:dyDescent="0.2">
      <c r="A135" t="s">
        <v>20</v>
      </c>
      <c r="F135"/>
      <c r="M135"/>
      <c r="O135" s="25" t="s">
        <v>31</v>
      </c>
      <c r="P135" t="s">
        <v>915</v>
      </c>
      <c r="Q135" s="241" t="str">
        <f>IFERROR(SUM((SUMIFS('capacity data'!$G:$G,'capacity data'!$E:$E,"PO",'capacity data'!$B:$B,P135))-SUMIFS('capacity data'!$H:$H,'capacity data'!$E:$E,"PO",'capacity data'!$B:$B,P135))/SUMIFS('capacity data'!$G:$G,'capacity data'!$E:$E,"PO",'capacity data'!$B:$B,P135),"")</f>
        <v/>
      </c>
      <c r="R135" s="241" t="str">
        <f>IFERROR(SUM((SUMIFS('capacity data'!$G:$G,'capacity data'!$E:$E,"PSO",'capacity data'!$B:$B,P135))-SUMIFS('capacity data'!$H:$H,'capacity data'!$E:$E,"PSO",'capacity data'!$B:$B,P135))/SUMIFS('capacity data'!$G:$G,'capacity data'!$E:$E,"PSO",'capacity data'!$B:$B,P135),"")</f>
        <v/>
      </c>
      <c r="S135" s="24" t="str">
        <f t="shared" si="2"/>
        <v/>
      </c>
      <c r="T135" s="242" t="str">
        <f>IFERROR(SUMIFS('capacity data'!$L:$L,'capacity data'!$B:$B,P135,'capacity data'!$E:$E,"PSO")/SUMIFS('capacity data'!$G:$G,'capacity data'!$E:$E,"PSO",'capacity data'!$B:$B,P135),"")</f>
        <v/>
      </c>
      <c r="U135" s="242" t="str">
        <f>IFERROR(SUMIFS('capacity data'!$L:$L,'capacity data'!$B:$B,P135,'capacity data'!$E:$E,"TPO")/SUMIFS('capacity data'!$G:$G,'capacity data'!$E:$E,"TPO",'capacity data'!$B:$B,P135),"")</f>
        <v/>
      </c>
    </row>
    <row r="136" spans="1:21" ht="16" x14ac:dyDescent="0.2">
      <c r="A136" t="s">
        <v>20</v>
      </c>
      <c r="F136"/>
      <c r="M136"/>
      <c r="O136" s="25" t="s">
        <v>31</v>
      </c>
      <c r="P136" t="s">
        <v>65</v>
      </c>
      <c r="Q136" s="241" t="str">
        <f>IFERROR(SUM((SUMIFS('capacity data'!$G:$G,'capacity data'!$E:$E,"PO",'capacity data'!$B:$B,P136))-SUMIFS('capacity data'!$H:$H,'capacity data'!$E:$E,"PO",'capacity data'!$B:$B,P136))/SUMIFS('capacity data'!$G:$G,'capacity data'!$E:$E,"PO",'capacity data'!$B:$B,P136),"")</f>
        <v/>
      </c>
      <c r="R136" s="241" t="str">
        <f>IFERROR(SUM((SUMIFS('capacity data'!$G:$G,'capacity data'!$E:$E,"PSO",'capacity data'!$B:$B,P136))-SUMIFS('capacity data'!$H:$H,'capacity data'!$E:$E,"PSO",'capacity data'!$B:$B,P136))/SUMIFS('capacity data'!$G:$G,'capacity data'!$E:$E,"PSO",'capacity data'!$B:$B,P136),"")</f>
        <v/>
      </c>
      <c r="S136" s="24" t="str">
        <f t="shared" si="2"/>
        <v/>
      </c>
      <c r="T136" s="242" t="str">
        <f>IFERROR(SUMIFS('capacity data'!$L:$L,'capacity data'!$B:$B,P136,'capacity data'!$E:$E,"PSO")/SUMIFS('capacity data'!$G:$G,'capacity data'!$E:$E,"PSO",'capacity data'!$B:$B,P136),"")</f>
        <v/>
      </c>
      <c r="U136" s="242" t="str">
        <f>IFERROR(SUMIFS('capacity data'!$L:$L,'capacity data'!$B:$B,P136,'capacity data'!$E:$E,"TPO")/SUMIFS('capacity data'!$G:$G,'capacity data'!$E:$E,"TPO",'capacity data'!$B:$B,P136),"")</f>
        <v/>
      </c>
    </row>
    <row r="137" spans="1:21" ht="16" x14ac:dyDescent="0.2">
      <c r="A137" t="s">
        <v>20</v>
      </c>
      <c r="F137"/>
      <c r="M137"/>
      <c r="O137" s="25" t="s">
        <v>31</v>
      </c>
      <c r="P137" t="s">
        <v>87</v>
      </c>
      <c r="Q137" s="241" t="str">
        <f>IFERROR(SUM((SUMIFS('capacity data'!$G:$G,'capacity data'!$E:$E,"PO",'capacity data'!$B:$B,P137))-SUMIFS('capacity data'!$H:$H,'capacity data'!$E:$E,"PO",'capacity data'!$B:$B,P137))/SUMIFS('capacity data'!$G:$G,'capacity data'!$E:$E,"PO",'capacity data'!$B:$B,P137),"")</f>
        <v/>
      </c>
      <c r="R137" s="241" t="str">
        <f>IFERROR(SUM((SUMIFS('capacity data'!$G:$G,'capacity data'!$E:$E,"PSO",'capacity data'!$B:$B,P137))-SUMIFS('capacity data'!$H:$H,'capacity data'!$E:$E,"PSO",'capacity data'!$B:$B,P137))/SUMIFS('capacity data'!$G:$G,'capacity data'!$E:$E,"PSO",'capacity data'!$B:$B,P137),"")</f>
        <v/>
      </c>
      <c r="S137" s="24" t="str">
        <f t="shared" si="2"/>
        <v/>
      </c>
      <c r="T137" s="242" t="str">
        <f>IFERROR(SUMIFS('capacity data'!$L:$L,'capacity data'!$B:$B,P137,'capacity data'!$E:$E,"PSO")/SUMIFS('capacity data'!$G:$G,'capacity data'!$E:$E,"PSO",'capacity data'!$B:$B,P137),"")</f>
        <v/>
      </c>
      <c r="U137" s="242" t="str">
        <f>IFERROR(SUMIFS('capacity data'!$L:$L,'capacity data'!$B:$B,P137,'capacity data'!$E:$E,"TPO")/SUMIFS('capacity data'!$G:$G,'capacity data'!$E:$E,"TPO",'capacity data'!$B:$B,P137),"")</f>
        <v/>
      </c>
    </row>
    <row r="138" spans="1:21" ht="16" x14ac:dyDescent="0.2">
      <c r="A138" t="s">
        <v>20</v>
      </c>
      <c r="F138"/>
      <c r="M138"/>
      <c r="O138" s="25" t="s">
        <v>31</v>
      </c>
      <c r="P138" t="s">
        <v>110</v>
      </c>
      <c r="Q138" s="241" t="str">
        <f>IFERROR(SUM((SUMIFS('capacity data'!$G:$G,'capacity data'!$E:$E,"PO",'capacity data'!$B:$B,P138))-SUMIFS('capacity data'!$H:$H,'capacity data'!$E:$E,"PO",'capacity data'!$B:$B,P138))/SUMIFS('capacity data'!$G:$G,'capacity data'!$E:$E,"PO",'capacity data'!$B:$B,P138),"")</f>
        <v/>
      </c>
      <c r="R138" s="241" t="str">
        <f>IFERROR(SUM((SUMIFS('capacity data'!$G:$G,'capacity data'!$E:$E,"PSO",'capacity data'!$B:$B,P138))-SUMIFS('capacity data'!$H:$H,'capacity data'!$E:$E,"PSO",'capacity data'!$B:$B,P138))/SUMIFS('capacity data'!$G:$G,'capacity data'!$E:$E,"PSO",'capacity data'!$B:$B,P138),"")</f>
        <v/>
      </c>
      <c r="S138" s="24" t="str">
        <f t="shared" si="2"/>
        <v/>
      </c>
      <c r="T138" s="242" t="str">
        <f>IFERROR(SUMIFS('capacity data'!$L:$L,'capacity data'!$B:$B,P138,'capacity data'!$E:$E,"PSO")/SUMIFS('capacity data'!$G:$G,'capacity data'!$E:$E,"PSO",'capacity data'!$B:$B,P138),"")</f>
        <v/>
      </c>
      <c r="U138" s="242" t="str">
        <f>IFERROR(SUMIFS('capacity data'!$L:$L,'capacity data'!$B:$B,P138,'capacity data'!$E:$E,"TPO")/SUMIFS('capacity data'!$G:$G,'capacity data'!$E:$E,"TPO",'capacity data'!$B:$B,P138),"")</f>
        <v/>
      </c>
    </row>
    <row r="139" spans="1:21" ht="16" x14ac:dyDescent="0.2">
      <c r="A139" t="s">
        <v>20</v>
      </c>
      <c r="F139"/>
      <c r="M139"/>
      <c r="O139" s="25" t="s">
        <v>31</v>
      </c>
      <c r="P139" t="s">
        <v>916</v>
      </c>
      <c r="Q139" s="241" t="str">
        <f>IFERROR(SUM((SUMIFS('capacity data'!$G:$G,'capacity data'!$E:$E,"PO",'capacity data'!$B:$B,P139))-SUMIFS('capacity data'!$H:$H,'capacity data'!$E:$E,"PO",'capacity data'!$B:$B,P139))/SUMIFS('capacity data'!$G:$G,'capacity data'!$E:$E,"PO",'capacity data'!$B:$B,P139),"")</f>
        <v/>
      </c>
      <c r="R139" s="241" t="str">
        <f>IFERROR(SUM((SUMIFS('capacity data'!$G:$G,'capacity data'!$E:$E,"PSO",'capacity data'!$B:$B,P139))-SUMIFS('capacity data'!$H:$H,'capacity data'!$E:$E,"PSO",'capacity data'!$B:$B,P139))/SUMIFS('capacity data'!$G:$G,'capacity data'!$E:$E,"PSO",'capacity data'!$B:$B,P139),"")</f>
        <v/>
      </c>
      <c r="S139" s="24" t="str">
        <f t="shared" si="2"/>
        <v/>
      </c>
      <c r="T139" s="242" t="str">
        <f>IFERROR(SUMIFS('capacity data'!$L:$L,'capacity data'!$B:$B,P139,'capacity data'!$E:$E,"PSO")/SUMIFS('capacity data'!$G:$G,'capacity data'!$E:$E,"PSO",'capacity data'!$B:$B,P139),"")</f>
        <v/>
      </c>
      <c r="U139" s="242" t="str">
        <f>IFERROR(SUMIFS('capacity data'!$L:$L,'capacity data'!$B:$B,P139,'capacity data'!$E:$E,"TPO")/SUMIFS('capacity data'!$G:$G,'capacity data'!$E:$E,"TPO",'capacity data'!$B:$B,P139),"")</f>
        <v/>
      </c>
    </row>
    <row r="140" spans="1:21" ht="16" x14ac:dyDescent="0.2">
      <c r="A140" t="s">
        <v>20</v>
      </c>
      <c r="F140"/>
      <c r="M140"/>
      <c r="O140" s="25" t="s">
        <v>31</v>
      </c>
      <c r="P140" t="s">
        <v>133</v>
      </c>
      <c r="Q140" s="241" t="str">
        <f>IFERROR(SUM((SUMIFS('capacity data'!$G:$G,'capacity data'!$E:$E,"PO",'capacity data'!$B:$B,P140))-SUMIFS('capacity data'!$H:$H,'capacity data'!$E:$E,"PO",'capacity data'!$B:$B,P140))/SUMIFS('capacity data'!$G:$G,'capacity data'!$E:$E,"PO",'capacity data'!$B:$B,P140),"")</f>
        <v/>
      </c>
      <c r="R140" s="241" t="str">
        <f>IFERROR(SUM((SUMIFS('capacity data'!$G:$G,'capacity data'!$E:$E,"PSO",'capacity data'!$B:$B,P140))-SUMIFS('capacity data'!$H:$H,'capacity data'!$E:$E,"PSO",'capacity data'!$B:$B,P140))/SUMIFS('capacity data'!$G:$G,'capacity data'!$E:$E,"PSO",'capacity data'!$B:$B,P140),"")</f>
        <v/>
      </c>
      <c r="S140" s="24" t="str">
        <f t="shared" si="2"/>
        <v/>
      </c>
      <c r="T140" s="242" t="str">
        <f>IFERROR(SUMIFS('capacity data'!$L:$L,'capacity data'!$B:$B,P140,'capacity data'!$E:$E,"PSO")/SUMIFS('capacity data'!$G:$G,'capacity data'!$E:$E,"PSO",'capacity data'!$B:$B,P140),"")</f>
        <v/>
      </c>
      <c r="U140" s="242" t="str">
        <f>IFERROR(SUMIFS('capacity data'!$L:$L,'capacity data'!$B:$B,P140,'capacity data'!$E:$E,"TPO")/SUMIFS('capacity data'!$G:$G,'capacity data'!$E:$E,"TPO",'capacity data'!$B:$B,P140),"")</f>
        <v/>
      </c>
    </row>
    <row r="141" spans="1:21" ht="16" x14ac:dyDescent="0.2">
      <c r="A141" t="s">
        <v>20</v>
      </c>
      <c r="F141"/>
      <c r="M141"/>
      <c r="O141" s="25" t="s">
        <v>31</v>
      </c>
      <c r="P141" t="s">
        <v>154</v>
      </c>
      <c r="Q141" s="241" t="str">
        <f>IFERROR(SUM((SUMIFS('capacity data'!$G:$G,'capacity data'!$E:$E,"PO",'capacity data'!$B:$B,P141))-SUMIFS('capacity data'!$H:$H,'capacity data'!$E:$E,"PO",'capacity data'!$B:$B,P141))/SUMIFS('capacity data'!$G:$G,'capacity data'!$E:$E,"PO",'capacity data'!$B:$B,P141),"")</f>
        <v/>
      </c>
      <c r="R141" s="241" t="str">
        <f>IFERROR(SUM((SUMIFS('capacity data'!$G:$G,'capacity data'!$E:$E,"PSO",'capacity data'!$B:$B,P141))-SUMIFS('capacity data'!$H:$H,'capacity data'!$E:$E,"PSO",'capacity data'!$B:$B,P141))/SUMIFS('capacity data'!$G:$G,'capacity data'!$E:$E,"PSO",'capacity data'!$B:$B,P141),"")</f>
        <v/>
      </c>
      <c r="S141" s="24" t="str">
        <f t="shared" si="2"/>
        <v/>
      </c>
      <c r="T141" s="242" t="str">
        <f>IFERROR(SUMIFS('capacity data'!$L:$L,'capacity data'!$B:$B,P141,'capacity data'!$E:$E,"PSO")/SUMIFS('capacity data'!$G:$G,'capacity data'!$E:$E,"PSO",'capacity data'!$B:$B,P141),"")</f>
        <v/>
      </c>
      <c r="U141" s="242" t="str">
        <f>IFERROR(SUMIFS('capacity data'!$L:$L,'capacity data'!$B:$B,P141,'capacity data'!$E:$E,"TPO")/SUMIFS('capacity data'!$G:$G,'capacity data'!$E:$E,"TPO",'capacity data'!$B:$B,P141),"")</f>
        <v/>
      </c>
    </row>
    <row r="142" spans="1:21" ht="16" x14ac:dyDescent="0.2">
      <c r="A142" t="s">
        <v>20</v>
      </c>
      <c r="F142"/>
      <c r="M142"/>
      <c r="O142" s="25" t="s">
        <v>31</v>
      </c>
      <c r="P142" t="s">
        <v>177</v>
      </c>
      <c r="Q142" s="241" t="str">
        <f>IFERROR(SUM((SUMIFS('capacity data'!$G:$G,'capacity data'!$E:$E,"PO",'capacity data'!$B:$B,P142))-SUMIFS('capacity data'!$H:$H,'capacity data'!$E:$E,"PO",'capacity data'!$B:$B,P142))/SUMIFS('capacity data'!$G:$G,'capacity data'!$E:$E,"PO",'capacity data'!$B:$B,P142),"")</f>
        <v/>
      </c>
      <c r="R142" s="241" t="str">
        <f>IFERROR(SUM((SUMIFS('capacity data'!$G:$G,'capacity data'!$E:$E,"PSO",'capacity data'!$B:$B,P142))-SUMIFS('capacity data'!$H:$H,'capacity data'!$E:$E,"PSO",'capacity data'!$B:$B,P142))/SUMIFS('capacity data'!$G:$G,'capacity data'!$E:$E,"PSO",'capacity data'!$B:$B,P142),"")</f>
        <v/>
      </c>
      <c r="S142" s="24" t="str">
        <f t="shared" si="2"/>
        <v/>
      </c>
      <c r="T142" s="242" t="str">
        <f>IFERROR(SUMIFS('capacity data'!$L:$L,'capacity data'!$B:$B,P142,'capacity data'!$E:$E,"PSO")/SUMIFS('capacity data'!$G:$G,'capacity data'!$E:$E,"PSO",'capacity data'!$B:$B,P142),"")</f>
        <v/>
      </c>
      <c r="U142" s="242" t="str">
        <f>IFERROR(SUMIFS('capacity data'!$L:$L,'capacity data'!$B:$B,P142,'capacity data'!$E:$E,"TPO")/SUMIFS('capacity data'!$G:$G,'capacity data'!$E:$E,"TPO",'capacity data'!$B:$B,P142),"")</f>
        <v/>
      </c>
    </row>
    <row r="143" spans="1:21" ht="16" x14ac:dyDescent="0.2">
      <c r="A143" t="s">
        <v>20</v>
      </c>
      <c r="F143"/>
      <c r="M143"/>
      <c r="O143" s="25" t="s">
        <v>31</v>
      </c>
      <c r="P143" t="s">
        <v>198</v>
      </c>
      <c r="Q143" s="241" t="str">
        <f>IFERROR(SUM((SUMIFS('capacity data'!$G:$G,'capacity data'!$E:$E,"PO",'capacity data'!$B:$B,P143))-SUMIFS('capacity data'!$H:$H,'capacity data'!$E:$E,"PO",'capacity data'!$B:$B,P143))/SUMIFS('capacity data'!$G:$G,'capacity data'!$E:$E,"PO",'capacity data'!$B:$B,P143),"")</f>
        <v/>
      </c>
      <c r="R143" s="241" t="str">
        <f>IFERROR(SUM((SUMIFS('capacity data'!$G:$G,'capacity data'!$E:$E,"PSO",'capacity data'!$B:$B,P143))-SUMIFS('capacity data'!$H:$H,'capacity data'!$E:$E,"PSO",'capacity data'!$B:$B,P143))/SUMIFS('capacity data'!$G:$G,'capacity data'!$E:$E,"PSO",'capacity data'!$B:$B,P143),"")</f>
        <v/>
      </c>
      <c r="S143" s="24" t="str">
        <f t="shared" si="2"/>
        <v/>
      </c>
      <c r="T143" s="242" t="str">
        <f>IFERROR(SUMIFS('capacity data'!$L:$L,'capacity data'!$B:$B,P143,'capacity data'!$E:$E,"PSO")/SUMIFS('capacity data'!$G:$G,'capacity data'!$E:$E,"PSO",'capacity data'!$B:$B,P143),"")</f>
        <v/>
      </c>
      <c r="U143" s="242" t="str">
        <f>IFERROR(SUMIFS('capacity data'!$L:$L,'capacity data'!$B:$B,P143,'capacity data'!$E:$E,"TPO")/SUMIFS('capacity data'!$G:$G,'capacity data'!$E:$E,"TPO",'capacity data'!$B:$B,P143),"")</f>
        <v/>
      </c>
    </row>
    <row r="144" spans="1:21" ht="16" x14ac:dyDescent="0.2">
      <c r="A144" t="s">
        <v>20</v>
      </c>
      <c r="F144"/>
      <c r="M144"/>
      <c r="O144" s="25" t="s">
        <v>31</v>
      </c>
      <c r="P144" t="s">
        <v>219</v>
      </c>
      <c r="Q144" s="241" t="str">
        <f>IFERROR(SUM((SUMIFS('capacity data'!$G:$G,'capacity data'!$E:$E,"PO",'capacity data'!$B:$B,P144))-SUMIFS('capacity data'!$H:$H,'capacity data'!$E:$E,"PO",'capacity data'!$B:$B,P144))/SUMIFS('capacity data'!$G:$G,'capacity data'!$E:$E,"PO",'capacity data'!$B:$B,P144),"")</f>
        <v/>
      </c>
      <c r="R144" s="241" t="str">
        <f>IFERROR(SUM((SUMIFS('capacity data'!$G:$G,'capacity data'!$E:$E,"PSO",'capacity data'!$B:$B,P144))-SUMIFS('capacity data'!$H:$H,'capacity data'!$E:$E,"PSO",'capacity data'!$B:$B,P144))/SUMIFS('capacity data'!$G:$G,'capacity data'!$E:$E,"PSO",'capacity data'!$B:$B,P144),"")</f>
        <v/>
      </c>
      <c r="S144" s="24" t="str">
        <f t="shared" si="2"/>
        <v/>
      </c>
      <c r="T144" s="242" t="str">
        <f>IFERROR(SUMIFS('capacity data'!$L:$L,'capacity data'!$B:$B,P144,'capacity data'!$E:$E,"PSO")/SUMIFS('capacity data'!$G:$G,'capacity data'!$E:$E,"PSO",'capacity data'!$B:$B,P144),"")</f>
        <v/>
      </c>
      <c r="U144" s="242" t="str">
        <f>IFERROR(SUMIFS('capacity data'!$L:$L,'capacity data'!$B:$B,P144,'capacity data'!$E:$E,"TPO")/SUMIFS('capacity data'!$G:$G,'capacity data'!$E:$E,"TPO",'capacity data'!$B:$B,P144),"")</f>
        <v/>
      </c>
    </row>
    <row r="145" spans="1:21" ht="16" x14ac:dyDescent="0.2">
      <c r="A145" t="s">
        <v>20</v>
      </c>
      <c r="F145"/>
      <c r="M145"/>
      <c r="O145" s="25" t="s">
        <v>31</v>
      </c>
      <c r="P145" t="s">
        <v>237</v>
      </c>
      <c r="Q145" s="241" t="str">
        <f>IFERROR(SUM((SUMIFS('capacity data'!$G:$G,'capacity data'!$E:$E,"PO",'capacity data'!$B:$B,P145))-SUMIFS('capacity data'!$H:$H,'capacity data'!$E:$E,"PO",'capacity data'!$B:$B,P145))/SUMIFS('capacity data'!$G:$G,'capacity data'!$E:$E,"PO",'capacity data'!$B:$B,P145),"")</f>
        <v/>
      </c>
      <c r="R145" s="241" t="str">
        <f>IFERROR(SUM((SUMIFS('capacity data'!$G:$G,'capacity data'!$E:$E,"PSO",'capacity data'!$B:$B,P145))-SUMIFS('capacity data'!$H:$H,'capacity data'!$E:$E,"PSO",'capacity data'!$B:$B,P145))/SUMIFS('capacity data'!$G:$G,'capacity data'!$E:$E,"PSO",'capacity data'!$B:$B,P145),"")</f>
        <v/>
      </c>
      <c r="S145" s="24" t="str">
        <f t="shared" si="2"/>
        <v/>
      </c>
      <c r="T145" s="242" t="str">
        <f>IFERROR(SUMIFS('capacity data'!$L:$L,'capacity data'!$B:$B,P145,'capacity data'!$E:$E,"PSO")/SUMIFS('capacity data'!$G:$G,'capacity data'!$E:$E,"PSO",'capacity data'!$B:$B,P145),"")</f>
        <v/>
      </c>
      <c r="U145" s="242" t="str">
        <f>IFERROR(SUMIFS('capacity data'!$L:$L,'capacity data'!$B:$B,P145,'capacity data'!$E:$E,"TPO")/SUMIFS('capacity data'!$G:$G,'capacity data'!$E:$E,"TPO",'capacity data'!$B:$B,P145),"")</f>
        <v/>
      </c>
    </row>
    <row r="146" spans="1:21" ht="16" x14ac:dyDescent="0.2">
      <c r="A146" t="s">
        <v>20</v>
      </c>
      <c r="F146"/>
      <c r="M146"/>
      <c r="O146" s="25" t="s">
        <v>31</v>
      </c>
      <c r="P146" t="s">
        <v>254</v>
      </c>
      <c r="Q146" s="241" t="str">
        <f>IFERROR(SUM((SUMIFS('capacity data'!$G:$G,'capacity data'!$E:$E,"PO",'capacity data'!$B:$B,P146))-SUMIFS('capacity data'!$H:$H,'capacity data'!$E:$E,"PO",'capacity data'!$B:$B,P146))/SUMIFS('capacity data'!$G:$G,'capacity data'!$E:$E,"PO",'capacity data'!$B:$B,P146),"")</f>
        <v/>
      </c>
      <c r="R146" s="241" t="str">
        <f>IFERROR(SUM((SUMIFS('capacity data'!$G:$G,'capacity data'!$E:$E,"PSO",'capacity data'!$B:$B,P146))-SUMIFS('capacity data'!$H:$H,'capacity data'!$E:$E,"PSO",'capacity data'!$B:$B,P146))/SUMIFS('capacity data'!$G:$G,'capacity data'!$E:$E,"PSO",'capacity data'!$B:$B,P146),"")</f>
        <v/>
      </c>
      <c r="S146" s="24" t="str">
        <f t="shared" si="2"/>
        <v/>
      </c>
      <c r="T146" s="242" t="str">
        <f>IFERROR(SUMIFS('capacity data'!$L:$L,'capacity data'!$B:$B,P146,'capacity data'!$E:$E,"PSO")/SUMIFS('capacity data'!$G:$G,'capacity data'!$E:$E,"PSO",'capacity data'!$B:$B,P146),"")</f>
        <v/>
      </c>
      <c r="U146" s="242" t="str">
        <f>IFERROR(SUMIFS('capacity data'!$L:$L,'capacity data'!$B:$B,P146,'capacity data'!$E:$E,"TPO")/SUMIFS('capacity data'!$G:$G,'capacity data'!$E:$E,"TPO",'capacity data'!$B:$B,P146),"")</f>
        <v/>
      </c>
    </row>
    <row r="147" spans="1:21" ht="16" x14ac:dyDescent="0.2">
      <c r="A147" t="s">
        <v>20</v>
      </c>
      <c r="F147"/>
      <c r="M147"/>
      <c r="O147" s="25" t="s">
        <v>31</v>
      </c>
      <c r="P147" t="s">
        <v>917</v>
      </c>
      <c r="Q147" s="241" t="str">
        <f>IFERROR(SUM((SUMIFS('capacity data'!$G:$G,'capacity data'!$E:$E,"PO",'capacity data'!$B:$B,P147))-SUMIFS('capacity data'!$H:$H,'capacity data'!$E:$E,"PO",'capacity data'!$B:$B,P147))/SUMIFS('capacity data'!$G:$G,'capacity data'!$E:$E,"PO",'capacity data'!$B:$B,P147),"")</f>
        <v/>
      </c>
      <c r="R147" s="241" t="str">
        <f>IFERROR(SUM((SUMIFS('capacity data'!$G:$G,'capacity data'!$E:$E,"PSO",'capacity data'!$B:$B,P147))-SUMIFS('capacity data'!$H:$H,'capacity data'!$E:$E,"PSO",'capacity data'!$B:$B,P147))/SUMIFS('capacity data'!$G:$G,'capacity data'!$E:$E,"PSO",'capacity data'!$B:$B,P147),"")</f>
        <v/>
      </c>
      <c r="S147" s="24" t="str">
        <f t="shared" si="2"/>
        <v/>
      </c>
      <c r="T147" s="242" t="str">
        <f>IFERROR(SUMIFS('capacity data'!$L:$L,'capacity data'!$B:$B,P147,'capacity data'!$E:$E,"PSO")/SUMIFS('capacity data'!$G:$G,'capacity data'!$E:$E,"PSO",'capacity data'!$B:$B,P147),"")</f>
        <v/>
      </c>
      <c r="U147" s="242" t="str">
        <f>IFERROR(SUMIFS('capacity data'!$L:$L,'capacity data'!$B:$B,P147,'capacity data'!$E:$E,"TPO")/SUMIFS('capacity data'!$G:$G,'capacity data'!$E:$E,"TPO",'capacity data'!$B:$B,P147),"")</f>
        <v/>
      </c>
    </row>
    <row r="148" spans="1:21" ht="16" x14ac:dyDescent="0.2">
      <c r="A148" t="s">
        <v>20</v>
      </c>
      <c r="F148"/>
      <c r="M148"/>
      <c r="O148" s="25" t="s">
        <v>31</v>
      </c>
      <c r="P148" t="s">
        <v>271</v>
      </c>
      <c r="Q148" s="241" t="str">
        <f>IFERROR(SUM((SUMIFS('capacity data'!$G:$G,'capacity data'!$E:$E,"PO",'capacity data'!$B:$B,P148))-SUMIFS('capacity data'!$H:$H,'capacity data'!$E:$E,"PO",'capacity data'!$B:$B,P148))/SUMIFS('capacity data'!$G:$G,'capacity data'!$E:$E,"PO",'capacity data'!$B:$B,P148),"")</f>
        <v/>
      </c>
      <c r="R148" s="241" t="str">
        <f>IFERROR(SUM((SUMIFS('capacity data'!$G:$G,'capacity data'!$E:$E,"PSO",'capacity data'!$B:$B,P148))-SUMIFS('capacity data'!$H:$H,'capacity data'!$E:$E,"PSO",'capacity data'!$B:$B,P148))/SUMIFS('capacity data'!$G:$G,'capacity data'!$E:$E,"PSO",'capacity data'!$B:$B,P148),"")</f>
        <v/>
      </c>
      <c r="S148" s="24" t="str">
        <f t="shared" si="2"/>
        <v/>
      </c>
      <c r="T148" s="242" t="str">
        <f>IFERROR(SUMIFS('capacity data'!$L:$L,'capacity data'!$B:$B,P148,'capacity data'!$E:$E,"PSO")/SUMIFS('capacity data'!$G:$G,'capacity data'!$E:$E,"PSO",'capacity data'!$B:$B,P148),"")</f>
        <v/>
      </c>
      <c r="U148" s="242" t="str">
        <f>IFERROR(SUMIFS('capacity data'!$L:$L,'capacity data'!$B:$B,P148,'capacity data'!$E:$E,"TPO")/SUMIFS('capacity data'!$G:$G,'capacity data'!$E:$E,"TPO",'capacity data'!$B:$B,P148),"")</f>
        <v/>
      </c>
    </row>
    <row r="149" spans="1:21" ht="16" x14ac:dyDescent="0.2">
      <c r="A149" t="s">
        <v>20</v>
      </c>
      <c r="F149"/>
      <c r="M149"/>
      <c r="O149" s="25" t="s">
        <v>31</v>
      </c>
      <c r="P149" t="s">
        <v>284</v>
      </c>
      <c r="Q149" s="241" t="str">
        <f>IFERROR(SUM((SUMIFS('capacity data'!$G:$G,'capacity data'!$E:$E,"PO",'capacity data'!$B:$B,P149))-SUMIFS('capacity data'!$H:$H,'capacity data'!$E:$E,"PO",'capacity data'!$B:$B,P149))/SUMIFS('capacity data'!$G:$G,'capacity data'!$E:$E,"PO",'capacity data'!$B:$B,P149),"")</f>
        <v/>
      </c>
      <c r="R149" s="241" t="str">
        <f>IFERROR(SUM((SUMIFS('capacity data'!$G:$G,'capacity data'!$E:$E,"PSO",'capacity data'!$B:$B,P149))-SUMIFS('capacity data'!$H:$H,'capacity data'!$E:$E,"PSO",'capacity data'!$B:$B,P149))/SUMIFS('capacity data'!$G:$G,'capacity data'!$E:$E,"PSO",'capacity data'!$B:$B,P149),"")</f>
        <v/>
      </c>
      <c r="S149" s="24" t="str">
        <f t="shared" si="2"/>
        <v/>
      </c>
      <c r="T149" s="242" t="str">
        <f>IFERROR(SUMIFS('capacity data'!$L:$L,'capacity data'!$B:$B,P149,'capacity data'!$E:$E,"PSO")/SUMIFS('capacity data'!$G:$G,'capacity data'!$E:$E,"PSO",'capacity data'!$B:$B,P149),"")</f>
        <v/>
      </c>
      <c r="U149" s="242" t="str">
        <f>IFERROR(SUMIFS('capacity data'!$L:$L,'capacity data'!$B:$B,P149,'capacity data'!$E:$E,"TPO")/SUMIFS('capacity data'!$G:$G,'capacity data'!$E:$E,"TPO",'capacity data'!$B:$B,P149),"")</f>
        <v/>
      </c>
    </row>
    <row r="150" spans="1:21" ht="16" x14ac:dyDescent="0.2">
      <c r="A150" t="s">
        <v>20</v>
      </c>
      <c r="F150"/>
      <c r="M150"/>
      <c r="O150" s="25" t="s">
        <v>31</v>
      </c>
      <c r="P150" t="s">
        <v>298</v>
      </c>
      <c r="Q150" s="241" t="str">
        <f>IFERROR(SUM((SUMIFS('capacity data'!$G:$G,'capacity data'!$E:$E,"PO",'capacity data'!$B:$B,P150))-SUMIFS('capacity data'!$H:$H,'capacity data'!$E:$E,"PO",'capacity data'!$B:$B,P150))/SUMIFS('capacity data'!$G:$G,'capacity data'!$E:$E,"PO",'capacity data'!$B:$B,P150),"")</f>
        <v/>
      </c>
      <c r="R150" s="241" t="str">
        <f>IFERROR(SUM((SUMIFS('capacity data'!$G:$G,'capacity data'!$E:$E,"PSO",'capacity data'!$B:$B,P150))-SUMIFS('capacity data'!$H:$H,'capacity data'!$E:$E,"PSO",'capacity data'!$B:$B,P150))/SUMIFS('capacity data'!$G:$G,'capacity data'!$E:$E,"PSO",'capacity data'!$B:$B,P150),"")</f>
        <v/>
      </c>
      <c r="S150" s="24" t="str">
        <f t="shared" si="2"/>
        <v/>
      </c>
      <c r="T150" s="242" t="str">
        <f>IFERROR(SUMIFS('capacity data'!$L:$L,'capacity data'!$B:$B,P150,'capacity data'!$E:$E,"PSO")/SUMIFS('capacity data'!$G:$G,'capacity data'!$E:$E,"PSO",'capacity data'!$B:$B,P150),"")</f>
        <v/>
      </c>
      <c r="U150" s="242" t="str">
        <f>IFERROR(SUMIFS('capacity data'!$L:$L,'capacity data'!$B:$B,P150,'capacity data'!$E:$E,"TPO")/SUMIFS('capacity data'!$G:$G,'capacity data'!$E:$E,"TPO",'capacity data'!$B:$B,P150),"")</f>
        <v/>
      </c>
    </row>
    <row r="151" spans="1:21" ht="16" x14ac:dyDescent="0.2">
      <c r="A151" t="s">
        <v>20</v>
      </c>
      <c r="F151"/>
      <c r="M151"/>
      <c r="O151" s="25" t="s">
        <v>31</v>
      </c>
      <c r="P151" t="s">
        <v>312</v>
      </c>
      <c r="Q151" s="241" t="str">
        <f>IFERROR(SUM((SUMIFS('capacity data'!$G:$G,'capacity data'!$E:$E,"PO",'capacity data'!$B:$B,P151))-SUMIFS('capacity data'!$H:$H,'capacity data'!$E:$E,"PO",'capacity data'!$B:$B,P151))/SUMIFS('capacity data'!$G:$G,'capacity data'!$E:$E,"PO",'capacity data'!$B:$B,P151),"")</f>
        <v/>
      </c>
      <c r="R151" s="241" t="str">
        <f>IFERROR(SUM((SUMIFS('capacity data'!$G:$G,'capacity data'!$E:$E,"PSO",'capacity data'!$B:$B,P151))-SUMIFS('capacity data'!$H:$H,'capacity data'!$E:$E,"PSO",'capacity data'!$B:$B,P151))/SUMIFS('capacity data'!$G:$G,'capacity data'!$E:$E,"PSO",'capacity data'!$B:$B,P151),"")</f>
        <v/>
      </c>
      <c r="S151" s="24" t="str">
        <f t="shared" si="2"/>
        <v/>
      </c>
      <c r="T151" s="242" t="str">
        <f>IFERROR(SUMIFS('capacity data'!$L:$L,'capacity data'!$B:$B,P151,'capacity data'!$E:$E,"PSO")/SUMIFS('capacity data'!$G:$G,'capacity data'!$E:$E,"PSO",'capacity data'!$B:$B,P151),"")</f>
        <v/>
      </c>
      <c r="U151" s="242" t="str">
        <f>IFERROR(SUMIFS('capacity data'!$L:$L,'capacity data'!$B:$B,P151,'capacity data'!$E:$E,"TPO")/SUMIFS('capacity data'!$G:$G,'capacity data'!$E:$E,"TPO",'capacity data'!$B:$B,P151),"")</f>
        <v/>
      </c>
    </row>
    <row r="152" spans="1:21" ht="16" x14ac:dyDescent="0.2">
      <c r="A152" t="s">
        <v>20</v>
      </c>
      <c r="F152"/>
      <c r="M152"/>
      <c r="O152" s="25" t="s">
        <v>31</v>
      </c>
      <c r="P152" t="s">
        <v>326</v>
      </c>
      <c r="Q152" s="241" t="str">
        <f>IFERROR(SUM((SUMIFS('capacity data'!$G:$G,'capacity data'!$E:$E,"PO",'capacity data'!$B:$B,P152))-SUMIFS('capacity data'!$H:$H,'capacity data'!$E:$E,"PO",'capacity data'!$B:$B,P152))/SUMIFS('capacity data'!$G:$G,'capacity data'!$E:$E,"PO",'capacity data'!$B:$B,P152),"")</f>
        <v/>
      </c>
      <c r="R152" s="241" t="str">
        <f>IFERROR(SUM((SUMIFS('capacity data'!$G:$G,'capacity data'!$E:$E,"PSO",'capacity data'!$B:$B,P152))-SUMIFS('capacity data'!$H:$H,'capacity data'!$E:$E,"PSO",'capacity data'!$B:$B,P152))/SUMIFS('capacity data'!$G:$G,'capacity data'!$E:$E,"PSO",'capacity data'!$B:$B,P152),"")</f>
        <v/>
      </c>
      <c r="S152" s="24" t="str">
        <f t="shared" si="2"/>
        <v/>
      </c>
      <c r="T152" s="242" t="str">
        <f>IFERROR(SUMIFS('capacity data'!$L:$L,'capacity data'!$B:$B,P152,'capacity data'!$E:$E,"PSO")/SUMIFS('capacity data'!$G:$G,'capacity data'!$E:$E,"PSO",'capacity data'!$B:$B,P152),"")</f>
        <v/>
      </c>
      <c r="U152" s="242" t="str">
        <f>IFERROR(SUMIFS('capacity data'!$L:$L,'capacity data'!$B:$B,P152,'capacity data'!$E:$E,"TPO")/SUMIFS('capacity data'!$G:$G,'capacity data'!$E:$E,"TPO",'capacity data'!$B:$B,P152),"")</f>
        <v/>
      </c>
    </row>
    <row r="153" spans="1:21" ht="16" x14ac:dyDescent="0.2">
      <c r="A153" t="s">
        <v>20</v>
      </c>
      <c r="F153"/>
      <c r="M153"/>
      <c r="O153" s="25" t="s">
        <v>31</v>
      </c>
      <c r="P153" t="s">
        <v>338</v>
      </c>
      <c r="Q153" s="241" t="str">
        <f>IFERROR(SUM((SUMIFS('capacity data'!$G:$G,'capacity data'!$E:$E,"PO",'capacity data'!$B:$B,P153))-SUMIFS('capacity data'!$H:$H,'capacity data'!$E:$E,"PO",'capacity data'!$B:$B,P153))/SUMIFS('capacity data'!$G:$G,'capacity data'!$E:$E,"PO",'capacity data'!$B:$B,P153),"")</f>
        <v/>
      </c>
      <c r="R153" s="241" t="str">
        <f>IFERROR(SUM((SUMIFS('capacity data'!$G:$G,'capacity data'!$E:$E,"PSO",'capacity data'!$B:$B,P153))-SUMIFS('capacity data'!$H:$H,'capacity data'!$E:$E,"PSO",'capacity data'!$B:$B,P153))/SUMIFS('capacity data'!$G:$G,'capacity data'!$E:$E,"PSO",'capacity data'!$B:$B,P153),"")</f>
        <v/>
      </c>
      <c r="S153" s="24" t="str">
        <f t="shared" si="2"/>
        <v/>
      </c>
      <c r="T153" s="242" t="str">
        <f>IFERROR(SUMIFS('capacity data'!$L:$L,'capacity data'!$B:$B,P153,'capacity data'!$E:$E,"PSO")/SUMIFS('capacity data'!$G:$G,'capacity data'!$E:$E,"PSO",'capacity data'!$B:$B,P153),"")</f>
        <v/>
      </c>
      <c r="U153" s="242" t="str">
        <f>IFERROR(SUMIFS('capacity data'!$L:$L,'capacity data'!$B:$B,P153,'capacity data'!$E:$E,"TPO")/SUMIFS('capacity data'!$G:$G,'capacity data'!$E:$E,"TPO",'capacity data'!$B:$B,P153),"")</f>
        <v/>
      </c>
    </row>
    <row r="154" spans="1:21" x14ac:dyDescent="0.15">
      <c r="A154" t="s">
        <v>20</v>
      </c>
      <c r="F154"/>
      <c r="M154"/>
    </row>
    <row r="155" spans="1:21" x14ac:dyDescent="0.15">
      <c r="A155" t="s">
        <v>20</v>
      </c>
      <c r="F155"/>
      <c r="M155"/>
    </row>
    <row r="156" spans="1:21" x14ac:dyDescent="0.15">
      <c r="A156" t="s">
        <v>20</v>
      </c>
      <c r="F156"/>
      <c r="M156"/>
    </row>
    <row r="157" spans="1:21" x14ac:dyDescent="0.15">
      <c r="A157" t="s">
        <v>20</v>
      </c>
      <c r="F157"/>
      <c r="M157"/>
    </row>
    <row r="158" spans="1:21" x14ac:dyDescent="0.15">
      <c r="A158" t="s">
        <v>20</v>
      </c>
      <c r="F158"/>
      <c r="M158"/>
    </row>
    <row r="159" spans="1:21" x14ac:dyDescent="0.15">
      <c r="A159" t="s">
        <v>20</v>
      </c>
      <c r="F159"/>
      <c r="M159"/>
    </row>
    <row r="160" spans="1:21" x14ac:dyDescent="0.15">
      <c r="A160" t="s">
        <v>20</v>
      </c>
      <c r="F160"/>
      <c r="M160"/>
    </row>
    <row r="161" spans="1:13" x14ac:dyDescent="0.15">
      <c r="A161" t="s">
        <v>20</v>
      </c>
      <c r="F161"/>
      <c r="M161"/>
    </row>
    <row r="162" spans="1:13" x14ac:dyDescent="0.15">
      <c r="A162" t="s">
        <v>20</v>
      </c>
      <c r="F162"/>
      <c r="M162"/>
    </row>
    <row r="163" spans="1:13" x14ac:dyDescent="0.15">
      <c r="A163" t="s">
        <v>20</v>
      </c>
      <c r="F163"/>
      <c r="M163"/>
    </row>
    <row r="164" spans="1:13" x14ac:dyDescent="0.15">
      <c r="A164" t="s">
        <v>20</v>
      </c>
      <c r="F164"/>
      <c r="M164"/>
    </row>
    <row r="165" spans="1:13" x14ac:dyDescent="0.15">
      <c r="A165" t="s">
        <v>20</v>
      </c>
      <c r="F165"/>
      <c r="M165"/>
    </row>
    <row r="166" spans="1:13" x14ac:dyDescent="0.15">
      <c r="A166" t="s">
        <v>20</v>
      </c>
      <c r="F166"/>
      <c r="M166"/>
    </row>
    <row r="167" spans="1:13" x14ac:dyDescent="0.15">
      <c r="A167" t="s">
        <v>20</v>
      </c>
      <c r="F167"/>
      <c r="M167"/>
    </row>
    <row r="168" spans="1:13" x14ac:dyDescent="0.15">
      <c r="A168" t="s">
        <v>20</v>
      </c>
      <c r="F168"/>
      <c r="M168"/>
    </row>
    <row r="169" spans="1:13" x14ac:dyDescent="0.15">
      <c r="A169" t="s">
        <v>20</v>
      </c>
      <c r="F169"/>
      <c r="M169"/>
    </row>
    <row r="170" spans="1:13" x14ac:dyDescent="0.15">
      <c r="A170" t="s">
        <v>20</v>
      </c>
      <c r="F170"/>
      <c r="M170"/>
    </row>
    <row r="171" spans="1:13" x14ac:dyDescent="0.15">
      <c r="A171" t="s">
        <v>20</v>
      </c>
      <c r="F171"/>
      <c r="M171"/>
    </row>
    <row r="172" spans="1:13" x14ac:dyDescent="0.15">
      <c r="A172" t="s">
        <v>20</v>
      </c>
      <c r="F172"/>
      <c r="M172"/>
    </row>
    <row r="173" spans="1:13" x14ac:dyDescent="0.15">
      <c r="A173" t="s">
        <v>20</v>
      </c>
      <c r="F173"/>
      <c r="M173"/>
    </row>
    <row r="174" spans="1:13" x14ac:dyDescent="0.15">
      <c r="A174" t="s">
        <v>20</v>
      </c>
      <c r="F174"/>
      <c r="M174"/>
    </row>
    <row r="175" spans="1:13" x14ac:dyDescent="0.15">
      <c r="A175" t="s">
        <v>20</v>
      </c>
      <c r="F175"/>
      <c r="M175"/>
    </row>
    <row r="176" spans="1:13" x14ac:dyDescent="0.15">
      <c r="A176" t="s">
        <v>20</v>
      </c>
      <c r="F176"/>
      <c r="M176"/>
    </row>
    <row r="177" spans="1:13" x14ac:dyDescent="0.15">
      <c r="A177" t="s">
        <v>20</v>
      </c>
      <c r="F177"/>
      <c r="M177"/>
    </row>
    <row r="178" spans="1:13" x14ac:dyDescent="0.15">
      <c r="A178" t="s">
        <v>20</v>
      </c>
      <c r="F178"/>
      <c r="M178"/>
    </row>
    <row r="179" spans="1:13" x14ac:dyDescent="0.15">
      <c r="A179" t="s">
        <v>20</v>
      </c>
      <c r="F179"/>
      <c r="M179"/>
    </row>
    <row r="180" spans="1:13" x14ac:dyDescent="0.15">
      <c r="A180" t="s">
        <v>20</v>
      </c>
      <c r="F180"/>
      <c r="M180"/>
    </row>
    <row r="181" spans="1:13" x14ac:dyDescent="0.15">
      <c r="A181" t="s">
        <v>20</v>
      </c>
      <c r="F181"/>
      <c r="M181"/>
    </row>
    <row r="182" spans="1:13" x14ac:dyDescent="0.15">
      <c r="A182" t="s">
        <v>20</v>
      </c>
      <c r="F182"/>
      <c r="M182"/>
    </row>
    <row r="183" spans="1:13" x14ac:dyDescent="0.15">
      <c r="A183" t="s">
        <v>20</v>
      </c>
      <c r="F183"/>
      <c r="M183"/>
    </row>
    <row r="184" spans="1:13" x14ac:dyDescent="0.15">
      <c r="A184" t="s">
        <v>20</v>
      </c>
      <c r="F184"/>
      <c r="M184"/>
    </row>
    <row r="185" spans="1:13" x14ac:dyDescent="0.15">
      <c r="A185" t="s">
        <v>20</v>
      </c>
      <c r="F185"/>
      <c r="M185"/>
    </row>
    <row r="186" spans="1:13" x14ac:dyDescent="0.15">
      <c r="A186" t="s">
        <v>20</v>
      </c>
      <c r="F186"/>
      <c r="M186"/>
    </row>
    <row r="187" spans="1:13" x14ac:dyDescent="0.15">
      <c r="A187" t="s">
        <v>20</v>
      </c>
      <c r="F187"/>
      <c r="M187"/>
    </row>
    <row r="188" spans="1:13" x14ac:dyDescent="0.15">
      <c r="A188" t="s">
        <v>20</v>
      </c>
      <c r="F188"/>
      <c r="M188"/>
    </row>
    <row r="189" spans="1:13" x14ac:dyDescent="0.15">
      <c r="A189" t="s">
        <v>20</v>
      </c>
      <c r="F189"/>
      <c r="M189"/>
    </row>
    <row r="190" spans="1:13" x14ac:dyDescent="0.15">
      <c r="A190" t="s">
        <v>20</v>
      </c>
      <c r="F190"/>
      <c r="M190"/>
    </row>
    <row r="191" spans="1:13" x14ac:dyDescent="0.15">
      <c r="A191" t="s">
        <v>20</v>
      </c>
      <c r="F191"/>
      <c r="M191"/>
    </row>
    <row r="192" spans="1:13" x14ac:dyDescent="0.15">
      <c r="A192" t="s">
        <v>20</v>
      </c>
      <c r="F192"/>
      <c r="M192"/>
    </row>
    <row r="193" spans="1:13" x14ac:dyDescent="0.15">
      <c r="A193" t="s">
        <v>20</v>
      </c>
      <c r="F193"/>
      <c r="M193"/>
    </row>
    <row r="194" spans="1:13" x14ac:dyDescent="0.15">
      <c r="A194" t="s">
        <v>20</v>
      </c>
      <c r="F194"/>
      <c r="M194"/>
    </row>
    <row r="195" spans="1:13" x14ac:dyDescent="0.15">
      <c r="A195" t="s">
        <v>20</v>
      </c>
      <c r="F195"/>
      <c r="M195"/>
    </row>
    <row r="196" spans="1:13" x14ac:dyDescent="0.15">
      <c r="A196" t="s">
        <v>20</v>
      </c>
      <c r="F196"/>
      <c r="M196"/>
    </row>
    <row r="197" spans="1:13" x14ac:dyDescent="0.15">
      <c r="A197" t="s">
        <v>20</v>
      </c>
      <c r="F197"/>
      <c r="M197"/>
    </row>
    <row r="198" spans="1:13" x14ac:dyDescent="0.15">
      <c r="A198" t="s">
        <v>20</v>
      </c>
      <c r="F198"/>
      <c r="M198"/>
    </row>
    <row r="199" spans="1:13" x14ac:dyDescent="0.15">
      <c r="A199" t="s">
        <v>20</v>
      </c>
      <c r="F199"/>
      <c r="M199"/>
    </row>
    <row r="200" spans="1:13" x14ac:dyDescent="0.15">
      <c r="A200" t="s">
        <v>20</v>
      </c>
      <c r="F200"/>
      <c r="M200"/>
    </row>
    <row r="201" spans="1:13" x14ac:dyDescent="0.15">
      <c r="A201" t="s">
        <v>20</v>
      </c>
      <c r="F201"/>
      <c r="M201"/>
    </row>
    <row r="202" spans="1:13" x14ac:dyDescent="0.15">
      <c r="A202" t="s">
        <v>20</v>
      </c>
      <c r="F202"/>
      <c r="M202"/>
    </row>
    <row r="203" spans="1:13" x14ac:dyDescent="0.15">
      <c r="A203" t="s">
        <v>20</v>
      </c>
      <c r="F203"/>
      <c r="M203"/>
    </row>
    <row r="204" spans="1:13" x14ac:dyDescent="0.15">
      <c r="A204" t="s">
        <v>20</v>
      </c>
      <c r="F204"/>
      <c r="M204"/>
    </row>
    <row r="205" spans="1:13" x14ac:dyDescent="0.15">
      <c r="A205" t="s">
        <v>20</v>
      </c>
      <c r="F205"/>
      <c r="M205"/>
    </row>
    <row r="206" spans="1:13" x14ac:dyDescent="0.15">
      <c r="A206" t="s">
        <v>20</v>
      </c>
      <c r="F206"/>
      <c r="M206"/>
    </row>
    <row r="207" spans="1:13" x14ac:dyDescent="0.15">
      <c r="A207" t="s">
        <v>20</v>
      </c>
      <c r="F207"/>
      <c r="M207"/>
    </row>
    <row r="208" spans="1:13" x14ac:dyDescent="0.15">
      <c r="A208" t="s">
        <v>20</v>
      </c>
      <c r="F208"/>
      <c r="M208"/>
    </row>
    <row r="209" spans="1:13" x14ac:dyDescent="0.15">
      <c r="A209" t="s">
        <v>20</v>
      </c>
      <c r="F209"/>
      <c r="M209"/>
    </row>
    <row r="210" spans="1:13" x14ac:dyDescent="0.15">
      <c r="A210" t="s">
        <v>20</v>
      </c>
      <c r="F210"/>
      <c r="M210"/>
    </row>
    <row r="211" spans="1:13" x14ac:dyDescent="0.15">
      <c r="A211" t="s">
        <v>20</v>
      </c>
      <c r="F211"/>
      <c r="M211"/>
    </row>
    <row r="212" spans="1:13" x14ac:dyDescent="0.15">
      <c r="A212" t="s">
        <v>20</v>
      </c>
      <c r="F212"/>
      <c r="M212"/>
    </row>
    <row r="213" spans="1:13" x14ac:dyDescent="0.15">
      <c r="A213" t="s">
        <v>20</v>
      </c>
      <c r="F213"/>
      <c r="M213"/>
    </row>
    <row r="214" spans="1:13" x14ac:dyDescent="0.15">
      <c r="A214" t="s">
        <v>20</v>
      </c>
      <c r="F214"/>
      <c r="M214"/>
    </row>
    <row r="215" spans="1:13" x14ac:dyDescent="0.15">
      <c r="A215" t="s">
        <v>20</v>
      </c>
      <c r="F215"/>
      <c r="M215"/>
    </row>
    <row r="216" spans="1:13" x14ac:dyDescent="0.15">
      <c r="A216" t="s">
        <v>20</v>
      </c>
      <c r="F216"/>
      <c r="M216"/>
    </row>
    <row r="217" spans="1:13" x14ac:dyDescent="0.15">
      <c r="A217" t="s">
        <v>20</v>
      </c>
      <c r="F217"/>
      <c r="M217"/>
    </row>
    <row r="218" spans="1:13" x14ac:dyDescent="0.15">
      <c r="A218" t="s">
        <v>20</v>
      </c>
      <c r="F218"/>
      <c r="M218"/>
    </row>
    <row r="219" spans="1:13" x14ac:dyDescent="0.15">
      <c r="A219" t="s">
        <v>20</v>
      </c>
      <c r="F219"/>
      <c r="M219"/>
    </row>
    <row r="220" spans="1:13" x14ac:dyDescent="0.15">
      <c r="A220" t="s">
        <v>20</v>
      </c>
      <c r="F220"/>
      <c r="M220"/>
    </row>
    <row r="221" spans="1:13" x14ac:dyDescent="0.15">
      <c r="A221" t="s">
        <v>20</v>
      </c>
      <c r="F221"/>
      <c r="M221"/>
    </row>
    <row r="222" spans="1:13" x14ac:dyDescent="0.15">
      <c r="A222" t="s">
        <v>20</v>
      </c>
      <c r="F222"/>
      <c r="M222"/>
    </row>
    <row r="223" spans="1:13" x14ac:dyDescent="0.15">
      <c r="A223" t="s">
        <v>20</v>
      </c>
      <c r="F223"/>
      <c r="M223"/>
    </row>
    <row r="224" spans="1:13" x14ac:dyDescent="0.15">
      <c r="A224" t="s">
        <v>20</v>
      </c>
      <c r="F224"/>
      <c r="M224"/>
    </row>
    <row r="225" spans="1:13" x14ac:dyDescent="0.15">
      <c r="A225" t="s">
        <v>20</v>
      </c>
      <c r="F225"/>
      <c r="M225"/>
    </row>
    <row r="226" spans="1:13" x14ac:dyDescent="0.15">
      <c r="A226" t="s">
        <v>20</v>
      </c>
      <c r="F226"/>
      <c r="M226"/>
    </row>
    <row r="227" spans="1:13" x14ac:dyDescent="0.15">
      <c r="A227" t="s">
        <v>20</v>
      </c>
      <c r="F227"/>
      <c r="M227"/>
    </row>
    <row r="228" spans="1:13" x14ac:dyDescent="0.15">
      <c r="A228" t="s">
        <v>20</v>
      </c>
      <c r="F228"/>
      <c r="M228"/>
    </row>
    <row r="229" spans="1:13" x14ac:dyDescent="0.15">
      <c r="A229" t="s">
        <v>20</v>
      </c>
      <c r="F229"/>
      <c r="M229"/>
    </row>
    <row r="230" spans="1:13" x14ac:dyDescent="0.15">
      <c r="A230" t="s">
        <v>20</v>
      </c>
      <c r="F230"/>
      <c r="M230"/>
    </row>
    <row r="231" spans="1:13" x14ac:dyDescent="0.15">
      <c r="A231" t="s">
        <v>20</v>
      </c>
      <c r="F231"/>
      <c r="M231"/>
    </row>
    <row r="232" spans="1:13" x14ac:dyDescent="0.15">
      <c r="A232" t="s">
        <v>20</v>
      </c>
      <c r="F232"/>
      <c r="M232"/>
    </row>
    <row r="233" spans="1:13" x14ac:dyDescent="0.15">
      <c r="A233" t="s">
        <v>20</v>
      </c>
      <c r="F233"/>
      <c r="M233"/>
    </row>
    <row r="234" spans="1:13" x14ac:dyDescent="0.15">
      <c r="A234" t="s">
        <v>20</v>
      </c>
      <c r="F234"/>
      <c r="M234"/>
    </row>
    <row r="235" spans="1:13" x14ac:dyDescent="0.15">
      <c r="A235" t="s">
        <v>20</v>
      </c>
      <c r="F235"/>
      <c r="M235"/>
    </row>
    <row r="236" spans="1:13" x14ac:dyDescent="0.15">
      <c r="A236" t="s">
        <v>20</v>
      </c>
      <c r="F236"/>
      <c r="M236"/>
    </row>
    <row r="237" spans="1:13" x14ac:dyDescent="0.15">
      <c r="A237" t="s">
        <v>20</v>
      </c>
      <c r="F237"/>
      <c r="M237"/>
    </row>
    <row r="238" spans="1:13" x14ac:dyDescent="0.15">
      <c r="A238" t="s">
        <v>20</v>
      </c>
      <c r="F238"/>
      <c r="M238"/>
    </row>
    <row r="239" spans="1:13" x14ac:dyDescent="0.15">
      <c r="A239" t="s">
        <v>20</v>
      </c>
      <c r="F239"/>
      <c r="M239"/>
    </row>
    <row r="240" spans="1:13" x14ac:dyDescent="0.15">
      <c r="A240" t="s">
        <v>20</v>
      </c>
      <c r="F240"/>
      <c r="M240"/>
    </row>
    <row r="241" spans="1:13" x14ac:dyDescent="0.15">
      <c r="A241" t="s">
        <v>20</v>
      </c>
      <c r="F241"/>
      <c r="M241"/>
    </row>
    <row r="242" spans="1:13" x14ac:dyDescent="0.15">
      <c r="A242" t="s">
        <v>20</v>
      </c>
      <c r="F242"/>
      <c r="M242"/>
    </row>
    <row r="243" spans="1:13" x14ac:dyDescent="0.15">
      <c r="A243" t="s">
        <v>20</v>
      </c>
      <c r="F243"/>
      <c r="M243"/>
    </row>
    <row r="244" spans="1:13" x14ac:dyDescent="0.15">
      <c r="A244" t="s">
        <v>20</v>
      </c>
      <c r="F244"/>
      <c r="M244"/>
    </row>
    <row r="245" spans="1:13" x14ac:dyDescent="0.15">
      <c r="A245" t="s">
        <v>20</v>
      </c>
      <c r="F245"/>
      <c r="M245"/>
    </row>
    <row r="246" spans="1:13" x14ac:dyDescent="0.15">
      <c r="A246" t="s">
        <v>20</v>
      </c>
      <c r="F246"/>
      <c r="M246"/>
    </row>
    <row r="247" spans="1:13" x14ac:dyDescent="0.15">
      <c r="A247" t="s">
        <v>20</v>
      </c>
      <c r="F247"/>
      <c r="M247"/>
    </row>
    <row r="248" spans="1:13" x14ac:dyDescent="0.15">
      <c r="A248" t="s">
        <v>20</v>
      </c>
      <c r="F248"/>
      <c r="M248"/>
    </row>
    <row r="249" spans="1:13" x14ac:dyDescent="0.15">
      <c r="A249" t="s">
        <v>20</v>
      </c>
      <c r="F249"/>
      <c r="M249"/>
    </row>
    <row r="250" spans="1:13" x14ac:dyDescent="0.15">
      <c r="A250" t="s">
        <v>20</v>
      </c>
      <c r="F250"/>
      <c r="M250"/>
    </row>
    <row r="251" spans="1:13" x14ac:dyDescent="0.15">
      <c r="A251" t="s">
        <v>20</v>
      </c>
      <c r="F251"/>
      <c r="M251"/>
    </row>
    <row r="252" spans="1:13" x14ac:dyDescent="0.15">
      <c r="A252" t="s">
        <v>20</v>
      </c>
      <c r="F252"/>
      <c r="M252"/>
    </row>
    <row r="253" spans="1:13" x14ac:dyDescent="0.15">
      <c r="A253" t="s">
        <v>20</v>
      </c>
      <c r="F253"/>
      <c r="M253"/>
    </row>
    <row r="254" spans="1:13" x14ac:dyDescent="0.15">
      <c r="A254" t="s">
        <v>20</v>
      </c>
      <c r="F254"/>
      <c r="M254"/>
    </row>
    <row r="255" spans="1:13" x14ac:dyDescent="0.15">
      <c r="A255" t="s">
        <v>20</v>
      </c>
      <c r="F255"/>
      <c r="M255"/>
    </row>
    <row r="256" spans="1:13" x14ac:dyDescent="0.15">
      <c r="A256" t="s">
        <v>20</v>
      </c>
      <c r="F256"/>
      <c r="M256"/>
    </row>
    <row r="257" spans="1:13" x14ac:dyDescent="0.15">
      <c r="A257" t="s">
        <v>20</v>
      </c>
      <c r="F257"/>
      <c r="M257"/>
    </row>
    <row r="258" spans="1:13" x14ac:dyDescent="0.15">
      <c r="A258" t="s">
        <v>20</v>
      </c>
      <c r="F258"/>
      <c r="M258"/>
    </row>
    <row r="259" spans="1:13" x14ac:dyDescent="0.15">
      <c r="A259" t="s">
        <v>20</v>
      </c>
      <c r="F259"/>
      <c r="M259"/>
    </row>
    <row r="260" spans="1:13" x14ac:dyDescent="0.15">
      <c r="A260" t="s">
        <v>20</v>
      </c>
      <c r="F260"/>
      <c r="M260"/>
    </row>
    <row r="261" spans="1:13" x14ac:dyDescent="0.15">
      <c r="A261" t="s">
        <v>20</v>
      </c>
      <c r="F261"/>
      <c r="M261"/>
    </row>
    <row r="262" spans="1:13" x14ac:dyDescent="0.15">
      <c r="A262" t="s">
        <v>20</v>
      </c>
      <c r="F262"/>
      <c r="M262"/>
    </row>
    <row r="263" spans="1:13" x14ac:dyDescent="0.15">
      <c r="A263" t="s">
        <v>20</v>
      </c>
      <c r="F263"/>
      <c r="M263"/>
    </row>
    <row r="264" spans="1:13" x14ac:dyDescent="0.15">
      <c r="A264" t="s">
        <v>20</v>
      </c>
      <c r="F264"/>
      <c r="M264"/>
    </row>
    <row r="265" spans="1:13" x14ac:dyDescent="0.15">
      <c r="A265" t="s">
        <v>20</v>
      </c>
      <c r="F265"/>
      <c r="M265"/>
    </row>
    <row r="266" spans="1:13" x14ac:dyDescent="0.15">
      <c r="A266" t="s">
        <v>20</v>
      </c>
      <c r="F266"/>
      <c r="M266"/>
    </row>
    <row r="267" spans="1:13" x14ac:dyDescent="0.15">
      <c r="A267" t="s">
        <v>20</v>
      </c>
      <c r="F267"/>
      <c r="M267"/>
    </row>
    <row r="268" spans="1:13" x14ac:dyDescent="0.15">
      <c r="A268" t="s">
        <v>20</v>
      </c>
      <c r="F268"/>
      <c r="M268"/>
    </row>
    <row r="269" spans="1:13" x14ac:dyDescent="0.15">
      <c r="A269" t="s">
        <v>20</v>
      </c>
      <c r="F269"/>
      <c r="M269"/>
    </row>
    <row r="270" spans="1:13" x14ac:dyDescent="0.15">
      <c r="A270" t="s">
        <v>20</v>
      </c>
      <c r="F270"/>
      <c r="M270"/>
    </row>
    <row r="271" spans="1:13" x14ac:dyDescent="0.15">
      <c r="A271" t="s">
        <v>20</v>
      </c>
      <c r="F271"/>
      <c r="M271"/>
    </row>
    <row r="272" spans="1:13" x14ac:dyDescent="0.15">
      <c r="A272" t="s">
        <v>20</v>
      </c>
      <c r="F272"/>
      <c r="M272"/>
    </row>
    <row r="273" spans="1:13" x14ac:dyDescent="0.15">
      <c r="A273" t="s">
        <v>20</v>
      </c>
      <c r="F273"/>
      <c r="M273"/>
    </row>
    <row r="274" spans="1:13" x14ac:dyDescent="0.15">
      <c r="A274" t="s">
        <v>20</v>
      </c>
      <c r="F274"/>
      <c r="M274"/>
    </row>
    <row r="275" spans="1:13" x14ac:dyDescent="0.15">
      <c r="A275" t="s">
        <v>20</v>
      </c>
      <c r="F275"/>
      <c r="M275"/>
    </row>
    <row r="276" spans="1:13" x14ac:dyDescent="0.15">
      <c r="A276" t="s">
        <v>20</v>
      </c>
      <c r="F276"/>
      <c r="M276"/>
    </row>
    <row r="277" spans="1:13" x14ac:dyDescent="0.15">
      <c r="A277" t="s">
        <v>20</v>
      </c>
      <c r="F277"/>
      <c r="M277"/>
    </row>
    <row r="278" spans="1:13" x14ac:dyDescent="0.15">
      <c r="A278" t="s">
        <v>20</v>
      </c>
      <c r="F278"/>
      <c r="M278"/>
    </row>
    <row r="279" spans="1:13" x14ac:dyDescent="0.15">
      <c r="A279" t="s">
        <v>20</v>
      </c>
      <c r="F279"/>
      <c r="M279"/>
    </row>
    <row r="280" spans="1:13" x14ac:dyDescent="0.15">
      <c r="A280" t="s">
        <v>20</v>
      </c>
      <c r="F280"/>
      <c r="M280"/>
    </row>
    <row r="281" spans="1:13" x14ac:dyDescent="0.15">
      <c r="A281" t="s">
        <v>20</v>
      </c>
      <c r="F281"/>
      <c r="M281"/>
    </row>
    <row r="282" spans="1:13" x14ac:dyDescent="0.15">
      <c r="A282" t="s">
        <v>20</v>
      </c>
      <c r="F282"/>
      <c r="M282"/>
    </row>
    <row r="283" spans="1:13" x14ac:dyDescent="0.15">
      <c r="A283" t="s">
        <v>20</v>
      </c>
      <c r="F283"/>
      <c r="M283"/>
    </row>
    <row r="284" spans="1:13" x14ac:dyDescent="0.15">
      <c r="A284" t="s">
        <v>20</v>
      </c>
      <c r="F284"/>
      <c r="M284"/>
    </row>
    <row r="285" spans="1:13" x14ac:dyDescent="0.15">
      <c r="A285" t="s">
        <v>20</v>
      </c>
      <c r="F285"/>
      <c r="M285"/>
    </row>
    <row r="286" spans="1:13" x14ac:dyDescent="0.15">
      <c r="A286" t="s">
        <v>20</v>
      </c>
      <c r="F286"/>
      <c r="M286"/>
    </row>
    <row r="287" spans="1:13" x14ac:dyDescent="0.15">
      <c r="A287" t="s">
        <v>20</v>
      </c>
      <c r="F287"/>
      <c r="M287"/>
    </row>
    <row r="288" spans="1:13" x14ac:dyDescent="0.15">
      <c r="A288" t="s">
        <v>20</v>
      </c>
      <c r="F288"/>
      <c r="M288"/>
    </row>
    <row r="289" spans="1:13" x14ac:dyDescent="0.15">
      <c r="A289" t="s">
        <v>20</v>
      </c>
      <c r="F289"/>
      <c r="M289"/>
    </row>
    <row r="290" spans="1:13" x14ac:dyDescent="0.15">
      <c r="A290" t="s">
        <v>20</v>
      </c>
      <c r="F290"/>
      <c r="M290"/>
    </row>
    <row r="291" spans="1:13" x14ac:dyDescent="0.15">
      <c r="A291" t="s">
        <v>20</v>
      </c>
      <c r="F291"/>
      <c r="M291"/>
    </row>
    <row r="292" spans="1:13" x14ac:dyDescent="0.15">
      <c r="A292" t="s">
        <v>20</v>
      </c>
      <c r="F292"/>
      <c r="M292"/>
    </row>
    <row r="293" spans="1:13" x14ac:dyDescent="0.15">
      <c r="A293" t="s">
        <v>20</v>
      </c>
      <c r="F293"/>
      <c r="M293"/>
    </row>
    <row r="294" spans="1:13" x14ac:dyDescent="0.15">
      <c r="A294" t="s">
        <v>20</v>
      </c>
      <c r="F294"/>
      <c r="M294"/>
    </row>
    <row r="295" spans="1:13" x14ac:dyDescent="0.15">
      <c r="A295" t="s">
        <v>20</v>
      </c>
      <c r="F295"/>
      <c r="M295"/>
    </row>
    <row r="296" spans="1:13" x14ac:dyDescent="0.15">
      <c r="A296" t="s">
        <v>20</v>
      </c>
      <c r="F296"/>
      <c r="M296"/>
    </row>
    <row r="297" spans="1:13" x14ac:dyDescent="0.15">
      <c r="A297" t="s">
        <v>20</v>
      </c>
      <c r="F297"/>
      <c r="M297"/>
    </row>
    <row r="298" spans="1:13" x14ac:dyDescent="0.15">
      <c r="A298" t="s">
        <v>20</v>
      </c>
      <c r="F298"/>
      <c r="M298"/>
    </row>
    <row r="299" spans="1:13" x14ac:dyDescent="0.15">
      <c r="A299" t="s">
        <v>20</v>
      </c>
      <c r="F299"/>
      <c r="M299"/>
    </row>
    <row r="300" spans="1:13" x14ac:dyDescent="0.15">
      <c r="A300" t="s">
        <v>20</v>
      </c>
      <c r="F300"/>
      <c r="M300"/>
    </row>
    <row r="301" spans="1:13" x14ac:dyDescent="0.15">
      <c r="A301" t="s">
        <v>20</v>
      </c>
      <c r="F301"/>
      <c r="M301"/>
    </row>
    <row r="302" spans="1:13" x14ac:dyDescent="0.15">
      <c r="A302" t="s">
        <v>20</v>
      </c>
      <c r="F302"/>
      <c r="M302"/>
    </row>
    <row r="303" spans="1:13" x14ac:dyDescent="0.15">
      <c r="A303" t="s">
        <v>20</v>
      </c>
      <c r="F303"/>
      <c r="M303"/>
    </row>
    <row r="304" spans="1:13" x14ac:dyDescent="0.15">
      <c r="A304" t="s">
        <v>20</v>
      </c>
      <c r="F304"/>
      <c r="M304"/>
    </row>
    <row r="305" spans="1:13" x14ac:dyDescent="0.15">
      <c r="A305" t="s">
        <v>20</v>
      </c>
      <c r="F305"/>
      <c r="M305"/>
    </row>
    <row r="306" spans="1:13" x14ac:dyDescent="0.15">
      <c r="A306" t="s">
        <v>20</v>
      </c>
      <c r="F306"/>
      <c r="M306"/>
    </row>
    <row r="307" spans="1:13" x14ac:dyDescent="0.15">
      <c r="A307" t="s">
        <v>20</v>
      </c>
      <c r="F307"/>
      <c r="M307"/>
    </row>
    <row r="308" spans="1:13" x14ac:dyDescent="0.15">
      <c r="A308" t="s">
        <v>20</v>
      </c>
      <c r="F308"/>
      <c r="M308"/>
    </row>
    <row r="309" spans="1:13" x14ac:dyDescent="0.15">
      <c r="A309" t="s">
        <v>20</v>
      </c>
      <c r="F309"/>
      <c r="M309"/>
    </row>
    <row r="310" spans="1:13" x14ac:dyDescent="0.15">
      <c r="A310" t="s">
        <v>20</v>
      </c>
      <c r="F310"/>
      <c r="M310"/>
    </row>
    <row r="311" spans="1:13" x14ac:dyDescent="0.15">
      <c r="A311" t="s">
        <v>20</v>
      </c>
      <c r="F311"/>
      <c r="M311"/>
    </row>
    <row r="312" spans="1:13" x14ac:dyDescent="0.15">
      <c r="A312" t="s">
        <v>20</v>
      </c>
      <c r="F312"/>
      <c r="M312"/>
    </row>
    <row r="313" spans="1:13" x14ac:dyDescent="0.15">
      <c r="A313" t="s">
        <v>20</v>
      </c>
      <c r="F313"/>
      <c r="M313"/>
    </row>
    <row r="314" spans="1:13" x14ac:dyDescent="0.15">
      <c r="A314" t="s">
        <v>20</v>
      </c>
      <c r="F314"/>
      <c r="M314"/>
    </row>
    <row r="315" spans="1:13" x14ac:dyDescent="0.15">
      <c r="A315" t="s">
        <v>20</v>
      </c>
      <c r="F315"/>
      <c r="M315"/>
    </row>
    <row r="316" spans="1:13" x14ac:dyDescent="0.15">
      <c r="A316" t="s">
        <v>20</v>
      </c>
      <c r="F316"/>
      <c r="M316"/>
    </row>
    <row r="317" spans="1:13" x14ac:dyDescent="0.15">
      <c r="A317" t="s">
        <v>20</v>
      </c>
      <c r="F317"/>
      <c r="M317"/>
    </row>
    <row r="318" spans="1:13" x14ac:dyDescent="0.15">
      <c r="A318" t="s">
        <v>20</v>
      </c>
      <c r="F318"/>
      <c r="M318"/>
    </row>
    <row r="319" spans="1:13" x14ac:dyDescent="0.15">
      <c r="A319" t="s">
        <v>20</v>
      </c>
      <c r="F319"/>
      <c r="M319"/>
    </row>
    <row r="320" spans="1:13" x14ac:dyDescent="0.15">
      <c r="A320" t="s">
        <v>20</v>
      </c>
      <c r="F320"/>
      <c r="M320"/>
    </row>
    <row r="321" spans="1:13" x14ac:dyDescent="0.15">
      <c r="A321" t="s">
        <v>20</v>
      </c>
      <c r="F321"/>
      <c r="M321"/>
    </row>
    <row r="322" spans="1:13" x14ac:dyDescent="0.15">
      <c r="A322" t="s">
        <v>20</v>
      </c>
      <c r="F322"/>
      <c r="M322"/>
    </row>
    <row r="323" spans="1:13" x14ac:dyDescent="0.15">
      <c r="A323" t="s">
        <v>20</v>
      </c>
      <c r="F323"/>
      <c r="M323"/>
    </row>
    <row r="324" spans="1:13" x14ac:dyDescent="0.15">
      <c r="A324" t="s">
        <v>20</v>
      </c>
      <c r="F324"/>
      <c r="M324"/>
    </row>
    <row r="325" spans="1:13" x14ac:dyDescent="0.15">
      <c r="A325" t="s">
        <v>20</v>
      </c>
      <c r="F325"/>
      <c r="M325"/>
    </row>
    <row r="326" spans="1:13" x14ac:dyDescent="0.15">
      <c r="A326" t="s">
        <v>20</v>
      </c>
      <c r="F326"/>
      <c r="M326"/>
    </row>
    <row r="327" spans="1:13" x14ac:dyDescent="0.15">
      <c r="A327" t="s">
        <v>20</v>
      </c>
      <c r="F327"/>
      <c r="M327"/>
    </row>
    <row r="328" spans="1:13" x14ac:dyDescent="0.15">
      <c r="A328" t="s">
        <v>20</v>
      </c>
      <c r="F328"/>
      <c r="M328"/>
    </row>
    <row r="329" spans="1:13" x14ac:dyDescent="0.15">
      <c r="A329" t="s">
        <v>20</v>
      </c>
      <c r="F329"/>
      <c r="M329"/>
    </row>
    <row r="330" spans="1:13" x14ac:dyDescent="0.15">
      <c r="A330" t="s">
        <v>20</v>
      </c>
      <c r="F330"/>
      <c r="M330"/>
    </row>
    <row r="331" spans="1:13" x14ac:dyDescent="0.15">
      <c r="A331" t="s">
        <v>20</v>
      </c>
      <c r="F331"/>
      <c r="M331"/>
    </row>
    <row r="332" spans="1:13" x14ac:dyDescent="0.15">
      <c r="A332" t="s">
        <v>20</v>
      </c>
      <c r="F332"/>
      <c r="M332"/>
    </row>
    <row r="333" spans="1:13" x14ac:dyDescent="0.15">
      <c r="A333" t="s">
        <v>20</v>
      </c>
      <c r="F333"/>
      <c r="M333"/>
    </row>
    <row r="334" spans="1:13" x14ac:dyDescent="0.15">
      <c r="A334" t="s">
        <v>20</v>
      </c>
      <c r="F334"/>
      <c r="M334"/>
    </row>
    <row r="335" spans="1:13" x14ac:dyDescent="0.15">
      <c r="A335" t="s">
        <v>20</v>
      </c>
      <c r="F335"/>
      <c r="M335"/>
    </row>
    <row r="336" spans="1:13" x14ac:dyDescent="0.15">
      <c r="A336" t="s">
        <v>20</v>
      </c>
      <c r="F336"/>
      <c r="M336"/>
    </row>
    <row r="337" spans="1:13" x14ac:dyDescent="0.15">
      <c r="A337" t="s">
        <v>20</v>
      </c>
      <c r="F337"/>
      <c r="M337"/>
    </row>
    <row r="338" spans="1:13" x14ac:dyDescent="0.15">
      <c r="A338" t="s">
        <v>20</v>
      </c>
      <c r="F338"/>
      <c r="M338"/>
    </row>
    <row r="339" spans="1:13" x14ac:dyDescent="0.15">
      <c r="A339" t="s">
        <v>20</v>
      </c>
      <c r="F339"/>
      <c r="M339"/>
    </row>
    <row r="340" spans="1:13" x14ac:dyDescent="0.15">
      <c r="A340" t="s">
        <v>20</v>
      </c>
      <c r="F340"/>
      <c r="M340"/>
    </row>
    <row r="341" spans="1:13" x14ac:dyDescent="0.15">
      <c r="A341" t="s">
        <v>20</v>
      </c>
      <c r="F341"/>
      <c r="M341"/>
    </row>
    <row r="342" spans="1:13" x14ac:dyDescent="0.15">
      <c r="A342" t="s">
        <v>20</v>
      </c>
      <c r="F342"/>
      <c r="M342"/>
    </row>
    <row r="343" spans="1:13" x14ac:dyDescent="0.15">
      <c r="A343" t="s">
        <v>20</v>
      </c>
      <c r="F343"/>
      <c r="M343"/>
    </row>
    <row r="344" spans="1:13" x14ac:dyDescent="0.15">
      <c r="A344" t="s">
        <v>20</v>
      </c>
      <c r="F344"/>
      <c r="M344"/>
    </row>
    <row r="345" spans="1:13" x14ac:dyDescent="0.15">
      <c r="A345" t="s">
        <v>20</v>
      </c>
      <c r="F345"/>
      <c r="M345"/>
    </row>
    <row r="346" spans="1:13" x14ac:dyDescent="0.15">
      <c r="A346" t="s">
        <v>20</v>
      </c>
      <c r="F346"/>
      <c r="M346"/>
    </row>
    <row r="347" spans="1:13" x14ac:dyDescent="0.15">
      <c r="A347" t="s">
        <v>20</v>
      </c>
      <c r="F347"/>
      <c r="M347"/>
    </row>
    <row r="348" spans="1:13" x14ac:dyDescent="0.15">
      <c r="A348" t="s">
        <v>20</v>
      </c>
      <c r="F348"/>
      <c r="M348"/>
    </row>
    <row r="349" spans="1:13" x14ac:dyDescent="0.15">
      <c r="A349" t="s">
        <v>20</v>
      </c>
      <c r="F349"/>
      <c r="M349"/>
    </row>
    <row r="350" spans="1:13" x14ac:dyDescent="0.15">
      <c r="A350" t="s">
        <v>20</v>
      </c>
      <c r="F350"/>
      <c r="M350"/>
    </row>
    <row r="351" spans="1:13" x14ac:dyDescent="0.15">
      <c r="A351" t="s">
        <v>20</v>
      </c>
      <c r="F351"/>
      <c r="M351"/>
    </row>
    <row r="352" spans="1:13" x14ac:dyDescent="0.15">
      <c r="A352" t="s">
        <v>20</v>
      </c>
      <c r="F352"/>
      <c r="M352"/>
    </row>
    <row r="353" spans="1:13" x14ac:dyDescent="0.15">
      <c r="A353" t="s">
        <v>20</v>
      </c>
      <c r="F353"/>
      <c r="M353"/>
    </row>
    <row r="354" spans="1:13" x14ac:dyDescent="0.15">
      <c r="A354" t="s">
        <v>20</v>
      </c>
      <c r="F354"/>
      <c r="M354"/>
    </row>
    <row r="355" spans="1:13" x14ac:dyDescent="0.15">
      <c r="A355" t="s">
        <v>20</v>
      </c>
      <c r="F355"/>
      <c r="M355"/>
    </row>
    <row r="356" spans="1:13" x14ac:dyDescent="0.15">
      <c r="A356" t="s">
        <v>20</v>
      </c>
      <c r="F356"/>
      <c r="M356"/>
    </row>
    <row r="357" spans="1:13" x14ac:dyDescent="0.15">
      <c r="A357" t="s">
        <v>20</v>
      </c>
      <c r="F357"/>
      <c r="M357"/>
    </row>
    <row r="358" spans="1:13" x14ac:dyDescent="0.15">
      <c r="A358" t="s">
        <v>20</v>
      </c>
      <c r="F358"/>
      <c r="M358"/>
    </row>
    <row r="359" spans="1:13" x14ac:dyDescent="0.15">
      <c r="A359" t="s">
        <v>20</v>
      </c>
      <c r="F359"/>
      <c r="M359"/>
    </row>
    <row r="360" spans="1:13" x14ac:dyDescent="0.15">
      <c r="A360" t="s">
        <v>20</v>
      </c>
      <c r="F360"/>
      <c r="M360"/>
    </row>
    <row r="361" spans="1:13" x14ac:dyDescent="0.15">
      <c r="A361" t="s">
        <v>20</v>
      </c>
      <c r="F361"/>
      <c r="M361"/>
    </row>
    <row r="362" spans="1:13" x14ac:dyDescent="0.15">
      <c r="A362" t="s">
        <v>20</v>
      </c>
      <c r="F362"/>
      <c r="M362"/>
    </row>
    <row r="363" spans="1:13" x14ac:dyDescent="0.15">
      <c r="A363" t="s">
        <v>20</v>
      </c>
      <c r="F363"/>
      <c r="M363"/>
    </row>
    <row r="364" spans="1:13" x14ac:dyDescent="0.15">
      <c r="A364" t="s">
        <v>20</v>
      </c>
      <c r="F364"/>
      <c r="M364"/>
    </row>
    <row r="365" spans="1:13" x14ac:dyDescent="0.15">
      <c r="A365" t="s">
        <v>20</v>
      </c>
      <c r="F365"/>
      <c r="M365"/>
    </row>
    <row r="366" spans="1:13" x14ac:dyDescent="0.15">
      <c r="A366" t="s">
        <v>20</v>
      </c>
      <c r="F366"/>
      <c r="M366"/>
    </row>
    <row r="367" spans="1:13" x14ac:dyDescent="0.15">
      <c r="A367" t="s">
        <v>20</v>
      </c>
      <c r="F367"/>
      <c r="M367"/>
    </row>
    <row r="368" spans="1:13" x14ac:dyDescent="0.15">
      <c r="A368" t="s">
        <v>20</v>
      </c>
      <c r="F368"/>
      <c r="M368"/>
    </row>
    <row r="369" spans="1:13" x14ac:dyDescent="0.15">
      <c r="A369" t="s">
        <v>20</v>
      </c>
      <c r="F369"/>
      <c r="M369"/>
    </row>
    <row r="370" spans="1:13" x14ac:dyDescent="0.15">
      <c r="A370" t="s">
        <v>20</v>
      </c>
      <c r="F370"/>
      <c r="M370"/>
    </row>
    <row r="371" spans="1:13" x14ac:dyDescent="0.15">
      <c r="A371" t="s">
        <v>20</v>
      </c>
      <c r="F371"/>
      <c r="M371"/>
    </row>
    <row r="372" spans="1:13" x14ac:dyDescent="0.15">
      <c r="A372" t="s">
        <v>20</v>
      </c>
      <c r="F372"/>
      <c r="M372"/>
    </row>
    <row r="373" spans="1:13" x14ac:dyDescent="0.15">
      <c r="A373" t="s">
        <v>20</v>
      </c>
      <c r="F373"/>
      <c r="M373"/>
    </row>
    <row r="374" spans="1:13" x14ac:dyDescent="0.15">
      <c r="A374" t="s">
        <v>20</v>
      </c>
      <c r="F374"/>
      <c r="M374"/>
    </row>
    <row r="375" spans="1:13" x14ac:dyDescent="0.15">
      <c r="A375" t="s">
        <v>20</v>
      </c>
      <c r="F375"/>
      <c r="M375"/>
    </row>
    <row r="376" spans="1:13" x14ac:dyDescent="0.15">
      <c r="A376" t="s">
        <v>20</v>
      </c>
      <c r="F376"/>
      <c r="M376"/>
    </row>
    <row r="377" spans="1:13" x14ac:dyDescent="0.15">
      <c r="A377" t="s">
        <v>20</v>
      </c>
      <c r="F377"/>
      <c r="M377"/>
    </row>
    <row r="378" spans="1:13" x14ac:dyDescent="0.15">
      <c r="A378" t="s">
        <v>20</v>
      </c>
      <c r="F378"/>
      <c r="M378"/>
    </row>
    <row r="379" spans="1:13" x14ac:dyDescent="0.15">
      <c r="A379" t="s">
        <v>20</v>
      </c>
      <c r="F379"/>
      <c r="M379"/>
    </row>
    <row r="380" spans="1:13" x14ac:dyDescent="0.15">
      <c r="A380" t="s">
        <v>20</v>
      </c>
      <c r="F380"/>
      <c r="M380"/>
    </row>
    <row r="381" spans="1:13" x14ac:dyDescent="0.15">
      <c r="A381" t="s">
        <v>20</v>
      </c>
      <c r="F381"/>
      <c r="M381"/>
    </row>
    <row r="382" spans="1:13" x14ac:dyDescent="0.15">
      <c r="A382" t="s">
        <v>20</v>
      </c>
      <c r="F382"/>
      <c r="M382"/>
    </row>
    <row r="383" spans="1:13" x14ac:dyDescent="0.15">
      <c r="A383" t="s">
        <v>20</v>
      </c>
      <c r="F383"/>
      <c r="M383"/>
    </row>
    <row r="384" spans="1:13" x14ac:dyDescent="0.15">
      <c r="A384" t="s">
        <v>20</v>
      </c>
      <c r="F384"/>
      <c r="M384"/>
    </row>
    <row r="385" spans="1:13" x14ac:dyDescent="0.15">
      <c r="A385" t="s">
        <v>20</v>
      </c>
      <c r="F385"/>
      <c r="M385"/>
    </row>
    <row r="386" spans="1:13" x14ac:dyDescent="0.15">
      <c r="A386" t="s">
        <v>20</v>
      </c>
      <c r="F386"/>
      <c r="M386"/>
    </row>
    <row r="387" spans="1:13" x14ac:dyDescent="0.15">
      <c r="A387" t="s">
        <v>20</v>
      </c>
      <c r="F387"/>
      <c r="M387"/>
    </row>
    <row r="388" spans="1:13" x14ac:dyDescent="0.15">
      <c r="A388" t="s">
        <v>20</v>
      </c>
      <c r="F388"/>
      <c r="M388"/>
    </row>
    <row r="389" spans="1:13" x14ac:dyDescent="0.15">
      <c r="A389" t="s">
        <v>20</v>
      </c>
      <c r="F389"/>
      <c r="M389"/>
    </row>
    <row r="390" spans="1:13" x14ac:dyDescent="0.15">
      <c r="A390" t="s">
        <v>20</v>
      </c>
      <c r="F390"/>
      <c r="M390"/>
    </row>
    <row r="391" spans="1:13" x14ac:dyDescent="0.15">
      <c r="A391" t="s">
        <v>20</v>
      </c>
      <c r="F391"/>
      <c r="M391"/>
    </row>
    <row r="392" spans="1:13" x14ac:dyDescent="0.15">
      <c r="A392" t="s">
        <v>20</v>
      </c>
      <c r="F392"/>
      <c r="M392"/>
    </row>
    <row r="393" spans="1:13" x14ac:dyDescent="0.15">
      <c r="A393" t="s">
        <v>20</v>
      </c>
      <c r="F393"/>
      <c r="M393"/>
    </row>
    <row r="394" spans="1:13" x14ac:dyDescent="0.15">
      <c r="A394" t="s">
        <v>20</v>
      </c>
      <c r="F394"/>
      <c r="M394"/>
    </row>
    <row r="395" spans="1:13" x14ac:dyDescent="0.15">
      <c r="A395" t="s">
        <v>20</v>
      </c>
      <c r="F395"/>
      <c r="M395"/>
    </row>
    <row r="396" spans="1:13" x14ac:dyDescent="0.15">
      <c r="A396" t="s">
        <v>20</v>
      </c>
      <c r="F396"/>
      <c r="M396"/>
    </row>
    <row r="397" spans="1:13" x14ac:dyDescent="0.15">
      <c r="A397" t="s">
        <v>20</v>
      </c>
      <c r="F397"/>
      <c r="M397"/>
    </row>
    <row r="398" spans="1:13" x14ac:dyDescent="0.15">
      <c r="A398" t="s">
        <v>20</v>
      </c>
      <c r="F398"/>
      <c r="M398"/>
    </row>
    <row r="399" spans="1:13" x14ac:dyDescent="0.15">
      <c r="A399" t="s">
        <v>20</v>
      </c>
      <c r="F399"/>
      <c r="M399"/>
    </row>
    <row r="400" spans="1:13" x14ac:dyDescent="0.15">
      <c r="A400" t="s">
        <v>20</v>
      </c>
      <c r="F400"/>
      <c r="M400"/>
    </row>
    <row r="401" spans="1:13" x14ac:dyDescent="0.15">
      <c r="A401" t="s">
        <v>20</v>
      </c>
      <c r="F401"/>
      <c r="M401"/>
    </row>
    <row r="402" spans="1:13" x14ac:dyDescent="0.15">
      <c r="A402" t="s">
        <v>20</v>
      </c>
      <c r="F402"/>
      <c r="M402"/>
    </row>
    <row r="403" spans="1:13" x14ac:dyDescent="0.15">
      <c r="A403" t="s">
        <v>20</v>
      </c>
      <c r="F403"/>
      <c r="M403"/>
    </row>
    <row r="404" spans="1:13" x14ac:dyDescent="0.15">
      <c r="A404" t="s">
        <v>20</v>
      </c>
      <c r="F404"/>
      <c r="M404"/>
    </row>
    <row r="405" spans="1:13" x14ac:dyDescent="0.15">
      <c r="A405" t="s">
        <v>20</v>
      </c>
      <c r="F405"/>
      <c r="M405"/>
    </row>
    <row r="406" spans="1:13" x14ac:dyDescent="0.15">
      <c r="A406" t="s">
        <v>20</v>
      </c>
      <c r="F406"/>
      <c r="M406"/>
    </row>
    <row r="407" spans="1:13" x14ac:dyDescent="0.15">
      <c r="A407" t="s">
        <v>20</v>
      </c>
      <c r="F407"/>
      <c r="M407"/>
    </row>
    <row r="408" spans="1:13" x14ac:dyDescent="0.15">
      <c r="A408" t="s">
        <v>20</v>
      </c>
      <c r="F408"/>
      <c r="M408"/>
    </row>
    <row r="409" spans="1:13" x14ac:dyDescent="0.15">
      <c r="A409" t="s">
        <v>20</v>
      </c>
      <c r="F409"/>
      <c r="M409"/>
    </row>
    <row r="410" spans="1:13" x14ac:dyDescent="0.15">
      <c r="A410" t="s">
        <v>20</v>
      </c>
      <c r="F410"/>
      <c r="M410"/>
    </row>
    <row r="411" spans="1:13" x14ac:dyDescent="0.15">
      <c r="A411" t="s">
        <v>20</v>
      </c>
      <c r="F411"/>
      <c r="M411"/>
    </row>
    <row r="412" spans="1:13" x14ac:dyDescent="0.15">
      <c r="A412" t="s">
        <v>20</v>
      </c>
      <c r="F412"/>
      <c r="M412"/>
    </row>
    <row r="413" spans="1:13" x14ac:dyDescent="0.15">
      <c r="A413" t="s">
        <v>20</v>
      </c>
      <c r="F413"/>
      <c r="M413"/>
    </row>
    <row r="414" spans="1:13" x14ac:dyDescent="0.15">
      <c r="A414" t="s">
        <v>20</v>
      </c>
      <c r="F414"/>
      <c r="M414"/>
    </row>
    <row r="415" spans="1:13" x14ac:dyDescent="0.15">
      <c r="A415" t="s">
        <v>20</v>
      </c>
      <c r="F415"/>
      <c r="M415"/>
    </row>
    <row r="416" spans="1:13" x14ac:dyDescent="0.15">
      <c r="A416" t="s">
        <v>20</v>
      </c>
      <c r="F416"/>
      <c r="M416"/>
    </row>
    <row r="417" spans="1:13" x14ac:dyDescent="0.15">
      <c r="A417" t="s">
        <v>20</v>
      </c>
      <c r="F417"/>
      <c r="M417"/>
    </row>
    <row r="418" spans="1:13" x14ac:dyDescent="0.15">
      <c r="A418" t="s">
        <v>20</v>
      </c>
      <c r="F418"/>
      <c r="M418"/>
    </row>
    <row r="419" spans="1:13" x14ac:dyDescent="0.15">
      <c r="A419" t="s">
        <v>20</v>
      </c>
      <c r="F419"/>
      <c r="M419"/>
    </row>
    <row r="420" spans="1:13" x14ac:dyDescent="0.15">
      <c r="A420" t="s">
        <v>20</v>
      </c>
      <c r="F420"/>
      <c r="M420"/>
    </row>
    <row r="421" spans="1:13" x14ac:dyDescent="0.15">
      <c r="A421" t="s">
        <v>20</v>
      </c>
      <c r="F421"/>
      <c r="M421"/>
    </row>
    <row r="422" spans="1:13" x14ac:dyDescent="0.15">
      <c r="A422" t="s">
        <v>20</v>
      </c>
      <c r="F422"/>
      <c r="M422"/>
    </row>
    <row r="423" spans="1:13" x14ac:dyDescent="0.15">
      <c r="A423" t="s">
        <v>20</v>
      </c>
      <c r="F423"/>
      <c r="M423"/>
    </row>
    <row r="424" spans="1:13" x14ac:dyDescent="0.15">
      <c r="A424" t="s">
        <v>20</v>
      </c>
      <c r="F424"/>
      <c r="M424"/>
    </row>
    <row r="425" spans="1:13" x14ac:dyDescent="0.15">
      <c r="A425" t="s">
        <v>20</v>
      </c>
      <c r="F425"/>
      <c r="M425"/>
    </row>
    <row r="426" spans="1:13" x14ac:dyDescent="0.15">
      <c r="A426" t="s">
        <v>20</v>
      </c>
      <c r="F426"/>
      <c r="M426"/>
    </row>
    <row r="427" spans="1:13" x14ac:dyDescent="0.15">
      <c r="A427" t="s">
        <v>20</v>
      </c>
      <c r="F427"/>
      <c r="M427"/>
    </row>
    <row r="428" spans="1:13" x14ac:dyDescent="0.15">
      <c r="A428" t="s">
        <v>20</v>
      </c>
      <c r="F428"/>
      <c r="M428"/>
    </row>
    <row r="429" spans="1:13" x14ac:dyDescent="0.15">
      <c r="A429" t="s">
        <v>20</v>
      </c>
      <c r="F429"/>
      <c r="M429"/>
    </row>
    <row r="430" spans="1:13" x14ac:dyDescent="0.15">
      <c r="A430" t="s">
        <v>20</v>
      </c>
      <c r="F430"/>
      <c r="M430"/>
    </row>
    <row r="431" spans="1:13" x14ac:dyDescent="0.15">
      <c r="A431" t="s">
        <v>20</v>
      </c>
      <c r="F431"/>
      <c r="M431"/>
    </row>
    <row r="432" spans="1:13" x14ac:dyDescent="0.15">
      <c r="A432" t="s">
        <v>20</v>
      </c>
      <c r="F432"/>
      <c r="M432"/>
    </row>
    <row r="433" spans="1:13" x14ac:dyDescent="0.15">
      <c r="A433" t="s">
        <v>20</v>
      </c>
      <c r="F433"/>
      <c r="M433"/>
    </row>
    <row r="434" spans="1:13" x14ac:dyDescent="0.15">
      <c r="A434" t="s">
        <v>20</v>
      </c>
      <c r="F434"/>
      <c r="M434"/>
    </row>
    <row r="435" spans="1:13" x14ac:dyDescent="0.15">
      <c r="A435" t="s">
        <v>20</v>
      </c>
      <c r="F435"/>
      <c r="M435"/>
    </row>
    <row r="436" spans="1:13" x14ac:dyDescent="0.15">
      <c r="A436" t="s">
        <v>20</v>
      </c>
      <c r="F436"/>
      <c r="M436"/>
    </row>
    <row r="437" spans="1:13" x14ac:dyDescent="0.15">
      <c r="A437" t="s">
        <v>20</v>
      </c>
      <c r="F437"/>
      <c r="M437"/>
    </row>
    <row r="438" spans="1:13" x14ac:dyDescent="0.15">
      <c r="A438" t="s">
        <v>20</v>
      </c>
      <c r="F438"/>
      <c r="M438"/>
    </row>
    <row r="439" spans="1:13" x14ac:dyDescent="0.15">
      <c r="A439" t="s">
        <v>20</v>
      </c>
      <c r="F439"/>
      <c r="M439"/>
    </row>
    <row r="440" spans="1:13" x14ac:dyDescent="0.15">
      <c r="A440" t="s">
        <v>20</v>
      </c>
      <c r="F440"/>
      <c r="M440"/>
    </row>
    <row r="441" spans="1:13" x14ac:dyDescent="0.15">
      <c r="A441" t="s">
        <v>20</v>
      </c>
      <c r="F441"/>
      <c r="M441"/>
    </row>
    <row r="442" spans="1:13" x14ac:dyDescent="0.15">
      <c r="A442" t="s">
        <v>20</v>
      </c>
      <c r="F442"/>
      <c r="M442"/>
    </row>
    <row r="443" spans="1:13" x14ac:dyDescent="0.15">
      <c r="A443" t="s">
        <v>20</v>
      </c>
      <c r="F443"/>
      <c r="M443"/>
    </row>
    <row r="444" spans="1:13" x14ac:dyDescent="0.15">
      <c r="A444" t="s">
        <v>20</v>
      </c>
      <c r="F444"/>
      <c r="M444"/>
    </row>
    <row r="445" spans="1:13" x14ac:dyDescent="0.15">
      <c r="A445" t="s">
        <v>20</v>
      </c>
      <c r="F445"/>
      <c r="M445"/>
    </row>
    <row r="446" spans="1:13" x14ac:dyDescent="0.15">
      <c r="A446" t="s">
        <v>20</v>
      </c>
      <c r="F446"/>
      <c r="M446"/>
    </row>
    <row r="447" spans="1:13" x14ac:dyDescent="0.15">
      <c r="A447" t="s">
        <v>20</v>
      </c>
      <c r="F447"/>
      <c r="M447"/>
    </row>
    <row r="448" spans="1:13" x14ac:dyDescent="0.15">
      <c r="A448" t="s">
        <v>20</v>
      </c>
      <c r="F448"/>
      <c r="M448"/>
    </row>
    <row r="449" spans="1:13" x14ac:dyDescent="0.15">
      <c r="A449" t="s">
        <v>20</v>
      </c>
      <c r="F449"/>
      <c r="M449"/>
    </row>
    <row r="450" spans="1:13" x14ac:dyDescent="0.15">
      <c r="A450" t="s">
        <v>20</v>
      </c>
      <c r="F450"/>
      <c r="M450"/>
    </row>
    <row r="451" spans="1:13" x14ac:dyDescent="0.15">
      <c r="A451" t="s">
        <v>20</v>
      </c>
      <c r="F451"/>
      <c r="M451"/>
    </row>
    <row r="452" spans="1:13" x14ac:dyDescent="0.15">
      <c r="A452" t="s">
        <v>20</v>
      </c>
      <c r="F452"/>
      <c r="M452"/>
    </row>
    <row r="453" spans="1:13" x14ac:dyDescent="0.15">
      <c r="A453" t="s">
        <v>20</v>
      </c>
      <c r="F453"/>
      <c r="M453"/>
    </row>
    <row r="454" spans="1:13" x14ac:dyDescent="0.15">
      <c r="A454" t="s">
        <v>20</v>
      </c>
      <c r="F454"/>
      <c r="M454"/>
    </row>
    <row r="455" spans="1:13" x14ac:dyDescent="0.15">
      <c r="A455" t="s">
        <v>20</v>
      </c>
      <c r="F455"/>
      <c r="M455"/>
    </row>
    <row r="456" spans="1:13" x14ac:dyDescent="0.15">
      <c r="A456" t="s">
        <v>20</v>
      </c>
      <c r="F456"/>
      <c r="M456"/>
    </row>
    <row r="457" spans="1:13" x14ac:dyDescent="0.15">
      <c r="A457" t="s">
        <v>20</v>
      </c>
      <c r="F457"/>
      <c r="M457"/>
    </row>
    <row r="458" spans="1:13" x14ac:dyDescent="0.15">
      <c r="A458" t="s">
        <v>20</v>
      </c>
      <c r="F458"/>
      <c r="M458"/>
    </row>
    <row r="459" spans="1:13" x14ac:dyDescent="0.15">
      <c r="A459" t="s">
        <v>20</v>
      </c>
      <c r="F459"/>
      <c r="M459"/>
    </row>
    <row r="460" spans="1:13" x14ac:dyDescent="0.15">
      <c r="A460" t="s">
        <v>20</v>
      </c>
      <c r="F460"/>
      <c r="M460"/>
    </row>
    <row r="461" spans="1:13" x14ac:dyDescent="0.15">
      <c r="A461" t="s">
        <v>20</v>
      </c>
      <c r="F461"/>
      <c r="M461"/>
    </row>
    <row r="462" spans="1:13" x14ac:dyDescent="0.15">
      <c r="A462" t="s">
        <v>20</v>
      </c>
      <c r="F462"/>
      <c r="M462"/>
    </row>
    <row r="463" spans="1:13" x14ac:dyDescent="0.15">
      <c r="A463" t="s">
        <v>20</v>
      </c>
      <c r="F463"/>
      <c r="M463"/>
    </row>
    <row r="464" spans="1:13" x14ac:dyDescent="0.15">
      <c r="A464" t="s">
        <v>20</v>
      </c>
      <c r="F464"/>
      <c r="M464"/>
    </row>
    <row r="465" spans="1:13" x14ac:dyDescent="0.15">
      <c r="A465" t="s">
        <v>20</v>
      </c>
      <c r="F465"/>
      <c r="M465"/>
    </row>
    <row r="466" spans="1:13" x14ac:dyDescent="0.15">
      <c r="A466" t="s">
        <v>20</v>
      </c>
      <c r="F466"/>
      <c r="M466"/>
    </row>
    <row r="467" spans="1:13" x14ac:dyDescent="0.15">
      <c r="A467" t="s">
        <v>20</v>
      </c>
      <c r="F467"/>
      <c r="M467"/>
    </row>
    <row r="468" spans="1:13" x14ac:dyDescent="0.15">
      <c r="A468" t="s">
        <v>20</v>
      </c>
      <c r="F468"/>
      <c r="M468"/>
    </row>
    <row r="469" spans="1:13" x14ac:dyDescent="0.15">
      <c r="A469" t="s">
        <v>20</v>
      </c>
      <c r="F469"/>
      <c r="M469"/>
    </row>
    <row r="470" spans="1:13" x14ac:dyDescent="0.15">
      <c r="A470" t="s">
        <v>20</v>
      </c>
      <c r="F470"/>
      <c r="M470"/>
    </row>
    <row r="471" spans="1:13" x14ac:dyDescent="0.15">
      <c r="A471" t="s">
        <v>20</v>
      </c>
      <c r="F471"/>
      <c r="M471"/>
    </row>
    <row r="472" spans="1:13" x14ac:dyDescent="0.15">
      <c r="A472" t="s">
        <v>20</v>
      </c>
      <c r="F472"/>
      <c r="M472"/>
    </row>
    <row r="473" spans="1:13" x14ac:dyDescent="0.15">
      <c r="A473" t="s">
        <v>20</v>
      </c>
      <c r="F473"/>
      <c r="M473"/>
    </row>
    <row r="474" spans="1:13" x14ac:dyDescent="0.15">
      <c r="A474" t="s">
        <v>20</v>
      </c>
      <c r="F474"/>
      <c r="M474"/>
    </row>
    <row r="475" spans="1:13" x14ac:dyDescent="0.15">
      <c r="A475" t="s">
        <v>20</v>
      </c>
      <c r="F475"/>
      <c r="M475"/>
    </row>
    <row r="476" spans="1:13" x14ac:dyDescent="0.15">
      <c r="A476" t="s">
        <v>20</v>
      </c>
      <c r="F476"/>
      <c r="M476"/>
    </row>
    <row r="477" spans="1:13" x14ac:dyDescent="0.15">
      <c r="A477" t="s">
        <v>20</v>
      </c>
      <c r="F477"/>
      <c r="M477"/>
    </row>
    <row r="478" spans="1:13" x14ac:dyDescent="0.15">
      <c r="A478" t="s">
        <v>20</v>
      </c>
      <c r="F478"/>
      <c r="M478"/>
    </row>
    <row r="479" spans="1:13" x14ac:dyDescent="0.15">
      <c r="A479" t="s">
        <v>20</v>
      </c>
      <c r="F479"/>
      <c r="M479"/>
    </row>
    <row r="480" spans="1:13" x14ac:dyDescent="0.15">
      <c r="A480" t="s">
        <v>20</v>
      </c>
      <c r="F480"/>
      <c r="M480"/>
    </row>
    <row r="481" spans="1:13" x14ac:dyDescent="0.15">
      <c r="A481" t="s">
        <v>20</v>
      </c>
      <c r="F481"/>
      <c r="M481"/>
    </row>
    <row r="482" spans="1:13" x14ac:dyDescent="0.15">
      <c r="A482" t="s">
        <v>20</v>
      </c>
      <c r="F482"/>
      <c r="M482"/>
    </row>
    <row r="483" spans="1:13" x14ac:dyDescent="0.15">
      <c r="A483" t="s">
        <v>20</v>
      </c>
      <c r="F483"/>
      <c r="M483"/>
    </row>
    <row r="484" spans="1:13" x14ac:dyDescent="0.15">
      <c r="A484" t="s">
        <v>20</v>
      </c>
      <c r="F484"/>
      <c r="M484"/>
    </row>
    <row r="485" spans="1:13" x14ac:dyDescent="0.15">
      <c r="A485" t="s">
        <v>20</v>
      </c>
      <c r="F485"/>
      <c r="M485"/>
    </row>
    <row r="486" spans="1:13" x14ac:dyDescent="0.15">
      <c r="A486" t="s">
        <v>20</v>
      </c>
      <c r="F486"/>
      <c r="M486"/>
    </row>
    <row r="487" spans="1:13" x14ac:dyDescent="0.15">
      <c r="A487" t="s">
        <v>20</v>
      </c>
      <c r="F487"/>
      <c r="M487"/>
    </row>
    <row r="488" spans="1:13" x14ac:dyDescent="0.15">
      <c r="A488" t="s">
        <v>20</v>
      </c>
      <c r="F488"/>
      <c r="M488"/>
    </row>
    <row r="489" spans="1:13" x14ac:dyDescent="0.15">
      <c r="A489" t="s">
        <v>20</v>
      </c>
      <c r="F489"/>
      <c r="M489"/>
    </row>
    <row r="490" spans="1:13" x14ac:dyDescent="0.15">
      <c r="A490" t="s">
        <v>20</v>
      </c>
      <c r="F490"/>
      <c r="M490"/>
    </row>
    <row r="491" spans="1:13" x14ac:dyDescent="0.15">
      <c r="A491" t="s">
        <v>20</v>
      </c>
      <c r="F491"/>
      <c r="M491"/>
    </row>
    <row r="492" spans="1:13" x14ac:dyDescent="0.15">
      <c r="A492" t="s">
        <v>20</v>
      </c>
      <c r="F492"/>
      <c r="M492"/>
    </row>
    <row r="493" spans="1:13" x14ac:dyDescent="0.15">
      <c r="A493" t="s">
        <v>20</v>
      </c>
      <c r="F493"/>
      <c r="M493"/>
    </row>
    <row r="494" spans="1:13" x14ac:dyDescent="0.15">
      <c r="A494" t="s">
        <v>20</v>
      </c>
      <c r="F494"/>
      <c r="M494"/>
    </row>
    <row r="495" spans="1:13" x14ac:dyDescent="0.15">
      <c r="A495" t="s">
        <v>20</v>
      </c>
      <c r="F495"/>
      <c r="M495"/>
    </row>
    <row r="496" spans="1:13" x14ac:dyDescent="0.15">
      <c r="A496" t="s">
        <v>20</v>
      </c>
      <c r="F496"/>
      <c r="M496"/>
    </row>
    <row r="497" spans="1:13" x14ac:dyDescent="0.15">
      <c r="A497" t="s">
        <v>20</v>
      </c>
      <c r="F497"/>
      <c r="M497"/>
    </row>
    <row r="498" spans="1:13" x14ac:dyDescent="0.15">
      <c r="A498" t="s">
        <v>20</v>
      </c>
      <c r="F498"/>
      <c r="M498"/>
    </row>
    <row r="499" spans="1:13" x14ac:dyDescent="0.15">
      <c r="A499" t="s">
        <v>20</v>
      </c>
      <c r="F499"/>
      <c r="M499"/>
    </row>
    <row r="500" spans="1:13" x14ac:dyDescent="0.15">
      <c r="A500" t="s">
        <v>20</v>
      </c>
      <c r="F500"/>
      <c r="M500"/>
    </row>
    <row r="501" spans="1:13" x14ac:dyDescent="0.15">
      <c r="A501" t="s">
        <v>20</v>
      </c>
      <c r="F501"/>
      <c r="M501"/>
    </row>
    <row r="502" spans="1:13" x14ac:dyDescent="0.15">
      <c r="A502" t="s">
        <v>20</v>
      </c>
      <c r="F502"/>
      <c r="M502"/>
    </row>
    <row r="503" spans="1:13" x14ac:dyDescent="0.15">
      <c r="A503" t="s">
        <v>20</v>
      </c>
      <c r="F503"/>
      <c r="M503"/>
    </row>
    <row r="504" spans="1:13" x14ac:dyDescent="0.15">
      <c r="A504" t="s">
        <v>20</v>
      </c>
      <c r="F504"/>
      <c r="M504"/>
    </row>
    <row r="505" spans="1:13" x14ac:dyDescent="0.15">
      <c r="A505" t="s">
        <v>20</v>
      </c>
      <c r="F505"/>
      <c r="M505"/>
    </row>
    <row r="506" spans="1:13" x14ac:dyDescent="0.15">
      <c r="A506" t="s">
        <v>20</v>
      </c>
      <c r="F506"/>
      <c r="M506"/>
    </row>
    <row r="507" spans="1:13" x14ac:dyDescent="0.15">
      <c r="A507" t="s">
        <v>20</v>
      </c>
      <c r="F507"/>
      <c r="M507"/>
    </row>
    <row r="508" spans="1:13" x14ac:dyDescent="0.15">
      <c r="A508" t="s">
        <v>20</v>
      </c>
      <c r="F508"/>
      <c r="M508"/>
    </row>
    <row r="509" spans="1:13" x14ac:dyDescent="0.15">
      <c r="A509" t="s">
        <v>20</v>
      </c>
      <c r="F509"/>
      <c r="M509"/>
    </row>
    <row r="510" spans="1:13" x14ac:dyDescent="0.15">
      <c r="A510" t="s">
        <v>20</v>
      </c>
      <c r="F510"/>
      <c r="M510"/>
    </row>
    <row r="511" spans="1:13" x14ac:dyDescent="0.15">
      <c r="A511" t="s">
        <v>20</v>
      </c>
      <c r="F511"/>
      <c r="M511"/>
    </row>
    <row r="512" spans="1:13" x14ac:dyDescent="0.15">
      <c r="A512" t="s">
        <v>20</v>
      </c>
      <c r="F512"/>
      <c r="M512"/>
    </row>
    <row r="513" spans="1:13" x14ac:dyDescent="0.15">
      <c r="A513" t="s">
        <v>20</v>
      </c>
      <c r="F513"/>
      <c r="M513"/>
    </row>
    <row r="514" spans="1:13" x14ac:dyDescent="0.15">
      <c r="A514" t="s">
        <v>20</v>
      </c>
      <c r="F514"/>
      <c r="M514"/>
    </row>
    <row r="515" spans="1:13" x14ac:dyDescent="0.15">
      <c r="A515" t="s">
        <v>20</v>
      </c>
      <c r="F515"/>
      <c r="M515"/>
    </row>
    <row r="516" spans="1:13" x14ac:dyDescent="0.15">
      <c r="A516" t="s">
        <v>20</v>
      </c>
      <c r="F516"/>
      <c r="M516"/>
    </row>
    <row r="517" spans="1:13" x14ac:dyDescent="0.15">
      <c r="A517" t="s">
        <v>20</v>
      </c>
      <c r="F517"/>
      <c r="M517"/>
    </row>
    <row r="518" spans="1:13" x14ac:dyDescent="0.15">
      <c r="A518" t="s">
        <v>20</v>
      </c>
      <c r="F518"/>
      <c r="M518"/>
    </row>
    <row r="519" spans="1:13" x14ac:dyDescent="0.15">
      <c r="A519" t="s">
        <v>20</v>
      </c>
      <c r="F519"/>
      <c r="M519"/>
    </row>
    <row r="520" spans="1:13" x14ac:dyDescent="0.15">
      <c r="A520" t="s">
        <v>20</v>
      </c>
      <c r="F520"/>
      <c r="M520"/>
    </row>
    <row r="521" spans="1:13" x14ac:dyDescent="0.15">
      <c r="A521" t="s">
        <v>20</v>
      </c>
      <c r="F521"/>
      <c r="M521"/>
    </row>
    <row r="522" spans="1:13" x14ac:dyDescent="0.15">
      <c r="A522" t="s">
        <v>20</v>
      </c>
      <c r="F522"/>
      <c r="M522"/>
    </row>
    <row r="523" spans="1:13" x14ac:dyDescent="0.15">
      <c r="A523" t="s">
        <v>20</v>
      </c>
      <c r="F523"/>
      <c r="M523"/>
    </row>
    <row r="524" spans="1:13" x14ac:dyDescent="0.15">
      <c r="A524" t="s">
        <v>20</v>
      </c>
      <c r="F524"/>
      <c r="M524"/>
    </row>
    <row r="525" spans="1:13" x14ac:dyDescent="0.15">
      <c r="A525" t="s">
        <v>20</v>
      </c>
      <c r="F525"/>
      <c r="M525"/>
    </row>
    <row r="526" spans="1:13" x14ac:dyDescent="0.15">
      <c r="A526" t="s">
        <v>20</v>
      </c>
      <c r="F526"/>
      <c r="M526"/>
    </row>
    <row r="527" spans="1:13" x14ac:dyDescent="0.15">
      <c r="A527" t="s">
        <v>20</v>
      </c>
      <c r="F527"/>
      <c r="M527"/>
    </row>
    <row r="528" spans="1:13" x14ac:dyDescent="0.15">
      <c r="A528" t="s">
        <v>20</v>
      </c>
      <c r="F528"/>
      <c r="M528"/>
    </row>
    <row r="529" spans="1:13" x14ac:dyDescent="0.15">
      <c r="A529" t="s">
        <v>20</v>
      </c>
      <c r="F529"/>
      <c r="M529"/>
    </row>
    <row r="530" spans="1:13" x14ac:dyDescent="0.15">
      <c r="A530" t="s">
        <v>20</v>
      </c>
      <c r="F530"/>
      <c r="M530"/>
    </row>
    <row r="531" spans="1:13" x14ac:dyDescent="0.15">
      <c r="A531" t="s">
        <v>20</v>
      </c>
      <c r="F531"/>
      <c r="M531"/>
    </row>
    <row r="532" spans="1:13" x14ac:dyDescent="0.15">
      <c r="A532" t="s">
        <v>20</v>
      </c>
      <c r="F532"/>
      <c r="M532"/>
    </row>
    <row r="533" spans="1:13" x14ac:dyDescent="0.15">
      <c r="A533" t="s">
        <v>20</v>
      </c>
      <c r="F533"/>
      <c r="M533"/>
    </row>
    <row r="534" spans="1:13" x14ac:dyDescent="0.15">
      <c r="A534" t="s">
        <v>20</v>
      </c>
      <c r="F534"/>
      <c r="M534"/>
    </row>
    <row r="535" spans="1:13" x14ac:dyDescent="0.15">
      <c r="A535" t="s">
        <v>20</v>
      </c>
      <c r="F535"/>
      <c r="M535"/>
    </row>
    <row r="536" spans="1:13" x14ac:dyDescent="0.15">
      <c r="A536" t="s">
        <v>20</v>
      </c>
      <c r="F536"/>
      <c r="M536"/>
    </row>
    <row r="537" spans="1:13" x14ac:dyDescent="0.15">
      <c r="A537" t="s">
        <v>21</v>
      </c>
      <c r="F537"/>
      <c r="M537"/>
    </row>
    <row r="538" spans="1:13" x14ac:dyDescent="0.15">
      <c r="A538" t="s">
        <v>21</v>
      </c>
      <c r="F538"/>
      <c r="M538"/>
    </row>
    <row r="539" spans="1:13" x14ac:dyDescent="0.15">
      <c r="A539" t="s">
        <v>21</v>
      </c>
      <c r="F539"/>
      <c r="M539"/>
    </row>
    <row r="540" spans="1:13" x14ac:dyDescent="0.15">
      <c r="A540" t="s">
        <v>21</v>
      </c>
      <c r="F540"/>
      <c r="M540"/>
    </row>
    <row r="541" spans="1:13" x14ac:dyDescent="0.15">
      <c r="A541" t="s">
        <v>21</v>
      </c>
      <c r="F541"/>
      <c r="M541"/>
    </row>
    <row r="542" spans="1:13" x14ac:dyDescent="0.15">
      <c r="A542" t="s">
        <v>21</v>
      </c>
      <c r="F542"/>
      <c r="M542"/>
    </row>
    <row r="543" spans="1:13" x14ac:dyDescent="0.15">
      <c r="A543" t="s">
        <v>21</v>
      </c>
      <c r="F543"/>
      <c r="M543"/>
    </row>
    <row r="544" spans="1:13" x14ac:dyDescent="0.15">
      <c r="A544" t="s">
        <v>21</v>
      </c>
      <c r="F544"/>
      <c r="M544"/>
    </row>
    <row r="545" spans="1:13" x14ac:dyDescent="0.15">
      <c r="A545" t="s">
        <v>21</v>
      </c>
      <c r="F545"/>
      <c r="M545"/>
    </row>
    <row r="546" spans="1:13" x14ac:dyDescent="0.15">
      <c r="A546" t="s">
        <v>21</v>
      </c>
      <c r="F546"/>
      <c r="M546"/>
    </row>
    <row r="547" spans="1:13" x14ac:dyDescent="0.15">
      <c r="A547" t="s">
        <v>21</v>
      </c>
      <c r="F547"/>
      <c r="M547"/>
    </row>
    <row r="548" spans="1:13" x14ac:dyDescent="0.15">
      <c r="A548" t="s">
        <v>21</v>
      </c>
      <c r="F548"/>
      <c r="M548"/>
    </row>
    <row r="549" spans="1:13" x14ac:dyDescent="0.15">
      <c r="A549" t="s">
        <v>21</v>
      </c>
      <c r="F549"/>
      <c r="M549"/>
    </row>
    <row r="550" spans="1:13" x14ac:dyDescent="0.15">
      <c r="A550" t="s">
        <v>21</v>
      </c>
      <c r="F550"/>
      <c r="M550"/>
    </row>
    <row r="551" spans="1:13" x14ac:dyDescent="0.15">
      <c r="A551" t="s">
        <v>21</v>
      </c>
      <c r="F551"/>
      <c r="M551"/>
    </row>
    <row r="552" spans="1:13" x14ac:dyDescent="0.15">
      <c r="A552" t="s">
        <v>21</v>
      </c>
      <c r="F552"/>
      <c r="M552"/>
    </row>
    <row r="553" spans="1:13" x14ac:dyDescent="0.15">
      <c r="A553" t="s">
        <v>21</v>
      </c>
      <c r="F553"/>
      <c r="M553"/>
    </row>
    <row r="554" spans="1:13" x14ac:dyDescent="0.15">
      <c r="A554" t="s">
        <v>21</v>
      </c>
      <c r="F554"/>
      <c r="M554"/>
    </row>
    <row r="555" spans="1:13" x14ac:dyDescent="0.15">
      <c r="A555" t="s">
        <v>21</v>
      </c>
      <c r="F555"/>
      <c r="M555"/>
    </row>
    <row r="556" spans="1:13" x14ac:dyDescent="0.15">
      <c r="A556" t="s">
        <v>21</v>
      </c>
      <c r="F556"/>
      <c r="M556"/>
    </row>
    <row r="557" spans="1:13" x14ac:dyDescent="0.15">
      <c r="A557" t="s">
        <v>21</v>
      </c>
      <c r="F557"/>
      <c r="M557"/>
    </row>
    <row r="558" spans="1:13" x14ac:dyDescent="0.15">
      <c r="A558" t="s">
        <v>21</v>
      </c>
      <c r="F558"/>
      <c r="M558"/>
    </row>
    <row r="559" spans="1:13" x14ac:dyDescent="0.15">
      <c r="A559" t="s">
        <v>21</v>
      </c>
      <c r="F559"/>
      <c r="M559"/>
    </row>
    <row r="560" spans="1:13" x14ac:dyDescent="0.15">
      <c r="A560" t="s">
        <v>21</v>
      </c>
      <c r="F560"/>
      <c r="M560"/>
    </row>
    <row r="561" spans="1:13" x14ac:dyDescent="0.15">
      <c r="A561" t="s">
        <v>21</v>
      </c>
      <c r="F561"/>
      <c r="M561"/>
    </row>
    <row r="562" spans="1:13" x14ac:dyDescent="0.15">
      <c r="A562" t="s">
        <v>21</v>
      </c>
      <c r="F562"/>
      <c r="M562"/>
    </row>
    <row r="563" spans="1:13" x14ac:dyDescent="0.15">
      <c r="A563" t="s">
        <v>21</v>
      </c>
      <c r="F563"/>
      <c r="M563"/>
    </row>
    <row r="564" spans="1:13" x14ac:dyDescent="0.15">
      <c r="A564" t="s">
        <v>21</v>
      </c>
      <c r="F564"/>
      <c r="M564"/>
    </row>
    <row r="565" spans="1:13" x14ac:dyDescent="0.15">
      <c r="A565" t="s">
        <v>21</v>
      </c>
      <c r="F565"/>
      <c r="M565"/>
    </row>
    <row r="566" spans="1:13" x14ac:dyDescent="0.15">
      <c r="A566" t="s">
        <v>21</v>
      </c>
      <c r="F566"/>
      <c r="M566"/>
    </row>
    <row r="567" spans="1:13" x14ac:dyDescent="0.15">
      <c r="A567" t="s">
        <v>21</v>
      </c>
      <c r="F567"/>
      <c r="M567"/>
    </row>
    <row r="568" spans="1:13" x14ac:dyDescent="0.15">
      <c r="A568" t="s">
        <v>21</v>
      </c>
      <c r="F568"/>
      <c r="M568"/>
    </row>
    <row r="569" spans="1:13" x14ac:dyDescent="0.15">
      <c r="A569" t="s">
        <v>21</v>
      </c>
      <c r="F569"/>
      <c r="M569"/>
    </row>
    <row r="570" spans="1:13" x14ac:dyDescent="0.15">
      <c r="A570" t="s">
        <v>21</v>
      </c>
      <c r="F570"/>
      <c r="M570"/>
    </row>
    <row r="571" spans="1:13" x14ac:dyDescent="0.15">
      <c r="A571" t="s">
        <v>21</v>
      </c>
      <c r="F571"/>
      <c r="M571"/>
    </row>
    <row r="572" spans="1:13" x14ac:dyDescent="0.15">
      <c r="A572" t="s">
        <v>21</v>
      </c>
      <c r="F572"/>
      <c r="M572"/>
    </row>
    <row r="573" spans="1:13" x14ac:dyDescent="0.15">
      <c r="A573" t="s">
        <v>21</v>
      </c>
      <c r="F573"/>
      <c r="M573"/>
    </row>
    <row r="574" spans="1:13" x14ac:dyDescent="0.15">
      <c r="A574" t="s">
        <v>21</v>
      </c>
      <c r="F574"/>
      <c r="M574"/>
    </row>
    <row r="575" spans="1:13" x14ac:dyDescent="0.15">
      <c r="A575" t="s">
        <v>21</v>
      </c>
      <c r="F575"/>
      <c r="M575"/>
    </row>
    <row r="576" spans="1:13" x14ac:dyDescent="0.15">
      <c r="A576" t="s">
        <v>21</v>
      </c>
      <c r="F576"/>
      <c r="M576"/>
    </row>
    <row r="577" spans="1:13" x14ac:dyDescent="0.15">
      <c r="A577" t="s">
        <v>21</v>
      </c>
      <c r="F577"/>
      <c r="M577"/>
    </row>
    <row r="578" spans="1:13" x14ac:dyDescent="0.15">
      <c r="A578" t="s">
        <v>21</v>
      </c>
      <c r="F578"/>
      <c r="M578"/>
    </row>
    <row r="579" spans="1:13" x14ac:dyDescent="0.15">
      <c r="A579" t="s">
        <v>21</v>
      </c>
      <c r="F579"/>
      <c r="M579"/>
    </row>
    <row r="580" spans="1:13" x14ac:dyDescent="0.15">
      <c r="A580" t="s">
        <v>21</v>
      </c>
      <c r="F580"/>
      <c r="M580"/>
    </row>
    <row r="581" spans="1:13" x14ac:dyDescent="0.15">
      <c r="A581" t="s">
        <v>21</v>
      </c>
      <c r="F581"/>
      <c r="M581"/>
    </row>
    <row r="582" spans="1:13" x14ac:dyDescent="0.15">
      <c r="A582" t="s">
        <v>21</v>
      </c>
      <c r="F582"/>
      <c r="M582"/>
    </row>
    <row r="583" spans="1:13" x14ac:dyDescent="0.15">
      <c r="A583" t="s">
        <v>21</v>
      </c>
      <c r="F583"/>
      <c r="M583"/>
    </row>
    <row r="584" spans="1:13" x14ac:dyDescent="0.15">
      <c r="A584" t="s">
        <v>21</v>
      </c>
      <c r="F584"/>
      <c r="M584"/>
    </row>
    <row r="585" spans="1:13" x14ac:dyDescent="0.15">
      <c r="A585" t="s">
        <v>21</v>
      </c>
      <c r="F585"/>
      <c r="M585"/>
    </row>
    <row r="586" spans="1:13" x14ac:dyDescent="0.15">
      <c r="A586" t="s">
        <v>21</v>
      </c>
      <c r="F586"/>
      <c r="M586"/>
    </row>
    <row r="587" spans="1:13" x14ac:dyDescent="0.15">
      <c r="A587" t="s">
        <v>21</v>
      </c>
      <c r="F587"/>
      <c r="M587"/>
    </row>
    <row r="588" spans="1:13" x14ac:dyDescent="0.15">
      <c r="A588" t="s">
        <v>21</v>
      </c>
      <c r="F588"/>
      <c r="M588"/>
    </row>
    <row r="589" spans="1:13" x14ac:dyDescent="0.15">
      <c r="A589" t="s">
        <v>21</v>
      </c>
      <c r="F589"/>
      <c r="M589"/>
    </row>
    <row r="590" spans="1:13" x14ac:dyDescent="0.15">
      <c r="A590" t="s">
        <v>21</v>
      </c>
      <c r="F590"/>
      <c r="M590"/>
    </row>
    <row r="591" spans="1:13" x14ac:dyDescent="0.15">
      <c r="A591" t="s">
        <v>21</v>
      </c>
      <c r="F591"/>
      <c r="M591"/>
    </row>
    <row r="592" spans="1:13" x14ac:dyDescent="0.15">
      <c r="A592" t="s">
        <v>21</v>
      </c>
      <c r="F592"/>
      <c r="M592"/>
    </row>
    <row r="593" spans="1:13" x14ac:dyDescent="0.15">
      <c r="A593" t="s">
        <v>21</v>
      </c>
      <c r="F593"/>
      <c r="M593"/>
    </row>
    <row r="594" spans="1:13" x14ac:dyDescent="0.15">
      <c r="A594" t="s">
        <v>21</v>
      </c>
      <c r="F594"/>
      <c r="M594"/>
    </row>
    <row r="595" spans="1:13" x14ac:dyDescent="0.15">
      <c r="A595" t="s">
        <v>21</v>
      </c>
      <c r="F595"/>
      <c r="M595"/>
    </row>
    <row r="596" spans="1:13" x14ac:dyDescent="0.15">
      <c r="A596" t="s">
        <v>21</v>
      </c>
      <c r="F596"/>
      <c r="M596"/>
    </row>
    <row r="597" spans="1:13" x14ac:dyDescent="0.15">
      <c r="A597" t="s">
        <v>21</v>
      </c>
      <c r="F597"/>
      <c r="M597"/>
    </row>
    <row r="598" spans="1:13" x14ac:dyDescent="0.15">
      <c r="A598" t="s">
        <v>21</v>
      </c>
      <c r="F598"/>
      <c r="M598"/>
    </row>
    <row r="599" spans="1:13" x14ac:dyDescent="0.15">
      <c r="A599" t="s">
        <v>21</v>
      </c>
      <c r="F599"/>
      <c r="M599"/>
    </row>
    <row r="600" spans="1:13" x14ac:dyDescent="0.15">
      <c r="A600" t="s">
        <v>21</v>
      </c>
      <c r="F600"/>
      <c r="M600"/>
    </row>
    <row r="601" spans="1:13" x14ac:dyDescent="0.15">
      <c r="A601" t="s">
        <v>21</v>
      </c>
      <c r="F601"/>
      <c r="M601"/>
    </row>
    <row r="602" spans="1:13" x14ac:dyDescent="0.15">
      <c r="A602" t="s">
        <v>21</v>
      </c>
      <c r="F602"/>
      <c r="M602"/>
    </row>
    <row r="603" spans="1:13" x14ac:dyDescent="0.15">
      <c r="A603" t="s">
        <v>21</v>
      </c>
      <c r="F603"/>
      <c r="M603"/>
    </row>
    <row r="604" spans="1:13" x14ac:dyDescent="0.15">
      <c r="A604" t="s">
        <v>21</v>
      </c>
      <c r="F604"/>
      <c r="M604"/>
    </row>
    <row r="605" spans="1:13" x14ac:dyDescent="0.15">
      <c r="A605" t="s">
        <v>21</v>
      </c>
      <c r="F605"/>
      <c r="M605"/>
    </row>
    <row r="606" spans="1:13" x14ac:dyDescent="0.15">
      <c r="A606" t="s">
        <v>21</v>
      </c>
      <c r="F606"/>
      <c r="M606"/>
    </row>
    <row r="607" spans="1:13" x14ac:dyDescent="0.15">
      <c r="A607" t="s">
        <v>21</v>
      </c>
      <c r="F607"/>
      <c r="M607"/>
    </row>
    <row r="608" spans="1:13" x14ac:dyDescent="0.15">
      <c r="A608" t="s">
        <v>21</v>
      </c>
      <c r="F608"/>
      <c r="M608"/>
    </row>
    <row r="609" spans="1:13" x14ac:dyDescent="0.15">
      <c r="A609" t="s">
        <v>21</v>
      </c>
      <c r="F609"/>
      <c r="M609"/>
    </row>
    <row r="610" spans="1:13" x14ac:dyDescent="0.15">
      <c r="A610" t="s">
        <v>21</v>
      </c>
      <c r="F610"/>
      <c r="M610"/>
    </row>
    <row r="611" spans="1:13" x14ac:dyDescent="0.15">
      <c r="A611" t="s">
        <v>21</v>
      </c>
      <c r="F611"/>
      <c r="M611"/>
    </row>
    <row r="612" spans="1:13" x14ac:dyDescent="0.15">
      <c r="A612" t="s">
        <v>21</v>
      </c>
      <c r="F612"/>
      <c r="M612"/>
    </row>
    <row r="613" spans="1:13" x14ac:dyDescent="0.15">
      <c r="A613" t="s">
        <v>21</v>
      </c>
      <c r="F613"/>
      <c r="M613"/>
    </row>
    <row r="614" spans="1:13" x14ac:dyDescent="0.15">
      <c r="A614" t="s">
        <v>21</v>
      </c>
      <c r="F614"/>
      <c r="M614"/>
    </row>
    <row r="615" spans="1:13" x14ac:dyDescent="0.15">
      <c r="A615" t="s">
        <v>21</v>
      </c>
      <c r="F615"/>
      <c r="M615"/>
    </row>
    <row r="616" spans="1:13" x14ac:dyDescent="0.15">
      <c r="A616" t="s">
        <v>21</v>
      </c>
      <c r="F616"/>
      <c r="M616"/>
    </row>
    <row r="617" spans="1:13" x14ac:dyDescent="0.15">
      <c r="A617" t="s">
        <v>21</v>
      </c>
      <c r="F617"/>
      <c r="M617"/>
    </row>
    <row r="618" spans="1:13" x14ac:dyDescent="0.15">
      <c r="A618" t="s">
        <v>21</v>
      </c>
      <c r="F618"/>
      <c r="M618"/>
    </row>
    <row r="619" spans="1:13" x14ac:dyDescent="0.15">
      <c r="A619" t="s">
        <v>21</v>
      </c>
      <c r="F619"/>
      <c r="M619"/>
    </row>
    <row r="620" spans="1:13" x14ac:dyDescent="0.15">
      <c r="A620" t="s">
        <v>21</v>
      </c>
      <c r="F620"/>
      <c r="M620"/>
    </row>
    <row r="621" spans="1:13" x14ac:dyDescent="0.15">
      <c r="A621" t="s">
        <v>21</v>
      </c>
      <c r="F621"/>
      <c r="M621"/>
    </row>
    <row r="622" spans="1:13" x14ac:dyDescent="0.15">
      <c r="A622" t="s">
        <v>21</v>
      </c>
      <c r="F622"/>
      <c r="M622"/>
    </row>
    <row r="623" spans="1:13" x14ac:dyDescent="0.15">
      <c r="A623" t="s">
        <v>21</v>
      </c>
      <c r="F623"/>
      <c r="M623"/>
    </row>
    <row r="624" spans="1:13" x14ac:dyDescent="0.15">
      <c r="A624" t="s">
        <v>21</v>
      </c>
      <c r="F624"/>
      <c r="M624"/>
    </row>
    <row r="625" spans="1:13" x14ac:dyDescent="0.15">
      <c r="A625" t="s">
        <v>21</v>
      </c>
      <c r="F625"/>
      <c r="M625"/>
    </row>
    <row r="626" spans="1:13" x14ac:dyDescent="0.15">
      <c r="A626" t="s">
        <v>21</v>
      </c>
      <c r="F626"/>
      <c r="M626"/>
    </row>
    <row r="627" spans="1:13" x14ac:dyDescent="0.15">
      <c r="A627" t="s">
        <v>21</v>
      </c>
      <c r="F627"/>
      <c r="M627"/>
    </row>
    <row r="628" spans="1:13" x14ac:dyDescent="0.15">
      <c r="A628" t="s">
        <v>21</v>
      </c>
      <c r="F628"/>
      <c r="M628"/>
    </row>
    <row r="629" spans="1:13" x14ac:dyDescent="0.15">
      <c r="A629" t="s">
        <v>21</v>
      </c>
      <c r="F629"/>
      <c r="M629"/>
    </row>
    <row r="630" spans="1:13" x14ac:dyDescent="0.15">
      <c r="A630" t="s">
        <v>21</v>
      </c>
      <c r="F630"/>
      <c r="M630"/>
    </row>
    <row r="631" spans="1:13" x14ac:dyDescent="0.15">
      <c r="A631" t="s">
        <v>21</v>
      </c>
      <c r="F631"/>
      <c r="M631"/>
    </row>
    <row r="632" spans="1:13" x14ac:dyDescent="0.15">
      <c r="A632" t="s">
        <v>21</v>
      </c>
      <c r="F632"/>
      <c r="M632"/>
    </row>
    <row r="633" spans="1:13" x14ac:dyDescent="0.15">
      <c r="A633" t="s">
        <v>21</v>
      </c>
      <c r="F633"/>
      <c r="M633"/>
    </row>
    <row r="634" spans="1:13" x14ac:dyDescent="0.15">
      <c r="A634" t="s">
        <v>21</v>
      </c>
      <c r="F634"/>
      <c r="M634"/>
    </row>
    <row r="635" spans="1:13" x14ac:dyDescent="0.15">
      <c r="A635" t="s">
        <v>21</v>
      </c>
      <c r="F635"/>
      <c r="M635"/>
    </row>
    <row r="636" spans="1:13" x14ac:dyDescent="0.15">
      <c r="A636" t="s">
        <v>21</v>
      </c>
      <c r="F636"/>
      <c r="M636"/>
    </row>
    <row r="637" spans="1:13" x14ac:dyDescent="0.15">
      <c r="A637" t="s">
        <v>21</v>
      </c>
      <c r="F637"/>
      <c r="M637"/>
    </row>
    <row r="638" spans="1:13" x14ac:dyDescent="0.15">
      <c r="A638" t="s">
        <v>21</v>
      </c>
      <c r="F638"/>
      <c r="M638"/>
    </row>
    <row r="639" spans="1:13" x14ac:dyDescent="0.15">
      <c r="A639" t="s">
        <v>21</v>
      </c>
      <c r="F639"/>
      <c r="M639"/>
    </row>
    <row r="640" spans="1:13" x14ac:dyDescent="0.15">
      <c r="A640" t="s">
        <v>21</v>
      </c>
      <c r="F640"/>
      <c r="M640"/>
    </row>
    <row r="641" spans="1:13" x14ac:dyDescent="0.15">
      <c r="A641" t="s">
        <v>21</v>
      </c>
      <c r="F641"/>
      <c r="M641"/>
    </row>
    <row r="642" spans="1:13" x14ac:dyDescent="0.15">
      <c r="A642" t="s">
        <v>21</v>
      </c>
      <c r="F642"/>
      <c r="M642"/>
    </row>
    <row r="643" spans="1:13" x14ac:dyDescent="0.15">
      <c r="A643" t="s">
        <v>21</v>
      </c>
      <c r="F643"/>
      <c r="M643"/>
    </row>
    <row r="644" spans="1:13" x14ac:dyDescent="0.15">
      <c r="A644" t="s">
        <v>21</v>
      </c>
      <c r="F644"/>
      <c r="M644"/>
    </row>
    <row r="645" spans="1:13" x14ac:dyDescent="0.15">
      <c r="A645" t="s">
        <v>21</v>
      </c>
      <c r="F645"/>
      <c r="M645"/>
    </row>
    <row r="646" spans="1:13" x14ac:dyDescent="0.15">
      <c r="A646" t="s">
        <v>21</v>
      </c>
      <c r="F646"/>
      <c r="M646"/>
    </row>
    <row r="647" spans="1:13" x14ac:dyDescent="0.15">
      <c r="A647" t="s">
        <v>21</v>
      </c>
      <c r="F647"/>
      <c r="M647"/>
    </row>
    <row r="648" spans="1:13" x14ac:dyDescent="0.15">
      <c r="A648" t="s">
        <v>21</v>
      </c>
      <c r="F648"/>
      <c r="M648"/>
    </row>
    <row r="649" spans="1:13" x14ac:dyDescent="0.15">
      <c r="A649" t="s">
        <v>21</v>
      </c>
      <c r="F649"/>
      <c r="M649"/>
    </row>
    <row r="650" spans="1:13" x14ac:dyDescent="0.15">
      <c r="A650" t="s">
        <v>21</v>
      </c>
      <c r="F650"/>
      <c r="M650"/>
    </row>
    <row r="651" spans="1:13" x14ac:dyDescent="0.15">
      <c r="A651" t="s">
        <v>21</v>
      </c>
      <c r="F651"/>
      <c r="M651"/>
    </row>
    <row r="652" spans="1:13" x14ac:dyDescent="0.15">
      <c r="A652" t="s">
        <v>21</v>
      </c>
      <c r="F652"/>
      <c r="M652"/>
    </row>
    <row r="653" spans="1:13" x14ac:dyDescent="0.15">
      <c r="A653" t="s">
        <v>21</v>
      </c>
      <c r="F653"/>
      <c r="M653"/>
    </row>
    <row r="654" spans="1:13" x14ac:dyDescent="0.15">
      <c r="A654" t="s">
        <v>21</v>
      </c>
      <c r="F654"/>
      <c r="M654"/>
    </row>
    <row r="655" spans="1:13" x14ac:dyDescent="0.15">
      <c r="A655" t="s">
        <v>21</v>
      </c>
      <c r="F655"/>
      <c r="M655"/>
    </row>
    <row r="656" spans="1:13" x14ac:dyDescent="0.15">
      <c r="A656" t="s">
        <v>21</v>
      </c>
      <c r="F656"/>
      <c r="M656"/>
    </row>
    <row r="657" spans="1:13" x14ac:dyDescent="0.15">
      <c r="A657" t="s">
        <v>21</v>
      </c>
      <c r="F657"/>
      <c r="M657"/>
    </row>
    <row r="658" spans="1:13" x14ac:dyDescent="0.15">
      <c r="A658" t="s">
        <v>21</v>
      </c>
      <c r="F658"/>
      <c r="M658"/>
    </row>
    <row r="659" spans="1:13" x14ac:dyDescent="0.15">
      <c r="A659" t="s">
        <v>21</v>
      </c>
      <c r="F659"/>
      <c r="M659"/>
    </row>
    <row r="660" spans="1:13" x14ac:dyDescent="0.15">
      <c r="A660" t="s">
        <v>21</v>
      </c>
      <c r="F660"/>
      <c r="M660"/>
    </row>
    <row r="661" spans="1:13" x14ac:dyDescent="0.15">
      <c r="A661" t="s">
        <v>21</v>
      </c>
      <c r="F661"/>
      <c r="M661"/>
    </row>
    <row r="662" spans="1:13" x14ac:dyDescent="0.15">
      <c r="A662" t="s">
        <v>21</v>
      </c>
      <c r="F662"/>
      <c r="M662"/>
    </row>
    <row r="663" spans="1:13" x14ac:dyDescent="0.15">
      <c r="A663" t="s">
        <v>21</v>
      </c>
      <c r="F663"/>
      <c r="M663"/>
    </row>
    <row r="664" spans="1:13" x14ac:dyDescent="0.15">
      <c r="A664" t="s">
        <v>21</v>
      </c>
      <c r="F664"/>
      <c r="M664"/>
    </row>
    <row r="665" spans="1:13" x14ac:dyDescent="0.15">
      <c r="A665" t="s">
        <v>21</v>
      </c>
      <c r="F665"/>
      <c r="M665"/>
    </row>
    <row r="666" spans="1:13" x14ac:dyDescent="0.15">
      <c r="A666" t="s">
        <v>21</v>
      </c>
      <c r="F666"/>
      <c r="M666"/>
    </row>
    <row r="667" spans="1:13" x14ac:dyDescent="0.15">
      <c r="A667" t="s">
        <v>21</v>
      </c>
      <c r="F667"/>
      <c r="M667"/>
    </row>
    <row r="668" spans="1:13" x14ac:dyDescent="0.15">
      <c r="A668" t="s">
        <v>21</v>
      </c>
      <c r="F668"/>
      <c r="M668"/>
    </row>
    <row r="669" spans="1:13" x14ac:dyDescent="0.15">
      <c r="A669" t="s">
        <v>21</v>
      </c>
      <c r="F669"/>
      <c r="M669"/>
    </row>
    <row r="670" spans="1:13" x14ac:dyDescent="0.15">
      <c r="A670" t="s">
        <v>21</v>
      </c>
      <c r="F670"/>
      <c r="M670"/>
    </row>
    <row r="671" spans="1:13" x14ac:dyDescent="0.15">
      <c r="A671" t="s">
        <v>21</v>
      </c>
      <c r="F671"/>
      <c r="M671"/>
    </row>
    <row r="672" spans="1:13" x14ac:dyDescent="0.15">
      <c r="A672" t="s">
        <v>21</v>
      </c>
      <c r="F672"/>
      <c r="M672"/>
    </row>
    <row r="673" spans="1:13" x14ac:dyDescent="0.15">
      <c r="A673" t="s">
        <v>21</v>
      </c>
      <c r="F673"/>
      <c r="M673"/>
    </row>
    <row r="674" spans="1:13" x14ac:dyDescent="0.15">
      <c r="A674" t="s">
        <v>21</v>
      </c>
      <c r="F674"/>
      <c r="M674"/>
    </row>
    <row r="675" spans="1:13" x14ac:dyDescent="0.15">
      <c r="A675" t="s">
        <v>21</v>
      </c>
      <c r="F675"/>
      <c r="M675"/>
    </row>
    <row r="676" spans="1:13" x14ac:dyDescent="0.15">
      <c r="A676" t="s">
        <v>21</v>
      </c>
      <c r="F676"/>
      <c r="M676"/>
    </row>
    <row r="677" spans="1:13" x14ac:dyDescent="0.15">
      <c r="A677" t="s">
        <v>21</v>
      </c>
      <c r="F677"/>
      <c r="M677"/>
    </row>
    <row r="678" spans="1:13" x14ac:dyDescent="0.15">
      <c r="A678" t="s">
        <v>21</v>
      </c>
      <c r="F678"/>
      <c r="M678"/>
    </row>
    <row r="679" spans="1:13" x14ac:dyDescent="0.15">
      <c r="A679" t="s">
        <v>21</v>
      </c>
      <c r="F679"/>
      <c r="M679"/>
    </row>
    <row r="680" spans="1:13" x14ac:dyDescent="0.15">
      <c r="A680" t="s">
        <v>21</v>
      </c>
      <c r="F680"/>
      <c r="M680"/>
    </row>
    <row r="681" spans="1:13" x14ac:dyDescent="0.15">
      <c r="A681" t="s">
        <v>21</v>
      </c>
      <c r="F681"/>
      <c r="M681"/>
    </row>
    <row r="682" spans="1:13" x14ac:dyDescent="0.15">
      <c r="A682" t="s">
        <v>21</v>
      </c>
      <c r="F682"/>
      <c r="M682"/>
    </row>
    <row r="683" spans="1:13" x14ac:dyDescent="0.15">
      <c r="A683" t="s">
        <v>21</v>
      </c>
      <c r="F683"/>
      <c r="M683"/>
    </row>
    <row r="684" spans="1:13" x14ac:dyDescent="0.15">
      <c r="A684" t="s">
        <v>21</v>
      </c>
      <c r="F684"/>
      <c r="M684"/>
    </row>
    <row r="685" spans="1:13" x14ac:dyDescent="0.15">
      <c r="A685" t="s">
        <v>21</v>
      </c>
      <c r="F685"/>
      <c r="M685"/>
    </row>
    <row r="686" spans="1:13" x14ac:dyDescent="0.15">
      <c r="A686" t="s">
        <v>21</v>
      </c>
      <c r="F686"/>
      <c r="M686"/>
    </row>
    <row r="687" spans="1:13" x14ac:dyDescent="0.15">
      <c r="A687" t="s">
        <v>21</v>
      </c>
      <c r="F687"/>
      <c r="M687"/>
    </row>
    <row r="688" spans="1:13" x14ac:dyDescent="0.15">
      <c r="A688" t="s">
        <v>21</v>
      </c>
      <c r="F688"/>
      <c r="M688"/>
    </row>
    <row r="689" spans="1:13" x14ac:dyDescent="0.15">
      <c r="A689" t="s">
        <v>21</v>
      </c>
      <c r="F689"/>
      <c r="M689"/>
    </row>
    <row r="690" spans="1:13" x14ac:dyDescent="0.15">
      <c r="A690" t="s">
        <v>21</v>
      </c>
      <c r="F690"/>
      <c r="M690"/>
    </row>
    <row r="691" spans="1:13" x14ac:dyDescent="0.15">
      <c r="A691" t="s">
        <v>21</v>
      </c>
      <c r="F691"/>
      <c r="M691"/>
    </row>
    <row r="692" spans="1:13" x14ac:dyDescent="0.15">
      <c r="A692" t="s">
        <v>21</v>
      </c>
      <c r="F692"/>
      <c r="M692"/>
    </row>
    <row r="693" spans="1:13" x14ac:dyDescent="0.15">
      <c r="A693" t="s">
        <v>21</v>
      </c>
      <c r="F693"/>
      <c r="M693"/>
    </row>
    <row r="694" spans="1:13" x14ac:dyDescent="0.15">
      <c r="A694" t="s">
        <v>21</v>
      </c>
      <c r="F694"/>
      <c r="M694"/>
    </row>
    <row r="695" spans="1:13" x14ac:dyDescent="0.15">
      <c r="A695" t="s">
        <v>21</v>
      </c>
      <c r="F695"/>
      <c r="M695"/>
    </row>
    <row r="696" spans="1:13" x14ac:dyDescent="0.15">
      <c r="A696" t="s">
        <v>21</v>
      </c>
      <c r="F696"/>
      <c r="M696"/>
    </row>
    <row r="697" spans="1:13" x14ac:dyDescent="0.15">
      <c r="A697" t="s">
        <v>21</v>
      </c>
      <c r="F697"/>
      <c r="M697"/>
    </row>
    <row r="698" spans="1:13" x14ac:dyDescent="0.15">
      <c r="A698" t="s">
        <v>21</v>
      </c>
      <c r="F698"/>
      <c r="M698"/>
    </row>
    <row r="699" spans="1:13" x14ac:dyDescent="0.15">
      <c r="A699" t="s">
        <v>21</v>
      </c>
      <c r="F699"/>
      <c r="M699"/>
    </row>
    <row r="700" spans="1:13" x14ac:dyDescent="0.15">
      <c r="A700" t="s">
        <v>21</v>
      </c>
      <c r="F700"/>
      <c r="M700"/>
    </row>
    <row r="701" spans="1:13" x14ac:dyDescent="0.15">
      <c r="A701" t="s">
        <v>21</v>
      </c>
      <c r="F701"/>
      <c r="M701"/>
    </row>
    <row r="702" spans="1:13" x14ac:dyDescent="0.15">
      <c r="A702" t="s">
        <v>21</v>
      </c>
      <c r="F702"/>
      <c r="M702"/>
    </row>
    <row r="703" spans="1:13" x14ac:dyDescent="0.15">
      <c r="A703" t="s">
        <v>21</v>
      </c>
      <c r="F703"/>
      <c r="M703"/>
    </row>
    <row r="704" spans="1:13" x14ac:dyDescent="0.15">
      <c r="A704" t="s">
        <v>21</v>
      </c>
      <c r="F704"/>
      <c r="M704"/>
    </row>
    <row r="705" spans="1:13" x14ac:dyDescent="0.15">
      <c r="A705" t="s">
        <v>21</v>
      </c>
      <c r="F705"/>
      <c r="M705"/>
    </row>
    <row r="706" spans="1:13" x14ac:dyDescent="0.15">
      <c r="A706" t="s">
        <v>21</v>
      </c>
      <c r="F706"/>
      <c r="M706"/>
    </row>
    <row r="707" spans="1:13" x14ac:dyDescent="0.15">
      <c r="A707" t="s">
        <v>21</v>
      </c>
      <c r="F707"/>
      <c r="M707"/>
    </row>
    <row r="708" spans="1:13" x14ac:dyDescent="0.15">
      <c r="A708" t="s">
        <v>21</v>
      </c>
      <c r="F708"/>
      <c r="M708"/>
    </row>
    <row r="709" spans="1:13" x14ac:dyDescent="0.15">
      <c r="A709" t="s">
        <v>21</v>
      </c>
      <c r="F709"/>
      <c r="M709"/>
    </row>
    <row r="710" spans="1:13" x14ac:dyDescent="0.15">
      <c r="A710" t="s">
        <v>21</v>
      </c>
      <c r="F710"/>
      <c r="M710"/>
    </row>
    <row r="711" spans="1:13" x14ac:dyDescent="0.15">
      <c r="A711" t="s">
        <v>21</v>
      </c>
      <c r="F711"/>
      <c r="M711"/>
    </row>
    <row r="712" spans="1:13" x14ac:dyDescent="0.15">
      <c r="A712" t="s">
        <v>21</v>
      </c>
      <c r="F712"/>
      <c r="M712"/>
    </row>
    <row r="713" spans="1:13" x14ac:dyDescent="0.15">
      <c r="A713" t="s">
        <v>21</v>
      </c>
      <c r="F713"/>
      <c r="M713"/>
    </row>
    <row r="714" spans="1:13" x14ac:dyDescent="0.15">
      <c r="A714" t="s">
        <v>21</v>
      </c>
      <c r="F714"/>
      <c r="M714"/>
    </row>
    <row r="715" spans="1:13" x14ac:dyDescent="0.15">
      <c r="A715" t="s">
        <v>21</v>
      </c>
      <c r="F715"/>
      <c r="M715"/>
    </row>
    <row r="716" spans="1:13" x14ac:dyDescent="0.15">
      <c r="A716" t="s">
        <v>21</v>
      </c>
      <c r="F716"/>
      <c r="M716"/>
    </row>
    <row r="717" spans="1:13" x14ac:dyDescent="0.15">
      <c r="A717" t="s">
        <v>21</v>
      </c>
      <c r="F717"/>
      <c r="M717"/>
    </row>
    <row r="718" spans="1:13" x14ac:dyDescent="0.15">
      <c r="A718" t="s">
        <v>21</v>
      </c>
      <c r="F718"/>
      <c r="M718"/>
    </row>
    <row r="719" spans="1:13" x14ac:dyDescent="0.15">
      <c r="A719" t="s">
        <v>21</v>
      </c>
      <c r="F719"/>
      <c r="M719"/>
    </row>
    <row r="720" spans="1:13" x14ac:dyDescent="0.15">
      <c r="A720" t="s">
        <v>21</v>
      </c>
      <c r="F720"/>
      <c r="M720"/>
    </row>
    <row r="721" spans="1:13" x14ac:dyDescent="0.15">
      <c r="A721" t="s">
        <v>21</v>
      </c>
      <c r="F721"/>
      <c r="M721"/>
    </row>
    <row r="722" spans="1:13" x14ac:dyDescent="0.15">
      <c r="A722" t="s">
        <v>21</v>
      </c>
      <c r="F722"/>
      <c r="M722"/>
    </row>
    <row r="723" spans="1:13" x14ac:dyDescent="0.15">
      <c r="A723" t="s">
        <v>21</v>
      </c>
      <c r="F723"/>
      <c r="M723"/>
    </row>
    <row r="724" spans="1:13" x14ac:dyDescent="0.15">
      <c r="A724" t="s">
        <v>21</v>
      </c>
      <c r="F724"/>
      <c r="M724"/>
    </row>
    <row r="725" spans="1:13" x14ac:dyDescent="0.15">
      <c r="A725" t="s">
        <v>21</v>
      </c>
      <c r="F725"/>
      <c r="M725"/>
    </row>
    <row r="726" spans="1:13" x14ac:dyDescent="0.15">
      <c r="A726" t="s">
        <v>21</v>
      </c>
      <c r="F726"/>
      <c r="M726"/>
    </row>
    <row r="727" spans="1:13" x14ac:dyDescent="0.15">
      <c r="A727" t="s">
        <v>21</v>
      </c>
      <c r="F727"/>
      <c r="M727"/>
    </row>
    <row r="728" spans="1:13" x14ac:dyDescent="0.15">
      <c r="A728" t="s">
        <v>21</v>
      </c>
      <c r="F728"/>
      <c r="M728"/>
    </row>
    <row r="729" spans="1:13" x14ac:dyDescent="0.15">
      <c r="A729" t="s">
        <v>21</v>
      </c>
      <c r="F729"/>
      <c r="M729"/>
    </row>
    <row r="730" spans="1:13" x14ac:dyDescent="0.15">
      <c r="A730" t="s">
        <v>21</v>
      </c>
      <c r="F730"/>
      <c r="M730"/>
    </row>
    <row r="731" spans="1:13" x14ac:dyDescent="0.15">
      <c r="A731" t="s">
        <v>21</v>
      </c>
      <c r="F731"/>
      <c r="M731"/>
    </row>
    <row r="732" spans="1:13" x14ac:dyDescent="0.15">
      <c r="A732" t="s">
        <v>21</v>
      </c>
      <c r="F732"/>
      <c r="M732"/>
    </row>
    <row r="733" spans="1:13" x14ac:dyDescent="0.15">
      <c r="A733" t="s">
        <v>21</v>
      </c>
      <c r="F733"/>
      <c r="M733"/>
    </row>
    <row r="734" spans="1:13" x14ac:dyDescent="0.15">
      <c r="A734" t="s">
        <v>21</v>
      </c>
      <c r="F734"/>
      <c r="M734"/>
    </row>
    <row r="735" spans="1:13" x14ac:dyDescent="0.15">
      <c r="A735" t="s">
        <v>21</v>
      </c>
      <c r="F735"/>
      <c r="M735"/>
    </row>
    <row r="736" spans="1:13" x14ac:dyDescent="0.15">
      <c r="A736" t="s">
        <v>21</v>
      </c>
      <c r="F736"/>
      <c r="M736"/>
    </row>
    <row r="737" spans="1:13" x14ac:dyDescent="0.15">
      <c r="A737" t="s">
        <v>21</v>
      </c>
      <c r="F737"/>
      <c r="M737"/>
    </row>
    <row r="738" spans="1:13" x14ac:dyDescent="0.15">
      <c r="A738" t="s">
        <v>21</v>
      </c>
      <c r="F738"/>
      <c r="M738"/>
    </row>
    <row r="739" spans="1:13" x14ac:dyDescent="0.15">
      <c r="A739" t="s">
        <v>21</v>
      </c>
      <c r="F739"/>
      <c r="M739"/>
    </row>
    <row r="740" spans="1:13" x14ac:dyDescent="0.15">
      <c r="A740" t="s">
        <v>21</v>
      </c>
      <c r="F740"/>
      <c r="M740"/>
    </row>
    <row r="741" spans="1:13" x14ac:dyDescent="0.15">
      <c r="A741" t="s">
        <v>21</v>
      </c>
      <c r="F741"/>
      <c r="M741"/>
    </row>
    <row r="742" spans="1:13" x14ac:dyDescent="0.15">
      <c r="A742" t="s">
        <v>21</v>
      </c>
      <c r="F742"/>
      <c r="M742"/>
    </row>
    <row r="743" spans="1:13" x14ac:dyDescent="0.15">
      <c r="A743" t="s">
        <v>21</v>
      </c>
      <c r="F743"/>
      <c r="M743"/>
    </row>
    <row r="744" spans="1:13" x14ac:dyDescent="0.15">
      <c r="A744" t="s">
        <v>21</v>
      </c>
      <c r="F744"/>
      <c r="M744"/>
    </row>
    <row r="745" spans="1:13" x14ac:dyDescent="0.15">
      <c r="A745" t="s">
        <v>21</v>
      </c>
      <c r="F745"/>
      <c r="M745"/>
    </row>
    <row r="746" spans="1:13" x14ac:dyDescent="0.15">
      <c r="A746" t="s">
        <v>21</v>
      </c>
      <c r="F746"/>
      <c r="M746"/>
    </row>
    <row r="747" spans="1:13" x14ac:dyDescent="0.15">
      <c r="A747" t="s">
        <v>21</v>
      </c>
      <c r="F747"/>
      <c r="M747"/>
    </row>
    <row r="748" spans="1:13" x14ac:dyDescent="0.15">
      <c r="A748" t="s">
        <v>21</v>
      </c>
      <c r="F748"/>
      <c r="M748"/>
    </row>
    <row r="749" spans="1:13" x14ac:dyDescent="0.15">
      <c r="A749" t="s">
        <v>21</v>
      </c>
      <c r="F749"/>
      <c r="M749"/>
    </row>
    <row r="750" spans="1:13" x14ac:dyDescent="0.15">
      <c r="A750" t="s">
        <v>21</v>
      </c>
      <c r="F750"/>
      <c r="M750"/>
    </row>
    <row r="751" spans="1:13" x14ac:dyDescent="0.15">
      <c r="A751" t="s">
        <v>21</v>
      </c>
      <c r="F751"/>
      <c r="M751"/>
    </row>
    <row r="752" spans="1:13" x14ac:dyDescent="0.15">
      <c r="A752" t="s">
        <v>21</v>
      </c>
      <c r="F752"/>
      <c r="M752"/>
    </row>
    <row r="753" spans="1:13" x14ac:dyDescent="0.15">
      <c r="A753" t="s">
        <v>21</v>
      </c>
      <c r="F753"/>
      <c r="M753"/>
    </row>
    <row r="754" spans="1:13" x14ac:dyDescent="0.15">
      <c r="A754" t="s">
        <v>21</v>
      </c>
      <c r="F754"/>
      <c r="M754"/>
    </row>
    <row r="755" spans="1:13" x14ac:dyDescent="0.15">
      <c r="A755" t="s">
        <v>21</v>
      </c>
      <c r="F755"/>
      <c r="M755"/>
    </row>
    <row r="756" spans="1:13" x14ac:dyDescent="0.15">
      <c r="A756" t="s">
        <v>21</v>
      </c>
      <c r="F756"/>
      <c r="M756"/>
    </row>
    <row r="757" spans="1:13" x14ac:dyDescent="0.15">
      <c r="A757" t="s">
        <v>21</v>
      </c>
      <c r="F757"/>
      <c r="M757"/>
    </row>
    <row r="758" spans="1:13" x14ac:dyDescent="0.15">
      <c r="A758" t="s">
        <v>21</v>
      </c>
      <c r="F758"/>
      <c r="M758"/>
    </row>
    <row r="759" spans="1:13" x14ac:dyDescent="0.15">
      <c r="A759" t="s">
        <v>21</v>
      </c>
      <c r="F759"/>
      <c r="M759"/>
    </row>
    <row r="760" spans="1:13" x14ac:dyDescent="0.15">
      <c r="A760" t="s">
        <v>21</v>
      </c>
      <c r="F760"/>
      <c r="M760"/>
    </row>
    <row r="761" spans="1:13" x14ac:dyDescent="0.15">
      <c r="A761" t="s">
        <v>21</v>
      </c>
      <c r="F761"/>
      <c r="M761"/>
    </row>
    <row r="762" spans="1:13" x14ac:dyDescent="0.15">
      <c r="A762" t="s">
        <v>21</v>
      </c>
      <c r="F762"/>
      <c r="M762"/>
    </row>
    <row r="763" spans="1:13" x14ac:dyDescent="0.15">
      <c r="A763" t="s">
        <v>21</v>
      </c>
      <c r="F763"/>
      <c r="M763"/>
    </row>
    <row r="764" spans="1:13" x14ac:dyDescent="0.15">
      <c r="A764" t="s">
        <v>21</v>
      </c>
      <c r="F764"/>
      <c r="M764"/>
    </row>
    <row r="765" spans="1:13" x14ac:dyDescent="0.15">
      <c r="A765" t="s">
        <v>21</v>
      </c>
      <c r="F765"/>
      <c r="M765"/>
    </row>
    <row r="766" spans="1:13" x14ac:dyDescent="0.15">
      <c r="A766" t="s">
        <v>21</v>
      </c>
      <c r="F766"/>
      <c r="M766"/>
    </row>
    <row r="767" spans="1:13" x14ac:dyDescent="0.15">
      <c r="A767" t="s">
        <v>21</v>
      </c>
      <c r="F767"/>
      <c r="M767"/>
    </row>
    <row r="768" spans="1:13" x14ac:dyDescent="0.15">
      <c r="A768" t="s">
        <v>21</v>
      </c>
      <c r="F768"/>
      <c r="M768"/>
    </row>
    <row r="769" spans="1:13" x14ac:dyDescent="0.15">
      <c r="A769" t="s">
        <v>21</v>
      </c>
      <c r="F769"/>
      <c r="M769"/>
    </row>
    <row r="770" spans="1:13" x14ac:dyDescent="0.15">
      <c r="A770" t="s">
        <v>21</v>
      </c>
      <c r="F770"/>
      <c r="M770"/>
    </row>
    <row r="771" spans="1:13" x14ac:dyDescent="0.15">
      <c r="A771" t="s">
        <v>21</v>
      </c>
      <c r="F771"/>
      <c r="M771"/>
    </row>
    <row r="772" spans="1:13" x14ac:dyDescent="0.15">
      <c r="A772" t="s">
        <v>21</v>
      </c>
      <c r="F772"/>
      <c r="M772"/>
    </row>
    <row r="773" spans="1:13" x14ac:dyDescent="0.15">
      <c r="A773" t="s">
        <v>21</v>
      </c>
      <c r="F773"/>
      <c r="M773"/>
    </row>
    <row r="774" spans="1:13" x14ac:dyDescent="0.15">
      <c r="A774" t="s">
        <v>21</v>
      </c>
      <c r="F774"/>
      <c r="M774"/>
    </row>
    <row r="775" spans="1:13" x14ac:dyDescent="0.15">
      <c r="A775" t="s">
        <v>21</v>
      </c>
      <c r="F775"/>
      <c r="M775"/>
    </row>
    <row r="776" spans="1:13" x14ac:dyDescent="0.15">
      <c r="A776" t="s">
        <v>21</v>
      </c>
      <c r="F776"/>
      <c r="M776"/>
    </row>
    <row r="777" spans="1:13" x14ac:dyDescent="0.15">
      <c r="A777" t="s">
        <v>21</v>
      </c>
      <c r="F777"/>
      <c r="M777"/>
    </row>
    <row r="778" spans="1:13" x14ac:dyDescent="0.15">
      <c r="A778" t="s">
        <v>21</v>
      </c>
      <c r="F778"/>
      <c r="M778"/>
    </row>
    <row r="779" spans="1:13" x14ac:dyDescent="0.15">
      <c r="A779" t="s">
        <v>21</v>
      </c>
      <c r="F779"/>
      <c r="M779"/>
    </row>
    <row r="780" spans="1:13" x14ac:dyDescent="0.15">
      <c r="A780" t="s">
        <v>21</v>
      </c>
      <c r="F780"/>
      <c r="M780"/>
    </row>
    <row r="781" spans="1:13" x14ac:dyDescent="0.15">
      <c r="A781" t="s">
        <v>21</v>
      </c>
      <c r="F781"/>
      <c r="M781"/>
    </row>
    <row r="782" spans="1:13" x14ac:dyDescent="0.15">
      <c r="A782" t="s">
        <v>21</v>
      </c>
      <c r="F782"/>
      <c r="M782"/>
    </row>
    <row r="783" spans="1:13" x14ac:dyDescent="0.15">
      <c r="A783" t="s">
        <v>21</v>
      </c>
      <c r="F783"/>
      <c r="M783"/>
    </row>
    <row r="784" spans="1:13" x14ac:dyDescent="0.15">
      <c r="A784" t="s">
        <v>21</v>
      </c>
      <c r="F784"/>
      <c r="M784"/>
    </row>
    <row r="785" spans="1:13" x14ac:dyDescent="0.15">
      <c r="A785" t="s">
        <v>21</v>
      </c>
      <c r="F785"/>
      <c r="M785"/>
    </row>
    <row r="786" spans="1:13" x14ac:dyDescent="0.15">
      <c r="A786" t="s">
        <v>21</v>
      </c>
      <c r="F786"/>
      <c r="M786"/>
    </row>
    <row r="787" spans="1:13" x14ac:dyDescent="0.15">
      <c r="A787" t="s">
        <v>21</v>
      </c>
      <c r="F787"/>
      <c r="M787"/>
    </row>
    <row r="788" spans="1:13" x14ac:dyDescent="0.15">
      <c r="A788" t="s">
        <v>21</v>
      </c>
      <c r="F788"/>
      <c r="M788"/>
    </row>
    <row r="789" spans="1:13" x14ac:dyDescent="0.15">
      <c r="A789" t="s">
        <v>21</v>
      </c>
      <c r="F789"/>
      <c r="M789"/>
    </row>
    <row r="790" spans="1:13" x14ac:dyDescent="0.15">
      <c r="A790" t="s">
        <v>21</v>
      </c>
      <c r="F790"/>
      <c r="M790"/>
    </row>
    <row r="791" spans="1:13" x14ac:dyDescent="0.15">
      <c r="A791" t="s">
        <v>21</v>
      </c>
      <c r="F791"/>
      <c r="M791"/>
    </row>
    <row r="792" spans="1:13" x14ac:dyDescent="0.15">
      <c r="A792" t="s">
        <v>21</v>
      </c>
      <c r="F792"/>
      <c r="M792"/>
    </row>
    <row r="793" spans="1:13" x14ac:dyDescent="0.15">
      <c r="A793" t="s">
        <v>21</v>
      </c>
      <c r="F793"/>
      <c r="M793"/>
    </row>
    <row r="794" spans="1:13" x14ac:dyDescent="0.15">
      <c r="A794" t="s">
        <v>21</v>
      </c>
      <c r="F794"/>
      <c r="M794"/>
    </row>
    <row r="795" spans="1:13" x14ac:dyDescent="0.15">
      <c r="A795" t="s">
        <v>21</v>
      </c>
      <c r="F795"/>
      <c r="M795"/>
    </row>
    <row r="796" spans="1:13" x14ac:dyDescent="0.15">
      <c r="A796" t="s">
        <v>21</v>
      </c>
      <c r="F796"/>
      <c r="M796"/>
    </row>
    <row r="797" spans="1:13" x14ac:dyDescent="0.15">
      <c r="A797" t="s">
        <v>21</v>
      </c>
      <c r="F797"/>
      <c r="M797"/>
    </row>
    <row r="798" spans="1:13" x14ac:dyDescent="0.15">
      <c r="A798" t="s">
        <v>21</v>
      </c>
      <c r="F798"/>
      <c r="M798"/>
    </row>
    <row r="799" spans="1:13" x14ac:dyDescent="0.15">
      <c r="A799" t="s">
        <v>21</v>
      </c>
      <c r="F799"/>
      <c r="M799"/>
    </row>
    <row r="800" spans="1:13" x14ac:dyDescent="0.15">
      <c r="A800" t="s">
        <v>21</v>
      </c>
      <c r="F800"/>
      <c r="M800"/>
    </row>
    <row r="801" spans="1:13" x14ac:dyDescent="0.15">
      <c r="A801" t="s">
        <v>21</v>
      </c>
      <c r="F801"/>
      <c r="M801"/>
    </row>
    <row r="802" spans="1:13" x14ac:dyDescent="0.15">
      <c r="A802" t="s">
        <v>21</v>
      </c>
      <c r="F802"/>
      <c r="M802"/>
    </row>
    <row r="803" spans="1:13" x14ac:dyDescent="0.15">
      <c r="A803" t="s">
        <v>21</v>
      </c>
      <c r="F803"/>
      <c r="M803"/>
    </row>
    <row r="804" spans="1:13" x14ac:dyDescent="0.15">
      <c r="A804" t="s">
        <v>21</v>
      </c>
      <c r="F804"/>
      <c r="M804"/>
    </row>
    <row r="805" spans="1:13" x14ac:dyDescent="0.15">
      <c r="A805" t="s">
        <v>21</v>
      </c>
      <c r="F805"/>
      <c r="M805"/>
    </row>
    <row r="806" spans="1:13" x14ac:dyDescent="0.15">
      <c r="A806" t="s">
        <v>21</v>
      </c>
      <c r="F806"/>
      <c r="M806"/>
    </row>
    <row r="807" spans="1:13" x14ac:dyDescent="0.15">
      <c r="A807" t="s">
        <v>21</v>
      </c>
      <c r="F807"/>
      <c r="M807"/>
    </row>
    <row r="808" spans="1:13" x14ac:dyDescent="0.15">
      <c r="A808" t="s">
        <v>21</v>
      </c>
      <c r="F808"/>
      <c r="M808"/>
    </row>
    <row r="809" spans="1:13" x14ac:dyDescent="0.15">
      <c r="A809" t="s">
        <v>21</v>
      </c>
      <c r="F809"/>
      <c r="M809"/>
    </row>
    <row r="810" spans="1:13" x14ac:dyDescent="0.15">
      <c r="A810" t="s">
        <v>21</v>
      </c>
      <c r="F810"/>
      <c r="M810"/>
    </row>
    <row r="811" spans="1:13" x14ac:dyDescent="0.15">
      <c r="A811" t="s">
        <v>21</v>
      </c>
      <c r="F811"/>
      <c r="M811"/>
    </row>
    <row r="812" spans="1:13" x14ac:dyDescent="0.15">
      <c r="A812" t="s">
        <v>21</v>
      </c>
      <c r="F812"/>
      <c r="M812"/>
    </row>
    <row r="813" spans="1:13" x14ac:dyDescent="0.15">
      <c r="A813" t="s">
        <v>21</v>
      </c>
      <c r="F813"/>
      <c r="M813"/>
    </row>
    <row r="814" spans="1:13" x14ac:dyDescent="0.15">
      <c r="A814" t="s">
        <v>21</v>
      </c>
      <c r="F814"/>
      <c r="M814"/>
    </row>
    <row r="815" spans="1:13" x14ac:dyDescent="0.15">
      <c r="A815" t="s">
        <v>21</v>
      </c>
      <c r="F815"/>
      <c r="M815"/>
    </row>
    <row r="816" spans="1:13" x14ac:dyDescent="0.15">
      <c r="A816" t="s">
        <v>21</v>
      </c>
      <c r="F816"/>
      <c r="M816"/>
    </row>
    <row r="817" spans="1:13" x14ac:dyDescent="0.15">
      <c r="A817" t="s">
        <v>21</v>
      </c>
      <c r="F817"/>
      <c r="M817"/>
    </row>
    <row r="818" spans="1:13" x14ac:dyDescent="0.15">
      <c r="A818" t="s">
        <v>21</v>
      </c>
      <c r="F818"/>
      <c r="M818"/>
    </row>
    <row r="819" spans="1:13" x14ac:dyDescent="0.15">
      <c r="A819" t="s">
        <v>21</v>
      </c>
      <c r="F819"/>
      <c r="M819"/>
    </row>
    <row r="820" spans="1:13" x14ac:dyDescent="0.15">
      <c r="A820" t="s">
        <v>21</v>
      </c>
      <c r="F820"/>
      <c r="M820"/>
    </row>
    <row r="821" spans="1:13" x14ac:dyDescent="0.15">
      <c r="A821" t="s">
        <v>21</v>
      </c>
      <c r="F821"/>
      <c r="M821"/>
    </row>
    <row r="822" spans="1:13" x14ac:dyDescent="0.15">
      <c r="A822" t="s">
        <v>21</v>
      </c>
      <c r="F822"/>
      <c r="M822"/>
    </row>
    <row r="823" spans="1:13" x14ac:dyDescent="0.15">
      <c r="A823" t="s">
        <v>21</v>
      </c>
      <c r="F823"/>
      <c r="M823"/>
    </row>
    <row r="824" spans="1:13" x14ac:dyDescent="0.15">
      <c r="A824" t="s">
        <v>21</v>
      </c>
      <c r="F824"/>
      <c r="M824"/>
    </row>
    <row r="825" spans="1:13" x14ac:dyDescent="0.15">
      <c r="A825" t="s">
        <v>21</v>
      </c>
      <c r="F825"/>
      <c r="M825"/>
    </row>
    <row r="826" spans="1:13" x14ac:dyDescent="0.15">
      <c r="A826" t="s">
        <v>21</v>
      </c>
      <c r="F826"/>
      <c r="M826"/>
    </row>
    <row r="827" spans="1:13" x14ac:dyDescent="0.15">
      <c r="A827" t="s">
        <v>21</v>
      </c>
      <c r="F827"/>
      <c r="M827"/>
    </row>
    <row r="828" spans="1:13" x14ac:dyDescent="0.15">
      <c r="A828" t="s">
        <v>21</v>
      </c>
      <c r="F828"/>
      <c r="M828"/>
    </row>
    <row r="829" spans="1:13" x14ac:dyDescent="0.15">
      <c r="A829" t="s">
        <v>21</v>
      </c>
      <c r="F829"/>
      <c r="M829"/>
    </row>
    <row r="830" spans="1:13" x14ac:dyDescent="0.15">
      <c r="A830" t="s">
        <v>21</v>
      </c>
      <c r="F830"/>
      <c r="M830"/>
    </row>
    <row r="831" spans="1:13" x14ac:dyDescent="0.15">
      <c r="A831" t="s">
        <v>21</v>
      </c>
      <c r="F831"/>
      <c r="M831"/>
    </row>
    <row r="832" spans="1:13" x14ac:dyDescent="0.15">
      <c r="A832" t="s">
        <v>21</v>
      </c>
      <c r="F832"/>
      <c r="M832"/>
    </row>
    <row r="833" spans="1:13" x14ac:dyDescent="0.15">
      <c r="A833" t="s">
        <v>21</v>
      </c>
      <c r="F833"/>
      <c r="M833"/>
    </row>
    <row r="834" spans="1:13" x14ac:dyDescent="0.15">
      <c r="A834" t="s">
        <v>21</v>
      </c>
      <c r="F834"/>
      <c r="M834"/>
    </row>
    <row r="835" spans="1:13" x14ac:dyDescent="0.15">
      <c r="A835" t="s">
        <v>21</v>
      </c>
      <c r="F835"/>
      <c r="M835"/>
    </row>
    <row r="836" spans="1:13" x14ac:dyDescent="0.15">
      <c r="A836" t="s">
        <v>21</v>
      </c>
      <c r="F836"/>
      <c r="M836"/>
    </row>
    <row r="837" spans="1:13" x14ac:dyDescent="0.15">
      <c r="A837" t="s">
        <v>21</v>
      </c>
      <c r="F837"/>
      <c r="M837"/>
    </row>
    <row r="838" spans="1:13" x14ac:dyDescent="0.15">
      <c r="A838" t="s">
        <v>21</v>
      </c>
      <c r="F838"/>
      <c r="M838"/>
    </row>
    <row r="839" spans="1:13" x14ac:dyDescent="0.15">
      <c r="A839" t="s">
        <v>21</v>
      </c>
      <c r="F839"/>
      <c r="M839"/>
    </row>
    <row r="840" spans="1:13" x14ac:dyDescent="0.15">
      <c r="A840" t="s">
        <v>21</v>
      </c>
      <c r="F840"/>
      <c r="M840"/>
    </row>
    <row r="841" spans="1:13" x14ac:dyDescent="0.15">
      <c r="A841" t="s">
        <v>21</v>
      </c>
      <c r="F841"/>
      <c r="M841"/>
    </row>
    <row r="842" spans="1:13" x14ac:dyDescent="0.15">
      <c r="A842" t="s">
        <v>21</v>
      </c>
      <c r="F842"/>
      <c r="M842"/>
    </row>
    <row r="843" spans="1:13" x14ac:dyDescent="0.15">
      <c r="A843" t="s">
        <v>21</v>
      </c>
      <c r="F843"/>
      <c r="M843"/>
    </row>
    <row r="844" spans="1:13" x14ac:dyDescent="0.15">
      <c r="A844" t="s">
        <v>21</v>
      </c>
      <c r="F844"/>
      <c r="M844"/>
    </row>
    <row r="845" spans="1:13" x14ac:dyDescent="0.15">
      <c r="A845" t="s">
        <v>21</v>
      </c>
      <c r="F845"/>
      <c r="M845"/>
    </row>
    <row r="846" spans="1:13" x14ac:dyDescent="0.15">
      <c r="A846" t="s">
        <v>21</v>
      </c>
      <c r="F846"/>
      <c r="M846"/>
    </row>
    <row r="847" spans="1:13" x14ac:dyDescent="0.15">
      <c r="A847" t="s">
        <v>21</v>
      </c>
      <c r="F847"/>
      <c r="M847"/>
    </row>
    <row r="848" spans="1:13" x14ac:dyDescent="0.15">
      <c r="A848" t="s">
        <v>21</v>
      </c>
      <c r="F848"/>
      <c r="M848"/>
    </row>
    <row r="849" spans="1:13" x14ac:dyDescent="0.15">
      <c r="A849" t="s">
        <v>21</v>
      </c>
      <c r="F849"/>
      <c r="M849"/>
    </row>
    <row r="850" spans="1:13" x14ac:dyDescent="0.15">
      <c r="A850" t="s">
        <v>21</v>
      </c>
      <c r="F850"/>
      <c r="M850"/>
    </row>
    <row r="851" spans="1:13" x14ac:dyDescent="0.15">
      <c r="A851" t="s">
        <v>21</v>
      </c>
      <c r="F851"/>
      <c r="M851"/>
    </row>
    <row r="852" spans="1:13" x14ac:dyDescent="0.15">
      <c r="A852" t="s">
        <v>21</v>
      </c>
      <c r="F852"/>
      <c r="M852"/>
    </row>
    <row r="853" spans="1:13" x14ac:dyDescent="0.15">
      <c r="A853" t="s">
        <v>21</v>
      </c>
      <c r="F853"/>
      <c r="M853"/>
    </row>
    <row r="854" spans="1:13" x14ac:dyDescent="0.15">
      <c r="A854" t="s">
        <v>21</v>
      </c>
      <c r="F854"/>
      <c r="M854"/>
    </row>
    <row r="855" spans="1:13" x14ac:dyDescent="0.15">
      <c r="A855" t="s">
        <v>21</v>
      </c>
      <c r="F855"/>
      <c r="M855"/>
    </row>
    <row r="856" spans="1:13" x14ac:dyDescent="0.15">
      <c r="A856" t="s">
        <v>21</v>
      </c>
      <c r="F856"/>
      <c r="M856"/>
    </row>
    <row r="857" spans="1:13" x14ac:dyDescent="0.15">
      <c r="A857" t="s">
        <v>21</v>
      </c>
      <c r="F857"/>
      <c r="M857"/>
    </row>
    <row r="858" spans="1:13" x14ac:dyDescent="0.15">
      <c r="A858" t="s">
        <v>21</v>
      </c>
      <c r="F858"/>
      <c r="M858"/>
    </row>
    <row r="859" spans="1:13" x14ac:dyDescent="0.15">
      <c r="A859" t="s">
        <v>21</v>
      </c>
      <c r="F859"/>
      <c r="M859"/>
    </row>
    <row r="860" spans="1:13" x14ac:dyDescent="0.15">
      <c r="A860" t="s">
        <v>21</v>
      </c>
      <c r="F860"/>
      <c r="M860"/>
    </row>
    <row r="861" spans="1:13" x14ac:dyDescent="0.15">
      <c r="A861" t="s">
        <v>21</v>
      </c>
      <c r="F861"/>
      <c r="M861"/>
    </row>
    <row r="862" spans="1:13" x14ac:dyDescent="0.15">
      <c r="A862" t="s">
        <v>21</v>
      </c>
      <c r="F862"/>
      <c r="M862"/>
    </row>
    <row r="863" spans="1:13" x14ac:dyDescent="0.15">
      <c r="A863" t="s">
        <v>21</v>
      </c>
      <c r="F863"/>
      <c r="M863"/>
    </row>
    <row r="864" spans="1:13" x14ac:dyDescent="0.15">
      <c r="A864" t="s">
        <v>21</v>
      </c>
      <c r="F864"/>
      <c r="M864"/>
    </row>
    <row r="865" spans="1:13" x14ac:dyDescent="0.15">
      <c r="A865" t="s">
        <v>21</v>
      </c>
      <c r="F865"/>
      <c r="M865"/>
    </row>
    <row r="866" spans="1:13" x14ac:dyDescent="0.15">
      <c r="A866" t="s">
        <v>21</v>
      </c>
      <c r="F866"/>
      <c r="M866"/>
    </row>
    <row r="867" spans="1:13" x14ac:dyDescent="0.15">
      <c r="A867" t="s">
        <v>21</v>
      </c>
      <c r="F867"/>
      <c r="M867"/>
    </row>
    <row r="868" spans="1:13" x14ac:dyDescent="0.15">
      <c r="A868" t="s">
        <v>21</v>
      </c>
      <c r="F868"/>
      <c r="M868"/>
    </row>
    <row r="869" spans="1:13" x14ac:dyDescent="0.15">
      <c r="A869" t="s">
        <v>21</v>
      </c>
      <c r="F869"/>
      <c r="M869"/>
    </row>
    <row r="870" spans="1:13" x14ac:dyDescent="0.15">
      <c r="A870" t="s">
        <v>21</v>
      </c>
      <c r="F870"/>
      <c r="M870"/>
    </row>
    <row r="871" spans="1:13" x14ac:dyDescent="0.15">
      <c r="A871" t="s">
        <v>21</v>
      </c>
      <c r="F871"/>
      <c r="M871"/>
    </row>
    <row r="872" spans="1:13" x14ac:dyDescent="0.15">
      <c r="A872" t="s">
        <v>21</v>
      </c>
      <c r="F872"/>
      <c r="M872"/>
    </row>
    <row r="873" spans="1:13" x14ac:dyDescent="0.15">
      <c r="A873" t="s">
        <v>21</v>
      </c>
      <c r="F873"/>
      <c r="M873"/>
    </row>
    <row r="874" spans="1:13" x14ac:dyDescent="0.15">
      <c r="A874" t="s">
        <v>21</v>
      </c>
      <c r="F874"/>
      <c r="M874"/>
    </row>
    <row r="875" spans="1:13" x14ac:dyDescent="0.15">
      <c r="A875" t="s">
        <v>21</v>
      </c>
      <c r="F875"/>
      <c r="M875"/>
    </row>
    <row r="876" spans="1:13" x14ac:dyDescent="0.15">
      <c r="A876" t="s">
        <v>21</v>
      </c>
      <c r="F876"/>
      <c r="M876"/>
    </row>
    <row r="877" spans="1:13" x14ac:dyDescent="0.15">
      <c r="A877" t="s">
        <v>21</v>
      </c>
      <c r="F877"/>
      <c r="M877"/>
    </row>
    <row r="878" spans="1:13" x14ac:dyDescent="0.15">
      <c r="A878" t="s">
        <v>21</v>
      </c>
      <c r="F878"/>
      <c r="M878"/>
    </row>
    <row r="879" spans="1:13" x14ac:dyDescent="0.15">
      <c r="A879" t="s">
        <v>21</v>
      </c>
      <c r="F879"/>
      <c r="M879"/>
    </row>
    <row r="880" spans="1:13" x14ac:dyDescent="0.15">
      <c r="A880" t="s">
        <v>21</v>
      </c>
      <c r="F880"/>
      <c r="M880"/>
    </row>
    <row r="881" spans="1:13" x14ac:dyDescent="0.15">
      <c r="A881" t="s">
        <v>21</v>
      </c>
      <c r="F881"/>
      <c r="M881"/>
    </row>
    <row r="882" spans="1:13" x14ac:dyDescent="0.15">
      <c r="A882" t="s">
        <v>21</v>
      </c>
      <c r="F882"/>
      <c r="M882"/>
    </row>
    <row r="883" spans="1:13" x14ac:dyDescent="0.15">
      <c r="A883" t="s">
        <v>21</v>
      </c>
      <c r="F883"/>
      <c r="M883"/>
    </row>
    <row r="884" spans="1:13" x14ac:dyDescent="0.15">
      <c r="A884" t="s">
        <v>21</v>
      </c>
      <c r="F884"/>
      <c r="M884"/>
    </row>
    <row r="885" spans="1:13" x14ac:dyDescent="0.15">
      <c r="A885" t="s">
        <v>21</v>
      </c>
      <c r="F885"/>
      <c r="M885"/>
    </row>
    <row r="886" spans="1:13" x14ac:dyDescent="0.15">
      <c r="A886" t="s">
        <v>21</v>
      </c>
      <c r="F886"/>
      <c r="M886"/>
    </row>
    <row r="887" spans="1:13" x14ac:dyDescent="0.15">
      <c r="A887" t="s">
        <v>21</v>
      </c>
      <c r="F887"/>
      <c r="M887"/>
    </row>
    <row r="888" spans="1:13" x14ac:dyDescent="0.15">
      <c r="A888" t="s">
        <v>21</v>
      </c>
      <c r="F888"/>
      <c r="M888"/>
    </row>
    <row r="889" spans="1:13" x14ac:dyDescent="0.15">
      <c r="A889" t="s">
        <v>21</v>
      </c>
      <c r="F889"/>
      <c r="M889"/>
    </row>
    <row r="890" spans="1:13" x14ac:dyDescent="0.15">
      <c r="A890" t="s">
        <v>21</v>
      </c>
      <c r="F890"/>
      <c r="M890"/>
    </row>
    <row r="891" spans="1:13" x14ac:dyDescent="0.15">
      <c r="A891" t="s">
        <v>21</v>
      </c>
      <c r="F891"/>
      <c r="M891"/>
    </row>
    <row r="892" spans="1:13" x14ac:dyDescent="0.15">
      <c r="A892" t="s">
        <v>21</v>
      </c>
      <c r="F892"/>
      <c r="M892"/>
    </row>
    <row r="893" spans="1:13" x14ac:dyDescent="0.15">
      <c r="A893" t="s">
        <v>21</v>
      </c>
      <c r="F893"/>
      <c r="M893"/>
    </row>
    <row r="894" spans="1:13" x14ac:dyDescent="0.15">
      <c r="A894" t="s">
        <v>21</v>
      </c>
      <c r="F894"/>
      <c r="M894"/>
    </row>
    <row r="895" spans="1:13" x14ac:dyDescent="0.15">
      <c r="A895" t="s">
        <v>21</v>
      </c>
      <c r="F895"/>
      <c r="M895"/>
    </row>
    <row r="896" spans="1:13" x14ac:dyDescent="0.15">
      <c r="A896" t="s">
        <v>21</v>
      </c>
      <c r="F896"/>
      <c r="M896"/>
    </row>
    <row r="897" spans="1:13" x14ac:dyDescent="0.15">
      <c r="A897" t="s">
        <v>21</v>
      </c>
      <c r="F897"/>
      <c r="M897"/>
    </row>
    <row r="898" spans="1:13" x14ac:dyDescent="0.15">
      <c r="A898" t="s">
        <v>21</v>
      </c>
      <c r="F898"/>
      <c r="M898"/>
    </row>
    <row r="899" spans="1:13" x14ac:dyDescent="0.15">
      <c r="A899" t="s">
        <v>21</v>
      </c>
      <c r="F899"/>
      <c r="M899"/>
    </row>
    <row r="900" spans="1:13" x14ac:dyDescent="0.15">
      <c r="A900" t="s">
        <v>21</v>
      </c>
      <c r="F900"/>
      <c r="M900"/>
    </row>
    <row r="901" spans="1:13" x14ac:dyDescent="0.15">
      <c r="A901" t="s">
        <v>21</v>
      </c>
      <c r="F901"/>
      <c r="M901"/>
    </row>
    <row r="902" spans="1:13" x14ac:dyDescent="0.15">
      <c r="A902" t="s">
        <v>21</v>
      </c>
      <c r="F902"/>
      <c r="M902"/>
    </row>
    <row r="903" spans="1:13" x14ac:dyDescent="0.15">
      <c r="A903" t="s">
        <v>21</v>
      </c>
      <c r="F903"/>
      <c r="M903"/>
    </row>
    <row r="904" spans="1:13" x14ac:dyDescent="0.15">
      <c r="A904" t="s">
        <v>21</v>
      </c>
      <c r="F904"/>
      <c r="M904"/>
    </row>
    <row r="905" spans="1:13" x14ac:dyDescent="0.15">
      <c r="A905" t="s">
        <v>21</v>
      </c>
      <c r="F905"/>
      <c r="M905"/>
    </row>
    <row r="906" spans="1:13" x14ac:dyDescent="0.15">
      <c r="A906" t="s">
        <v>21</v>
      </c>
      <c r="F906"/>
      <c r="M906"/>
    </row>
    <row r="907" spans="1:13" x14ac:dyDescent="0.15">
      <c r="A907" t="s">
        <v>21</v>
      </c>
      <c r="F907"/>
      <c r="M907"/>
    </row>
    <row r="908" spans="1:13" x14ac:dyDescent="0.15">
      <c r="A908" t="s">
        <v>21</v>
      </c>
      <c r="F908"/>
      <c r="M908"/>
    </row>
    <row r="909" spans="1:13" x14ac:dyDescent="0.15">
      <c r="A909" t="s">
        <v>21</v>
      </c>
      <c r="F909"/>
      <c r="M909"/>
    </row>
    <row r="910" spans="1:13" x14ac:dyDescent="0.15">
      <c r="A910" t="s">
        <v>21</v>
      </c>
      <c r="F910"/>
      <c r="M910"/>
    </row>
    <row r="911" spans="1:13" x14ac:dyDescent="0.15">
      <c r="A911" t="s">
        <v>21</v>
      </c>
      <c r="F911"/>
      <c r="M911"/>
    </row>
    <row r="912" spans="1:13" x14ac:dyDescent="0.15">
      <c r="A912" t="s">
        <v>21</v>
      </c>
      <c r="F912"/>
      <c r="M912"/>
    </row>
    <row r="913" spans="1:13" x14ac:dyDescent="0.15">
      <c r="A913" t="s">
        <v>21</v>
      </c>
      <c r="F913"/>
      <c r="M913"/>
    </row>
    <row r="914" spans="1:13" x14ac:dyDescent="0.15">
      <c r="A914" t="s">
        <v>21</v>
      </c>
      <c r="F914"/>
      <c r="M914"/>
    </row>
    <row r="915" spans="1:13" x14ac:dyDescent="0.15">
      <c r="A915" t="s">
        <v>21</v>
      </c>
      <c r="F915"/>
      <c r="M915"/>
    </row>
    <row r="916" spans="1:13" x14ac:dyDescent="0.15">
      <c r="A916" t="s">
        <v>21</v>
      </c>
      <c r="F916"/>
      <c r="M916"/>
    </row>
    <row r="917" spans="1:13" x14ac:dyDescent="0.15">
      <c r="A917" t="s">
        <v>21</v>
      </c>
      <c r="F917"/>
      <c r="M917"/>
    </row>
    <row r="918" spans="1:13" x14ac:dyDescent="0.15">
      <c r="A918" t="s">
        <v>21</v>
      </c>
      <c r="F918"/>
      <c r="M918"/>
    </row>
    <row r="919" spans="1:13" x14ac:dyDescent="0.15">
      <c r="A919" t="s">
        <v>21</v>
      </c>
      <c r="F919"/>
      <c r="M919"/>
    </row>
    <row r="920" spans="1:13" x14ac:dyDescent="0.15">
      <c r="A920" t="s">
        <v>21</v>
      </c>
      <c r="F920"/>
      <c r="M920"/>
    </row>
    <row r="921" spans="1:13" x14ac:dyDescent="0.15">
      <c r="A921" t="s">
        <v>21</v>
      </c>
      <c r="F921"/>
      <c r="M921"/>
    </row>
    <row r="922" spans="1:13" x14ac:dyDescent="0.15">
      <c r="A922" t="s">
        <v>21</v>
      </c>
      <c r="F922"/>
      <c r="M922"/>
    </row>
    <row r="923" spans="1:13" x14ac:dyDescent="0.15">
      <c r="A923" t="s">
        <v>21</v>
      </c>
      <c r="F923"/>
      <c r="M923"/>
    </row>
    <row r="924" spans="1:13" x14ac:dyDescent="0.15">
      <c r="A924" t="s">
        <v>21</v>
      </c>
      <c r="F924"/>
      <c r="M924"/>
    </row>
    <row r="925" spans="1:13" x14ac:dyDescent="0.15">
      <c r="A925" t="s">
        <v>21</v>
      </c>
      <c r="F925"/>
      <c r="M925"/>
    </row>
    <row r="926" spans="1:13" x14ac:dyDescent="0.15">
      <c r="A926" t="s">
        <v>21</v>
      </c>
      <c r="F926"/>
      <c r="M926"/>
    </row>
    <row r="927" spans="1:13" x14ac:dyDescent="0.15">
      <c r="A927" t="s">
        <v>21</v>
      </c>
      <c r="F927"/>
      <c r="M927"/>
    </row>
    <row r="928" spans="1:13" x14ac:dyDescent="0.15">
      <c r="A928" t="s">
        <v>21</v>
      </c>
      <c r="F928"/>
      <c r="M928"/>
    </row>
    <row r="929" spans="1:13" x14ac:dyDescent="0.15">
      <c r="A929" t="s">
        <v>21</v>
      </c>
      <c r="F929"/>
      <c r="M929"/>
    </row>
    <row r="930" spans="1:13" x14ac:dyDescent="0.15">
      <c r="A930" t="s">
        <v>21</v>
      </c>
      <c r="F930"/>
      <c r="M930"/>
    </row>
    <row r="931" spans="1:13" x14ac:dyDescent="0.15">
      <c r="A931" t="s">
        <v>21</v>
      </c>
      <c r="F931"/>
      <c r="M931"/>
    </row>
    <row r="932" spans="1:13" x14ac:dyDescent="0.15">
      <c r="A932" t="s">
        <v>21</v>
      </c>
      <c r="F932"/>
      <c r="M932"/>
    </row>
    <row r="933" spans="1:13" x14ac:dyDescent="0.15">
      <c r="A933" t="s">
        <v>21</v>
      </c>
      <c r="F933"/>
      <c r="M933"/>
    </row>
    <row r="934" spans="1:13" x14ac:dyDescent="0.15">
      <c r="A934" t="s">
        <v>21</v>
      </c>
      <c r="F934"/>
      <c r="M934"/>
    </row>
    <row r="935" spans="1:13" x14ac:dyDescent="0.15">
      <c r="A935" t="s">
        <v>21</v>
      </c>
      <c r="F935"/>
      <c r="M935"/>
    </row>
    <row r="936" spans="1:13" x14ac:dyDescent="0.15">
      <c r="A936" t="s">
        <v>21</v>
      </c>
      <c r="F936"/>
      <c r="M936"/>
    </row>
    <row r="937" spans="1:13" x14ac:dyDescent="0.15">
      <c r="A937" t="s">
        <v>21</v>
      </c>
      <c r="F937"/>
      <c r="M937"/>
    </row>
    <row r="938" spans="1:13" x14ac:dyDescent="0.15">
      <c r="A938" t="s">
        <v>21</v>
      </c>
      <c r="F938"/>
      <c r="M938"/>
    </row>
    <row r="939" spans="1:13" x14ac:dyDescent="0.15">
      <c r="A939" t="s">
        <v>21</v>
      </c>
      <c r="F939"/>
      <c r="M939"/>
    </row>
    <row r="940" spans="1:13" x14ac:dyDescent="0.15">
      <c r="A940" t="s">
        <v>21</v>
      </c>
      <c r="F940"/>
      <c r="M940"/>
    </row>
    <row r="941" spans="1:13" x14ac:dyDescent="0.15">
      <c r="A941" t="s">
        <v>21</v>
      </c>
      <c r="F941"/>
      <c r="M941"/>
    </row>
    <row r="942" spans="1:13" x14ac:dyDescent="0.15">
      <c r="A942" t="s">
        <v>21</v>
      </c>
      <c r="F942"/>
      <c r="M942"/>
    </row>
    <row r="943" spans="1:13" x14ac:dyDescent="0.15">
      <c r="A943" t="s">
        <v>21</v>
      </c>
      <c r="F943"/>
      <c r="M943"/>
    </row>
    <row r="944" spans="1:13" x14ac:dyDescent="0.15">
      <c r="A944" t="s">
        <v>21</v>
      </c>
      <c r="F944"/>
      <c r="M944"/>
    </row>
    <row r="945" spans="1:13" x14ac:dyDescent="0.15">
      <c r="A945" t="s">
        <v>21</v>
      </c>
      <c r="F945"/>
      <c r="M945"/>
    </row>
    <row r="946" spans="1:13" x14ac:dyDescent="0.15">
      <c r="A946" t="s">
        <v>21</v>
      </c>
      <c r="F946"/>
      <c r="M946"/>
    </row>
    <row r="947" spans="1:13" x14ac:dyDescent="0.15">
      <c r="A947" t="s">
        <v>21</v>
      </c>
      <c r="F947"/>
      <c r="M947"/>
    </row>
    <row r="948" spans="1:13" x14ac:dyDescent="0.15">
      <c r="A948" t="s">
        <v>21</v>
      </c>
      <c r="F948"/>
      <c r="M948"/>
    </row>
    <row r="949" spans="1:13" x14ac:dyDescent="0.15">
      <c r="A949" t="s">
        <v>21</v>
      </c>
      <c r="F949"/>
      <c r="M949"/>
    </row>
    <row r="950" spans="1:13" x14ac:dyDescent="0.15">
      <c r="A950" t="s">
        <v>21</v>
      </c>
      <c r="F950"/>
      <c r="M950"/>
    </row>
    <row r="951" spans="1:13" x14ac:dyDescent="0.15">
      <c r="A951" t="s">
        <v>21</v>
      </c>
      <c r="F951"/>
      <c r="M951"/>
    </row>
    <row r="952" spans="1:13" x14ac:dyDescent="0.15">
      <c r="A952" t="s">
        <v>21</v>
      </c>
      <c r="F952"/>
      <c r="M952"/>
    </row>
    <row r="953" spans="1:13" x14ac:dyDescent="0.15">
      <c r="A953" t="s">
        <v>21</v>
      </c>
      <c r="F953"/>
      <c r="M953"/>
    </row>
    <row r="954" spans="1:13" x14ac:dyDescent="0.15">
      <c r="A954" t="s">
        <v>21</v>
      </c>
      <c r="F954"/>
      <c r="M954"/>
    </row>
    <row r="955" spans="1:13" x14ac:dyDescent="0.15">
      <c r="A955" t="s">
        <v>21</v>
      </c>
      <c r="F955"/>
      <c r="M955"/>
    </row>
    <row r="956" spans="1:13" x14ac:dyDescent="0.15">
      <c r="A956" t="s">
        <v>21</v>
      </c>
      <c r="F956"/>
      <c r="M956"/>
    </row>
    <row r="957" spans="1:13" x14ac:dyDescent="0.15">
      <c r="A957" t="s">
        <v>21</v>
      </c>
      <c r="F957"/>
      <c r="M957"/>
    </row>
    <row r="958" spans="1:13" x14ac:dyDescent="0.15">
      <c r="A958" t="s">
        <v>21</v>
      </c>
      <c r="F958"/>
      <c r="M958"/>
    </row>
    <row r="959" spans="1:13" x14ac:dyDescent="0.15">
      <c r="A959" t="s">
        <v>21</v>
      </c>
      <c r="F959"/>
      <c r="M959"/>
    </row>
    <row r="960" spans="1:13" x14ac:dyDescent="0.15">
      <c r="A960" t="s">
        <v>21</v>
      </c>
      <c r="F960"/>
      <c r="M960"/>
    </row>
    <row r="961" spans="1:13" x14ac:dyDescent="0.15">
      <c r="A961" t="s">
        <v>21</v>
      </c>
      <c r="F961"/>
      <c r="M961"/>
    </row>
    <row r="962" spans="1:13" x14ac:dyDescent="0.15">
      <c r="A962" t="s">
        <v>21</v>
      </c>
      <c r="F962"/>
      <c r="M962"/>
    </row>
    <row r="963" spans="1:13" x14ac:dyDescent="0.15">
      <c r="A963" t="s">
        <v>21</v>
      </c>
      <c r="F963"/>
      <c r="M963"/>
    </row>
    <row r="964" spans="1:13" x14ac:dyDescent="0.15">
      <c r="A964" t="s">
        <v>21</v>
      </c>
      <c r="F964"/>
      <c r="M964"/>
    </row>
    <row r="965" spans="1:13" x14ac:dyDescent="0.15">
      <c r="A965" t="s">
        <v>21</v>
      </c>
      <c r="F965"/>
      <c r="M965"/>
    </row>
    <row r="966" spans="1:13" x14ac:dyDescent="0.15">
      <c r="A966" t="s">
        <v>21</v>
      </c>
      <c r="F966"/>
      <c r="M966"/>
    </row>
    <row r="967" spans="1:13" x14ac:dyDescent="0.15">
      <c r="A967" t="s">
        <v>21</v>
      </c>
      <c r="F967"/>
      <c r="M967"/>
    </row>
    <row r="968" spans="1:13" x14ac:dyDescent="0.15">
      <c r="A968" t="s">
        <v>21</v>
      </c>
      <c r="F968"/>
      <c r="M968"/>
    </row>
    <row r="969" spans="1:13" x14ac:dyDescent="0.15">
      <c r="A969" t="s">
        <v>21</v>
      </c>
      <c r="F969"/>
      <c r="M969"/>
    </row>
    <row r="970" spans="1:13" x14ac:dyDescent="0.15">
      <c r="A970" t="s">
        <v>21</v>
      </c>
      <c r="F970"/>
      <c r="M970"/>
    </row>
    <row r="971" spans="1:13" x14ac:dyDescent="0.15">
      <c r="A971" t="s">
        <v>21</v>
      </c>
      <c r="F971"/>
      <c r="M971"/>
    </row>
    <row r="972" spans="1:13" x14ac:dyDescent="0.15">
      <c r="A972" t="s">
        <v>21</v>
      </c>
      <c r="F972"/>
      <c r="M972"/>
    </row>
    <row r="973" spans="1:13" x14ac:dyDescent="0.15">
      <c r="A973" t="s">
        <v>21</v>
      </c>
      <c r="F973"/>
      <c r="M973"/>
    </row>
    <row r="974" spans="1:13" x14ac:dyDescent="0.15">
      <c r="A974" t="s">
        <v>21</v>
      </c>
      <c r="F974"/>
      <c r="M974"/>
    </row>
    <row r="975" spans="1:13" x14ac:dyDescent="0.15">
      <c r="A975" t="s">
        <v>21</v>
      </c>
      <c r="F975"/>
      <c r="M975"/>
    </row>
    <row r="976" spans="1:13" x14ac:dyDescent="0.15">
      <c r="A976" t="s">
        <v>21</v>
      </c>
      <c r="F976"/>
      <c r="M976"/>
    </row>
    <row r="977" spans="1:13" x14ac:dyDescent="0.15">
      <c r="A977" t="s">
        <v>21</v>
      </c>
      <c r="F977"/>
      <c r="M977"/>
    </row>
    <row r="978" spans="1:13" x14ac:dyDescent="0.15">
      <c r="A978" t="s">
        <v>21</v>
      </c>
      <c r="F978"/>
      <c r="M978"/>
    </row>
    <row r="979" spans="1:13" x14ac:dyDescent="0.15">
      <c r="A979" t="s">
        <v>21</v>
      </c>
      <c r="F979"/>
      <c r="M979"/>
    </row>
    <row r="980" spans="1:13" x14ac:dyDescent="0.15">
      <c r="A980" t="s">
        <v>21</v>
      </c>
      <c r="F980"/>
      <c r="M980"/>
    </row>
    <row r="981" spans="1:13" x14ac:dyDescent="0.15">
      <c r="A981" t="s">
        <v>21</v>
      </c>
      <c r="F981"/>
      <c r="M981"/>
    </row>
    <row r="982" spans="1:13" x14ac:dyDescent="0.15">
      <c r="A982" t="s">
        <v>21</v>
      </c>
      <c r="F982"/>
      <c r="M982"/>
    </row>
    <row r="983" spans="1:13" x14ac:dyDescent="0.15">
      <c r="A983" t="s">
        <v>21</v>
      </c>
      <c r="F983"/>
      <c r="M983"/>
    </row>
    <row r="984" spans="1:13" x14ac:dyDescent="0.15">
      <c r="A984" t="s">
        <v>21</v>
      </c>
      <c r="F984"/>
      <c r="M984"/>
    </row>
    <row r="985" spans="1:13" x14ac:dyDescent="0.15">
      <c r="A985" t="s">
        <v>21</v>
      </c>
      <c r="F985"/>
      <c r="M985"/>
    </row>
    <row r="986" spans="1:13" x14ac:dyDescent="0.15">
      <c r="A986" t="s">
        <v>21</v>
      </c>
      <c r="F986"/>
      <c r="M986"/>
    </row>
    <row r="987" spans="1:13" x14ac:dyDescent="0.15">
      <c r="A987" t="s">
        <v>21</v>
      </c>
      <c r="F987"/>
      <c r="M987"/>
    </row>
    <row r="988" spans="1:13" x14ac:dyDescent="0.15">
      <c r="A988" t="s">
        <v>21</v>
      </c>
      <c r="F988"/>
      <c r="M988"/>
    </row>
    <row r="989" spans="1:13" x14ac:dyDescent="0.15">
      <c r="A989" t="s">
        <v>21</v>
      </c>
      <c r="F989"/>
      <c r="M989"/>
    </row>
    <row r="990" spans="1:13" x14ac:dyDescent="0.15">
      <c r="A990" t="s">
        <v>21</v>
      </c>
      <c r="F990"/>
      <c r="M990"/>
    </row>
    <row r="991" spans="1:13" x14ac:dyDescent="0.15">
      <c r="A991" t="s">
        <v>21</v>
      </c>
      <c r="F991"/>
      <c r="M991"/>
    </row>
    <row r="992" spans="1:13" x14ac:dyDescent="0.15">
      <c r="A992" t="s">
        <v>21</v>
      </c>
      <c r="F992"/>
      <c r="M992"/>
    </row>
    <row r="993" spans="1:13" x14ac:dyDescent="0.15">
      <c r="A993" t="s">
        <v>21</v>
      </c>
      <c r="F993"/>
      <c r="M993"/>
    </row>
    <row r="994" spans="1:13" x14ac:dyDescent="0.15">
      <c r="A994" t="s">
        <v>21</v>
      </c>
      <c r="F994"/>
      <c r="M994"/>
    </row>
    <row r="995" spans="1:13" x14ac:dyDescent="0.15">
      <c r="A995" t="s">
        <v>21</v>
      </c>
      <c r="F995"/>
      <c r="M995"/>
    </row>
    <row r="996" spans="1:13" x14ac:dyDescent="0.15">
      <c r="A996" t="s">
        <v>21</v>
      </c>
      <c r="F996"/>
      <c r="M996"/>
    </row>
    <row r="997" spans="1:13" x14ac:dyDescent="0.15">
      <c r="A997" t="s">
        <v>21</v>
      </c>
      <c r="F997"/>
      <c r="M997"/>
    </row>
    <row r="998" spans="1:13" x14ac:dyDescent="0.15">
      <c r="A998" t="s">
        <v>21</v>
      </c>
      <c r="F998"/>
      <c r="M998"/>
    </row>
    <row r="999" spans="1:13" x14ac:dyDescent="0.15">
      <c r="A999" t="s">
        <v>21</v>
      </c>
      <c r="F999"/>
      <c r="M999"/>
    </row>
    <row r="1000" spans="1:13" x14ac:dyDescent="0.15">
      <c r="A1000" t="s">
        <v>21</v>
      </c>
      <c r="F1000"/>
      <c r="M1000"/>
    </row>
    <row r="1001" spans="1:13" x14ac:dyDescent="0.15">
      <c r="A1001" t="s">
        <v>21</v>
      </c>
      <c r="F1001"/>
      <c r="M1001"/>
    </row>
    <row r="1002" spans="1:13" x14ac:dyDescent="0.15">
      <c r="A1002" t="s">
        <v>21</v>
      </c>
      <c r="F1002"/>
      <c r="M1002"/>
    </row>
    <row r="1003" spans="1:13" x14ac:dyDescent="0.15">
      <c r="A1003" t="s">
        <v>21</v>
      </c>
      <c r="F1003"/>
      <c r="M1003"/>
    </row>
    <row r="1004" spans="1:13" x14ac:dyDescent="0.15">
      <c r="A1004" t="s">
        <v>21</v>
      </c>
      <c r="F1004"/>
      <c r="M1004"/>
    </row>
    <row r="1005" spans="1:13" x14ac:dyDescent="0.15">
      <c r="A1005" t="s">
        <v>21</v>
      </c>
      <c r="F1005"/>
      <c r="M1005"/>
    </row>
    <row r="1006" spans="1:13" x14ac:dyDescent="0.15">
      <c r="A1006" t="s">
        <v>21</v>
      </c>
      <c r="F1006"/>
      <c r="M1006"/>
    </row>
    <row r="1007" spans="1:13" x14ac:dyDescent="0.15">
      <c r="A1007" t="s">
        <v>21</v>
      </c>
      <c r="F1007"/>
      <c r="M1007"/>
    </row>
    <row r="1008" spans="1:13" x14ac:dyDescent="0.15">
      <c r="A1008" t="s">
        <v>21</v>
      </c>
      <c r="F1008"/>
      <c r="M1008"/>
    </row>
    <row r="1009" spans="1:13" x14ac:dyDescent="0.15">
      <c r="A1009" t="s">
        <v>21</v>
      </c>
      <c r="F1009"/>
      <c r="M1009"/>
    </row>
    <row r="1010" spans="1:13" x14ac:dyDescent="0.15">
      <c r="A1010" t="s">
        <v>21</v>
      </c>
      <c r="F1010"/>
      <c r="M1010"/>
    </row>
    <row r="1011" spans="1:13" x14ac:dyDescent="0.15">
      <c r="A1011" t="s">
        <v>21</v>
      </c>
      <c r="F1011"/>
      <c r="M1011"/>
    </row>
    <row r="1012" spans="1:13" x14ac:dyDescent="0.15">
      <c r="A1012" t="s">
        <v>21</v>
      </c>
      <c r="F1012"/>
      <c r="M1012"/>
    </row>
    <row r="1013" spans="1:13" x14ac:dyDescent="0.15">
      <c r="A1013" t="s">
        <v>21</v>
      </c>
      <c r="F1013"/>
      <c r="M1013"/>
    </row>
    <row r="1014" spans="1:13" x14ac:dyDescent="0.15">
      <c r="A1014" t="s">
        <v>21</v>
      </c>
      <c r="F1014"/>
      <c r="M1014"/>
    </row>
    <row r="1015" spans="1:13" x14ac:dyDescent="0.15">
      <c r="A1015" t="s">
        <v>21</v>
      </c>
      <c r="F1015"/>
      <c r="M1015"/>
    </row>
    <row r="1016" spans="1:13" x14ac:dyDescent="0.15">
      <c r="A1016" t="s">
        <v>21</v>
      </c>
      <c r="F1016"/>
      <c r="M1016"/>
    </row>
    <row r="1017" spans="1:13" x14ac:dyDescent="0.15">
      <c r="A1017" t="s">
        <v>21</v>
      </c>
      <c r="F1017"/>
      <c r="M1017"/>
    </row>
    <row r="1018" spans="1:13" x14ac:dyDescent="0.15">
      <c r="A1018" t="s">
        <v>21</v>
      </c>
      <c r="F1018"/>
      <c r="M1018"/>
    </row>
    <row r="1019" spans="1:13" x14ac:dyDescent="0.15">
      <c r="A1019" t="s">
        <v>21</v>
      </c>
      <c r="F1019"/>
      <c r="M1019"/>
    </row>
    <row r="1020" spans="1:13" x14ac:dyDescent="0.15">
      <c r="A1020" t="s">
        <v>21</v>
      </c>
      <c r="F1020"/>
      <c r="M1020"/>
    </row>
    <row r="1021" spans="1:13" x14ac:dyDescent="0.15">
      <c r="A1021" t="s">
        <v>21</v>
      </c>
      <c r="F1021"/>
      <c r="M1021"/>
    </row>
    <row r="1022" spans="1:13" x14ac:dyDescent="0.15">
      <c r="A1022" t="s">
        <v>21</v>
      </c>
      <c r="F1022"/>
      <c r="M1022"/>
    </row>
    <row r="1023" spans="1:13" x14ac:dyDescent="0.15">
      <c r="A1023" t="s">
        <v>21</v>
      </c>
      <c r="F1023"/>
      <c r="M1023"/>
    </row>
    <row r="1024" spans="1:13" x14ac:dyDescent="0.15">
      <c r="A1024" t="s">
        <v>21</v>
      </c>
      <c r="F1024"/>
      <c r="M1024"/>
    </row>
    <row r="1025" spans="1:13" x14ac:dyDescent="0.15">
      <c r="A1025" t="s">
        <v>21</v>
      </c>
      <c r="F1025"/>
      <c r="M1025"/>
    </row>
    <row r="1026" spans="1:13" x14ac:dyDescent="0.15">
      <c r="A1026" t="s">
        <v>21</v>
      </c>
      <c r="F1026"/>
      <c r="M1026"/>
    </row>
    <row r="1027" spans="1:13" x14ac:dyDescent="0.15">
      <c r="A1027" t="s">
        <v>21</v>
      </c>
      <c r="F1027"/>
      <c r="M1027"/>
    </row>
    <row r="1028" spans="1:13" x14ac:dyDescent="0.15">
      <c r="A1028" t="s">
        <v>21</v>
      </c>
      <c r="F1028"/>
      <c r="M1028"/>
    </row>
    <row r="1029" spans="1:13" x14ac:dyDescent="0.15">
      <c r="A1029" t="s">
        <v>21</v>
      </c>
      <c r="F1029"/>
      <c r="M1029"/>
    </row>
    <row r="1030" spans="1:13" x14ac:dyDescent="0.15">
      <c r="A1030" t="s">
        <v>21</v>
      </c>
      <c r="F1030"/>
      <c r="M1030"/>
    </row>
    <row r="1031" spans="1:13" x14ac:dyDescent="0.15">
      <c r="A1031" t="s">
        <v>21</v>
      </c>
      <c r="F1031"/>
      <c r="M1031"/>
    </row>
    <row r="1032" spans="1:13" x14ac:dyDescent="0.15">
      <c r="A1032" t="s">
        <v>21</v>
      </c>
      <c r="F1032"/>
      <c r="M1032"/>
    </row>
    <row r="1033" spans="1:13" x14ac:dyDescent="0.15">
      <c r="A1033" t="s">
        <v>21</v>
      </c>
      <c r="F1033"/>
      <c r="M1033"/>
    </row>
    <row r="1034" spans="1:13" x14ac:dyDescent="0.15">
      <c r="A1034" t="s">
        <v>21</v>
      </c>
      <c r="F1034"/>
      <c r="M1034"/>
    </row>
    <row r="1035" spans="1:13" x14ac:dyDescent="0.15">
      <c r="A1035" t="s">
        <v>21</v>
      </c>
      <c r="F1035"/>
      <c r="M1035"/>
    </row>
    <row r="1036" spans="1:13" x14ac:dyDescent="0.15">
      <c r="A1036" t="s">
        <v>21</v>
      </c>
      <c r="F1036"/>
      <c r="M1036"/>
    </row>
    <row r="1037" spans="1:13" x14ac:dyDescent="0.15">
      <c r="A1037" t="s">
        <v>21</v>
      </c>
      <c r="F1037"/>
      <c r="M1037"/>
    </row>
    <row r="1038" spans="1:13" x14ac:dyDescent="0.15">
      <c r="A1038" t="s">
        <v>21</v>
      </c>
      <c r="F1038"/>
      <c r="M1038"/>
    </row>
    <row r="1039" spans="1:13" x14ac:dyDescent="0.15">
      <c r="A1039" t="s">
        <v>21</v>
      </c>
      <c r="F1039"/>
      <c r="M1039"/>
    </row>
    <row r="1040" spans="1:13" x14ac:dyDescent="0.15">
      <c r="A1040" t="s">
        <v>21</v>
      </c>
      <c r="F1040"/>
      <c r="M1040"/>
    </row>
    <row r="1041" spans="1:13" x14ac:dyDescent="0.15">
      <c r="A1041" t="s">
        <v>21</v>
      </c>
      <c r="F1041"/>
      <c r="M1041"/>
    </row>
    <row r="1042" spans="1:13" x14ac:dyDescent="0.15">
      <c r="A1042" t="s">
        <v>21</v>
      </c>
      <c r="F1042"/>
      <c r="M1042"/>
    </row>
    <row r="1043" spans="1:13" x14ac:dyDescent="0.15">
      <c r="A1043" t="s">
        <v>21</v>
      </c>
      <c r="F1043"/>
      <c r="M1043"/>
    </row>
    <row r="1044" spans="1:13" x14ac:dyDescent="0.15">
      <c r="A1044" t="s">
        <v>21</v>
      </c>
      <c r="F1044"/>
      <c r="M1044"/>
    </row>
    <row r="1045" spans="1:13" x14ac:dyDescent="0.15">
      <c r="A1045" t="s">
        <v>21</v>
      </c>
      <c r="F1045"/>
      <c r="M1045"/>
    </row>
    <row r="1046" spans="1:13" x14ac:dyDescent="0.15">
      <c r="A1046" t="s">
        <v>21</v>
      </c>
      <c r="F1046"/>
      <c r="M1046"/>
    </row>
    <row r="1047" spans="1:13" x14ac:dyDescent="0.15">
      <c r="A1047" t="s">
        <v>21</v>
      </c>
      <c r="F1047"/>
      <c r="M1047"/>
    </row>
    <row r="1048" spans="1:13" x14ac:dyDescent="0.15">
      <c r="A1048" t="s">
        <v>21</v>
      </c>
      <c r="F1048"/>
      <c r="M1048"/>
    </row>
    <row r="1049" spans="1:13" x14ac:dyDescent="0.15">
      <c r="A1049" t="s">
        <v>21</v>
      </c>
      <c r="F1049"/>
      <c r="M1049"/>
    </row>
    <row r="1050" spans="1:13" x14ac:dyDescent="0.15">
      <c r="A1050" t="s">
        <v>21</v>
      </c>
      <c r="F1050"/>
      <c r="M1050"/>
    </row>
    <row r="1051" spans="1:13" x14ac:dyDescent="0.15">
      <c r="A1051" t="s">
        <v>21</v>
      </c>
      <c r="F1051"/>
      <c r="M1051"/>
    </row>
    <row r="1052" spans="1:13" x14ac:dyDescent="0.15">
      <c r="A1052" t="s">
        <v>21</v>
      </c>
      <c r="F1052"/>
      <c r="M1052"/>
    </row>
    <row r="1053" spans="1:13" x14ac:dyDescent="0.15">
      <c r="A1053" t="s">
        <v>21</v>
      </c>
      <c r="F1053"/>
      <c r="M1053"/>
    </row>
    <row r="1054" spans="1:13" x14ac:dyDescent="0.15">
      <c r="A1054" t="s">
        <v>21</v>
      </c>
      <c r="F1054"/>
      <c r="M1054"/>
    </row>
    <row r="1055" spans="1:13" x14ac:dyDescent="0.15">
      <c r="A1055" t="s">
        <v>21</v>
      </c>
      <c r="F1055"/>
      <c r="M1055"/>
    </row>
    <row r="1056" spans="1:13" x14ac:dyDescent="0.15">
      <c r="A1056" t="s">
        <v>21</v>
      </c>
      <c r="F1056"/>
      <c r="M1056"/>
    </row>
    <row r="1057" spans="1:13" x14ac:dyDescent="0.15">
      <c r="A1057" t="s">
        <v>21</v>
      </c>
      <c r="F1057"/>
      <c r="M1057"/>
    </row>
    <row r="1058" spans="1:13" x14ac:dyDescent="0.15">
      <c r="A1058" t="s">
        <v>21</v>
      </c>
      <c r="F1058"/>
      <c r="M1058"/>
    </row>
    <row r="1059" spans="1:13" x14ac:dyDescent="0.15">
      <c r="A1059" t="s">
        <v>21</v>
      </c>
      <c r="F1059"/>
      <c r="M1059"/>
    </row>
    <row r="1060" spans="1:13" x14ac:dyDescent="0.15">
      <c r="A1060" t="s">
        <v>21</v>
      </c>
      <c r="F1060"/>
      <c r="M1060"/>
    </row>
    <row r="1061" spans="1:13" x14ac:dyDescent="0.15">
      <c r="A1061" t="s">
        <v>21</v>
      </c>
      <c r="F1061"/>
      <c r="M1061"/>
    </row>
    <row r="1062" spans="1:13" x14ac:dyDescent="0.15">
      <c r="A1062" t="s">
        <v>21</v>
      </c>
      <c r="F1062"/>
      <c r="M1062"/>
    </row>
    <row r="1063" spans="1:13" x14ac:dyDescent="0.15">
      <c r="A1063" t="s">
        <v>21</v>
      </c>
      <c r="F1063"/>
      <c r="M1063"/>
    </row>
    <row r="1064" spans="1:13" x14ac:dyDescent="0.15">
      <c r="A1064" t="s">
        <v>21</v>
      </c>
      <c r="F1064"/>
      <c r="M1064"/>
    </row>
    <row r="1065" spans="1:13" x14ac:dyDescent="0.15">
      <c r="A1065" t="s">
        <v>21</v>
      </c>
      <c r="F1065"/>
      <c r="M1065"/>
    </row>
    <row r="1066" spans="1:13" x14ac:dyDescent="0.15">
      <c r="A1066" t="s">
        <v>21</v>
      </c>
      <c r="F1066"/>
      <c r="M1066"/>
    </row>
    <row r="1067" spans="1:13" x14ac:dyDescent="0.15">
      <c r="A1067" t="s">
        <v>21</v>
      </c>
      <c r="F1067"/>
      <c r="M1067"/>
    </row>
    <row r="1068" spans="1:13" x14ac:dyDescent="0.15">
      <c r="A1068" t="s">
        <v>21</v>
      </c>
      <c r="F1068"/>
      <c r="M1068"/>
    </row>
    <row r="1069" spans="1:13" x14ac:dyDescent="0.15">
      <c r="A1069" t="s">
        <v>21</v>
      </c>
      <c r="F1069"/>
      <c r="M1069"/>
    </row>
    <row r="1070" spans="1:13" x14ac:dyDescent="0.15">
      <c r="A1070" t="s">
        <v>21</v>
      </c>
      <c r="F1070"/>
      <c r="M1070"/>
    </row>
    <row r="1071" spans="1:13" x14ac:dyDescent="0.15">
      <c r="A1071" t="s">
        <v>21</v>
      </c>
      <c r="F1071"/>
      <c r="M1071"/>
    </row>
    <row r="1072" spans="1:13" x14ac:dyDescent="0.15">
      <c r="A1072" t="s">
        <v>21</v>
      </c>
      <c r="F1072"/>
      <c r="M1072"/>
    </row>
    <row r="1073" spans="1:13" x14ac:dyDescent="0.15">
      <c r="A1073" t="s">
        <v>21</v>
      </c>
      <c r="F1073"/>
      <c r="M1073"/>
    </row>
    <row r="1074" spans="1:13" x14ac:dyDescent="0.15">
      <c r="A1074" t="s">
        <v>21</v>
      </c>
      <c r="F1074"/>
      <c r="M1074"/>
    </row>
    <row r="1075" spans="1:13" x14ac:dyDescent="0.15">
      <c r="A1075" t="s">
        <v>21</v>
      </c>
      <c r="F1075"/>
      <c r="M1075"/>
    </row>
    <row r="1076" spans="1:13" x14ac:dyDescent="0.15">
      <c r="A1076" t="s">
        <v>21</v>
      </c>
      <c r="F1076"/>
      <c r="M1076"/>
    </row>
    <row r="1077" spans="1:13" x14ac:dyDescent="0.15">
      <c r="A1077" t="s">
        <v>21</v>
      </c>
      <c r="F1077"/>
      <c r="M1077"/>
    </row>
    <row r="1078" spans="1:13" x14ac:dyDescent="0.15">
      <c r="A1078" t="s">
        <v>21</v>
      </c>
      <c r="F1078"/>
      <c r="M1078"/>
    </row>
    <row r="1079" spans="1:13" x14ac:dyDescent="0.15">
      <c r="A1079" t="s">
        <v>21</v>
      </c>
      <c r="F1079"/>
      <c r="M1079"/>
    </row>
    <row r="1080" spans="1:13" x14ac:dyDescent="0.15">
      <c r="A1080" t="s">
        <v>21</v>
      </c>
      <c r="F1080"/>
      <c r="M1080"/>
    </row>
    <row r="1081" spans="1:13" x14ac:dyDescent="0.15">
      <c r="A1081" t="s">
        <v>21</v>
      </c>
      <c r="F1081"/>
      <c r="M1081"/>
    </row>
    <row r="1082" spans="1:13" x14ac:dyDescent="0.15">
      <c r="A1082" t="s">
        <v>21</v>
      </c>
      <c r="F1082"/>
      <c r="M1082"/>
    </row>
    <row r="1083" spans="1:13" x14ac:dyDescent="0.15">
      <c r="A1083" t="s">
        <v>21</v>
      </c>
      <c r="F1083"/>
      <c r="M1083"/>
    </row>
    <row r="1084" spans="1:13" x14ac:dyDescent="0.15">
      <c r="A1084" t="s">
        <v>21</v>
      </c>
      <c r="F1084"/>
      <c r="M1084"/>
    </row>
    <row r="1085" spans="1:13" x14ac:dyDescent="0.15">
      <c r="A1085" t="s">
        <v>21</v>
      </c>
      <c r="F1085"/>
      <c r="M1085"/>
    </row>
    <row r="1086" spans="1:13" x14ac:dyDescent="0.15">
      <c r="A1086" t="s">
        <v>21</v>
      </c>
      <c r="F1086"/>
      <c r="M1086"/>
    </row>
    <row r="1087" spans="1:13" x14ac:dyDescent="0.15">
      <c r="A1087" t="s">
        <v>21</v>
      </c>
      <c r="F1087"/>
      <c r="M1087"/>
    </row>
    <row r="1088" spans="1:13" x14ac:dyDescent="0.15">
      <c r="A1088" t="s">
        <v>21</v>
      </c>
      <c r="F1088"/>
      <c r="M1088"/>
    </row>
    <row r="1089" spans="1:13" x14ac:dyDescent="0.15">
      <c r="A1089" t="s">
        <v>21</v>
      </c>
      <c r="F1089"/>
      <c r="M1089"/>
    </row>
    <row r="1090" spans="1:13" x14ac:dyDescent="0.15">
      <c r="A1090" t="s">
        <v>21</v>
      </c>
      <c r="F1090"/>
      <c r="M1090"/>
    </row>
    <row r="1091" spans="1:13" x14ac:dyDescent="0.15">
      <c r="A1091" t="s">
        <v>21</v>
      </c>
      <c r="F1091"/>
      <c r="M1091"/>
    </row>
    <row r="1092" spans="1:13" x14ac:dyDescent="0.15">
      <c r="A1092" t="s">
        <v>21</v>
      </c>
      <c r="F1092"/>
      <c r="M1092"/>
    </row>
    <row r="1093" spans="1:13" x14ac:dyDescent="0.15">
      <c r="A1093" t="s">
        <v>21</v>
      </c>
      <c r="F1093"/>
      <c r="M1093"/>
    </row>
    <row r="1094" spans="1:13" x14ac:dyDescent="0.15">
      <c r="A1094" t="s">
        <v>21</v>
      </c>
      <c r="F1094"/>
      <c r="M1094"/>
    </row>
    <row r="1095" spans="1:13" x14ac:dyDescent="0.15">
      <c r="A1095" t="s">
        <v>21</v>
      </c>
      <c r="F1095"/>
      <c r="M1095"/>
    </row>
    <row r="1096" spans="1:13" x14ac:dyDescent="0.15">
      <c r="A1096" t="s">
        <v>21</v>
      </c>
      <c r="F1096"/>
      <c r="M1096"/>
    </row>
    <row r="1097" spans="1:13" x14ac:dyDescent="0.15">
      <c r="A1097" t="s">
        <v>21</v>
      </c>
      <c r="F1097"/>
      <c r="M1097"/>
    </row>
    <row r="1098" spans="1:13" x14ac:dyDescent="0.15">
      <c r="A1098" t="s">
        <v>21</v>
      </c>
      <c r="F1098"/>
      <c r="M1098"/>
    </row>
    <row r="1099" spans="1:13" x14ac:dyDescent="0.15">
      <c r="A1099" t="s">
        <v>21</v>
      </c>
      <c r="F1099"/>
      <c r="M1099"/>
    </row>
    <row r="1100" spans="1:13" x14ac:dyDescent="0.15">
      <c r="A1100" t="s">
        <v>21</v>
      </c>
      <c r="F1100"/>
      <c r="M1100"/>
    </row>
    <row r="1101" spans="1:13" x14ac:dyDescent="0.15">
      <c r="A1101" t="s">
        <v>21</v>
      </c>
      <c r="F1101"/>
      <c r="M1101"/>
    </row>
    <row r="1102" spans="1:13" x14ac:dyDescent="0.15">
      <c r="A1102" t="s">
        <v>21</v>
      </c>
      <c r="F1102"/>
      <c r="M1102"/>
    </row>
    <row r="1103" spans="1:13" x14ac:dyDescent="0.15">
      <c r="A1103" t="s">
        <v>21</v>
      </c>
      <c r="F1103"/>
      <c r="M1103"/>
    </row>
    <row r="1104" spans="1:13" x14ac:dyDescent="0.15">
      <c r="A1104" t="s">
        <v>21</v>
      </c>
      <c r="F1104"/>
      <c r="M1104"/>
    </row>
    <row r="1105" spans="1:13" x14ac:dyDescent="0.15">
      <c r="A1105" t="s">
        <v>21</v>
      </c>
      <c r="F1105"/>
      <c r="M1105"/>
    </row>
    <row r="1106" spans="1:13" x14ac:dyDescent="0.15">
      <c r="A1106" t="s">
        <v>21</v>
      </c>
      <c r="F1106"/>
      <c r="M1106"/>
    </row>
    <row r="1107" spans="1:13" x14ac:dyDescent="0.15">
      <c r="A1107" t="s">
        <v>21</v>
      </c>
      <c r="F1107"/>
      <c r="M1107"/>
    </row>
    <row r="1108" spans="1:13" x14ac:dyDescent="0.15">
      <c r="A1108" t="s">
        <v>21</v>
      </c>
      <c r="F1108"/>
      <c r="M1108"/>
    </row>
    <row r="1109" spans="1:13" x14ac:dyDescent="0.15">
      <c r="A1109" t="s">
        <v>21</v>
      </c>
      <c r="F1109"/>
      <c r="M1109"/>
    </row>
    <row r="1110" spans="1:13" x14ac:dyDescent="0.15">
      <c r="A1110" t="s">
        <v>21</v>
      </c>
      <c r="F1110"/>
      <c r="M1110"/>
    </row>
    <row r="1111" spans="1:13" x14ac:dyDescent="0.15">
      <c r="A1111" t="s">
        <v>21</v>
      </c>
      <c r="F1111"/>
      <c r="M1111"/>
    </row>
    <row r="1112" spans="1:13" x14ac:dyDescent="0.15">
      <c r="A1112" t="s">
        <v>21</v>
      </c>
      <c r="F1112"/>
      <c r="M1112"/>
    </row>
    <row r="1113" spans="1:13" x14ac:dyDescent="0.15">
      <c r="A1113" t="s">
        <v>21</v>
      </c>
      <c r="F1113"/>
      <c r="M1113"/>
    </row>
    <row r="1114" spans="1:13" x14ac:dyDescent="0.15">
      <c r="A1114" t="s">
        <v>21</v>
      </c>
      <c r="F1114"/>
      <c r="M1114"/>
    </row>
    <row r="1115" spans="1:13" x14ac:dyDescent="0.15">
      <c r="A1115" t="s">
        <v>21</v>
      </c>
      <c r="F1115"/>
      <c r="M1115"/>
    </row>
    <row r="1116" spans="1:13" x14ac:dyDescent="0.15">
      <c r="A1116" t="s">
        <v>21</v>
      </c>
      <c r="F1116"/>
      <c r="M1116"/>
    </row>
    <row r="1117" spans="1:13" x14ac:dyDescent="0.15">
      <c r="A1117" t="s">
        <v>21</v>
      </c>
      <c r="F1117"/>
      <c r="M1117"/>
    </row>
    <row r="1118" spans="1:13" x14ac:dyDescent="0.15">
      <c r="A1118" t="s">
        <v>21</v>
      </c>
      <c r="F1118"/>
      <c r="M1118"/>
    </row>
    <row r="1119" spans="1:13" x14ac:dyDescent="0.15">
      <c r="A1119" t="s">
        <v>21</v>
      </c>
      <c r="F1119"/>
      <c r="M1119"/>
    </row>
    <row r="1120" spans="1:13" x14ac:dyDescent="0.15">
      <c r="A1120" t="s">
        <v>21</v>
      </c>
      <c r="F1120"/>
      <c r="M1120"/>
    </row>
    <row r="1121" spans="1:13" x14ac:dyDescent="0.15">
      <c r="A1121" t="s">
        <v>21</v>
      </c>
      <c r="F1121"/>
      <c r="M1121"/>
    </row>
    <row r="1122" spans="1:13" x14ac:dyDescent="0.15">
      <c r="A1122" t="s">
        <v>21</v>
      </c>
      <c r="F1122"/>
      <c r="M1122"/>
    </row>
    <row r="1123" spans="1:13" x14ac:dyDescent="0.15">
      <c r="A1123" t="s">
        <v>21</v>
      </c>
      <c r="F1123"/>
      <c r="M1123"/>
    </row>
    <row r="1124" spans="1:13" x14ac:dyDescent="0.15">
      <c r="A1124" t="s">
        <v>21</v>
      </c>
      <c r="F1124"/>
      <c r="M1124"/>
    </row>
    <row r="1125" spans="1:13" x14ac:dyDescent="0.15">
      <c r="A1125" t="s">
        <v>21</v>
      </c>
      <c r="F1125"/>
      <c r="M1125"/>
    </row>
    <row r="1126" spans="1:13" x14ac:dyDescent="0.15">
      <c r="A1126" t="s">
        <v>21</v>
      </c>
      <c r="F1126"/>
      <c r="M1126"/>
    </row>
    <row r="1127" spans="1:13" x14ac:dyDescent="0.15">
      <c r="A1127" t="s">
        <v>21</v>
      </c>
      <c r="F1127"/>
      <c r="M1127"/>
    </row>
    <row r="1128" spans="1:13" x14ac:dyDescent="0.15">
      <c r="A1128" t="s">
        <v>21</v>
      </c>
      <c r="F1128"/>
      <c r="M1128"/>
    </row>
    <row r="1129" spans="1:13" x14ac:dyDescent="0.15">
      <c r="A1129" t="s">
        <v>21</v>
      </c>
      <c r="F1129"/>
      <c r="M1129"/>
    </row>
    <row r="1130" spans="1:13" x14ac:dyDescent="0.15">
      <c r="A1130" t="s">
        <v>21</v>
      </c>
      <c r="F1130"/>
      <c r="M1130"/>
    </row>
    <row r="1131" spans="1:13" x14ac:dyDescent="0.15">
      <c r="A1131" t="s">
        <v>21</v>
      </c>
      <c r="F1131"/>
      <c r="M1131"/>
    </row>
    <row r="1132" spans="1:13" x14ac:dyDescent="0.15">
      <c r="A1132" t="s">
        <v>21</v>
      </c>
      <c r="F1132"/>
      <c r="M1132"/>
    </row>
    <row r="1133" spans="1:13" x14ac:dyDescent="0.15">
      <c r="A1133" t="s">
        <v>21</v>
      </c>
      <c r="F1133"/>
      <c r="M1133"/>
    </row>
    <row r="1134" spans="1:13" x14ac:dyDescent="0.15">
      <c r="A1134" t="s">
        <v>21</v>
      </c>
      <c r="F1134"/>
      <c r="M1134"/>
    </row>
    <row r="1135" spans="1:13" x14ac:dyDescent="0.15">
      <c r="A1135" t="s">
        <v>21</v>
      </c>
      <c r="F1135"/>
      <c r="M1135"/>
    </row>
    <row r="1136" spans="1:13" x14ac:dyDescent="0.15">
      <c r="A1136" t="s">
        <v>21</v>
      </c>
      <c r="F1136"/>
      <c r="M1136"/>
    </row>
    <row r="1137" spans="1:13" x14ac:dyDescent="0.15">
      <c r="A1137" t="s">
        <v>21</v>
      </c>
      <c r="F1137"/>
      <c r="M1137"/>
    </row>
    <row r="1138" spans="1:13" x14ac:dyDescent="0.15">
      <c r="A1138" t="s">
        <v>21</v>
      </c>
      <c r="F1138"/>
      <c r="M1138"/>
    </row>
    <row r="1139" spans="1:13" x14ac:dyDescent="0.15">
      <c r="A1139" t="s">
        <v>21</v>
      </c>
      <c r="F1139"/>
      <c r="M1139"/>
    </row>
    <row r="1140" spans="1:13" x14ac:dyDescent="0.15">
      <c r="A1140" t="s">
        <v>21</v>
      </c>
      <c r="F1140"/>
      <c r="M1140"/>
    </row>
    <row r="1141" spans="1:13" x14ac:dyDescent="0.15">
      <c r="A1141" t="s">
        <v>21</v>
      </c>
      <c r="F1141"/>
      <c r="M1141"/>
    </row>
    <row r="1142" spans="1:13" x14ac:dyDescent="0.15">
      <c r="A1142" t="s">
        <v>21</v>
      </c>
      <c r="F1142"/>
      <c r="M1142"/>
    </row>
    <row r="1143" spans="1:13" x14ac:dyDescent="0.15">
      <c r="A1143" t="s">
        <v>21</v>
      </c>
      <c r="F1143"/>
      <c r="M1143"/>
    </row>
    <row r="1144" spans="1:13" x14ac:dyDescent="0.15">
      <c r="A1144" t="s">
        <v>21</v>
      </c>
      <c r="F1144"/>
      <c r="M1144"/>
    </row>
    <row r="1145" spans="1:13" x14ac:dyDescent="0.15">
      <c r="A1145" t="s">
        <v>21</v>
      </c>
      <c r="F1145"/>
      <c r="M1145"/>
    </row>
    <row r="1146" spans="1:13" x14ac:dyDescent="0.15">
      <c r="A1146" t="s">
        <v>21</v>
      </c>
      <c r="F1146"/>
      <c r="M1146"/>
    </row>
    <row r="1147" spans="1:13" x14ac:dyDescent="0.15">
      <c r="A1147" t="s">
        <v>21</v>
      </c>
      <c r="F1147"/>
      <c r="M1147"/>
    </row>
    <row r="1148" spans="1:13" x14ac:dyDescent="0.15">
      <c r="A1148" t="s">
        <v>21</v>
      </c>
      <c r="F1148"/>
      <c r="M1148"/>
    </row>
    <row r="1149" spans="1:13" x14ac:dyDescent="0.15">
      <c r="A1149" t="s">
        <v>21</v>
      </c>
      <c r="F1149"/>
      <c r="M1149"/>
    </row>
    <row r="1150" spans="1:13" x14ac:dyDescent="0.15">
      <c r="A1150" t="s">
        <v>21</v>
      </c>
      <c r="F1150"/>
      <c r="M1150"/>
    </row>
    <row r="1151" spans="1:13" x14ac:dyDescent="0.15">
      <c r="A1151" t="s">
        <v>21</v>
      </c>
      <c r="F1151"/>
      <c r="M1151"/>
    </row>
    <row r="1152" spans="1:13" x14ac:dyDescent="0.15">
      <c r="A1152" t="s">
        <v>21</v>
      </c>
      <c r="F1152"/>
      <c r="M1152"/>
    </row>
    <row r="1153" spans="1:13" x14ac:dyDescent="0.15">
      <c r="A1153" t="s">
        <v>21</v>
      </c>
      <c r="F1153"/>
      <c r="M1153"/>
    </row>
    <row r="1154" spans="1:13" x14ac:dyDescent="0.15">
      <c r="A1154" t="s">
        <v>21</v>
      </c>
      <c r="F1154"/>
      <c r="M1154"/>
    </row>
    <row r="1155" spans="1:13" x14ac:dyDescent="0.15">
      <c r="A1155" t="s">
        <v>21</v>
      </c>
      <c r="F1155"/>
      <c r="M1155"/>
    </row>
    <row r="1156" spans="1:13" x14ac:dyDescent="0.15">
      <c r="A1156" t="s">
        <v>21</v>
      </c>
      <c r="F1156"/>
      <c r="M1156"/>
    </row>
    <row r="1157" spans="1:13" x14ac:dyDescent="0.15">
      <c r="A1157" t="s">
        <v>21</v>
      </c>
      <c r="F1157"/>
      <c r="M1157"/>
    </row>
    <row r="1158" spans="1:13" x14ac:dyDescent="0.15">
      <c r="A1158" t="s">
        <v>21</v>
      </c>
      <c r="F1158"/>
      <c r="M1158"/>
    </row>
    <row r="1159" spans="1:13" x14ac:dyDescent="0.15">
      <c r="A1159" t="s">
        <v>21</v>
      </c>
      <c r="F1159"/>
      <c r="M1159"/>
    </row>
    <row r="1160" spans="1:13" x14ac:dyDescent="0.15">
      <c r="A1160" t="s">
        <v>21</v>
      </c>
      <c r="F1160"/>
      <c r="M1160"/>
    </row>
    <row r="1161" spans="1:13" x14ac:dyDescent="0.15">
      <c r="A1161" t="s">
        <v>21</v>
      </c>
      <c r="F1161"/>
      <c r="M1161"/>
    </row>
    <row r="1162" spans="1:13" x14ac:dyDescent="0.15">
      <c r="A1162" t="s">
        <v>21</v>
      </c>
      <c r="F1162"/>
      <c r="M1162"/>
    </row>
    <row r="1163" spans="1:13" x14ac:dyDescent="0.15">
      <c r="A1163" t="s">
        <v>21</v>
      </c>
      <c r="F1163"/>
      <c r="M1163"/>
    </row>
    <row r="1164" spans="1:13" x14ac:dyDescent="0.15">
      <c r="A1164" t="s">
        <v>21</v>
      </c>
      <c r="F1164"/>
      <c r="M1164"/>
    </row>
    <row r="1165" spans="1:13" x14ac:dyDescent="0.15">
      <c r="A1165" t="s">
        <v>21</v>
      </c>
      <c r="F1165"/>
      <c r="M1165"/>
    </row>
    <row r="1166" spans="1:13" x14ac:dyDescent="0.15">
      <c r="A1166" t="s">
        <v>21</v>
      </c>
      <c r="F1166"/>
      <c r="M1166"/>
    </row>
    <row r="1167" spans="1:13" x14ac:dyDescent="0.15">
      <c r="A1167" t="s">
        <v>21</v>
      </c>
      <c r="F1167"/>
      <c r="M1167"/>
    </row>
    <row r="1168" spans="1:13" x14ac:dyDescent="0.15">
      <c r="A1168" t="s">
        <v>21</v>
      </c>
      <c r="F1168"/>
      <c r="M1168"/>
    </row>
    <row r="1169" spans="1:13" x14ac:dyDescent="0.15">
      <c r="A1169" t="s">
        <v>21</v>
      </c>
      <c r="F1169"/>
      <c r="M1169"/>
    </row>
    <row r="1170" spans="1:13" x14ac:dyDescent="0.15">
      <c r="A1170" t="s">
        <v>21</v>
      </c>
      <c r="F1170"/>
      <c r="M1170"/>
    </row>
    <row r="1171" spans="1:13" x14ac:dyDescent="0.15">
      <c r="A1171" t="s">
        <v>21</v>
      </c>
      <c r="F1171"/>
      <c r="M1171"/>
    </row>
    <row r="1172" spans="1:13" x14ac:dyDescent="0.15">
      <c r="A1172" t="s">
        <v>21</v>
      </c>
      <c r="F1172"/>
      <c r="M1172"/>
    </row>
    <row r="1173" spans="1:13" x14ac:dyDescent="0.15">
      <c r="A1173" t="s">
        <v>21</v>
      </c>
      <c r="F1173"/>
      <c r="M1173"/>
    </row>
    <row r="1174" spans="1:13" x14ac:dyDescent="0.15">
      <c r="A1174" t="s">
        <v>21</v>
      </c>
      <c r="F1174"/>
      <c r="M1174"/>
    </row>
    <row r="1175" spans="1:13" x14ac:dyDescent="0.15">
      <c r="A1175" t="s">
        <v>21</v>
      </c>
      <c r="F1175"/>
      <c r="M1175"/>
    </row>
    <row r="1176" spans="1:13" x14ac:dyDescent="0.15">
      <c r="A1176" t="s">
        <v>21</v>
      </c>
      <c r="F1176"/>
      <c r="M1176"/>
    </row>
    <row r="1177" spans="1:13" x14ac:dyDescent="0.15">
      <c r="A1177" t="s">
        <v>21</v>
      </c>
      <c r="F1177"/>
      <c r="M1177"/>
    </row>
    <row r="1178" spans="1:13" x14ac:dyDescent="0.15">
      <c r="A1178" t="s">
        <v>21</v>
      </c>
      <c r="F1178"/>
      <c r="M1178"/>
    </row>
    <row r="1179" spans="1:13" x14ac:dyDescent="0.15">
      <c r="A1179" t="s">
        <v>21</v>
      </c>
      <c r="F1179"/>
      <c r="M1179"/>
    </row>
    <row r="1180" spans="1:13" x14ac:dyDescent="0.15">
      <c r="A1180" t="s">
        <v>21</v>
      </c>
      <c r="F1180"/>
      <c r="M1180"/>
    </row>
    <row r="1181" spans="1:13" x14ac:dyDescent="0.15">
      <c r="A1181" t="s">
        <v>21</v>
      </c>
      <c r="F1181"/>
      <c r="M1181"/>
    </row>
    <row r="1182" spans="1:13" x14ac:dyDescent="0.15">
      <c r="A1182" t="s">
        <v>21</v>
      </c>
      <c r="F1182"/>
      <c r="M1182"/>
    </row>
    <row r="1183" spans="1:13" x14ac:dyDescent="0.15">
      <c r="A1183" t="s">
        <v>21</v>
      </c>
      <c r="F1183"/>
      <c r="M1183"/>
    </row>
    <row r="1184" spans="1:13" x14ac:dyDescent="0.15">
      <c r="A1184" t="s">
        <v>21</v>
      </c>
      <c r="F1184"/>
      <c r="M1184"/>
    </row>
    <row r="1185" spans="1:13" x14ac:dyDescent="0.15">
      <c r="A1185" t="s">
        <v>21</v>
      </c>
      <c r="F1185"/>
      <c r="M1185"/>
    </row>
    <row r="1186" spans="1:13" x14ac:dyDescent="0.15">
      <c r="A1186" t="s">
        <v>21</v>
      </c>
      <c r="F1186"/>
      <c r="M1186"/>
    </row>
    <row r="1187" spans="1:13" x14ac:dyDescent="0.15">
      <c r="A1187" t="s">
        <v>21</v>
      </c>
      <c r="F1187"/>
      <c r="M1187"/>
    </row>
    <row r="1188" spans="1:13" x14ac:dyDescent="0.15">
      <c r="A1188" t="s">
        <v>21</v>
      </c>
      <c r="F1188"/>
      <c r="M1188"/>
    </row>
    <row r="1189" spans="1:13" x14ac:dyDescent="0.15">
      <c r="A1189" t="s">
        <v>21</v>
      </c>
      <c r="F1189"/>
      <c r="M1189"/>
    </row>
    <row r="1190" spans="1:13" x14ac:dyDescent="0.15">
      <c r="A1190" t="s">
        <v>21</v>
      </c>
      <c r="F1190"/>
      <c r="M1190"/>
    </row>
    <row r="1191" spans="1:13" x14ac:dyDescent="0.15">
      <c r="A1191" t="s">
        <v>21</v>
      </c>
      <c r="F1191"/>
      <c r="M1191"/>
    </row>
    <row r="1192" spans="1:13" x14ac:dyDescent="0.15">
      <c r="A1192" t="s">
        <v>21</v>
      </c>
      <c r="F1192"/>
      <c r="M1192"/>
    </row>
    <row r="1193" spans="1:13" x14ac:dyDescent="0.15">
      <c r="A1193" t="s">
        <v>21</v>
      </c>
      <c r="F1193"/>
      <c r="M1193"/>
    </row>
    <row r="1194" spans="1:13" x14ac:dyDescent="0.15">
      <c r="A1194" t="s">
        <v>21</v>
      </c>
      <c r="F1194"/>
      <c r="M1194"/>
    </row>
    <row r="1195" spans="1:13" x14ac:dyDescent="0.15">
      <c r="A1195" t="s">
        <v>21</v>
      </c>
      <c r="F1195"/>
      <c r="M1195"/>
    </row>
    <row r="1196" spans="1:13" x14ac:dyDescent="0.15">
      <c r="A1196" t="s">
        <v>21</v>
      </c>
      <c r="F1196"/>
      <c r="M1196"/>
    </row>
    <row r="1197" spans="1:13" x14ac:dyDescent="0.15">
      <c r="A1197" t="s">
        <v>21</v>
      </c>
      <c r="F1197"/>
      <c r="M1197"/>
    </row>
    <row r="1198" spans="1:13" x14ac:dyDescent="0.15">
      <c r="A1198" t="s">
        <v>21</v>
      </c>
      <c r="F1198"/>
      <c r="M1198"/>
    </row>
    <row r="1199" spans="1:13" x14ac:dyDescent="0.15">
      <c r="A1199" t="s">
        <v>21</v>
      </c>
      <c r="F1199"/>
      <c r="M1199"/>
    </row>
    <row r="1200" spans="1:13" x14ac:dyDescent="0.15">
      <c r="A1200" t="s">
        <v>21</v>
      </c>
      <c r="F1200"/>
      <c r="M1200"/>
    </row>
    <row r="1201" spans="1:13" x14ac:dyDescent="0.15">
      <c r="A1201" t="s">
        <v>21</v>
      </c>
      <c r="F1201"/>
      <c r="M1201"/>
    </row>
    <row r="1202" spans="1:13" x14ac:dyDescent="0.15">
      <c r="A1202" t="s">
        <v>21</v>
      </c>
      <c r="F1202"/>
      <c r="M1202"/>
    </row>
    <row r="1203" spans="1:13" x14ac:dyDescent="0.15">
      <c r="A1203" t="s">
        <v>21</v>
      </c>
      <c r="F1203"/>
      <c r="M1203"/>
    </row>
    <row r="1204" spans="1:13" x14ac:dyDescent="0.15">
      <c r="A1204" t="s">
        <v>21</v>
      </c>
      <c r="F1204"/>
      <c r="M1204"/>
    </row>
    <row r="1205" spans="1:13" x14ac:dyDescent="0.15">
      <c r="A1205" t="s">
        <v>21</v>
      </c>
      <c r="F1205"/>
      <c r="M1205"/>
    </row>
    <row r="1206" spans="1:13" x14ac:dyDescent="0.15">
      <c r="A1206" t="s">
        <v>21</v>
      </c>
      <c r="F1206"/>
      <c r="M1206"/>
    </row>
    <row r="1207" spans="1:13" x14ac:dyDescent="0.15">
      <c r="A1207" t="s">
        <v>21</v>
      </c>
      <c r="F1207"/>
      <c r="M1207"/>
    </row>
    <row r="1208" spans="1:13" x14ac:dyDescent="0.15">
      <c r="A1208" t="s">
        <v>21</v>
      </c>
      <c r="F1208"/>
      <c r="M1208"/>
    </row>
    <row r="1209" spans="1:13" x14ac:dyDescent="0.15">
      <c r="A1209" t="s">
        <v>21</v>
      </c>
      <c r="F1209"/>
      <c r="M1209"/>
    </row>
    <row r="1210" spans="1:13" x14ac:dyDescent="0.15">
      <c r="A1210" t="s">
        <v>21</v>
      </c>
      <c r="F1210"/>
      <c r="M1210"/>
    </row>
    <row r="1211" spans="1:13" x14ac:dyDescent="0.15">
      <c r="A1211" t="s">
        <v>21</v>
      </c>
      <c r="F1211"/>
      <c r="M1211"/>
    </row>
    <row r="1212" spans="1:13" x14ac:dyDescent="0.15">
      <c r="A1212" t="s">
        <v>21</v>
      </c>
      <c r="F1212"/>
      <c r="M1212"/>
    </row>
    <row r="1213" spans="1:13" x14ac:dyDescent="0.15">
      <c r="A1213" t="s">
        <v>21</v>
      </c>
      <c r="F1213"/>
      <c r="M1213"/>
    </row>
    <row r="1214" spans="1:13" x14ac:dyDescent="0.15">
      <c r="A1214" t="s">
        <v>21</v>
      </c>
      <c r="F1214"/>
      <c r="M1214"/>
    </row>
    <row r="1215" spans="1:13" x14ac:dyDescent="0.15">
      <c r="A1215" t="s">
        <v>21</v>
      </c>
      <c r="F1215"/>
      <c r="M1215"/>
    </row>
    <row r="1216" spans="1:13" x14ac:dyDescent="0.15">
      <c r="A1216" t="s">
        <v>21</v>
      </c>
      <c r="F1216"/>
      <c r="M1216"/>
    </row>
    <row r="1217" spans="1:13" x14ac:dyDescent="0.15">
      <c r="A1217" t="s">
        <v>21</v>
      </c>
      <c r="F1217"/>
      <c r="M1217"/>
    </row>
    <row r="1218" spans="1:13" x14ac:dyDescent="0.15">
      <c r="A1218" t="s">
        <v>21</v>
      </c>
      <c r="F1218"/>
      <c r="M1218"/>
    </row>
    <row r="1219" spans="1:13" x14ac:dyDescent="0.15">
      <c r="A1219" t="s">
        <v>21</v>
      </c>
      <c r="F1219"/>
      <c r="M1219"/>
    </row>
    <row r="1220" spans="1:13" x14ac:dyDescent="0.15">
      <c r="A1220" t="s">
        <v>21</v>
      </c>
      <c r="F1220"/>
      <c r="M1220"/>
    </row>
    <row r="1221" spans="1:13" x14ac:dyDescent="0.15">
      <c r="A1221" t="s">
        <v>21</v>
      </c>
      <c r="F1221"/>
      <c r="M1221"/>
    </row>
    <row r="1222" spans="1:13" x14ac:dyDescent="0.15">
      <c r="A1222" t="s">
        <v>21</v>
      </c>
      <c r="F1222"/>
      <c r="M1222"/>
    </row>
    <row r="1223" spans="1:13" x14ac:dyDescent="0.15">
      <c r="A1223" t="s">
        <v>21</v>
      </c>
      <c r="F1223"/>
      <c r="M1223"/>
    </row>
    <row r="1224" spans="1:13" x14ac:dyDescent="0.15">
      <c r="A1224" t="s">
        <v>21</v>
      </c>
      <c r="F1224"/>
      <c r="M1224"/>
    </row>
    <row r="1225" spans="1:13" x14ac:dyDescent="0.15">
      <c r="A1225" t="s">
        <v>21</v>
      </c>
      <c r="F1225"/>
      <c r="M1225"/>
    </row>
    <row r="1226" spans="1:13" x14ac:dyDescent="0.15">
      <c r="A1226" t="s">
        <v>21</v>
      </c>
      <c r="F1226"/>
      <c r="M1226"/>
    </row>
    <row r="1227" spans="1:13" x14ac:dyDescent="0.15">
      <c r="A1227" t="s">
        <v>21</v>
      </c>
      <c r="F1227"/>
      <c r="M1227"/>
    </row>
    <row r="1228" spans="1:13" x14ac:dyDescent="0.15">
      <c r="A1228" t="s">
        <v>21</v>
      </c>
      <c r="F1228"/>
      <c r="M1228"/>
    </row>
    <row r="1229" spans="1:13" x14ac:dyDescent="0.15">
      <c r="A1229" t="s">
        <v>21</v>
      </c>
      <c r="F1229"/>
      <c r="M1229"/>
    </row>
    <row r="1230" spans="1:13" x14ac:dyDescent="0.15">
      <c r="A1230" t="s">
        <v>21</v>
      </c>
      <c r="F1230"/>
      <c r="M1230"/>
    </row>
    <row r="1231" spans="1:13" x14ac:dyDescent="0.15">
      <c r="A1231" t="s">
        <v>21</v>
      </c>
      <c r="F1231"/>
      <c r="M1231"/>
    </row>
    <row r="1232" spans="1:13" x14ac:dyDescent="0.15">
      <c r="A1232" t="s">
        <v>21</v>
      </c>
      <c r="F1232"/>
      <c r="M1232"/>
    </row>
    <row r="1233" spans="1:13" x14ac:dyDescent="0.15">
      <c r="A1233" t="s">
        <v>21</v>
      </c>
      <c r="F1233"/>
      <c r="M1233"/>
    </row>
    <row r="1234" spans="1:13" x14ac:dyDescent="0.15">
      <c r="A1234" t="s">
        <v>21</v>
      </c>
      <c r="F1234"/>
      <c r="M1234"/>
    </row>
    <row r="1235" spans="1:13" x14ac:dyDescent="0.15">
      <c r="A1235" t="s">
        <v>21</v>
      </c>
      <c r="F1235"/>
      <c r="M1235"/>
    </row>
    <row r="1236" spans="1:13" x14ac:dyDescent="0.15">
      <c r="A1236" t="s">
        <v>21</v>
      </c>
      <c r="F1236"/>
      <c r="M1236"/>
    </row>
    <row r="1237" spans="1:13" x14ac:dyDescent="0.15">
      <c r="A1237" t="s">
        <v>21</v>
      </c>
      <c r="F1237"/>
      <c r="M1237"/>
    </row>
    <row r="1238" spans="1:13" x14ac:dyDescent="0.15">
      <c r="A1238" t="s">
        <v>21</v>
      </c>
      <c r="F1238"/>
      <c r="M1238"/>
    </row>
    <row r="1239" spans="1:13" x14ac:dyDescent="0.15">
      <c r="A1239" t="s">
        <v>22</v>
      </c>
      <c r="F1239"/>
      <c r="M1239"/>
    </row>
    <row r="1240" spans="1:13" x14ac:dyDescent="0.15">
      <c r="A1240" t="s">
        <v>22</v>
      </c>
      <c r="F1240"/>
      <c r="M1240"/>
    </row>
    <row r="1241" spans="1:13" x14ac:dyDescent="0.15">
      <c r="A1241" t="s">
        <v>22</v>
      </c>
      <c r="F1241"/>
      <c r="M1241"/>
    </row>
    <row r="1242" spans="1:13" x14ac:dyDescent="0.15">
      <c r="A1242" t="s">
        <v>22</v>
      </c>
      <c r="F1242"/>
      <c r="M1242"/>
    </row>
    <row r="1243" spans="1:13" x14ac:dyDescent="0.15">
      <c r="A1243" t="s">
        <v>22</v>
      </c>
      <c r="F1243"/>
      <c r="M1243"/>
    </row>
    <row r="1244" spans="1:13" x14ac:dyDescent="0.15">
      <c r="A1244" t="s">
        <v>22</v>
      </c>
      <c r="F1244"/>
      <c r="M1244"/>
    </row>
    <row r="1245" spans="1:13" x14ac:dyDescent="0.15">
      <c r="A1245" t="s">
        <v>22</v>
      </c>
      <c r="F1245"/>
      <c r="M1245"/>
    </row>
    <row r="1246" spans="1:13" x14ac:dyDescent="0.15">
      <c r="A1246" t="s">
        <v>22</v>
      </c>
      <c r="F1246"/>
      <c r="M1246"/>
    </row>
    <row r="1247" spans="1:13" x14ac:dyDescent="0.15">
      <c r="A1247" t="s">
        <v>22</v>
      </c>
      <c r="F1247"/>
      <c r="M1247"/>
    </row>
    <row r="1248" spans="1:13" x14ac:dyDescent="0.15">
      <c r="A1248" t="s">
        <v>22</v>
      </c>
      <c r="F1248"/>
      <c r="M1248"/>
    </row>
    <row r="1249" spans="1:13" x14ac:dyDescent="0.15">
      <c r="A1249" t="s">
        <v>22</v>
      </c>
      <c r="F1249"/>
      <c r="M1249"/>
    </row>
    <row r="1250" spans="1:13" x14ac:dyDescent="0.15">
      <c r="A1250" t="s">
        <v>22</v>
      </c>
      <c r="F1250"/>
      <c r="M1250"/>
    </row>
    <row r="1251" spans="1:13" x14ac:dyDescent="0.15">
      <c r="A1251" t="s">
        <v>22</v>
      </c>
      <c r="F1251"/>
      <c r="M1251"/>
    </row>
    <row r="1252" spans="1:13" x14ac:dyDescent="0.15">
      <c r="A1252" t="s">
        <v>22</v>
      </c>
      <c r="F1252"/>
      <c r="M1252"/>
    </row>
    <row r="1253" spans="1:13" x14ac:dyDescent="0.15">
      <c r="A1253" t="s">
        <v>22</v>
      </c>
      <c r="F1253"/>
      <c r="M1253"/>
    </row>
    <row r="1254" spans="1:13" x14ac:dyDescent="0.15">
      <c r="A1254" t="s">
        <v>22</v>
      </c>
      <c r="F1254"/>
      <c r="M1254"/>
    </row>
    <row r="1255" spans="1:13" x14ac:dyDescent="0.15">
      <c r="A1255" t="s">
        <v>22</v>
      </c>
      <c r="F1255"/>
      <c r="M1255"/>
    </row>
    <row r="1256" spans="1:13" x14ac:dyDescent="0.15">
      <c r="A1256" t="s">
        <v>22</v>
      </c>
      <c r="F1256"/>
      <c r="M1256"/>
    </row>
    <row r="1257" spans="1:13" x14ac:dyDescent="0.15">
      <c r="A1257" t="s">
        <v>22</v>
      </c>
      <c r="F1257"/>
      <c r="M1257"/>
    </row>
    <row r="1258" spans="1:13" x14ac:dyDescent="0.15">
      <c r="A1258" t="s">
        <v>22</v>
      </c>
      <c r="F1258"/>
      <c r="M1258"/>
    </row>
    <row r="1259" spans="1:13" x14ac:dyDescent="0.15">
      <c r="A1259" t="s">
        <v>22</v>
      </c>
      <c r="F1259"/>
      <c r="M1259"/>
    </row>
    <row r="1260" spans="1:13" x14ac:dyDescent="0.15">
      <c r="A1260" t="s">
        <v>22</v>
      </c>
      <c r="F1260"/>
      <c r="M1260"/>
    </row>
    <row r="1261" spans="1:13" x14ac:dyDescent="0.15">
      <c r="A1261" t="s">
        <v>22</v>
      </c>
      <c r="F1261"/>
      <c r="M1261"/>
    </row>
    <row r="1262" spans="1:13" x14ac:dyDescent="0.15">
      <c r="A1262" t="s">
        <v>22</v>
      </c>
      <c r="F1262"/>
      <c r="M1262"/>
    </row>
    <row r="1263" spans="1:13" x14ac:dyDescent="0.15">
      <c r="A1263" t="s">
        <v>22</v>
      </c>
      <c r="F1263"/>
      <c r="M1263"/>
    </row>
    <row r="1264" spans="1:13" x14ac:dyDescent="0.15">
      <c r="A1264" t="s">
        <v>22</v>
      </c>
      <c r="F1264"/>
      <c r="M1264"/>
    </row>
    <row r="1265" spans="1:13" x14ac:dyDescent="0.15">
      <c r="A1265" t="s">
        <v>22</v>
      </c>
      <c r="F1265"/>
      <c r="M1265"/>
    </row>
    <row r="1266" spans="1:13" x14ac:dyDescent="0.15">
      <c r="A1266" t="s">
        <v>22</v>
      </c>
      <c r="F1266"/>
      <c r="M1266"/>
    </row>
    <row r="1267" spans="1:13" x14ac:dyDescent="0.15">
      <c r="A1267" t="s">
        <v>22</v>
      </c>
      <c r="F1267"/>
      <c r="M1267"/>
    </row>
    <row r="1268" spans="1:13" x14ac:dyDescent="0.15">
      <c r="A1268" t="s">
        <v>22</v>
      </c>
      <c r="F1268"/>
      <c r="M1268"/>
    </row>
    <row r="1269" spans="1:13" x14ac:dyDescent="0.15">
      <c r="A1269" t="s">
        <v>22</v>
      </c>
      <c r="F1269"/>
      <c r="M1269"/>
    </row>
    <row r="1270" spans="1:13" x14ac:dyDescent="0.15">
      <c r="A1270" t="s">
        <v>22</v>
      </c>
      <c r="F1270"/>
      <c r="M1270"/>
    </row>
    <row r="1271" spans="1:13" x14ac:dyDescent="0.15">
      <c r="A1271" t="s">
        <v>22</v>
      </c>
      <c r="F1271"/>
      <c r="M1271"/>
    </row>
    <row r="1272" spans="1:13" x14ac:dyDescent="0.15">
      <c r="A1272" t="s">
        <v>22</v>
      </c>
      <c r="F1272"/>
      <c r="M1272"/>
    </row>
    <row r="1273" spans="1:13" x14ac:dyDescent="0.15">
      <c r="A1273" t="s">
        <v>22</v>
      </c>
      <c r="F1273"/>
      <c r="M1273"/>
    </row>
    <row r="1274" spans="1:13" x14ac:dyDescent="0.15">
      <c r="A1274" t="s">
        <v>22</v>
      </c>
      <c r="F1274"/>
      <c r="M1274"/>
    </row>
    <row r="1275" spans="1:13" x14ac:dyDescent="0.15">
      <c r="A1275" t="s">
        <v>22</v>
      </c>
      <c r="F1275"/>
      <c r="M1275"/>
    </row>
    <row r="1276" spans="1:13" x14ac:dyDescent="0.15">
      <c r="A1276" t="s">
        <v>22</v>
      </c>
      <c r="F1276"/>
      <c r="M1276"/>
    </row>
    <row r="1277" spans="1:13" x14ac:dyDescent="0.15">
      <c r="A1277" t="s">
        <v>22</v>
      </c>
      <c r="F1277"/>
      <c r="M1277"/>
    </row>
    <row r="1278" spans="1:13" x14ac:dyDescent="0.15">
      <c r="A1278" t="s">
        <v>22</v>
      </c>
      <c r="F1278"/>
      <c r="M1278"/>
    </row>
    <row r="1279" spans="1:13" x14ac:dyDescent="0.15">
      <c r="A1279" t="s">
        <v>22</v>
      </c>
      <c r="F1279"/>
      <c r="M1279"/>
    </row>
    <row r="1280" spans="1:13" x14ac:dyDescent="0.15">
      <c r="A1280" t="s">
        <v>22</v>
      </c>
      <c r="F1280"/>
      <c r="M1280"/>
    </row>
    <row r="1281" spans="1:13" x14ac:dyDescent="0.15">
      <c r="A1281" t="s">
        <v>22</v>
      </c>
      <c r="F1281"/>
      <c r="M1281"/>
    </row>
    <row r="1282" spans="1:13" x14ac:dyDescent="0.15">
      <c r="A1282" t="s">
        <v>22</v>
      </c>
      <c r="F1282"/>
      <c r="M1282"/>
    </row>
    <row r="1283" spans="1:13" x14ac:dyDescent="0.15">
      <c r="A1283" t="s">
        <v>22</v>
      </c>
      <c r="F1283"/>
      <c r="M1283"/>
    </row>
    <row r="1284" spans="1:13" x14ac:dyDescent="0.15">
      <c r="A1284" t="s">
        <v>22</v>
      </c>
      <c r="F1284"/>
      <c r="M1284"/>
    </row>
    <row r="1285" spans="1:13" x14ac:dyDescent="0.15">
      <c r="A1285" t="s">
        <v>22</v>
      </c>
      <c r="F1285"/>
      <c r="M1285"/>
    </row>
    <row r="1286" spans="1:13" x14ac:dyDescent="0.15">
      <c r="A1286" t="s">
        <v>22</v>
      </c>
      <c r="F1286"/>
      <c r="M1286"/>
    </row>
    <row r="1287" spans="1:13" x14ac:dyDescent="0.15">
      <c r="A1287" t="s">
        <v>22</v>
      </c>
      <c r="F1287"/>
      <c r="M1287"/>
    </row>
    <row r="1288" spans="1:13" x14ac:dyDescent="0.15">
      <c r="A1288" t="s">
        <v>22</v>
      </c>
      <c r="F1288"/>
      <c r="M1288"/>
    </row>
    <row r="1289" spans="1:13" x14ac:dyDescent="0.15">
      <c r="A1289" t="s">
        <v>22</v>
      </c>
      <c r="F1289"/>
      <c r="M1289"/>
    </row>
    <row r="1290" spans="1:13" x14ac:dyDescent="0.15">
      <c r="A1290" t="s">
        <v>22</v>
      </c>
      <c r="F1290"/>
      <c r="M1290"/>
    </row>
    <row r="1291" spans="1:13" x14ac:dyDescent="0.15">
      <c r="A1291" t="s">
        <v>22</v>
      </c>
      <c r="F1291"/>
      <c r="M1291"/>
    </row>
    <row r="1292" spans="1:13" x14ac:dyDescent="0.15">
      <c r="A1292" t="s">
        <v>22</v>
      </c>
      <c r="F1292"/>
      <c r="M1292"/>
    </row>
    <row r="1293" spans="1:13" x14ac:dyDescent="0.15">
      <c r="A1293" t="s">
        <v>22</v>
      </c>
      <c r="F1293"/>
      <c r="M1293"/>
    </row>
    <row r="1294" spans="1:13" x14ac:dyDescent="0.15">
      <c r="A1294" t="s">
        <v>22</v>
      </c>
      <c r="F1294"/>
      <c r="M1294"/>
    </row>
    <row r="1295" spans="1:13" x14ac:dyDescent="0.15">
      <c r="A1295" t="s">
        <v>22</v>
      </c>
      <c r="F1295"/>
      <c r="M1295"/>
    </row>
    <row r="1296" spans="1:13" x14ac:dyDescent="0.15">
      <c r="A1296" t="s">
        <v>22</v>
      </c>
      <c r="F1296"/>
      <c r="M1296"/>
    </row>
    <row r="1297" spans="1:13" x14ac:dyDescent="0.15">
      <c r="A1297" t="s">
        <v>22</v>
      </c>
      <c r="F1297"/>
      <c r="M1297"/>
    </row>
    <row r="1298" spans="1:13" x14ac:dyDescent="0.15">
      <c r="A1298" t="s">
        <v>22</v>
      </c>
      <c r="F1298"/>
      <c r="M1298"/>
    </row>
    <row r="1299" spans="1:13" x14ac:dyDescent="0.15">
      <c r="A1299" t="s">
        <v>22</v>
      </c>
      <c r="F1299"/>
      <c r="M1299"/>
    </row>
    <row r="1300" spans="1:13" x14ac:dyDescent="0.15">
      <c r="A1300" t="s">
        <v>22</v>
      </c>
      <c r="F1300"/>
      <c r="M1300"/>
    </row>
    <row r="1301" spans="1:13" x14ac:dyDescent="0.15">
      <c r="A1301" t="s">
        <v>22</v>
      </c>
      <c r="F1301"/>
      <c r="M1301"/>
    </row>
    <row r="1302" spans="1:13" x14ac:dyDescent="0.15">
      <c r="A1302" t="s">
        <v>22</v>
      </c>
      <c r="F1302"/>
      <c r="M1302"/>
    </row>
    <row r="1303" spans="1:13" x14ac:dyDescent="0.15">
      <c r="A1303" t="s">
        <v>22</v>
      </c>
      <c r="F1303"/>
      <c r="M1303"/>
    </row>
    <row r="1304" spans="1:13" x14ac:dyDescent="0.15">
      <c r="A1304" t="s">
        <v>22</v>
      </c>
      <c r="F1304"/>
      <c r="M1304"/>
    </row>
    <row r="1305" spans="1:13" x14ac:dyDescent="0.15">
      <c r="A1305" t="s">
        <v>22</v>
      </c>
      <c r="F1305"/>
      <c r="M1305"/>
    </row>
    <row r="1306" spans="1:13" x14ac:dyDescent="0.15">
      <c r="A1306" t="s">
        <v>22</v>
      </c>
      <c r="F1306"/>
      <c r="M1306"/>
    </row>
    <row r="1307" spans="1:13" x14ac:dyDescent="0.15">
      <c r="A1307" t="s">
        <v>22</v>
      </c>
      <c r="F1307"/>
      <c r="M1307"/>
    </row>
    <row r="1308" spans="1:13" x14ac:dyDescent="0.15">
      <c r="A1308" t="s">
        <v>22</v>
      </c>
      <c r="F1308"/>
      <c r="M1308"/>
    </row>
    <row r="1309" spans="1:13" x14ac:dyDescent="0.15">
      <c r="A1309" t="s">
        <v>22</v>
      </c>
      <c r="F1309"/>
      <c r="M1309"/>
    </row>
    <row r="1310" spans="1:13" x14ac:dyDescent="0.15">
      <c r="A1310" t="s">
        <v>22</v>
      </c>
      <c r="F1310"/>
      <c r="M1310"/>
    </row>
    <row r="1311" spans="1:13" x14ac:dyDescent="0.15">
      <c r="A1311" t="s">
        <v>22</v>
      </c>
      <c r="F1311"/>
      <c r="M1311"/>
    </row>
    <row r="1312" spans="1:13" x14ac:dyDescent="0.15">
      <c r="A1312" t="s">
        <v>22</v>
      </c>
      <c r="F1312"/>
      <c r="M1312"/>
    </row>
    <row r="1313" spans="1:13" x14ac:dyDescent="0.15">
      <c r="A1313" t="s">
        <v>22</v>
      </c>
      <c r="F1313"/>
      <c r="M1313"/>
    </row>
    <row r="1314" spans="1:13" x14ac:dyDescent="0.15">
      <c r="A1314" t="s">
        <v>22</v>
      </c>
      <c r="F1314"/>
      <c r="M1314"/>
    </row>
    <row r="1315" spans="1:13" x14ac:dyDescent="0.15">
      <c r="A1315" t="s">
        <v>22</v>
      </c>
      <c r="F1315"/>
      <c r="M1315"/>
    </row>
    <row r="1316" spans="1:13" x14ac:dyDescent="0.15">
      <c r="A1316" t="s">
        <v>22</v>
      </c>
      <c r="F1316"/>
      <c r="M1316"/>
    </row>
    <row r="1317" spans="1:13" x14ac:dyDescent="0.15">
      <c r="A1317" t="s">
        <v>22</v>
      </c>
      <c r="F1317"/>
      <c r="M1317"/>
    </row>
    <row r="1318" spans="1:13" x14ac:dyDescent="0.15">
      <c r="A1318" t="s">
        <v>22</v>
      </c>
      <c r="F1318"/>
      <c r="M1318"/>
    </row>
    <row r="1319" spans="1:13" x14ac:dyDescent="0.15">
      <c r="A1319" t="s">
        <v>22</v>
      </c>
      <c r="F1319"/>
      <c r="M1319"/>
    </row>
    <row r="1320" spans="1:13" x14ac:dyDescent="0.15">
      <c r="A1320" t="s">
        <v>22</v>
      </c>
      <c r="F1320"/>
      <c r="M1320"/>
    </row>
    <row r="1321" spans="1:13" x14ac:dyDescent="0.15">
      <c r="A1321" t="s">
        <v>22</v>
      </c>
      <c r="F1321"/>
      <c r="M1321"/>
    </row>
    <row r="1322" spans="1:13" x14ac:dyDescent="0.15">
      <c r="A1322" t="s">
        <v>22</v>
      </c>
      <c r="F1322"/>
      <c r="M1322"/>
    </row>
    <row r="1323" spans="1:13" x14ac:dyDescent="0.15">
      <c r="A1323" t="s">
        <v>22</v>
      </c>
      <c r="F1323"/>
      <c r="M1323"/>
    </row>
    <row r="1324" spans="1:13" x14ac:dyDescent="0.15">
      <c r="A1324" t="s">
        <v>22</v>
      </c>
      <c r="F1324"/>
      <c r="M1324"/>
    </row>
    <row r="1325" spans="1:13" x14ac:dyDescent="0.15">
      <c r="A1325" t="s">
        <v>22</v>
      </c>
      <c r="F1325"/>
      <c r="M1325"/>
    </row>
    <row r="1326" spans="1:13" x14ac:dyDescent="0.15">
      <c r="A1326" t="s">
        <v>22</v>
      </c>
      <c r="F1326"/>
      <c r="M1326"/>
    </row>
    <row r="1327" spans="1:13" x14ac:dyDescent="0.15">
      <c r="A1327" t="s">
        <v>22</v>
      </c>
      <c r="F1327"/>
      <c r="M1327"/>
    </row>
    <row r="1328" spans="1:13" x14ac:dyDescent="0.15">
      <c r="A1328" t="s">
        <v>22</v>
      </c>
      <c r="F1328"/>
      <c r="M1328"/>
    </row>
    <row r="1329" spans="1:13" x14ac:dyDescent="0.15">
      <c r="A1329" t="s">
        <v>22</v>
      </c>
      <c r="F1329"/>
      <c r="M1329"/>
    </row>
    <row r="1330" spans="1:13" x14ac:dyDescent="0.15">
      <c r="A1330" t="s">
        <v>22</v>
      </c>
      <c r="F1330"/>
      <c r="M1330"/>
    </row>
    <row r="1331" spans="1:13" x14ac:dyDescent="0.15">
      <c r="A1331" t="s">
        <v>22</v>
      </c>
      <c r="F1331"/>
      <c r="M1331"/>
    </row>
    <row r="1332" spans="1:13" x14ac:dyDescent="0.15">
      <c r="A1332" t="s">
        <v>22</v>
      </c>
      <c r="F1332"/>
      <c r="M1332"/>
    </row>
    <row r="1333" spans="1:13" x14ac:dyDescent="0.15">
      <c r="A1333" t="s">
        <v>22</v>
      </c>
      <c r="F1333"/>
      <c r="M1333"/>
    </row>
    <row r="1334" spans="1:13" x14ac:dyDescent="0.15">
      <c r="A1334" t="s">
        <v>22</v>
      </c>
      <c r="F1334"/>
      <c r="M1334"/>
    </row>
    <row r="1335" spans="1:13" x14ac:dyDescent="0.15">
      <c r="A1335" t="s">
        <v>22</v>
      </c>
      <c r="F1335"/>
      <c r="M1335"/>
    </row>
    <row r="1336" spans="1:13" x14ac:dyDescent="0.15">
      <c r="A1336" t="s">
        <v>22</v>
      </c>
      <c r="F1336"/>
      <c r="M1336"/>
    </row>
    <row r="1337" spans="1:13" x14ac:dyDescent="0.15">
      <c r="A1337" t="s">
        <v>22</v>
      </c>
      <c r="F1337"/>
      <c r="M1337"/>
    </row>
    <row r="1338" spans="1:13" x14ac:dyDescent="0.15">
      <c r="A1338" t="s">
        <v>22</v>
      </c>
      <c r="F1338"/>
      <c r="M1338"/>
    </row>
    <row r="1339" spans="1:13" x14ac:dyDescent="0.15">
      <c r="A1339" t="s">
        <v>22</v>
      </c>
      <c r="F1339"/>
      <c r="M1339"/>
    </row>
    <row r="1340" spans="1:13" x14ac:dyDescent="0.15">
      <c r="A1340" t="s">
        <v>22</v>
      </c>
      <c r="F1340"/>
      <c r="M1340"/>
    </row>
    <row r="1341" spans="1:13" x14ac:dyDescent="0.15">
      <c r="A1341" t="s">
        <v>22</v>
      </c>
      <c r="F1341"/>
      <c r="M1341"/>
    </row>
    <row r="1342" spans="1:13" x14ac:dyDescent="0.15">
      <c r="A1342" t="s">
        <v>22</v>
      </c>
      <c r="F1342"/>
      <c r="M1342"/>
    </row>
    <row r="1343" spans="1:13" x14ac:dyDescent="0.15">
      <c r="A1343" t="s">
        <v>22</v>
      </c>
      <c r="F1343"/>
      <c r="M1343"/>
    </row>
    <row r="1344" spans="1:13" x14ac:dyDescent="0.15">
      <c r="A1344" t="s">
        <v>22</v>
      </c>
      <c r="F1344"/>
      <c r="M1344"/>
    </row>
    <row r="1345" spans="1:13" x14ac:dyDescent="0.15">
      <c r="A1345" t="s">
        <v>22</v>
      </c>
      <c r="F1345"/>
      <c r="M1345"/>
    </row>
    <row r="1346" spans="1:13" x14ac:dyDescent="0.15">
      <c r="A1346" t="s">
        <v>22</v>
      </c>
      <c r="F1346"/>
      <c r="M1346"/>
    </row>
    <row r="1347" spans="1:13" x14ac:dyDescent="0.15">
      <c r="A1347" t="s">
        <v>22</v>
      </c>
      <c r="F1347"/>
      <c r="M1347"/>
    </row>
    <row r="1348" spans="1:13" x14ac:dyDescent="0.15">
      <c r="A1348" t="s">
        <v>22</v>
      </c>
      <c r="F1348"/>
      <c r="M1348"/>
    </row>
    <row r="1349" spans="1:13" x14ac:dyDescent="0.15">
      <c r="A1349" t="s">
        <v>22</v>
      </c>
      <c r="F1349"/>
      <c r="M1349"/>
    </row>
    <row r="1350" spans="1:13" x14ac:dyDescent="0.15">
      <c r="A1350" t="s">
        <v>22</v>
      </c>
      <c r="F1350"/>
      <c r="M1350"/>
    </row>
    <row r="1351" spans="1:13" x14ac:dyDescent="0.15">
      <c r="A1351" t="s">
        <v>22</v>
      </c>
      <c r="F1351"/>
      <c r="M1351"/>
    </row>
    <row r="1352" spans="1:13" x14ac:dyDescent="0.15">
      <c r="A1352" t="s">
        <v>22</v>
      </c>
      <c r="F1352"/>
      <c r="M1352"/>
    </row>
    <row r="1353" spans="1:13" x14ac:dyDescent="0.15">
      <c r="A1353" t="s">
        <v>22</v>
      </c>
      <c r="F1353"/>
      <c r="M1353"/>
    </row>
    <row r="1354" spans="1:13" x14ac:dyDescent="0.15">
      <c r="A1354" t="s">
        <v>22</v>
      </c>
      <c r="F1354"/>
      <c r="M1354"/>
    </row>
    <row r="1355" spans="1:13" x14ac:dyDescent="0.15">
      <c r="A1355" t="s">
        <v>22</v>
      </c>
      <c r="F1355"/>
      <c r="M1355"/>
    </row>
    <row r="1356" spans="1:13" x14ac:dyDescent="0.15">
      <c r="A1356" t="s">
        <v>22</v>
      </c>
      <c r="F1356"/>
      <c r="M1356"/>
    </row>
    <row r="1357" spans="1:13" x14ac:dyDescent="0.15">
      <c r="A1357" t="s">
        <v>22</v>
      </c>
      <c r="F1357"/>
      <c r="M1357"/>
    </row>
    <row r="1358" spans="1:13" x14ac:dyDescent="0.15">
      <c r="A1358" t="s">
        <v>22</v>
      </c>
      <c r="F1358"/>
      <c r="M1358"/>
    </row>
    <row r="1359" spans="1:13" x14ac:dyDescent="0.15">
      <c r="A1359" t="s">
        <v>22</v>
      </c>
      <c r="F1359"/>
      <c r="M1359"/>
    </row>
    <row r="1360" spans="1:13" x14ac:dyDescent="0.15">
      <c r="A1360" t="s">
        <v>22</v>
      </c>
      <c r="F1360"/>
      <c r="M1360"/>
    </row>
    <row r="1361" spans="1:13" x14ac:dyDescent="0.15">
      <c r="A1361" t="s">
        <v>22</v>
      </c>
      <c r="F1361"/>
      <c r="M1361"/>
    </row>
    <row r="1362" spans="1:13" x14ac:dyDescent="0.15">
      <c r="A1362" t="s">
        <v>22</v>
      </c>
      <c r="F1362"/>
      <c r="M1362"/>
    </row>
    <row r="1363" spans="1:13" x14ac:dyDescent="0.15">
      <c r="A1363" t="s">
        <v>22</v>
      </c>
      <c r="F1363"/>
      <c r="M1363"/>
    </row>
    <row r="1364" spans="1:13" x14ac:dyDescent="0.15">
      <c r="A1364" t="s">
        <v>22</v>
      </c>
      <c r="F1364"/>
      <c r="M1364"/>
    </row>
    <row r="1365" spans="1:13" x14ac:dyDescent="0.15">
      <c r="A1365" t="s">
        <v>22</v>
      </c>
      <c r="F1365"/>
      <c r="M1365"/>
    </row>
    <row r="1366" spans="1:13" x14ac:dyDescent="0.15">
      <c r="A1366" t="s">
        <v>22</v>
      </c>
      <c r="F1366"/>
      <c r="M1366"/>
    </row>
    <row r="1367" spans="1:13" x14ac:dyDescent="0.15">
      <c r="A1367" t="s">
        <v>22</v>
      </c>
      <c r="F1367"/>
      <c r="M1367"/>
    </row>
    <row r="1368" spans="1:13" x14ac:dyDescent="0.15">
      <c r="A1368" t="s">
        <v>22</v>
      </c>
      <c r="F1368"/>
      <c r="M1368"/>
    </row>
    <row r="1369" spans="1:13" x14ac:dyDescent="0.15">
      <c r="A1369" t="s">
        <v>22</v>
      </c>
      <c r="F1369"/>
      <c r="M1369"/>
    </row>
    <row r="1370" spans="1:13" x14ac:dyDescent="0.15">
      <c r="A1370" t="s">
        <v>22</v>
      </c>
      <c r="F1370"/>
      <c r="M1370"/>
    </row>
    <row r="1371" spans="1:13" x14ac:dyDescent="0.15">
      <c r="A1371" t="s">
        <v>22</v>
      </c>
      <c r="F1371"/>
      <c r="M1371"/>
    </row>
    <row r="1372" spans="1:13" x14ac:dyDescent="0.15">
      <c r="A1372" t="s">
        <v>22</v>
      </c>
      <c r="F1372"/>
      <c r="M1372"/>
    </row>
    <row r="1373" spans="1:13" x14ac:dyDescent="0.15">
      <c r="A1373" t="s">
        <v>22</v>
      </c>
      <c r="F1373"/>
      <c r="M1373"/>
    </row>
    <row r="1374" spans="1:13" x14ac:dyDescent="0.15">
      <c r="A1374" t="s">
        <v>22</v>
      </c>
      <c r="F1374"/>
      <c r="M1374"/>
    </row>
    <row r="1375" spans="1:13" x14ac:dyDescent="0.15">
      <c r="A1375" t="s">
        <v>22</v>
      </c>
      <c r="F1375"/>
      <c r="M1375"/>
    </row>
    <row r="1376" spans="1:13" x14ac:dyDescent="0.15">
      <c r="A1376" t="s">
        <v>22</v>
      </c>
      <c r="F1376"/>
      <c r="M1376"/>
    </row>
    <row r="1377" spans="1:13" x14ac:dyDescent="0.15">
      <c r="A1377" t="s">
        <v>22</v>
      </c>
      <c r="F1377"/>
      <c r="M1377"/>
    </row>
    <row r="1378" spans="1:13" x14ac:dyDescent="0.15">
      <c r="A1378" t="s">
        <v>22</v>
      </c>
      <c r="F1378"/>
      <c r="M1378"/>
    </row>
    <row r="1379" spans="1:13" x14ac:dyDescent="0.15">
      <c r="A1379" t="s">
        <v>22</v>
      </c>
      <c r="F1379"/>
      <c r="M1379"/>
    </row>
    <row r="1380" spans="1:13" x14ac:dyDescent="0.15">
      <c r="A1380" t="s">
        <v>22</v>
      </c>
      <c r="F1380"/>
      <c r="M1380"/>
    </row>
    <row r="1381" spans="1:13" x14ac:dyDescent="0.15">
      <c r="A1381" t="s">
        <v>22</v>
      </c>
      <c r="F1381"/>
      <c r="M1381"/>
    </row>
    <row r="1382" spans="1:13" x14ac:dyDescent="0.15">
      <c r="A1382" t="s">
        <v>22</v>
      </c>
      <c r="F1382"/>
      <c r="M1382"/>
    </row>
    <row r="1383" spans="1:13" x14ac:dyDescent="0.15">
      <c r="A1383" t="s">
        <v>22</v>
      </c>
      <c r="F1383"/>
      <c r="M1383"/>
    </row>
    <row r="1384" spans="1:13" x14ac:dyDescent="0.15">
      <c r="A1384" t="s">
        <v>22</v>
      </c>
      <c r="F1384"/>
      <c r="M1384"/>
    </row>
    <row r="1385" spans="1:13" x14ac:dyDescent="0.15">
      <c r="A1385" t="s">
        <v>22</v>
      </c>
      <c r="F1385"/>
      <c r="M1385"/>
    </row>
    <row r="1386" spans="1:13" x14ac:dyDescent="0.15">
      <c r="A1386" t="s">
        <v>22</v>
      </c>
      <c r="F1386"/>
      <c r="M1386"/>
    </row>
    <row r="1387" spans="1:13" x14ac:dyDescent="0.15">
      <c r="A1387" t="s">
        <v>22</v>
      </c>
      <c r="F1387"/>
      <c r="M1387"/>
    </row>
    <row r="1388" spans="1:13" x14ac:dyDescent="0.15">
      <c r="A1388" t="s">
        <v>22</v>
      </c>
      <c r="F1388"/>
      <c r="M1388"/>
    </row>
    <row r="1389" spans="1:13" x14ac:dyDescent="0.15">
      <c r="A1389" t="s">
        <v>22</v>
      </c>
      <c r="F1389"/>
      <c r="M1389"/>
    </row>
    <row r="1390" spans="1:13" x14ac:dyDescent="0.15">
      <c r="A1390" t="s">
        <v>22</v>
      </c>
      <c r="F1390"/>
      <c r="M1390"/>
    </row>
    <row r="1391" spans="1:13" x14ac:dyDescent="0.15">
      <c r="A1391" t="s">
        <v>22</v>
      </c>
      <c r="F1391"/>
      <c r="M1391"/>
    </row>
    <row r="1392" spans="1:13" x14ac:dyDescent="0.15">
      <c r="A1392" t="s">
        <v>22</v>
      </c>
      <c r="F1392"/>
      <c r="M1392"/>
    </row>
    <row r="1393" spans="1:13" x14ac:dyDescent="0.15">
      <c r="A1393" t="s">
        <v>22</v>
      </c>
      <c r="F1393"/>
      <c r="M1393"/>
    </row>
    <row r="1394" spans="1:13" x14ac:dyDescent="0.15">
      <c r="A1394" t="s">
        <v>22</v>
      </c>
      <c r="F1394"/>
      <c r="M1394"/>
    </row>
    <row r="1395" spans="1:13" x14ac:dyDescent="0.15">
      <c r="A1395" t="s">
        <v>22</v>
      </c>
      <c r="F1395"/>
      <c r="M1395"/>
    </row>
    <row r="1396" spans="1:13" x14ac:dyDescent="0.15">
      <c r="A1396" t="s">
        <v>22</v>
      </c>
      <c r="F1396"/>
      <c r="M1396"/>
    </row>
    <row r="1397" spans="1:13" x14ac:dyDescent="0.15">
      <c r="A1397" t="s">
        <v>22</v>
      </c>
      <c r="F1397"/>
      <c r="M1397"/>
    </row>
    <row r="1398" spans="1:13" x14ac:dyDescent="0.15">
      <c r="A1398" t="s">
        <v>22</v>
      </c>
      <c r="F1398"/>
      <c r="M1398"/>
    </row>
    <row r="1399" spans="1:13" x14ac:dyDescent="0.15">
      <c r="A1399" t="s">
        <v>22</v>
      </c>
      <c r="F1399"/>
      <c r="M1399"/>
    </row>
    <row r="1400" spans="1:13" x14ac:dyDescent="0.15">
      <c r="A1400" t="s">
        <v>22</v>
      </c>
      <c r="F1400"/>
      <c r="M1400"/>
    </row>
    <row r="1401" spans="1:13" x14ac:dyDescent="0.15">
      <c r="A1401" t="s">
        <v>22</v>
      </c>
      <c r="F1401"/>
      <c r="M1401"/>
    </row>
    <row r="1402" spans="1:13" x14ac:dyDescent="0.15">
      <c r="A1402" t="s">
        <v>22</v>
      </c>
      <c r="F1402"/>
      <c r="M1402"/>
    </row>
    <row r="1403" spans="1:13" x14ac:dyDescent="0.15">
      <c r="A1403" t="s">
        <v>22</v>
      </c>
      <c r="F1403"/>
      <c r="M1403"/>
    </row>
    <row r="1404" spans="1:13" x14ac:dyDescent="0.15">
      <c r="A1404" t="s">
        <v>22</v>
      </c>
      <c r="F1404"/>
      <c r="M1404"/>
    </row>
    <row r="1405" spans="1:13" x14ac:dyDescent="0.15">
      <c r="A1405" t="s">
        <v>22</v>
      </c>
      <c r="F1405"/>
      <c r="M1405"/>
    </row>
    <row r="1406" spans="1:13" x14ac:dyDescent="0.15">
      <c r="A1406" t="s">
        <v>22</v>
      </c>
      <c r="F1406"/>
      <c r="M1406"/>
    </row>
    <row r="1407" spans="1:13" x14ac:dyDescent="0.15">
      <c r="A1407" t="s">
        <v>22</v>
      </c>
      <c r="F1407"/>
      <c r="M1407"/>
    </row>
    <row r="1408" spans="1:13" x14ac:dyDescent="0.15">
      <c r="A1408" t="s">
        <v>22</v>
      </c>
      <c r="F1408"/>
      <c r="M1408"/>
    </row>
    <row r="1409" spans="1:13" x14ac:dyDescent="0.15">
      <c r="A1409" t="s">
        <v>22</v>
      </c>
      <c r="F1409"/>
      <c r="M1409"/>
    </row>
    <row r="1410" spans="1:13" x14ac:dyDescent="0.15">
      <c r="A1410" t="s">
        <v>22</v>
      </c>
      <c r="F1410"/>
      <c r="M1410"/>
    </row>
    <row r="1411" spans="1:13" x14ac:dyDescent="0.15">
      <c r="A1411" t="s">
        <v>22</v>
      </c>
      <c r="F1411"/>
      <c r="M1411"/>
    </row>
    <row r="1412" spans="1:13" x14ac:dyDescent="0.15">
      <c r="A1412" t="s">
        <v>22</v>
      </c>
      <c r="F1412"/>
      <c r="M1412"/>
    </row>
    <row r="1413" spans="1:13" x14ac:dyDescent="0.15">
      <c r="A1413" t="s">
        <v>22</v>
      </c>
      <c r="F1413"/>
      <c r="M1413"/>
    </row>
    <row r="1414" spans="1:13" x14ac:dyDescent="0.15">
      <c r="A1414" t="s">
        <v>22</v>
      </c>
      <c r="F1414"/>
      <c r="M1414"/>
    </row>
    <row r="1415" spans="1:13" x14ac:dyDescent="0.15">
      <c r="A1415" t="s">
        <v>22</v>
      </c>
      <c r="F1415"/>
      <c r="M1415"/>
    </row>
    <row r="1416" spans="1:13" x14ac:dyDescent="0.15">
      <c r="A1416" t="s">
        <v>22</v>
      </c>
      <c r="F1416"/>
      <c r="M1416"/>
    </row>
    <row r="1417" spans="1:13" x14ac:dyDescent="0.15">
      <c r="A1417" t="s">
        <v>22</v>
      </c>
      <c r="F1417"/>
      <c r="M1417"/>
    </row>
    <row r="1418" spans="1:13" x14ac:dyDescent="0.15">
      <c r="A1418" t="s">
        <v>22</v>
      </c>
      <c r="F1418"/>
      <c r="M1418"/>
    </row>
    <row r="1419" spans="1:13" x14ac:dyDescent="0.15">
      <c r="A1419" t="s">
        <v>22</v>
      </c>
      <c r="F1419"/>
      <c r="M1419"/>
    </row>
    <row r="1420" spans="1:13" x14ac:dyDescent="0.15">
      <c r="A1420" t="s">
        <v>22</v>
      </c>
      <c r="F1420"/>
      <c r="M1420"/>
    </row>
    <row r="1421" spans="1:13" x14ac:dyDescent="0.15">
      <c r="A1421" t="s">
        <v>22</v>
      </c>
      <c r="F1421"/>
      <c r="M1421"/>
    </row>
    <row r="1422" spans="1:13" x14ac:dyDescent="0.15">
      <c r="A1422" t="s">
        <v>22</v>
      </c>
      <c r="F1422"/>
      <c r="M1422"/>
    </row>
    <row r="1423" spans="1:13" x14ac:dyDescent="0.15">
      <c r="A1423" t="s">
        <v>22</v>
      </c>
      <c r="F1423"/>
      <c r="M1423"/>
    </row>
    <row r="1424" spans="1:13" x14ac:dyDescent="0.15">
      <c r="A1424" t="s">
        <v>22</v>
      </c>
      <c r="F1424"/>
      <c r="M1424"/>
    </row>
    <row r="1425" spans="1:13" x14ac:dyDescent="0.15">
      <c r="A1425" t="s">
        <v>22</v>
      </c>
      <c r="F1425"/>
      <c r="M1425"/>
    </row>
    <row r="1426" spans="1:13" x14ac:dyDescent="0.15">
      <c r="A1426" t="s">
        <v>22</v>
      </c>
      <c r="F1426"/>
      <c r="M1426"/>
    </row>
    <row r="1427" spans="1:13" x14ac:dyDescent="0.15">
      <c r="A1427" t="s">
        <v>22</v>
      </c>
      <c r="F1427"/>
      <c r="M1427"/>
    </row>
    <row r="1428" spans="1:13" x14ac:dyDescent="0.15">
      <c r="A1428" t="s">
        <v>22</v>
      </c>
      <c r="F1428"/>
      <c r="M1428"/>
    </row>
    <row r="1429" spans="1:13" x14ac:dyDescent="0.15">
      <c r="A1429" t="s">
        <v>22</v>
      </c>
      <c r="F1429"/>
      <c r="M1429"/>
    </row>
    <row r="1430" spans="1:13" x14ac:dyDescent="0.15">
      <c r="A1430" t="s">
        <v>22</v>
      </c>
      <c r="F1430"/>
      <c r="M1430"/>
    </row>
    <row r="1431" spans="1:13" x14ac:dyDescent="0.15">
      <c r="A1431" t="s">
        <v>22</v>
      </c>
      <c r="F1431"/>
      <c r="M1431"/>
    </row>
    <row r="1432" spans="1:13" x14ac:dyDescent="0.15">
      <c r="A1432" t="s">
        <v>22</v>
      </c>
      <c r="F1432"/>
      <c r="M1432"/>
    </row>
    <row r="1433" spans="1:13" x14ac:dyDescent="0.15">
      <c r="A1433" t="s">
        <v>22</v>
      </c>
      <c r="F1433"/>
      <c r="M1433"/>
    </row>
    <row r="1434" spans="1:13" x14ac:dyDescent="0.15">
      <c r="A1434" t="s">
        <v>22</v>
      </c>
      <c r="F1434"/>
      <c r="M1434"/>
    </row>
    <row r="1435" spans="1:13" x14ac:dyDescent="0.15">
      <c r="A1435" t="s">
        <v>22</v>
      </c>
      <c r="F1435"/>
      <c r="M1435"/>
    </row>
    <row r="1436" spans="1:13" x14ac:dyDescent="0.15">
      <c r="A1436" t="s">
        <v>22</v>
      </c>
      <c r="F1436"/>
      <c r="M1436"/>
    </row>
    <row r="1437" spans="1:13" x14ac:dyDescent="0.15">
      <c r="A1437" t="s">
        <v>22</v>
      </c>
      <c r="F1437"/>
      <c r="M1437"/>
    </row>
    <row r="1438" spans="1:13" x14ac:dyDescent="0.15">
      <c r="A1438" t="s">
        <v>22</v>
      </c>
      <c r="F1438"/>
      <c r="M1438"/>
    </row>
    <row r="1439" spans="1:13" x14ac:dyDescent="0.15">
      <c r="A1439" t="s">
        <v>22</v>
      </c>
      <c r="F1439"/>
      <c r="M1439"/>
    </row>
    <row r="1440" spans="1:13" x14ac:dyDescent="0.15">
      <c r="A1440" t="s">
        <v>22</v>
      </c>
      <c r="F1440"/>
      <c r="M1440"/>
    </row>
    <row r="1441" spans="1:13" x14ac:dyDescent="0.15">
      <c r="A1441" t="s">
        <v>22</v>
      </c>
      <c r="F1441"/>
      <c r="M1441"/>
    </row>
    <row r="1442" spans="1:13" x14ac:dyDescent="0.15">
      <c r="A1442" t="s">
        <v>22</v>
      </c>
      <c r="F1442"/>
      <c r="M1442"/>
    </row>
    <row r="1443" spans="1:13" x14ac:dyDescent="0.15">
      <c r="A1443" t="s">
        <v>22</v>
      </c>
      <c r="F1443"/>
      <c r="M1443"/>
    </row>
    <row r="1444" spans="1:13" x14ac:dyDescent="0.15">
      <c r="A1444" t="s">
        <v>22</v>
      </c>
      <c r="F1444"/>
      <c r="M1444"/>
    </row>
    <row r="1445" spans="1:13" x14ac:dyDescent="0.15">
      <c r="A1445" t="s">
        <v>22</v>
      </c>
      <c r="F1445"/>
      <c r="M1445"/>
    </row>
    <row r="1446" spans="1:13" x14ac:dyDescent="0.15">
      <c r="A1446" t="s">
        <v>22</v>
      </c>
      <c r="F1446"/>
      <c r="M1446"/>
    </row>
    <row r="1447" spans="1:13" x14ac:dyDescent="0.15">
      <c r="A1447" t="s">
        <v>22</v>
      </c>
      <c r="F1447"/>
      <c r="M1447"/>
    </row>
    <row r="1448" spans="1:13" x14ac:dyDescent="0.15">
      <c r="A1448" t="s">
        <v>22</v>
      </c>
      <c r="F1448"/>
      <c r="M1448"/>
    </row>
    <row r="1449" spans="1:13" x14ac:dyDescent="0.15">
      <c r="A1449" t="s">
        <v>22</v>
      </c>
      <c r="F1449"/>
      <c r="M1449"/>
    </row>
    <row r="1450" spans="1:13" x14ac:dyDescent="0.15">
      <c r="A1450" t="s">
        <v>22</v>
      </c>
      <c r="F1450"/>
      <c r="M1450"/>
    </row>
    <row r="1451" spans="1:13" x14ac:dyDescent="0.15">
      <c r="A1451" t="s">
        <v>22</v>
      </c>
      <c r="F1451"/>
      <c r="M1451"/>
    </row>
    <row r="1452" spans="1:13" x14ac:dyDescent="0.15">
      <c r="A1452" t="s">
        <v>22</v>
      </c>
      <c r="F1452"/>
      <c r="M1452"/>
    </row>
    <row r="1453" spans="1:13" x14ac:dyDescent="0.15">
      <c r="A1453" t="s">
        <v>22</v>
      </c>
      <c r="F1453"/>
      <c r="M1453"/>
    </row>
    <row r="1454" spans="1:13" x14ac:dyDescent="0.15">
      <c r="A1454" t="s">
        <v>22</v>
      </c>
      <c r="F1454"/>
      <c r="M1454"/>
    </row>
    <row r="1455" spans="1:13" x14ac:dyDescent="0.15">
      <c r="A1455" t="s">
        <v>22</v>
      </c>
      <c r="F1455"/>
      <c r="M1455"/>
    </row>
    <row r="1456" spans="1:13" x14ac:dyDescent="0.15">
      <c r="A1456" t="s">
        <v>22</v>
      </c>
      <c r="F1456"/>
      <c r="M1456"/>
    </row>
    <row r="1457" spans="1:13" x14ac:dyDescent="0.15">
      <c r="A1457" t="s">
        <v>22</v>
      </c>
      <c r="F1457"/>
      <c r="M1457"/>
    </row>
    <row r="1458" spans="1:13" x14ac:dyDescent="0.15">
      <c r="A1458" t="s">
        <v>22</v>
      </c>
      <c r="F1458"/>
      <c r="M1458"/>
    </row>
    <row r="1459" spans="1:13" x14ac:dyDescent="0.15">
      <c r="A1459" t="s">
        <v>22</v>
      </c>
      <c r="F1459"/>
      <c r="M1459"/>
    </row>
    <row r="1460" spans="1:13" x14ac:dyDescent="0.15">
      <c r="A1460" t="s">
        <v>22</v>
      </c>
      <c r="F1460"/>
      <c r="M1460"/>
    </row>
    <row r="1461" spans="1:13" x14ac:dyDescent="0.15">
      <c r="A1461" t="s">
        <v>22</v>
      </c>
      <c r="F1461"/>
      <c r="M1461"/>
    </row>
    <row r="1462" spans="1:13" x14ac:dyDescent="0.15">
      <c r="A1462" t="s">
        <v>22</v>
      </c>
      <c r="F1462"/>
      <c r="M1462"/>
    </row>
    <row r="1463" spans="1:13" x14ac:dyDescent="0.15">
      <c r="A1463" t="s">
        <v>22</v>
      </c>
      <c r="F1463"/>
      <c r="M1463"/>
    </row>
    <row r="1464" spans="1:13" x14ac:dyDescent="0.15">
      <c r="A1464" t="s">
        <v>22</v>
      </c>
      <c r="F1464"/>
      <c r="M1464"/>
    </row>
    <row r="1465" spans="1:13" x14ac:dyDescent="0.15">
      <c r="A1465" t="s">
        <v>22</v>
      </c>
      <c r="F1465"/>
      <c r="M1465"/>
    </row>
    <row r="1466" spans="1:13" x14ac:dyDescent="0.15">
      <c r="A1466" t="s">
        <v>22</v>
      </c>
      <c r="F1466"/>
      <c r="M1466"/>
    </row>
    <row r="1467" spans="1:13" x14ac:dyDescent="0.15">
      <c r="A1467" t="s">
        <v>22</v>
      </c>
      <c r="F1467"/>
      <c r="M1467"/>
    </row>
    <row r="1468" spans="1:13" x14ac:dyDescent="0.15">
      <c r="A1468" t="s">
        <v>22</v>
      </c>
      <c r="F1468"/>
      <c r="M1468"/>
    </row>
    <row r="1469" spans="1:13" x14ac:dyDescent="0.15">
      <c r="A1469" t="s">
        <v>22</v>
      </c>
      <c r="F1469"/>
      <c r="M1469"/>
    </row>
    <row r="1470" spans="1:13" x14ac:dyDescent="0.15">
      <c r="A1470" t="s">
        <v>22</v>
      </c>
      <c r="F1470"/>
      <c r="M1470"/>
    </row>
    <row r="1471" spans="1:13" x14ac:dyDescent="0.15">
      <c r="A1471" t="s">
        <v>22</v>
      </c>
      <c r="F1471"/>
      <c r="M1471"/>
    </row>
    <row r="1472" spans="1:13" x14ac:dyDescent="0.15">
      <c r="A1472" t="s">
        <v>22</v>
      </c>
      <c r="F1472"/>
      <c r="M1472"/>
    </row>
    <row r="1473" spans="1:13" x14ac:dyDescent="0.15">
      <c r="A1473" t="s">
        <v>22</v>
      </c>
      <c r="F1473"/>
      <c r="M1473"/>
    </row>
    <row r="1474" spans="1:13" x14ac:dyDescent="0.15">
      <c r="A1474" t="s">
        <v>22</v>
      </c>
      <c r="F1474"/>
      <c r="M1474"/>
    </row>
    <row r="1475" spans="1:13" x14ac:dyDescent="0.15">
      <c r="A1475" t="s">
        <v>22</v>
      </c>
      <c r="F1475"/>
      <c r="M1475"/>
    </row>
    <row r="1476" spans="1:13" x14ac:dyDescent="0.15">
      <c r="A1476" t="s">
        <v>22</v>
      </c>
      <c r="F1476"/>
      <c r="M1476"/>
    </row>
    <row r="1477" spans="1:13" x14ac:dyDescent="0.15">
      <c r="A1477" t="s">
        <v>22</v>
      </c>
      <c r="F1477"/>
      <c r="M1477"/>
    </row>
    <row r="1478" spans="1:13" x14ac:dyDescent="0.15">
      <c r="A1478" t="s">
        <v>22</v>
      </c>
      <c r="F1478"/>
      <c r="M1478"/>
    </row>
    <row r="1479" spans="1:13" x14ac:dyDescent="0.15">
      <c r="A1479" t="s">
        <v>22</v>
      </c>
      <c r="F1479"/>
      <c r="M1479"/>
    </row>
    <row r="1480" spans="1:13" x14ac:dyDescent="0.15">
      <c r="A1480" t="s">
        <v>22</v>
      </c>
      <c r="F1480"/>
      <c r="M1480"/>
    </row>
    <row r="1481" spans="1:13" x14ac:dyDescent="0.15">
      <c r="A1481" t="s">
        <v>22</v>
      </c>
      <c r="F1481"/>
      <c r="M1481"/>
    </row>
    <row r="1482" spans="1:13" x14ac:dyDescent="0.15">
      <c r="A1482" t="s">
        <v>22</v>
      </c>
      <c r="F1482"/>
      <c r="M1482"/>
    </row>
    <row r="1483" spans="1:13" x14ac:dyDescent="0.15">
      <c r="A1483" t="s">
        <v>22</v>
      </c>
      <c r="F1483"/>
      <c r="M1483"/>
    </row>
    <row r="1484" spans="1:13" x14ac:dyDescent="0.15">
      <c r="A1484" t="s">
        <v>22</v>
      </c>
      <c r="F1484"/>
      <c r="M1484"/>
    </row>
    <row r="1485" spans="1:13" x14ac:dyDescent="0.15">
      <c r="A1485" t="s">
        <v>22</v>
      </c>
      <c r="F1485"/>
      <c r="M1485"/>
    </row>
    <row r="1486" spans="1:13" x14ac:dyDescent="0.15">
      <c r="A1486" t="s">
        <v>22</v>
      </c>
      <c r="F1486"/>
      <c r="M1486"/>
    </row>
    <row r="1487" spans="1:13" x14ac:dyDescent="0.15">
      <c r="A1487" t="s">
        <v>22</v>
      </c>
      <c r="F1487"/>
      <c r="M1487"/>
    </row>
    <row r="1488" spans="1:13" x14ac:dyDescent="0.15">
      <c r="A1488" t="s">
        <v>22</v>
      </c>
      <c r="F1488"/>
      <c r="M1488"/>
    </row>
    <row r="1489" spans="1:13" x14ac:dyDescent="0.15">
      <c r="A1489" t="s">
        <v>22</v>
      </c>
      <c r="F1489"/>
      <c r="M1489"/>
    </row>
    <row r="1490" spans="1:13" x14ac:dyDescent="0.15">
      <c r="A1490" t="s">
        <v>22</v>
      </c>
      <c r="F1490"/>
      <c r="M1490"/>
    </row>
    <row r="1491" spans="1:13" x14ac:dyDescent="0.15">
      <c r="A1491" t="s">
        <v>22</v>
      </c>
      <c r="F1491"/>
      <c r="M1491"/>
    </row>
    <row r="1492" spans="1:13" x14ac:dyDescent="0.15">
      <c r="A1492" t="s">
        <v>22</v>
      </c>
      <c r="F1492"/>
      <c r="M1492"/>
    </row>
    <row r="1493" spans="1:13" x14ac:dyDescent="0.15">
      <c r="A1493" t="s">
        <v>22</v>
      </c>
      <c r="F1493"/>
      <c r="M1493"/>
    </row>
    <row r="1494" spans="1:13" x14ac:dyDescent="0.15">
      <c r="A1494" t="s">
        <v>22</v>
      </c>
      <c r="F1494"/>
      <c r="M1494"/>
    </row>
    <row r="1495" spans="1:13" x14ac:dyDescent="0.15">
      <c r="A1495" t="s">
        <v>22</v>
      </c>
      <c r="F1495"/>
      <c r="M1495"/>
    </row>
    <row r="1496" spans="1:13" x14ac:dyDescent="0.15">
      <c r="A1496" t="s">
        <v>22</v>
      </c>
      <c r="F1496"/>
      <c r="M1496"/>
    </row>
    <row r="1497" spans="1:13" x14ac:dyDescent="0.15">
      <c r="A1497" t="s">
        <v>22</v>
      </c>
      <c r="F1497"/>
      <c r="M1497"/>
    </row>
    <row r="1498" spans="1:13" x14ac:dyDescent="0.15">
      <c r="A1498" t="s">
        <v>22</v>
      </c>
      <c r="F1498"/>
      <c r="M1498"/>
    </row>
    <row r="1499" spans="1:13" x14ac:dyDescent="0.15">
      <c r="A1499" t="s">
        <v>22</v>
      </c>
      <c r="F1499"/>
      <c r="M1499"/>
    </row>
    <row r="1500" spans="1:13" x14ac:dyDescent="0.15">
      <c r="A1500" t="s">
        <v>22</v>
      </c>
      <c r="F1500"/>
      <c r="M1500"/>
    </row>
    <row r="1501" spans="1:13" x14ac:dyDescent="0.15">
      <c r="A1501" t="s">
        <v>22</v>
      </c>
      <c r="F1501"/>
      <c r="M1501"/>
    </row>
    <row r="1502" spans="1:13" x14ac:dyDescent="0.15">
      <c r="A1502" t="s">
        <v>22</v>
      </c>
      <c r="F1502"/>
      <c r="M1502"/>
    </row>
    <row r="1503" spans="1:13" x14ac:dyDescent="0.15">
      <c r="A1503" t="s">
        <v>22</v>
      </c>
      <c r="F1503"/>
      <c r="M1503"/>
    </row>
    <row r="1504" spans="1:13" x14ac:dyDescent="0.15">
      <c r="A1504" t="s">
        <v>22</v>
      </c>
      <c r="F1504"/>
      <c r="M1504"/>
    </row>
    <row r="1505" spans="1:13" x14ac:dyDescent="0.15">
      <c r="A1505" t="s">
        <v>22</v>
      </c>
      <c r="F1505"/>
      <c r="M1505"/>
    </row>
    <row r="1506" spans="1:13" x14ac:dyDescent="0.15">
      <c r="A1506" t="s">
        <v>22</v>
      </c>
      <c r="F1506"/>
      <c r="M1506"/>
    </row>
    <row r="1507" spans="1:13" x14ac:dyDescent="0.15">
      <c r="A1507" t="s">
        <v>22</v>
      </c>
      <c r="F1507"/>
      <c r="M1507"/>
    </row>
    <row r="1508" spans="1:13" x14ac:dyDescent="0.15">
      <c r="A1508" t="s">
        <v>22</v>
      </c>
      <c r="F1508"/>
      <c r="M1508"/>
    </row>
    <row r="1509" spans="1:13" x14ac:dyDescent="0.15">
      <c r="A1509" t="s">
        <v>22</v>
      </c>
      <c r="F1509"/>
      <c r="M1509"/>
    </row>
    <row r="1510" spans="1:13" x14ac:dyDescent="0.15">
      <c r="A1510" t="s">
        <v>22</v>
      </c>
      <c r="F1510"/>
      <c r="M1510"/>
    </row>
    <row r="1511" spans="1:13" x14ac:dyDescent="0.15">
      <c r="A1511" t="s">
        <v>22</v>
      </c>
      <c r="F1511"/>
      <c r="M1511"/>
    </row>
    <row r="1512" spans="1:13" x14ac:dyDescent="0.15">
      <c r="A1512" t="s">
        <v>22</v>
      </c>
      <c r="F1512"/>
      <c r="M1512"/>
    </row>
    <row r="1513" spans="1:13" x14ac:dyDescent="0.15">
      <c r="A1513" t="s">
        <v>22</v>
      </c>
      <c r="F1513"/>
      <c r="M1513"/>
    </row>
    <row r="1514" spans="1:13" x14ac:dyDescent="0.15">
      <c r="A1514" t="s">
        <v>22</v>
      </c>
      <c r="F1514"/>
      <c r="M1514"/>
    </row>
    <row r="1515" spans="1:13" x14ac:dyDescent="0.15">
      <c r="A1515" t="s">
        <v>22</v>
      </c>
      <c r="F1515"/>
      <c r="M1515"/>
    </row>
    <row r="1516" spans="1:13" x14ac:dyDescent="0.15">
      <c r="A1516" t="s">
        <v>22</v>
      </c>
      <c r="F1516"/>
      <c r="M1516"/>
    </row>
    <row r="1517" spans="1:13" x14ac:dyDescent="0.15">
      <c r="A1517" t="s">
        <v>22</v>
      </c>
      <c r="F1517"/>
      <c r="M1517"/>
    </row>
    <row r="1518" spans="1:13" x14ac:dyDescent="0.15">
      <c r="A1518" t="s">
        <v>22</v>
      </c>
      <c r="F1518"/>
      <c r="M1518"/>
    </row>
    <row r="1519" spans="1:13" x14ac:dyDescent="0.15">
      <c r="A1519" t="s">
        <v>22</v>
      </c>
      <c r="F1519"/>
      <c r="M1519"/>
    </row>
    <row r="1520" spans="1:13" x14ac:dyDescent="0.15">
      <c r="A1520" t="s">
        <v>22</v>
      </c>
      <c r="F1520"/>
      <c r="M1520"/>
    </row>
    <row r="1521" spans="1:13" x14ac:dyDescent="0.15">
      <c r="A1521" t="s">
        <v>22</v>
      </c>
      <c r="F1521"/>
      <c r="M1521"/>
    </row>
    <row r="1522" spans="1:13" x14ac:dyDescent="0.15">
      <c r="A1522" t="s">
        <v>22</v>
      </c>
      <c r="F1522"/>
      <c r="M1522"/>
    </row>
    <row r="1523" spans="1:13" x14ac:dyDescent="0.15">
      <c r="A1523" t="s">
        <v>22</v>
      </c>
      <c r="F1523"/>
      <c r="M1523"/>
    </row>
    <row r="1524" spans="1:13" x14ac:dyDescent="0.15">
      <c r="A1524" t="s">
        <v>22</v>
      </c>
      <c r="F1524"/>
      <c r="M1524"/>
    </row>
    <row r="1525" spans="1:13" x14ac:dyDescent="0.15">
      <c r="A1525" t="s">
        <v>22</v>
      </c>
      <c r="F1525"/>
      <c r="M1525"/>
    </row>
    <row r="1526" spans="1:13" x14ac:dyDescent="0.15">
      <c r="A1526" t="s">
        <v>22</v>
      </c>
      <c r="F1526"/>
      <c r="M1526"/>
    </row>
    <row r="1527" spans="1:13" x14ac:dyDescent="0.15">
      <c r="A1527" t="s">
        <v>22</v>
      </c>
      <c r="F1527"/>
      <c r="M1527"/>
    </row>
    <row r="1528" spans="1:13" x14ac:dyDescent="0.15">
      <c r="A1528" t="s">
        <v>22</v>
      </c>
      <c r="F1528"/>
      <c r="M1528"/>
    </row>
    <row r="1529" spans="1:13" x14ac:dyDescent="0.15">
      <c r="A1529" t="s">
        <v>22</v>
      </c>
      <c r="F1529"/>
      <c r="M1529"/>
    </row>
    <row r="1530" spans="1:13" x14ac:dyDescent="0.15">
      <c r="A1530" t="s">
        <v>22</v>
      </c>
      <c r="F1530"/>
      <c r="M1530"/>
    </row>
    <row r="1531" spans="1:13" x14ac:dyDescent="0.15">
      <c r="A1531" t="s">
        <v>22</v>
      </c>
      <c r="F1531"/>
      <c r="M1531"/>
    </row>
    <row r="1532" spans="1:13" x14ac:dyDescent="0.15">
      <c r="A1532" t="s">
        <v>22</v>
      </c>
      <c r="F1532"/>
      <c r="M1532"/>
    </row>
    <row r="1533" spans="1:13" x14ac:dyDescent="0.15">
      <c r="A1533" t="s">
        <v>22</v>
      </c>
      <c r="F1533"/>
      <c r="M1533"/>
    </row>
    <row r="1534" spans="1:13" x14ac:dyDescent="0.15">
      <c r="A1534" t="s">
        <v>22</v>
      </c>
      <c r="F1534"/>
      <c r="M1534"/>
    </row>
    <row r="1535" spans="1:13" x14ac:dyDescent="0.15">
      <c r="A1535" t="s">
        <v>22</v>
      </c>
      <c r="F1535"/>
      <c r="M1535"/>
    </row>
    <row r="1536" spans="1:13" x14ac:dyDescent="0.15">
      <c r="A1536" t="s">
        <v>22</v>
      </c>
      <c r="F1536"/>
      <c r="M1536"/>
    </row>
    <row r="1537" spans="1:13" x14ac:dyDescent="0.15">
      <c r="A1537" t="s">
        <v>22</v>
      </c>
      <c r="F1537"/>
      <c r="M1537"/>
    </row>
    <row r="1538" spans="1:13" x14ac:dyDescent="0.15">
      <c r="A1538" t="s">
        <v>22</v>
      </c>
      <c r="F1538"/>
      <c r="M1538"/>
    </row>
    <row r="1539" spans="1:13" x14ac:dyDescent="0.15">
      <c r="A1539" t="s">
        <v>22</v>
      </c>
      <c r="F1539"/>
      <c r="M1539"/>
    </row>
    <row r="1540" spans="1:13" x14ac:dyDescent="0.15">
      <c r="A1540" t="s">
        <v>22</v>
      </c>
      <c r="F1540"/>
      <c r="M1540"/>
    </row>
    <row r="1541" spans="1:13" x14ac:dyDescent="0.15">
      <c r="A1541" t="s">
        <v>22</v>
      </c>
      <c r="F1541"/>
      <c r="M1541"/>
    </row>
    <row r="1542" spans="1:13" x14ac:dyDescent="0.15">
      <c r="A1542" t="s">
        <v>22</v>
      </c>
      <c r="F1542"/>
      <c r="M1542"/>
    </row>
    <row r="1543" spans="1:13" x14ac:dyDescent="0.15">
      <c r="A1543" t="s">
        <v>22</v>
      </c>
      <c r="F1543"/>
      <c r="M1543"/>
    </row>
    <row r="1544" spans="1:13" x14ac:dyDescent="0.15">
      <c r="A1544" t="s">
        <v>22</v>
      </c>
      <c r="F1544"/>
      <c r="M1544"/>
    </row>
    <row r="1545" spans="1:13" x14ac:dyDescent="0.15">
      <c r="A1545" t="s">
        <v>22</v>
      </c>
      <c r="F1545"/>
      <c r="M1545"/>
    </row>
    <row r="1546" spans="1:13" x14ac:dyDescent="0.15">
      <c r="A1546" t="s">
        <v>22</v>
      </c>
      <c r="F1546"/>
      <c r="M1546"/>
    </row>
    <row r="1547" spans="1:13" x14ac:dyDescent="0.15">
      <c r="A1547" t="s">
        <v>22</v>
      </c>
      <c r="F1547"/>
      <c r="M1547"/>
    </row>
    <row r="1548" spans="1:13" x14ac:dyDescent="0.15">
      <c r="A1548" t="s">
        <v>22</v>
      </c>
      <c r="F1548"/>
      <c r="M1548"/>
    </row>
    <row r="1549" spans="1:13" x14ac:dyDescent="0.15">
      <c r="A1549" t="s">
        <v>22</v>
      </c>
      <c r="F1549"/>
      <c r="M1549"/>
    </row>
    <row r="1550" spans="1:13" x14ac:dyDescent="0.15">
      <c r="A1550" t="s">
        <v>22</v>
      </c>
      <c r="F1550"/>
      <c r="M1550"/>
    </row>
    <row r="1551" spans="1:13" x14ac:dyDescent="0.15">
      <c r="A1551" t="s">
        <v>22</v>
      </c>
      <c r="F1551"/>
      <c r="M1551"/>
    </row>
    <row r="1552" spans="1:13" x14ac:dyDescent="0.15">
      <c r="A1552" t="s">
        <v>22</v>
      </c>
      <c r="F1552"/>
      <c r="M1552"/>
    </row>
    <row r="1553" spans="1:13" x14ac:dyDescent="0.15">
      <c r="A1553" t="s">
        <v>22</v>
      </c>
      <c r="F1553"/>
      <c r="M1553"/>
    </row>
    <row r="1554" spans="1:13" x14ac:dyDescent="0.15">
      <c r="A1554" t="s">
        <v>22</v>
      </c>
      <c r="F1554"/>
      <c r="M1554"/>
    </row>
    <row r="1555" spans="1:13" x14ac:dyDescent="0.15">
      <c r="A1555" t="s">
        <v>22</v>
      </c>
      <c r="F1555"/>
      <c r="M1555"/>
    </row>
    <row r="1556" spans="1:13" x14ac:dyDescent="0.15">
      <c r="A1556" t="s">
        <v>22</v>
      </c>
      <c r="F1556"/>
      <c r="M1556"/>
    </row>
    <row r="1557" spans="1:13" x14ac:dyDescent="0.15">
      <c r="A1557" t="s">
        <v>22</v>
      </c>
      <c r="F1557"/>
      <c r="M1557"/>
    </row>
    <row r="1558" spans="1:13" x14ac:dyDescent="0.15">
      <c r="A1558" t="s">
        <v>22</v>
      </c>
      <c r="F1558"/>
      <c r="M1558"/>
    </row>
    <row r="1559" spans="1:13" x14ac:dyDescent="0.15">
      <c r="A1559" t="s">
        <v>22</v>
      </c>
      <c r="F1559"/>
      <c r="M1559"/>
    </row>
    <row r="1560" spans="1:13" x14ac:dyDescent="0.15">
      <c r="A1560" t="s">
        <v>22</v>
      </c>
      <c r="F1560"/>
      <c r="M1560"/>
    </row>
    <row r="1561" spans="1:13" x14ac:dyDescent="0.15">
      <c r="A1561" t="s">
        <v>22</v>
      </c>
      <c r="F1561"/>
      <c r="M1561"/>
    </row>
    <row r="1562" spans="1:13" x14ac:dyDescent="0.15">
      <c r="A1562" t="s">
        <v>22</v>
      </c>
      <c r="F1562"/>
      <c r="M1562"/>
    </row>
    <row r="1563" spans="1:13" x14ac:dyDescent="0.15">
      <c r="A1563" t="s">
        <v>22</v>
      </c>
      <c r="F1563"/>
      <c r="M1563"/>
    </row>
    <row r="1564" spans="1:13" x14ac:dyDescent="0.15">
      <c r="A1564" t="s">
        <v>22</v>
      </c>
      <c r="F1564"/>
      <c r="M1564"/>
    </row>
    <row r="1565" spans="1:13" x14ac:dyDescent="0.15">
      <c r="A1565" t="s">
        <v>22</v>
      </c>
      <c r="F1565"/>
      <c r="M1565"/>
    </row>
    <row r="1566" spans="1:13" x14ac:dyDescent="0.15">
      <c r="A1566" t="s">
        <v>22</v>
      </c>
      <c r="F1566"/>
      <c r="M1566"/>
    </row>
    <row r="1567" spans="1:13" x14ac:dyDescent="0.15">
      <c r="A1567" t="s">
        <v>22</v>
      </c>
      <c r="F1567"/>
      <c r="M1567"/>
    </row>
    <row r="1568" spans="1:13" x14ac:dyDescent="0.15">
      <c r="A1568" t="s">
        <v>22</v>
      </c>
      <c r="F1568"/>
      <c r="M1568"/>
    </row>
    <row r="1569" spans="1:13" x14ac:dyDescent="0.15">
      <c r="A1569" t="s">
        <v>22</v>
      </c>
      <c r="F1569"/>
      <c r="M1569"/>
    </row>
    <row r="1570" spans="1:13" x14ac:dyDescent="0.15">
      <c r="A1570" t="s">
        <v>22</v>
      </c>
      <c r="F1570"/>
      <c r="M1570"/>
    </row>
    <row r="1571" spans="1:13" x14ac:dyDescent="0.15">
      <c r="A1571" t="s">
        <v>22</v>
      </c>
      <c r="F1571"/>
      <c r="M1571"/>
    </row>
    <row r="1572" spans="1:13" x14ac:dyDescent="0.15">
      <c r="A1572" t="s">
        <v>22</v>
      </c>
      <c r="F1572"/>
      <c r="M1572"/>
    </row>
    <row r="1573" spans="1:13" x14ac:dyDescent="0.15">
      <c r="A1573" t="s">
        <v>22</v>
      </c>
      <c r="F1573"/>
      <c r="M1573"/>
    </row>
    <row r="1574" spans="1:13" x14ac:dyDescent="0.15">
      <c r="A1574" t="s">
        <v>22</v>
      </c>
      <c r="F1574"/>
      <c r="M1574"/>
    </row>
    <row r="1575" spans="1:13" x14ac:dyDescent="0.15">
      <c r="A1575" t="s">
        <v>22</v>
      </c>
      <c r="F1575"/>
      <c r="M1575"/>
    </row>
    <row r="1576" spans="1:13" x14ac:dyDescent="0.15">
      <c r="A1576" t="s">
        <v>22</v>
      </c>
      <c r="F1576"/>
      <c r="M1576"/>
    </row>
    <row r="1577" spans="1:13" x14ac:dyDescent="0.15">
      <c r="A1577" t="s">
        <v>22</v>
      </c>
      <c r="F1577"/>
      <c r="M1577"/>
    </row>
    <row r="1578" spans="1:13" x14ac:dyDescent="0.15">
      <c r="A1578" t="s">
        <v>22</v>
      </c>
      <c r="F1578"/>
      <c r="M1578"/>
    </row>
    <row r="1579" spans="1:13" x14ac:dyDescent="0.15">
      <c r="A1579" t="s">
        <v>22</v>
      </c>
      <c r="F1579"/>
      <c r="M1579"/>
    </row>
    <row r="1580" spans="1:13" x14ac:dyDescent="0.15">
      <c r="A1580" t="s">
        <v>22</v>
      </c>
      <c r="F1580"/>
      <c r="M1580"/>
    </row>
    <row r="1581" spans="1:13" x14ac:dyDescent="0.15">
      <c r="A1581" t="s">
        <v>22</v>
      </c>
      <c r="F1581"/>
      <c r="M1581"/>
    </row>
    <row r="1582" spans="1:13" x14ac:dyDescent="0.15">
      <c r="A1582" t="s">
        <v>22</v>
      </c>
      <c r="F1582"/>
      <c r="M1582"/>
    </row>
    <row r="1583" spans="1:13" x14ac:dyDescent="0.15">
      <c r="A1583" t="s">
        <v>22</v>
      </c>
      <c r="F1583"/>
      <c r="M1583"/>
    </row>
    <row r="1584" spans="1:13" x14ac:dyDescent="0.15">
      <c r="A1584" t="s">
        <v>22</v>
      </c>
      <c r="F1584"/>
      <c r="M1584"/>
    </row>
    <row r="1585" spans="1:13" x14ac:dyDescent="0.15">
      <c r="A1585" t="s">
        <v>22</v>
      </c>
      <c r="F1585"/>
      <c r="M1585"/>
    </row>
    <row r="1586" spans="1:13" x14ac:dyDescent="0.15">
      <c r="A1586" t="s">
        <v>22</v>
      </c>
      <c r="F1586"/>
      <c r="M1586"/>
    </row>
    <row r="1587" spans="1:13" x14ac:dyDescent="0.15">
      <c r="A1587" t="s">
        <v>22</v>
      </c>
      <c r="F1587"/>
      <c r="M1587"/>
    </row>
    <row r="1588" spans="1:13" x14ac:dyDescent="0.15">
      <c r="A1588" t="s">
        <v>22</v>
      </c>
      <c r="F1588"/>
      <c r="M1588"/>
    </row>
    <row r="1589" spans="1:13" x14ac:dyDescent="0.15">
      <c r="A1589" t="s">
        <v>22</v>
      </c>
      <c r="F1589"/>
      <c r="M1589"/>
    </row>
    <row r="1590" spans="1:13" x14ac:dyDescent="0.15">
      <c r="A1590" t="s">
        <v>22</v>
      </c>
      <c r="F1590"/>
      <c r="M1590"/>
    </row>
    <row r="1591" spans="1:13" x14ac:dyDescent="0.15">
      <c r="A1591" t="s">
        <v>22</v>
      </c>
      <c r="F1591"/>
      <c r="M1591"/>
    </row>
    <row r="1592" spans="1:13" x14ac:dyDescent="0.15">
      <c r="A1592" t="s">
        <v>22</v>
      </c>
      <c r="F1592"/>
      <c r="M1592"/>
    </row>
    <row r="1593" spans="1:13" x14ac:dyDescent="0.15">
      <c r="A1593" t="s">
        <v>22</v>
      </c>
      <c r="F1593"/>
      <c r="M1593"/>
    </row>
    <row r="1594" spans="1:13" x14ac:dyDescent="0.15">
      <c r="A1594" t="s">
        <v>22</v>
      </c>
      <c r="F1594"/>
      <c r="M1594"/>
    </row>
    <row r="1595" spans="1:13" x14ac:dyDescent="0.15">
      <c r="A1595" t="s">
        <v>22</v>
      </c>
      <c r="F1595"/>
      <c r="M1595"/>
    </row>
    <row r="1596" spans="1:13" x14ac:dyDescent="0.15">
      <c r="A1596" t="s">
        <v>22</v>
      </c>
      <c r="F1596"/>
      <c r="M1596"/>
    </row>
    <row r="1597" spans="1:13" x14ac:dyDescent="0.15">
      <c r="A1597" t="s">
        <v>22</v>
      </c>
      <c r="F1597"/>
      <c r="M1597"/>
    </row>
    <row r="1598" spans="1:13" x14ac:dyDescent="0.15">
      <c r="A1598" t="s">
        <v>22</v>
      </c>
      <c r="F1598"/>
      <c r="M1598"/>
    </row>
    <row r="1599" spans="1:13" x14ac:dyDescent="0.15">
      <c r="A1599" t="s">
        <v>22</v>
      </c>
      <c r="F1599"/>
      <c r="M1599"/>
    </row>
    <row r="1600" spans="1:13" x14ac:dyDescent="0.15">
      <c r="A1600" t="s">
        <v>22</v>
      </c>
      <c r="F1600"/>
      <c r="M1600"/>
    </row>
    <row r="1601" spans="1:13" x14ac:dyDescent="0.15">
      <c r="A1601" t="s">
        <v>22</v>
      </c>
      <c r="F1601"/>
      <c r="M1601"/>
    </row>
    <row r="1602" spans="1:13" x14ac:dyDescent="0.15">
      <c r="A1602" t="s">
        <v>22</v>
      </c>
      <c r="F1602"/>
      <c r="M1602"/>
    </row>
    <row r="1603" spans="1:13" x14ac:dyDescent="0.15">
      <c r="A1603" t="s">
        <v>22</v>
      </c>
      <c r="F1603"/>
      <c r="M1603"/>
    </row>
    <row r="1604" spans="1:13" x14ac:dyDescent="0.15">
      <c r="A1604" t="s">
        <v>22</v>
      </c>
      <c r="F1604"/>
      <c r="M1604"/>
    </row>
    <row r="1605" spans="1:13" x14ac:dyDescent="0.15">
      <c r="A1605" t="s">
        <v>22</v>
      </c>
      <c r="F1605"/>
      <c r="M1605"/>
    </row>
    <row r="1606" spans="1:13" x14ac:dyDescent="0.15">
      <c r="A1606" t="s">
        <v>22</v>
      </c>
      <c r="F1606"/>
      <c r="M1606"/>
    </row>
    <row r="1607" spans="1:13" x14ac:dyDescent="0.15">
      <c r="A1607" t="s">
        <v>22</v>
      </c>
      <c r="F1607"/>
      <c r="M1607"/>
    </row>
    <row r="1608" spans="1:13" x14ac:dyDescent="0.15">
      <c r="A1608" t="s">
        <v>22</v>
      </c>
      <c r="F1608"/>
      <c r="M1608"/>
    </row>
    <row r="1609" spans="1:13" x14ac:dyDescent="0.15">
      <c r="A1609" t="s">
        <v>22</v>
      </c>
      <c r="F1609"/>
      <c r="M1609"/>
    </row>
    <row r="1610" spans="1:13" x14ac:dyDescent="0.15">
      <c r="A1610" t="s">
        <v>22</v>
      </c>
      <c r="F1610"/>
      <c r="M1610"/>
    </row>
    <row r="1611" spans="1:13" x14ac:dyDescent="0.15">
      <c r="A1611" t="s">
        <v>22</v>
      </c>
      <c r="F1611"/>
      <c r="M1611"/>
    </row>
    <row r="1612" spans="1:13" x14ac:dyDescent="0.15">
      <c r="A1612" t="s">
        <v>22</v>
      </c>
      <c r="F1612"/>
      <c r="M1612"/>
    </row>
    <row r="1613" spans="1:13" x14ac:dyDescent="0.15">
      <c r="A1613" t="s">
        <v>22</v>
      </c>
      <c r="F1613"/>
      <c r="M1613"/>
    </row>
    <row r="1614" spans="1:13" x14ac:dyDescent="0.15">
      <c r="A1614" t="s">
        <v>22</v>
      </c>
      <c r="F1614"/>
      <c r="M1614"/>
    </row>
    <row r="1615" spans="1:13" x14ac:dyDescent="0.15">
      <c r="A1615" t="s">
        <v>22</v>
      </c>
      <c r="F1615"/>
      <c r="M1615"/>
    </row>
    <row r="1616" spans="1:13" x14ac:dyDescent="0.15">
      <c r="A1616" t="s">
        <v>22</v>
      </c>
      <c r="F1616"/>
      <c r="M1616"/>
    </row>
    <row r="1617" spans="1:13" x14ac:dyDescent="0.15">
      <c r="A1617" t="s">
        <v>22</v>
      </c>
      <c r="F1617"/>
      <c r="M1617"/>
    </row>
    <row r="1618" spans="1:13" x14ac:dyDescent="0.15">
      <c r="A1618" t="s">
        <v>22</v>
      </c>
      <c r="F1618"/>
      <c r="M1618"/>
    </row>
    <row r="1619" spans="1:13" x14ac:dyDescent="0.15">
      <c r="A1619" t="s">
        <v>22</v>
      </c>
      <c r="F1619"/>
      <c r="M1619"/>
    </row>
    <row r="1620" spans="1:13" x14ac:dyDescent="0.15">
      <c r="A1620" t="s">
        <v>22</v>
      </c>
      <c r="F1620"/>
      <c r="M1620"/>
    </row>
    <row r="1621" spans="1:13" x14ac:dyDescent="0.15">
      <c r="A1621" t="s">
        <v>22</v>
      </c>
      <c r="F1621"/>
      <c r="M1621"/>
    </row>
    <row r="1622" spans="1:13" x14ac:dyDescent="0.15">
      <c r="A1622" t="s">
        <v>22</v>
      </c>
      <c r="F1622"/>
      <c r="M1622"/>
    </row>
    <row r="1623" spans="1:13" x14ac:dyDescent="0.15">
      <c r="A1623" t="s">
        <v>22</v>
      </c>
      <c r="F1623"/>
      <c r="M1623"/>
    </row>
    <row r="1624" spans="1:13" x14ac:dyDescent="0.15">
      <c r="A1624" t="s">
        <v>22</v>
      </c>
      <c r="F1624"/>
      <c r="M1624"/>
    </row>
    <row r="1625" spans="1:13" x14ac:dyDescent="0.15">
      <c r="A1625" t="s">
        <v>22</v>
      </c>
      <c r="F1625"/>
      <c r="M1625"/>
    </row>
    <row r="1626" spans="1:13" x14ac:dyDescent="0.15">
      <c r="A1626" t="s">
        <v>22</v>
      </c>
      <c r="F1626"/>
      <c r="M1626"/>
    </row>
    <row r="1627" spans="1:13" x14ac:dyDescent="0.15">
      <c r="A1627" t="s">
        <v>22</v>
      </c>
      <c r="F1627"/>
      <c r="M1627"/>
    </row>
    <row r="1628" spans="1:13" x14ac:dyDescent="0.15">
      <c r="A1628" t="s">
        <v>22</v>
      </c>
      <c r="F1628"/>
      <c r="M1628"/>
    </row>
    <row r="1629" spans="1:13" x14ac:dyDescent="0.15">
      <c r="A1629" t="s">
        <v>22</v>
      </c>
      <c r="F1629"/>
      <c r="M1629"/>
    </row>
    <row r="1630" spans="1:13" x14ac:dyDescent="0.15">
      <c r="A1630" t="s">
        <v>22</v>
      </c>
      <c r="F1630"/>
      <c r="M1630"/>
    </row>
    <row r="1631" spans="1:13" x14ac:dyDescent="0.15">
      <c r="A1631" t="s">
        <v>22</v>
      </c>
      <c r="F1631"/>
      <c r="M1631"/>
    </row>
    <row r="1632" spans="1:13" x14ac:dyDescent="0.15">
      <c r="A1632" t="s">
        <v>22</v>
      </c>
      <c r="F1632"/>
      <c r="M1632"/>
    </row>
    <row r="1633" spans="1:13" x14ac:dyDescent="0.15">
      <c r="A1633" t="s">
        <v>22</v>
      </c>
      <c r="F1633"/>
      <c r="M1633"/>
    </row>
    <row r="1634" spans="1:13" x14ac:dyDescent="0.15">
      <c r="A1634" t="s">
        <v>22</v>
      </c>
      <c r="F1634"/>
      <c r="M1634"/>
    </row>
    <row r="1635" spans="1:13" x14ac:dyDescent="0.15">
      <c r="A1635" t="s">
        <v>22</v>
      </c>
      <c r="F1635"/>
      <c r="M1635"/>
    </row>
    <row r="1636" spans="1:13" x14ac:dyDescent="0.15">
      <c r="A1636" t="s">
        <v>22</v>
      </c>
      <c r="F1636"/>
      <c r="M1636"/>
    </row>
    <row r="1637" spans="1:13" x14ac:dyDescent="0.15">
      <c r="A1637" t="s">
        <v>22</v>
      </c>
      <c r="F1637"/>
      <c r="M1637"/>
    </row>
    <row r="1638" spans="1:13" x14ac:dyDescent="0.15">
      <c r="A1638" t="s">
        <v>22</v>
      </c>
      <c r="F1638"/>
      <c r="M1638"/>
    </row>
    <row r="1639" spans="1:13" x14ac:dyDescent="0.15">
      <c r="A1639" t="s">
        <v>22</v>
      </c>
      <c r="F1639"/>
      <c r="M1639"/>
    </row>
    <row r="1640" spans="1:13" x14ac:dyDescent="0.15">
      <c r="A1640" t="s">
        <v>22</v>
      </c>
      <c r="F1640"/>
      <c r="M1640"/>
    </row>
    <row r="1641" spans="1:13" x14ac:dyDescent="0.15">
      <c r="A1641" t="s">
        <v>22</v>
      </c>
      <c r="F1641"/>
      <c r="M1641"/>
    </row>
    <row r="1642" spans="1:13" x14ac:dyDescent="0.15">
      <c r="A1642" t="s">
        <v>22</v>
      </c>
      <c r="F1642"/>
      <c r="M1642"/>
    </row>
    <row r="1643" spans="1:13" x14ac:dyDescent="0.15">
      <c r="A1643" t="s">
        <v>22</v>
      </c>
      <c r="F1643"/>
      <c r="M1643"/>
    </row>
    <row r="1644" spans="1:13" x14ac:dyDescent="0.15">
      <c r="A1644" t="s">
        <v>22</v>
      </c>
      <c r="F1644"/>
      <c r="M1644"/>
    </row>
    <row r="1645" spans="1:13" x14ac:dyDescent="0.15">
      <c r="A1645" t="s">
        <v>22</v>
      </c>
      <c r="F1645"/>
      <c r="M1645"/>
    </row>
    <row r="1646" spans="1:13" x14ac:dyDescent="0.15">
      <c r="A1646" t="s">
        <v>22</v>
      </c>
      <c r="F1646"/>
      <c r="M1646"/>
    </row>
    <row r="1647" spans="1:13" x14ac:dyDescent="0.15">
      <c r="A1647" t="s">
        <v>22</v>
      </c>
      <c r="F1647"/>
      <c r="M1647"/>
    </row>
    <row r="1648" spans="1:13" x14ac:dyDescent="0.15">
      <c r="A1648" t="s">
        <v>22</v>
      </c>
      <c r="F1648"/>
      <c r="M1648"/>
    </row>
    <row r="1649" spans="1:13" x14ac:dyDescent="0.15">
      <c r="A1649" t="s">
        <v>22</v>
      </c>
      <c r="F1649"/>
      <c r="M1649"/>
    </row>
    <row r="1650" spans="1:13" x14ac:dyDescent="0.15">
      <c r="A1650" t="s">
        <v>22</v>
      </c>
      <c r="F1650"/>
      <c r="M1650"/>
    </row>
    <row r="1651" spans="1:13" x14ac:dyDescent="0.15">
      <c r="A1651" t="s">
        <v>22</v>
      </c>
      <c r="F1651"/>
      <c r="M1651"/>
    </row>
    <row r="1652" spans="1:13" x14ac:dyDescent="0.15">
      <c r="A1652" t="s">
        <v>22</v>
      </c>
      <c r="F1652"/>
      <c r="M1652"/>
    </row>
    <row r="1653" spans="1:13" x14ac:dyDescent="0.15">
      <c r="A1653" t="s">
        <v>22</v>
      </c>
      <c r="F1653"/>
      <c r="M1653"/>
    </row>
    <row r="1654" spans="1:13" x14ac:dyDescent="0.15">
      <c r="A1654" t="s">
        <v>22</v>
      </c>
      <c r="F1654"/>
      <c r="M1654"/>
    </row>
    <row r="1655" spans="1:13" x14ac:dyDescent="0.15">
      <c r="A1655" t="s">
        <v>22</v>
      </c>
      <c r="F1655"/>
      <c r="M1655"/>
    </row>
    <row r="1656" spans="1:13" x14ac:dyDescent="0.15">
      <c r="A1656" t="s">
        <v>22</v>
      </c>
      <c r="F1656"/>
      <c r="M1656"/>
    </row>
    <row r="1657" spans="1:13" x14ac:dyDescent="0.15">
      <c r="A1657" t="s">
        <v>22</v>
      </c>
      <c r="F1657"/>
      <c r="M1657"/>
    </row>
    <row r="1658" spans="1:13" x14ac:dyDescent="0.15">
      <c r="A1658" t="s">
        <v>22</v>
      </c>
      <c r="F1658"/>
      <c r="M1658"/>
    </row>
    <row r="1659" spans="1:13" x14ac:dyDescent="0.15">
      <c r="A1659" t="s">
        <v>22</v>
      </c>
      <c r="F1659"/>
      <c r="M1659"/>
    </row>
    <row r="1660" spans="1:13" x14ac:dyDescent="0.15">
      <c r="A1660" t="s">
        <v>22</v>
      </c>
      <c r="F1660"/>
      <c r="M1660"/>
    </row>
    <row r="1661" spans="1:13" x14ac:dyDescent="0.15">
      <c r="A1661" t="s">
        <v>22</v>
      </c>
      <c r="F1661"/>
      <c r="M1661"/>
    </row>
    <row r="1662" spans="1:13" x14ac:dyDescent="0.15">
      <c r="A1662" t="s">
        <v>22</v>
      </c>
      <c r="F1662"/>
      <c r="M1662"/>
    </row>
    <row r="1663" spans="1:13" x14ac:dyDescent="0.15">
      <c r="A1663" t="s">
        <v>22</v>
      </c>
      <c r="F1663"/>
      <c r="M1663"/>
    </row>
    <row r="1664" spans="1:13" x14ac:dyDescent="0.15">
      <c r="A1664" t="s">
        <v>22</v>
      </c>
      <c r="F1664"/>
      <c r="M1664"/>
    </row>
    <row r="1665" spans="1:13" x14ac:dyDescent="0.15">
      <c r="A1665" t="s">
        <v>22</v>
      </c>
      <c r="F1665"/>
      <c r="M1665"/>
    </row>
    <row r="1666" spans="1:13" x14ac:dyDescent="0.15">
      <c r="A1666" t="s">
        <v>22</v>
      </c>
      <c r="F1666"/>
      <c r="M1666"/>
    </row>
    <row r="1667" spans="1:13" x14ac:dyDescent="0.15">
      <c r="A1667" t="s">
        <v>22</v>
      </c>
      <c r="F1667"/>
      <c r="M1667"/>
    </row>
    <row r="1668" spans="1:13" x14ac:dyDescent="0.15">
      <c r="A1668" t="s">
        <v>22</v>
      </c>
      <c r="F1668"/>
      <c r="M1668"/>
    </row>
    <row r="1669" spans="1:13" x14ac:dyDescent="0.15">
      <c r="A1669" t="s">
        <v>22</v>
      </c>
      <c r="F1669"/>
      <c r="M1669"/>
    </row>
    <row r="1670" spans="1:13" x14ac:dyDescent="0.15">
      <c r="A1670" t="s">
        <v>22</v>
      </c>
      <c r="F1670"/>
      <c r="M1670"/>
    </row>
    <row r="1671" spans="1:13" x14ac:dyDescent="0.15">
      <c r="A1671" t="s">
        <v>22</v>
      </c>
      <c r="F1671"/>
      <c r="M1671"/>
    </row>
    <row r="1672" spans="1:13" x14ac:dyDescent="0.15">
      <c r="A1672" t="s">
        <v>22</v>
      </c>
      <c r="F1672"/>
      <c r="M1672"/>
    </row>
    <row r="1673" spans="1:13" x14ac:dyDescent="0.15">
      <c r="A1673" t="s">
        <v>22</v>
      </c>
      <c r="F1673"/>
      <c r="M1673"/>
    </row>
    <row r="1674" spans="1:13" x14ac:dyDescent="0.15">
      <c r="A1674" t="s">
        <v>22</v>
      </c>
      <c r="F1674"/>
      <c r="M1674"/>
    </row>
    <row r="1675" spans="1:13" x14ac:dyDescent="0.15">
      <c r="A1675" t="s">
        <v>22</v>
      </c>
      <c r="F1675"/>
      <c r="M1675"/>
    </row>
    <row r="1676" spans="1:13" x14ac:dyDescent="0.15">
      <c r="A1676" t="s">
        <v>22</v>
      </c>
      <c r="F1676"/>
      <c r="M1676"/>
    </row>
    <row r="1677" spans="1:13" x14ac:dyDescent="0.15">
      <c r="A1677" t="s">
        <v>22</v>
      </c>
      <c r="F1677"/>
      <c r="M1677"/>
    </row>
    <row r="1678" spans="1:13" x14ac:dyDescent="0.15">
      <c r="A1678" t="s">
        <v>22</v>
      </c>
      <c r="F1678"/>
      <c r="M1678"/>
    </row>
    <row r="1679" spans="1:13" x14ac:dyDescent="0.15">
      <c r="A1679" t="s">
        <v>22</v>
      </c>
      <c r="F1679"/>
      <c r="M1679"/>
    </row>
    <row r="1680" spans="1:13" x14ac:dyDescent="0.15">
      <c r="A1680" t="s">
        <v>22</v>
      </c>
      <c r="F1680"/>
      <c r="M1680"/>
    </row>
    <row r="1681" spans="1:13" x14ac:dyDescent="0.15">
      <c r="A1681" t="s">
        <v>22</v>
      </c>
      <c r="F1681"/>
      <c r="M1681"/>
    </row>
    <row r="1682" spans="1:13" x14ac:dyDescent="0.15">
      <c r="A1682" t="s">
        <v>22</v>
      </c>
      <c r="F1682"/>
      <c r="M1682"/>
    </row>
    <row r="1683" spans="1:13" x14ac:dyDescent="0.15">
      <c r="A1683" t="s">
        <v>22</v>
      </c>
      <c r="F1683"/>
      <c r="M1683"/>
    </row>
    <row r="1684" spans="1:13" x14ac:dyDescent="0.15">
      <c r="A1684" t="s">
        <v>22</v>
      </c>
      <c r="F1684"/>
      <c r="M1684"/>
    </row>
    <row r="1685" spans="1:13" x14ac:dyDescent="0.15">
      <c r="A1685" t="s">
        <v>22</v>
      </c>
      <c r="F1685"/>
      <c r="M1685"/>
    </row>
    <row r="1686" spans="1:13" x14ac:dyDescent="0.15">
      <c r="A1686" t="s">
        <v>22</v>
      </c>
      <c r="F1686"/>
      <c r="M1686"/>
    </row>
    <row r="1687" spans="1:13" x14ac:dyDescent="0.15">
      <c r="A1687" t="s">
        <v>22</v>
      </c>
      <c r="F1687"/>
      <c r="M1687"/>
    </row>
    <row r="1688" spans="1:13" x14ac:dyDescent="0.15">
      <c r="A1688" t="s">
        <v>22</v>
      </c>
      <c r="F1688"/>
      <c r="M1688"/>
    </row>
    <row r="1689" spans="1:13" x14ac:dyDescent="0.15">
      <c r="A1689" t="s">
        <v>22</v>
      </c>
      <c r="F1689"/>
      <c r="M1689"/>
    </row>
    <row r="1690" spans="1:13" x14ac:dyDescent="0.15">
      <c r="A1690" t="s">
        <v>22</v>
      </c>
      <c r="F1690"/>
      <c r="M1690"/>
    </row>
    <row r="1691" spans="1:13" x14ac:dyDescent="0.15">
      <c r="A1691" t="s">
        <v>22</v>
      </c>
      <c r="F1691"/>
      <c r="M1691"/>
    </row>
    <row r="1692" spans="1:13" x14ac:dyDescent="0.15">
      <c r="A1692" t="s">
        <v>22</v>
      </c>
      <c r="F1692"/>
      <c r="M1692"/>
    </row>
    <row r="1693" spans="1:13" x14ac:dyDescent="0.15">
      <c r="A1693" t="s">
        <v>22</v>
      </c>
      <c r="F1693"/>
      <c r="M1693"/>
    </row>
    <row r="1694" spans="1:13" x14ac:dyDescent="0.15">
      <c r="A1694" t="s">
        <v>22</v>
      </c>
      <c r="F1694"/>
      <c r="M1694"/>
    </row>
    <row r="1695" spans="1:13" x14ac:dyDescent="0.15">
      <c r="A1695" t="s">
        <v>22</v>
      </c>
      <c r="F1695"/>
      <c r="M1695"/>
    </row>
    <row r="1696" spans="1:13" x14ac:dyDescent="0.15">
      <c r="A1696" t="s">
        <v>22</v>
      </c>
      <c r="F1696"/>
      <c r="M1696"/>
    </row>
    <row r="1697" spans="1:13" x14ac:dyDescent="0.15">
      <c r="A1697" t="s">
        <v>22</v>
      </c>
      <c r="F1697"/>
      <c r="M1697"/>
    </row>
    <row r="1698" spans="1:13" x14ac:dyDescent="0.15">
      <c r="A1698" t="s">
        <v>22</v>
      </c>
      <c r="F1698"/>
      <c r="M1698"/>
    </row>
    <row r="1699" spans="1:13" x14ac:dyDescent="0.15">
      <c r="A1699" t="s">
        <v>22</v>
      </c>
      <c r="F1699"/>
      <c r="M1699"/>
    </row>
    <row r="1700" spans="1:13" x14ac:dyDescent="0.15">
      <c r="A1700" t="s">
        <v>22</v>
      </c>
      <c r="F1700"/>
      <c r="M1700"/>
    </row>
    <row r="1701" spans="1:13" x14ac:dyDescent="0.15">
      <c r="A1701" t="s">
        <v>22</v>
      </c>
      <c r="F1701"/>
      <c r="M1701"/>
    </row>
    <row r="1702" spans="1:13" x14ac:dyDescent="0.15">
      <c r="A1702" t="s">
        <v>22</v>
      </c>
      <c r="F1702"/>
      <c r="M1702"/>
    </row>
    <row r="1703" spans="1:13" x14ac:dyDescent="0.15">
      <c r="A1703" t="s">
        <v>22</v>
      </c>
      <c r="F1703"/>
      <c r="M1703"/>
    </row>
    <row r="1704" spans="1:13" x14ac:dyDescent="0.15">
      <c r="A1704" t="s">
        <v>22</v>
      </c>
      <c r="F1704"/>
      <c r="M1704"/>
    </row>
    <row r="1705" spans="1:13" x14ac:dyDescent="0.15">
      <c r="A1705" t="s">
        <v>22</v>
      </c>
      <c r="F1705"/>
      <c r="M1705"/>
    </row>
    <row r="1706" spans="1:13" x14ac:dyDescent="0.15">
      <c r="A1706" t="s">
        <v>22</v>
      </c>
      <c r="F1706"/>
      <c r="M1706"/>
    </row>
    <row r="1707" spans="1:13" x14ac:dyDescent="0.15">
      <c r="A1707" t="s">
        <v>22</v>
      </c>
      <c r="F1707"/>
      <c r="M1707"/>
    </row>
    <row r="1708" spans="1:13" x14ac:dyDescent="0.15">
      <c r="A1708" t="s">
        <v>22</v>
      </c>
      <c r="F1708"/>
      <c r="M1708"/>
    </row>
    <row r="1709" spans="1:13" x14ac:dyDescent="0.15">
      <c r="A1709" t="s">
        <v>22</v>
      </c>
      <c r="F1709"/>
      <c r="M1709"/>
    </row>
    <row r="1710" spans="1:13" x14ac:dyDescent="0.15">
      <c r="A1710" t="s">
        <v>22</v>
      </c>
      <c r="F1710"/>
      <c r="M1710"/>
    </row>
    <row r="1711" spans="1:13" x14ac:dyDescent="0.15">
      <c r="A1711" t="s">
        <v>22</v>
      </c>
      <c r="F1711"/>
      <c r="M1711"/>
    </row>
    <row r="1712" spans="1:13" x14ac:dyDescent="0.15">
      <c r="A1712" t="s">
        <v>22</v>
      </c>
      <c r="F1712"/>
      <c r="M1712"/>
    </row>
    <row r="1713" spans="1:13" x14ac:dyDescent="0.15">
      <c r="A1713" t="s">
        <v>23</v>
      </c>
      <c r="F1713"/>
      <c r="M1713"/>
    </row>
    <row r="1714" spans="1:13" x14ac:dyDescent="0.15">
      <c r="A1714" t="s">
        <v>23</v>
      </c>
      <c r="F1714"/>
      <c r="M1714"/>
    </row>
    <row r="1715" spans="1:13" x14ac:dyDescent="0.15">
      <c r="A1715" t="s">
        <v>23</v>
      </c>
      <c r="F1715"/>
      <c r="M1715"/>
    </row>
    <row r="1716" spans="1:13" x14ac:dyDescent="0.15">
      <c r="A1716" t="s">
        <v>23</v>
      </c>
      <c r="F1716"/>
      <c r="M1716"/>
    </row>
    <row r="1717" spans="1:13" x14ac:dyDescent="0.15">
      <c r="A1717" t="s">
        <v>23</v>
      </c>
      <c r="F1717"/>
      <c r="M1717"/>
    </row>
    <row r="1718" spans="1:13" x14ac:dyDescent="0.15">
      <c r="A1718" t="s">
        <v>23</v>
      </c>
      <c r="F1718"/>
      <c r="M1718"/>
    </row>
    <row r="1719" spans="1:13" x14ac:dyDescent="0.15">
      <c r="A1719" t="s">
        <v>23</v>
      </c>
      <c r="F1719"/>
      <c r="M1719"/>
    </row>
    <row r="1720" spans="1:13" x14ac:dyDescent="0.15">
      <c r="A1720" t="s">
        <v>23</v>
      </c>
      <c r="F1720"/>
      <c r="M1720"/>
    </row>
    <row r="1721" spans="1:13" x14ac:dyDescent="0.15">
      <c r="A1721" t="s">
        <v>23</v>
      </c>
      <c r="F1721"/>
      <c r="M1721"/>
    </row>
    <row r="1722" spans="1:13" x14ac:dyDescent="0.15">
      <c r="A1722" t="s">
        <v>23</v>
      </c>
      <c r="F1722"/>
      <c r="M1722"/>
    </row>
    <row r="1723" spans="1:13" x14ac:dyDescent="0.15">
      <c r="A1723" t="s">
        <v>23</v>
      </c>
      <c r="F1723"/>
      <c r="M1723"/>
    </row>
    <row r="1724" spans="1:13" x14ac:dyDescent="0.15">
      <c r="A1724" t="s">
        <v>23</v>
      </c>
      <c r="F1724"/>
      <c r="M1724"/>
    </row>
    <row r="1725" spans="1:13" x14ac:dyDescent="0.15">
      <c r="A1725" t="s">
        <v>23</v>
      </c>
      <c r="F1725"/>
      <c r="M1725"/>
    </row>
    <row r="1726" spans="1:13" x14ac:dyDescent="0.15">
      <c r="A1726" t="s">
        <v>23</v>
      </c>
      <c r="F1726"/>
      <c r="M1726"/>
    </row>
    <row r="1727" spans="1:13" x14ac:dyDescent="0.15">
      <c r="A1727" t="s">
        <v>23</v>
      </c>
      <c r="F1727"/>
      <c r="M1727"/>
    </row>
    <row r="1728" spans="1:13" x14ac:dyDescent="0.15">
      <c r="A1728" t="s">
        <v>23</v>
      </c>
      <c r="F1728"/>
      <c r="M1728"/>
    </row>
    <row r="1729" spans="1:13" x14ac:dyDescent="0.15">
      <c r="A1729" t="s">
        <v>23</v>
      </c>
      <c r="F1729"/>
      <c r="M1729"/>
    </row>
    <row r="1730" spans="1:13" x14ac:dyDescent="0.15">
      <c r="A1730" t="s">
        <v>23</v>
      </c>
      <c r="F1730"/>
      <c r="M1730"/>
    </row>
    <row r="1731" spans="1:13" x14ac:dyDescent="0.15">
      <c r="A1731" t="s">
        <v>23</v>
      </c>
      <c r="F1731"/>
      <c r="M1731"/>
    </row>
    <row r="1732" spans="1:13" x14ac:dyDescent="0.15">
      <c r="A1732" t="s">
        <v>23</v>
      </c>
      <c r="F1732"/>
      <c r="M1732"/>
    </row>
    <row r="1733" spans="1:13" x14ac:dyDescent="0.15">
      <c r="A1733" t="s">
        <v>23</v>
      </c>
      <c r="F1733"/>
      <c r="M1733"/>
    </row>
    <row r="1734" spans="1:13" x14ac:dyDescent="0.15">
      <c r="A1734" t="s">
        <v>23</v>
      </c>
      <c r="F1734"/>
      <c r="M1734"/>
    </row>
    <row r="1735" spans="1:13" x14ac:dyDescent="0.15">
      <c r="A1735" t="s">
        <v>23</v>
      </c>
      <c r="F1735"/>
      <c r="M1735"/>
    </row>
    <row r="1736" spans="1:13" x14ac:dyDescent="0.15">
      <c r="A1736" t="s">
        <v>23</v>
      </c>
      <c r="F1736"/>
      <c r="M1736"/>
    </row>
    <row r="1737" spans="1:13" x14ac:dyDescent="0.15">
      <c r="A1737" t="s">
        <v>23</v>
      </c>
      <c r="F1737"/>
      <c r="M1737"/>
    </row>
    <row r="1738" spans="1:13" x14ac:dyDescent="0.15">
      <c r="A1738" t="s">
        <v>23</v>
      </c>
      <c r="F1738"/>
      <c r="M1738"/>
    </row>
    <row r="1739" spans="1:13" x14ac:dyDescent="0.15">
      <c r="A1739" t="s">
        <v>23</v>
      </c>
      <c r="F1739"/>
      <c r="M1739"/>
    </row>
    <row r="1740" spans="1:13" x14ac:dyDescent="0.15">
      <c r="A1740" t="s">
        <v>23</v>
      </c>
      <c r="F1740"/>
      <c r="M1740"/>
    </row>
    <row r="1741" spans="1:13" x14ac:dyDescent="0.15">
      <c r="A1741" t="s">
        <v>23</v>
      </c>
      <c r="F1741"/>
      <c r="M1741"/>
    </row>
    <row r="1742" spans="1:13" x14ac:dyDescent="0.15">
      <c r="A1742" t="s">
        <v>23</v>
      </c>
      <c r="F1742"/>
      <c r="M1742"/>
    </row>
    <row r="1743" spans="1:13" x14ac:dyDescent="0.15">
      <c r="A1743" t="s">
        <v>23</v>
      </c>
      <c r="F1743"/>
      <c r="M1743"/>
    </row>
    <row r="1744" spans="1:13" x14ac:dyDescent="0.15">
      <c r="A1744" t="s">
        <v>23</v>
      </c>
      <c r="F1744"/>
      <c r="M1744"/>
    </row>
    <row r="1745" spans="1:13" x14ac:dyDescent="0.15">
      <c r="A1745" t="s">
        <v>23</v>
      </c>
      <c r="F1745"/>
      <c r="M1745"/>
    </row>
    <row r="1746" spans="1:13" x14ac:dyDescent="0.15">
      <c r="A1746" t="s">
        <v>23</v>
      </c>
      <c r="F1746"/>
      <c r="M1746"/>
    </row>
    <row r="1747" spans="1:13" x14ac:dyDescent="0.15">
      <c r="A1747" t="s">
        <v>23</v>
      </c>
      <c r="F1747"/>
      <c r="M1747"/>
    </row>
    <row r="1748" spans="1:13" x14ac:dyDescent="0.15">
      <c r="A1748" t="s">
        <v>23</v>
      </c>
      <c r="F1748"/>
      <c r="M1748"/>
    </row>
    <row r="1749" spans="1:13" x14ac:dyDescent="0.15">
      <c r="A1749" t="s">
        <v>23</v>
      </c>
      <c r="F1749"/>
      <c r="M1749"/>
    </row>
    <row r="1750" spans="1:13" x14ac:dyDescent="0.15">
      <c r="A1750" t="s">
        <v>23</v>
      </c>
      <c r="F1750"/>
      <c r="M1750"/>
    </row>
    <row r="1751" spans="1:13" x14ac:dyDescent="0.15">
      <c r="A1751" t="s">
        <v>23</v>
      </c>
      <c r="F1751"/>
      <c r="M1751"/>
    </row>
    <row r="1752" spans="1:13" x14ac:dyDescent="0.15">
      <c r="A1752" t="s">
        <v>23</v>
      </c>
      <c r="F1752"/>
      <c r="M1752"/>
    </row>
    <row r="1753" spans="1:13" x14ac:dyDescent="0.15">
      <c r="A1753" t="s">
        <v>23</v>
      </c>
      <c r="F1753"/>
      <c r="M1753"/>
    </row>
    <row r="1754" spans="1:13" x14ac:dyDescent="0.15">
      <c r="A1754" t="s">
        <v>23</v>
      </c>
      <c r="F1754"/>
      <c r="M1754"/>
    </row>
    <row r="1755" spans="1:13" x14ac:dyDescent="0.15">
      <c r="A1755" t="s">
        <v>23</v>
      </c>
      <c r="F1755"/>
      <c r="M1755"/>
    </row>
    <row r="1756" spans="1:13" x14ac:dyDescent="0.15">
      <c r="A1756" t="s">
        <v>23</v>
      </c>
      <c r="F1756"/>
      <c r="M1756"/>
    </row>
    <row r="1757" spans="1:13" x14ac:dyDescent="0.15">
      <c r="A1757" t="s">
        <v>23</v>
      </c>
      <c r="F1757"/>
      <c r="M1757"/>
    </row>
    <row r="1758" spans="1:13" x14ac:dyDescent="0.15">
      <c r="A1758" t="s">
        <v>23</v>
      </c>
      <c r="F1758"/>
      <c r="M1758"/>
    </row>
    <row r="1759" spans="1:13" x14ac:dyDescent="0.15">
      <c r="A1759" t="s">
        <v>23</v>
      </c>
      <c r="F1759"/>
      <c r="M1759"/>
    </row>
    <row r="1760" spans="1:13" x14ac:dyDescent="0.15">
      <c r="A1760" t="s">
        <v>23</v>
      </c>
      <c r="F1760"/>
      <c r="M1760"/>
    </row>
    <row r="1761" spans="1:13" x14ac:dyDescent="0.15">
      <c r="A1761" t="s">
        <v>23</v>
      </c>
      <c r="F1761"/>
      <c r="M1761"/>
    </row>
    <row r="1762" spans="1:13" x14ac:dyDescent="0.15">
      <c r="A1762" t="s">
        <v>23</v>
      </c>
      <c r="F1762"/>
      <c r="M1762"/>
    </row>
    <row r="1763" spans="1:13" x14ac:dyDescent="0.15">
      <c r="A1763" t="s">
        <v>23</v>
      </c>
      <c r="F1763"/>
      <c r="M1763"/>
    </row>
    <row r="1764" spans="1:13" x14ac:dyDescent="0.15">
      <c r="A1764" t="s">
        <v>23</v>
      </c>
      <c r="F1764"/>
      <c r="M1764"/>
    </row>
    <row r="1765" spans="1:13" x14ac:dyDescent="0.15">
      <c r="A1765" t="s">
        <v>23</v>
      </c>
      <c r="F1765"/>
      <c r="M1765"/>
    </row>
    <row r="1766" spans="1:13" x14ac:dyDescent="0.15">
      <c r="A1766" t="s">
        <v>23</v>
      </c>
      <c r="F1766"/>
      <c r="M1766"/>
    </row>
    <row r="1767" spans="1:13" x14ac:dyDescent="0.15">
      <c r="A1767" t="s">
        <v>23</v>
      </c>
      <c r="F1767"/>
      <c r="M1767"/>
    </row>
    <row r="1768" spans="1:13" x14ac:dyDescent="0.15">
      <c r="A1768" t="s">
        <v>23</v>
      </c>
      <c r="F1768"/>
      <c r="M1768"/>
    </row>
    <row r="1769" spans="1:13" x14ac:dyDescent="0.15">
      <c r="A1769" t="s">
        <v>23</v>
      </c>
      <c r="F1769"/>
      <c r="M1769"/>
    </row>
    <row r="1770" spans="1:13" x14ac:dyDescent="0.15">
      <c r="A1770" t="s">
        <v>23</v>
      </c>
      <c r="F1770"/>
      <c r="M1770"/>
    </row>
    <row r="1771" spans="1:13" x14ac:dyDescent="0.15">
      <c r="A1771" t="s">
        <v>23</v>
      </c>
      <c r="F1771"/>
      <c r="M1771"/>
    </row>
    <row r="1772" spans="1:13" x14ac:dyDescent="0.15">
      <c r="A1772" t="s">
        <v>23</v>
      </c>
      <c r="F1772"/>
      <c r="M1772"/>
    </row>
    <row r="1773" spans="1:13" x14ac:dyDescent="0.15">
      <c r="A1773" t="s">
        <v>23</v>
      </c>
      <c r="F1773"/>
      <c r="M1773"/>
    </row>
    <row r="1774" spans="1:13" x14ac:dyDescent="0.15">
      <c r="A1774" t="s">
        <v>23</v>
      </c>
      <c r="F1774"/>
      <c r="M1774"/>
    </row>
    <row r="1775" spans="1:13" x14ac:dyDescent="0.15">
      <c r="A1775" t="s">
        <v>23</v>
      </c>
      <c r="F1775"/>
      <c r="M1775"/>
    </row>
    <row r="1776" spans="1:13" x14ac:dyDescent="0.15">
      <c r="A1776" t="s">
        <v>23</v>
      </c>
      <c r="F1776"/>
      <c r="M1776"/>
    </row>
    <row r="1777" spans="1:13" x14ac:dyDescent="0.15">
      <c r="A1777" t="s">
        <v>23</v>
      </c>
      <c r="F1777"/>
      <c r="M1777"/>
    </row>
    <row r="1778" spans="1:13" x14ac:dyDescent="0.15">
      <c r="A1778" t="s">
        <v>23</v>
      </c>
      <c r="F1778"/>
      <c r="M1778"/>
    </row>
    <row r="1779" spans="1:13" x14ac:dyDescent="0.15">
      <c r="A1779" t="s">
        <v>23</v>
      </c>
      <c r="F1779"/>
      <c r="M1779"/>
    </row>
    <row r="1780" spans="1:13" x14ac:dyDescent="0.15">
      <c r="A1780" t="s">
        <v>23</v>
      </c>
      <c r="F1780"/>
      <c r="M1780"/>
    </row>
    <row r="1781" spans="1:13" x14ac:dyDescent="0.15">
      <c r="A1781" t="s">
        <v>23</v>
      </c>
      <c r="F1781"/>
      <c r="M1781"/>
    </row>
    <row r="1782" spans="1:13" x14ac:dyDescent="0.15">
      <c r="A1782" t="s">
        <v>23</v>
      </c>
      <c r="F1782"/>
      <c r="M1782"/>
    </row>
    <row r="1783" spans="1:13" x14ac:dyDescent="0.15">
      <c r="A1783" t="s">
        <v>23</v>
      </c>
      <c r="F1783"/>
      <c r="M1783"/>
    </row>
    <row r="1784" spans="1:13" x14ac:dyDescent="0.15">
      <c r="A1784" t="s">
        <v>23</v>
      </c>
      <c r="F1784"/>
      <c r="M1784"/>
    </row>
    <row r="1785" spans="1:13" x14ac:dyDescent="0.15">
      <c r="A1785" t="s">
        <v>23</v>
      </c>
      <c r="F1785"/>
      <c r="M1785"/>
    </row>
    <row r="1786" spans="1:13" x14ac:dyDescent="0.15">
      <c r="A1786" t="s">
        <v>23</v>
      </c>
      <c r="F1786"/>
      <c r="M1786"/>
    </row>
    <row r="1787" spans="1:13" x14ac:dyDescent="0.15">
      <c r="A1787" t="s">
        <v>23</v>
      </c>
      <c r="F1787"/>
      <c r="M1787"/>
    </row>
    <row r="1788" spans="1:13" x14ac:dyDescent="0.15">
      <c r="A1788" t="s">
        <v>23</v>
      </c>
      <c r="F1788"/>
      <c r="M1788"/>
    </row>
    <row r="1789" spans="1:13" x14ac:dyDescent="0.15">
      <c r="A1789" t="s">
        <v>23</v>
      </c>
      <c r="F1789"/>
      <c r="M1789"/>
    </row>
    <row r="1790" spans="1:13" x14ac:dyDescent="0.15">
      <c r="A1790" t="s">
        <v>23</v>
      </c>
      <c r="F1790"/>
      <c r="M1790"/>
    </row>
    <row r="1791" spans="1:13" x14ac:dyDescent="0.15">
      <c r="A1791" t="s">
        <v>23</v>
      </c>
      <c r="F1791"/>
      <c r="M1791"/>
    </row>
    <row r="1792" spans="1:13" x14ac:dyDescent="0.15">
      <c r="A1792" t="s">
        <v>23</v>
      </c>
      <c r="F1792"/>
      <c r="M1792"/>
    </row>
    <row r="1793" spans="1:13" x14ac:dyDescent="0.15">
      <c r="A1793" t="s">
        <v>23</v>
      </c>
      <c r="F1793"/>
      <c r="M1793"/>
    </row>
    <row r="1794" spans="1:13" x14ac:dyDescent="0.15">
      <c r="A1794" t="s">
        <v>23</v>
      </c>
      <c r="F1794"/>
      <c r="M1794"/>
    </row>
    <row r="1795" spans="1:13" x14ac:dyDescent="0.15">
      <c r="A1795" t="s">
        <v>23</v>
      </c>
      <c r="F1795"/>
      <c r="M1795"/>
    </row>
    <row r="1796" spans="1:13" x14ac:dyDescent="0.15">
      <c r="A1796" t="s">
        <v>23</v>
      </c>
      <c r="F1796"/>
      <c r="M1796"/>
    </row>
    <row r="1797" spans="1:13" x14ac:dyDescent="0.15">
      <c r="A1797" t="s">
        <v>23</v>
      </c>
      <c r="F1797"/>
      <c r="M1797"/>
    </row>
    <row r="1798" spans="1:13" x14ac:dyDescent="0.15">
      <c r="A1798" t="s">
        <v>23</v>
      </c>
      <c r="F1798"/>
      <c r="M1798"/>
    </row>
    <row r="1799" spans="1:13" x14ac:dyDescent="0.15">
      <c r="A1799" t="s">
        <v>23</v>
      </c>
      <c r="F1799"/>
      <c r="M1799"/>
    </row>
    <row r="1800" spans="1:13" x14ac:dyDescent="0.15">
      <c r="A1800" t="s">
        <v>23</v>
      </c>
      <c r="F1800"/>
      <c r="M1800"/>
    </row>
    <row r="1801" spans="1:13" x14ac:dyDescent="0.15">
      <c r="A1801" t="s">
        <v>23</v>
      </c>
      <c r="F1801"/>
      <c r="M1801"/>
    </row>
    <row r="1802" spans="1:13" x14ac:dyDescent="0.15">
      <c r="A1802" t="s">
        <v>23</v>
      </c>
      <c r="F1802"/>
      <c r="M1802"/>
    </row>
    <row r="1803" spans="1:13" x14ac:dyDescent="0.15">
      <c r="A1803" t="s">
        <v>23</v>
      </c>
      <c r="F1803"/>
      <c r="M1803"/>
    </row>
    <row r="1804" spans="1:13" x14ac:dyDescent="0.15">
      <c r="A1804" t="s">
        <v>23</v>
      </c>
      <c r="F1804"/>
      <c r="M1804"/>
    </row>
    <row r="1805" spans="1:13" x14ac:dyDescent="0.15">
      <c r="A1805" t="s">
        <v>23</v>
      </c>
      <c r="F1805"/>
      <c r="M1805"/>
    </row>
    <row r="1806" spans="1:13" x14ac:dyDescent="0.15">
      <c r="A1806" t="s">
        <v>23</v>
      </c>
      <c r="F1806"/>
      <c r="M1806"/>
    </row>
    <row r="1807" spans="1:13" x14ac:dyDescent="0.15">
      <c r="A1807" t="s">
        <v>23</v>
      </c>
      <c r="F1807"/>
      <c r="M1807"/>
    </row>
    <row r="1808" spans="1:13" x14ac:dyDescent="0.15">
      <c r="A1808" t="s">
        <v>23</v>
      </c>
      <c r="F1808"/>
      <c r="M1808"/>
    </row>
    <row r="1809" spans="1:13" x14ac:dyDescent="0.15">
      <c r="A1809" t="s">
        <v>23</v>
      </c>
      <c r="F1809"/>
      <c r="M1809"/>
    </row>
    <row r="1810" spans="1:13" x14ac:dyDescent="0.15">
      <c r="A1810" t="s">
        <v>23</v>
      </c>
      <c r="F1810"/>
      <c r="M1810"/>
    </row>
    <row r="1811" spans="1:13" x14ac:dyDescent="0.15">
      <c r="A1811" t="s">
        <v>23</v>
      </c>
      <c r="F1811"/>
      <c r="M1811"/>
    </row>
    <row r="1812" spans="1:13" x14ac:dyDescent="0.15">
      <c r="A1812" t="s">
        <v>23</v>
      </c>
      <c r="F1812"/>
      <c r="M1812"/>
    </row>
    <row r="1813" spans="1:13" x14ac:dyDescent="0.15">
      <c r="A1813" t="s">
        <v>23</v>
      </c>
      <c r="F1813"/>
      <c r="M1813"/>
    </row>
    <row r="1814" spans="1:13" x14ac:dyDescent="0.15">
      <c r="A1814" t="s">
        <v>23</v>
      </c>
      <c r="F1814"/>
      <c r="M1814"/>
    </row>
    <row r="1815" spans="1:13" x14ac:dyDescent="0.15">
      <c r="A1815" t="s">
        <v>23</v>
      </c>
      <c r="F1815"/>
      <c r="M1815"/>
    </row>
    <row r="1816" spans="1:13" x14ac:dyDescent="0.15">
      <c r="A1816" t="s">
        <v>23</v>
      </c>
      <c r="F1816"/>
      <c r="M1816"/>
    </row>
    <row r="1817" spans="1:13" x14ac:dyDescent="0.15">
      <c r="A1817" t="s">
        <v>23</v>
      </c>
      <c r="F1817"/>
      <c r="M1817"/>
    </row>
    <row r="1818" spans="1:13" x14ac:dyDescent="0.15">
      <c r="A1818" t="s">
        <v>23</v>
      </c>
      <c r="F1818"/>
      <c r="M1818"/>
    </row>
    <row r="1819" spans="1:13" x14ac:dyDescent="0.15">
      <c r="A1819" t="s">
        <v>23</v>
      </c>
      <c r="F1819"/>
      <c r="M1819"/>
    </row>
    <row r="1820" spans="1:13" x14ac:dyDescent="0.15">
      <c r="A1820" t="s">
        <v>23</v>
      </c>
      <c r="F1820"/>
      <c r="M1820"/>
    </row>
    <row r="1821" spans="1:13" x14ac:dyDescent="0.15">
      <c r="A1821" t="s">
        <v>23</v>
      </c>
      <c r="F1821"/>
      <c r="M1821"/>
    </row>
    <row r="1822" spans="1:13" x14ac:dyDescent="0.15">
      <c r="A1822" t="s">
        <v>23</v>
      </c>
      <c r="F1822"/>
      <c r="M1822"/>
    </row>
    <row r="1823" spans="1:13" x14ac:dyDescent="0.15">
      <c r="A1823" t="s">
        <v>23</v>
      </c>
      <c r="F1823"/>
      <c r="M1823"/>
    </row>
    <row r="1824" spans="1:13" x14ac:dyDescent="0.15">
      <c r="A1824" t="s">
        <v>23</v>
      </c>
      <c r="F1824"/>
      <c r="M1824"/>
    </row>
    <row r="1825" spans="1:13" x14ac:dyDescent="0.15">
      <c r="A1825" t="s">
        <v>23</v>
      </c>
      <c r="F1825"/>
      <c r="M1825"/>
    </row>
    <row r="1826" spans="1:13" x14ac:dyDescent="0.15">
      <c r="A1826" t="s">
        <v>23</v>
      </c>
      <c r="F1826"/>
      <c r="M1826"/>
    </row>
    <row r="1827" spans="1:13" x14ac:dyDescent="0.15">
      <c r="A1827" t="s">
        <v>23</v>
      </c>
      <c r="F1827"/>
      <c r="M1827"/>
    </row>
    <row r="1828" spans="1:13" x14ac:dyDescent="0.15">
      <c r="A1828" t="s">
        <v>23</v>
      </c>
      <c r="F1828"/>
      <c r="M1828"/>
    </row>
    <row r="1829" spans="1:13" x14ac:dyDescent="0.15">
      <c r="A1829" t="s">
        <v>23</v>
      </c>
      <c r="F1829"/>
      <c r="M1829"/>
    </row>
    <row r="1830" spans="1:13" x14ac:dyDescent="0.15">
      <c r="A1830" t="s">
        <v>23</v>
      </c>
      <c r="F1830"/>
      <c r="M1830"/>
    </row>
    <row r="1831" spans="1:13" x14ac:dyDescent="0.15">
      <c r="A1831" t="s">
        <v>23</v>
      </c>
      <c r="F1831"/>
      <c r="M1831"/>
    </row>
    <row r="1832" spans="1:13" x14ac:dyDescent="0.15">
      <c r="A1832" t="s">
        <v>23</v>
      </c>
      <c r="F1832"/>
      <c r="M1832"/>
    </row>
    <row r="1833" spans="1:13" x14ac:dyDescent="0.15">
      <c r="A1833" t="s">
        <v>23</v>
      </c>
      <c r="F1833"/>
      <c r="M1833"/>
    </row>
    <row r="1834" spans="1:13" x14ac:dyDescent="0.15">
      <c r="A1834" t="s">
        <v>23</v>
      </c>
      <c r="F1834"/>
      <c r="M1834"/>
    </row>
    <row r="1835" spans="1:13" x14ac:dyDescent="0.15">
      <c r="A1835" t="s">
        <v>23</v>
      </c>
      <c r="F1835"/>
      <c r="M1835"/>
    </row>
    <row r="1836" spans="1:13" x14ac:dyDescent="0.15">
      <c r="A1836" t="s">
        <v>23</v>
      </c>
      <c r="F1836"/>
      <c r="M1836"/>
    </row>
    <row r="1837" spans="1:13" x14ac:dyDescent="0.15">
      <c r="A1837" t="s">
        <v>23</v>
      </c>
      <c r="F1837"/>
      <c r="M1837"/>
    </row>
    <row r="1838" spans="1:13" x14ac:dyDescent="0.15">
      <c r="A1838" t="s">
        <v>23</v>
      </c>
      <c r="F1838"/>
      <c r="M1838"/>
    </row>
    <row r="1839" spans="1:13" x14ac:dyDescent="0.15">
      <c r="A1839" t="s">
        <v>23</v>
      </c>
      <c r="F1839"/>
      <c r="M1839"/>
    </row>
    <row r="1840" spans="1:13" x14ac:dyDescent="0.15">
      <c r="A1840" t="s">
        <v>23</v>
      </c>
      <c r="F1840"/>
      <c r="M1840"/>
    </row>
    <row r="1841" spans="1:13" x14ac:dyDescent="0.15">
      <c r="A1841" t="s">
        <v>23</v>
      </c>
      <c r="F1841"/>
      <c r="M1841"/>
    </row>
    <row r="1842" spans="1:13" x14ac:dyDescent="0.15">
      <c r="A1842" t="s">
        <v>23</v>
      </c>
      <c r="F1842"/>
      <c r="M1842"/>
    </row>
    <row r="1843" spans="1:13" x14ac:dyDescent="0.15">
      <c r="A1843" t="s">
        <v>23</v>
      </c>
      <c r="F1843"/>
      <c r="M1843"/>
    </row>
    <row r="1844" spans="1:13" x14ac:dyDescent="0.15">
      <c r="A1844" t="s">
        <v>23</v>
      </c>
      <c r="F1844"/>
      <c r="M1844"/>
    </row>
    <row r="1845" spans="1:13" x14ac:dyDescent="0.15">
      <c r="A1845" t="s">
        <v>23</v>
      </c>
      <c r="F1845"/>
      <c r="M1845"/>
    </row>
    <row r="1846" spans="1:13" x14ac:dyDescent="0.15">
      <c r="A1846" t="s">
        <v>23</v>
      </c>
      <c r="F1846"/>
      <c r="M1846"/>
    </row>
    <row r="1847" spans="1:13" x14ac:dyDescent="0.15">
      <c r="A1847" t="s">
        <v>23</v>
      </c>
      <c r="F1847"/>
      <c r="M1847"/>
    </row>
    <row r="1848" spans="1:13" x14ac:dyDescent="0.15">
      <c r="A1848" t="s">
        <v>23</v>
      </c>
      <c r="F1848"/>
      <c r="M1848"/>
    </row>
    <row r="1849" spans="1:13" x14ac:dyDescent="0.15">
      <c r="A1849" t="s">
        <v>23</v>
      </c>
      <c r="F1849"/>
      <c r="M1849"/>
    </row>
    <row r="1850" spans="1:13" x14ac:dyDescent="0.15">
      <c r="A1850" t="s">
        <v>23</v>
      </c>
      <c r="F1850"/>
      <c r="M1850"/>
    </row>
    <row r="1851" spans="1:13" x14ac:dyDescent="0.15">
      <c r="A1851" t="s">
        <v>23</v>
      </c>
      <c r="F1851"/>
      <c r="M1851"/>
    </row>
    <row r="1852" spans="1:13" x14ac:dyDescent="0.15">
      <c r="A1852" t="s">
        <v>23</v>
      </c>
      <c r="F1852"/>
      <c r="M1852"/>
    </row>
    <row r="1853" spans="1:13" x14ac:dyDescent="0.15">
      <c r="A1853" t="s">
        <v>23</v>
      </c>
      <c r="F1853"/>
      <c r="M1853"/>
    </row>
    <row r="1854" spans="1:13" x14ac:dyDescent="0.15">
      <c r="A1854" t="s">
        <v>23</v>
      </c>
      <c r="F1854"/>
      <c r="M1854"/>
    </row>
    <row r="1855" spans="1:13" x14ac:dyDescent="0.15">
      <c r="A1855" t="s">
        <v>23</v>
      </c>
      <c r="F1855"/>
      <c r="M1855"/>
    </row>
    <row r="1856" spans="1:13" x14ac:dyDescent="0.15">
      <c r="A1856" t="s">
        <v>23</v>
      </c>
      <c r="F1856"/>
      <c r="M1856"/>
    </row>
    <row r="1857" spans="1:13" x14ac:dyDescent="0.15">
      <c r="A1857" t="s">
        <v>23</v>
      </c>
      <c r="F1857"/>
      <c r="M1857"/>
    </row>
    <row r="1858" spans="1:13" x14ac:dyDescent="0.15">
      <c r="A1858" t="s">
        <v>23</v>
      </c>
      <c r="F1858"/>
      <c r="M1858"/>
    </row>
    <row r="1859" spans="1:13" x14ac:dyDescent="0.15">
      <c r="A1859" t="s">
        <v>23</v>
      </c>
      <c r="F1859"/>
      <c r="M1859"/>
    </row>
    <row r="1860" spans="1:13" x14ac:dyDescent="0.15">
      <c r="A1860" t="s">
        <v>23</v>
      </c>
      <c r="F1860"/>
      <c r="M1860"/>
    </row>
    <row r="1861" spans="1:13" x14ac:dyDescent="0.15">
      <c r="A1861" t="s">
        <v>23</v>
      </c>
      <c r="F1861"/>
      <c r="M1861"/>
    </row>
    <row r="1862" spans="1:13" x14ac:dyDescent="0.15">
      <c r="A1862" t="s">
        <v>23</v>
      </c>
      <c r="F1862"/>
      <c r="M1862"/>
    </row>
    <row r="1863" spans="1:13" x14ac:dyDescent="0.15">
      <c r="A1863" t="s">
        <v>23</v>
      </c>
      <c r="F1863"/>
      <c r="M1863"/>
    </row>
    <row r="1864" spans="1:13" x14ac:dyDescent="0.15">
      <c r="A1864" t="s">
        <v>23</v>
      </c>
      <c r="F1864"/>
      <c r="M1864"/>
    </row>
    <row r="1865" spans="1:13" x14ac:dyDescent="0.15">
      <c r="A1865" t="s">
        <v>23</v>
      </c>
      <c r="F1865"/>
      <c r="M1865"/>
    </row>
    <row r="1866" spans="1:13" x14ac:dyDescent="0.15">
      <c r="A1866" t="s">
        <v>23</v>
      </c>
      <c r="F1866"/>
      <c r="M1866"/>
    </row>
    <row r="1867" spans="1:13" x14ac:dyDescent="0.15">
      <c r="A1867" t="s">
        <v>23</v>
      </c>
      <c r="F1867"/>
      <c r="M1867"/>
    </row>
    <row r="1868" spans="1:13" x14ac:dyDescent="0.15">
      <c r="A1868" t="s">
        <v>23</v>
      </c>
      <c r="F1868"/>
      <c r="M1868"/>
    </row>
    <row r="1869" spans="1:13" x14ac:dyDescent="0.15">
      <c r="A1869" t="s">
        <v>23</v>
      </c>
      <c r="F1869"/>
      <c r="M1869"/>
    </row>
    <row r="1870" spans="1:13" x14ac:dyDescent="0.15">
      <c r="A1870" t="s">
        <v>23</v>
      </c>
      <c r="F1870"/>
      <c r="M1870"/>
    </row>
    <row r="1871" spans="1:13" x14ac:dyDescent="0.15">
      <c r="A1871" t="s">
        <v>23</v>
      </c>
      <c r="F1871"/>
      <c r="M1871"/>
    </row>
    <row r="1872" spans="1:13" x14ac:dyDescent="0.15">
      <c r="A1872" t="s">
        <v>23</v>
      </c>
      <c r="F1872"/>
      <c r="M1872"/>
    </row>
    <row r="1873" spans="1:13" x14ac:dyDescent="0.15">
      <c r="A1873" t="s">
        <v>23</v>
      </c>
      <c r="F1873"/>
      <c r="M1873"/>
    </row>
    <row r="1874" spans="1:13" x14ac:dyDescent="0.15">
      <c r="A1874" t="s">
        <v>23</v>
      </c>
      <c r="F1874"/>
      <c r="M1874"/>
    </row>
    <row r="1875" spans="1:13" x14ac:dyDescent="0.15">
      <c r="A1875" t="s">
        <v>23</v>
      </c>
      <c r="F1875"/>
      <c r="M1875"/>
    </row>
    <row r="1876" spans="1:13" x14ac:dyDescent="0.15">
      <c r="A1876" t="s">
        <v>23</v>
      </c>
      <c r="F1876"/>
      <c r="M1876"/>
    </row>
    <row r="1877" spans="1:13" x14ac:dyDescent="0.15">
      <c r="A1877" t="s">
        <v>23</v>
      </c>
      <c r="F1877"/>
      <c r="M1877"/>
    </row>
    <row r="1878" spans="1:13" x14ac:dyDescent="0.15">
      <c r="A1878" t="s">
        <v>23</v>
      </c>
      <c r="F1878"/>
      <c r="M1878"/>
    </row>
    <row r="1879" spans="1:13" x14ac:dyDescent="0.15">
      <c r="A1879" t="s">
        <v>23</v>
      </c>
      <c r="F1879"/>
      <c r="M1879"/>
    </row>
    <row r="1880" spans="1:13" x14ac:dyDescent="0.15">
      <c r="A1880" t="s">
        <v>23</v>
      </c>
      <c r="F1880"/>
      <c r="M1880"/>
    </row>
    <row r="1881" spans="1:13" x14ac:dyDescent="0.15">
      <c r="A1881" t="s">
        <v>23</v>
      </c>
      <c r="F1881"/>
      <c r="M1881"/>
    </row>
    <row r="1882" spans="1:13" x14ac:dyDescent="0.15">
      <c r="A1882" t="s">
        <v>23</v>
      </c>
      <c r="F1882"/>
      <c r="M1882"/>
    </row>
    <row r="1883" spans="1:13" x14ac:dyDescent="0.15">
      <c r="A1883" t="s">
        <v>23</v>
      </c>
      <c r="F1883"/>
      <c r="M1883"/>
    </row>
    <row r="1884" spans="1:13" x14ac:dyDescent="0.15">
      <c r="A1884" t="s">
        <v>23</v>
      </c>
      <c r="F1884"/>
      <c r="M1884"/>
    </row>
    <row r="1885" spans="1:13" x14ac:dyDescent="0.15">
      <c r="A1885" t="s">
        <v>23</v>
      </c>
      <c r="F1885"/>
      <c r="M1885"/>
    </row>
    <row r="1886" spans="1:13" x14ac:dyDescent="0.15">
      <c r="A1886" t="s">
        <v>23</v>
      </c>
      <c r="F1886"/>
      <c r="M1886"/>
    </row>
    <row r="1887" spans="1:13" x14ac:dyDescent="0.15">
      <c r="A1887" t="s">
        <v>23</v>
      </c>
      <c r="F1887"/>
      <c r="M1887"/>
    </row>
    <row r="1888" spans="1:13" x14ac:dyDescent="0.15">
      <c r="A1888" t="s">
        <v>23</v>
      </c>
      <c r="F1888"/>
      <c r="M1888"/>
    </row>
    <row r="1889" spans="1:13" x14ac:dyDescent="0.15">
      <c r="A1889" t="s">
        <v>23</v>
      </c>
      <c r="F1889"/>
      <c r="M1889"/>
    </row>
    <row r="1890" spans="1:13" x14ac:dyDescent="0.15">
      <c r="A1890" t="s">
        <v>23</v>
      </c>
      <c r="F1890"/>
      <c r="M1890"/>
    </row>
    <row r="1891" spans="1:13" x14ac:dyDescent="0.15">
      <c r="A1891" t="s">
        <v>23</v>
      </c>
      <c r="F1891"/>
      <c r="M1891"/>
    </row>
    <row r="1892" spans="1:13" x14ac:dyDescent="0.15">
      <c r="A1892" t="s">
        <v>23</v>
      </c>
      <c r="F1892"/>
      <c r="M1892"/>
    </row>
    <row r="1893" spans="1:13" x14ac:dyDescent="0.15">
      <c r="A1893" t="s">
        <v>23</v>
      </c>
      <c r="F1893"/>
      <c r="M1893"/>
    </row>
    <row r="1894" spans="1:13" x14ac:dyDescent="0.15">
      <c r="A1894" t="s">
        <v>23</v>
      </c>
      <c r="F1894"/>
      <c r="M1894"/>
    </row>
    <row r="1895" spans="1:13" x14ac:dyDescent="0.15">
      <c r="A1895" t="s">
        <v>23</v>
      </c>
      <c r="F1895"/>
      <c r="M1895"/>
    </row>
    <row r="1896" spans="1:13" x14ac:dyDescent="0.15">
      <c r="A1896" t="s">
        <v>23</v>
      </c>
      <c r="F1896"/>
      <c r="M1896"/>
    </row>
    <row r="1897" spans="1:13" x14ac:dyDescent="0.15">
      <c r="A1897" t="s">
        <v>23</v>
      </c>
      <c r="F1897"/>
      <c r="M1897"/>
    </row>
    <row r="1898" spans="1:13" x14ac:dyDescent="0.15">
      <c r="A1898" t="s">
        <v>23</v>
      </c>
      <c r="F1898"/>
      <c r="M1898"/>
    </row>
    <row r="1899" spans="1:13" x14ac:dyDescent="0.15">
      <c r="A1899" t="s">
        <v>23</v>
      </c>
      <c r="F1899"/>
      <c r="M1899"/>
    </row>
    <row r="1900" spans="1:13" x14ac:dyDescent="0.15">
      <c r="A1900" t="s">
        <v>23</v>
      </c>
      <c r="F1900"/>
      <c r="M1900"/>
    </row>
    <row r="1901" spans="1:13" x14ac:dyDescent="0.15">
      <c r="A1901" t="s">
        <v>23</v>
      </c>
      <c r="F1901"/>
      <c r="M1901"/>
    </row>
    <row r="1902" spans="1:13" x14ac:dyDescent="0.15">
      <c r="A1902" t="s">
        <v>23</v>
      </c>
      <c r="F1902"/>
      <c r="M1902"/>
    </row>
    <row r="1903" spans="1:13" x14ac:dyDescent="0.15">
      <c r="A1903" t="s">
        <v>23</v>
      </c>
      <c r="F1903"/>
      <c r="M1903"/>
    </row>
    <row r="1904" spans="1:13" x14ac:dyDescent="0.15">
      <c r="A1904" t="s">
        <v>23</v>
      </c>
      <c r="F1904"/>
      <c r="M1904"/>
    </row>
    <row r="1905" spans="1:13" x14ac:dyDescent="0.15">
      <c r="A1905" t="s">
        <v>23</v>
      </c>
      <c r="F1905"/>
      <c r="M1905"/>
    </row>
    <row r="1906" spans="1:13" x14ac:dyDescent="0.15">
      <c r="A1906" t="s">
        <v>23</v>
      </c>
      <c r="F1906"/>
      <c r="M1906"/>
    </row>
    <row r="1907" spans="1:13" x14ac:dyDescent="0.15">
      <c r="A1907" t="s">
        <v>23</v>
      </c>
      <c r="F1907"/>
      <c r="M1907"/>
    </row>
    <row r="1908" spans="1:13" x14ac:dyDescent="0.15">
      <c r="A1908" t="s">
        <v>23</v>
      </c>
      <c r="F1908"/>
      <c r="M1908"/>
    </row>
    <row r="1909" spans="1:13" x14ac:dyDescent="0.15">
      <c r="A1909" t="s">
        <v>23</v>
      </c>
      <c r="F1909"/>
      <c r="M1909"/>
    </row>
    <row r="1910" spans="1:13" x14ac:dyDescent="0.15">
      <c r="A1910" t="s">
        <v>23</v>
      </c>
      <c r="F1910"/>
      <c r="M1910"/>
    </row>
    <row r="1911" spans="1:13" x14ac:dyDescent="0.15">
      <c r="A1911" t="s">
        <v>23</v>
      </c>
      <c r="F1911"/>
      <c r="M1911"/>
    </row>
    <row r="1912" spans="1:13" x14ac:dyDescent="0.15">
      <c r="A1912" t="s">
        <v>23</v>
      </c>
      <c r="F1912"/>
      <c r="M1912"/>
    </row>
    <row r="1913" spans="1:13" x14ac:dyDescent="0.15">
      <c r="A1913" t="s">
        <v>23</v>
      </c>
      <c r="F1913"/>
      <c r="M1913"/>
    </row>
    <row r="1914" spans="1:13" x14ac:dyDescent="0.15">
      <c r="A1914" t="s">
        <v>23</v>
      </c>
      <c r="F1914"/>
      <c r="M1914"/>
    </row>
    <row r="1915" spans="1:13" x14ac:dyDescent="0.15">
      <c r="A1915" t="s">
        <v>23</v>
      </c>
      <c r="F1915"/>
      <c r="M1915"/>
    </row>
    <row r="1916" spans="1:13" x14ac:dyDescent="0.15">
      <c r="A1916" t="s">
        <v>23</v>
      </c>
      <c r="F1916"/>
      <c r="M1916"/>
    </row>
    <row r="1917" spans="1:13" x14ac:dyDescent="0.15">
      <c r="A1917" t="s">
        <v>23</v>
      </c>
      <c r="F1917"/>
      <c r="M1917"/>
    </row>
    <row r="1918" spans="1:13" x14ac:dyDescent="0.15">
      <c r="A1918" t="s">
        <v>23</v>
      </c>
      <c r="F1918"/>
      <c r="M1918"/>
    </row>
    <row r="1919" spans="1:13" x14ac:dyDescent="0.15">
      <c r="A1919" t="s">
        <v>23</v>
      </c>
      <c r="F1919"/>
      <c r="M1919"/>
    </row>
    <row r="1920" spans="1:13" x14ac:dyDescent="0.15">
      <c r="A1920" t="s">
        <v>23</v>
      </c>
      <c r="F1920"/>
      <c r="M1920"/>
    </row>
    <row r="1921" spans="1:13" x14ac:dyDescent="0.15">
      <c r="A1921" t="s">
        <v>23</v>
      </c>
      <c r="F1921"/>
      <c r="M1921"/>
    </row>
    <row r="1922" spans="1:13" x14ac:dyDescent="0.15">
      <c r="A1922" t="s">
        <v>23</v>
      </c>
      <c r="F1922"/>
      <c r="M1922"/>
    </row>
    <row r="1923" spans="1:13" x14ac:dyDescent="0.15">
      <c r="A1923" t="s">
        <v>23</v>
      </c>
      <c r="F1923"/>
      <c r="M1923"/>
    </row>
    <row r="1924" spans="1:13" x14ac:dyDescent="0.15">
      <c r="A1924" t="s">
        <v>23</v>
      </c>
      <c r="F1924"/>
      <c r="M1924"/>
    </row>
    <row r="1925" spans="1:13" x14ac:dyDescent="0.15">
      <c r="A1925" t="s">
        <v>23</v>
      </c>
      <c r="F1925"/>
      <c r="M1925"/>
    </row>
    <row r="1926" spans="1:13" x14ac:dyDescent="0.15">
      <c r="A1926" t="s">
        <v>23</v>
      </c>
      <c r="F1926"/>
      <c r="M1926"/>
    </row>
    <row r="1927" spans="1:13" x14ac:dyDescent="0.15">
      <c r="A1927" t="s">
        <v>23</v>
      </c>
      <c r="F1927"/>
      <c r="M1927"/>
    </row>
    <row r="1928" spans="1:13" x14ac:dyDescent="0.15">
      <c r="A1928" t="s">
        <v>23</v>
      </c>
      <c r="F1928"/>
      <c r="M1928"/>
    </row>
    <row r="1929" spans="1:13" x14ac:dyDescent="0.15">
      <c r="A1929" t="s">
        <v>23</v>
      </c>
      <c r="F1929"/>
      <c r="M1929"/>
    </row>
    <row r="1930" spans="1:13" x14ac:dyDescent="0.15">
      <c r="A1930" t="s">
        <v>23</v>
      </c>
      <c r="F1930"/>
      <c r="M1930"/>
    </row>
    <row r="1931" spans="1:13" x14ac:dyDescent="0.15">
      <c r="A1931" t="s">
        <v>23</v>
      </c>
      <c r="F1931"/>
      <c r="M1931"/>
    </row>
    <row r="1932" spans="1:13" x14ac:dyDescent="0.15">
      <c r="A1932" t="s">
        <v>23</v>
      </c>
      <c r="F1932"/>
      <c r="M1932"/>
    </row>
    <row r="1933" spans="1:13" x14ac:dyDescent="0.15">
      <c r="A1933" t="s">
        <v>23</v>
      </c>
      <c r="F1933"/>
      <c r="M1933"/>
    </row>
    <row r="1934" spans="1:13" x14ac:dyDescent="0.15">
      <c r="A1934" t="s">
        <v>23</v>
      </c>
      <c r="F1934"/>
      <c r="M1934"/>
    </row>
    <row r="1935" spans="1:13" x14ac:dyDescent="0.15">
      <c r="A1935" t="s">
        <v>23</v>
      </c>
      <c r="F1935"/>
      <c r="M1935"/>
    </row>
    <row r="1936" spans="1:13" x14ac:dyDescent="0.15">
      <c r="A1936" t="s">
        <v>23</v>
      </c>
      <c r="F1936"/>
      <c r="M1936"/>
    </row>
    <row r="1937" spans="1:13" x14ac:dyDescent="0.15">
      <c r="A1937" t="s">
        <v>23</v>
      </c>
      <c r="F1937"/>
      <c r="M1937"/>
    </row>
    <row r="1938" spans="1:13" x14ac:dyDescent="0.15">
      <c r="A1938" t="s">
        <v>23</v>
      </c>
      <c r="F1938"/>
      <c r="M1938"/>
    </row>
    <row r="1939" spans="1:13" x14ac:dyDescent="0.15">
      <c r="A1939" t="s">
        <v>23</v>
      </c>
      <c r="F1939"/>
      <c r="M1939"/>
    </row>
    <row r="1940" spans="1:13" x14ac:dyDescent="0.15">
      <c r="A1940" t="s">
        <v>23</v>
      </c>
      <c r="F1940"/>
      <c r="M1940"/>
    </row>
    <row r="1941" spans="1:13" x14ac:dyDescent="0.15">
      <c r="A1941" t="s">
        <v>23</v>
      </c>
      <c r="F1941"/>
      <c r="M1941"/>
    </row>
    <row r="1942" spans="1:13" x14ac:dyDescent="0.15">
      <c r="A1942" t="s">
        <v>23</v>
      </c>
      <c r="F1942"/>
      <c r="M1942"/>
    </row>
    <row r="1943" spans="1:13" x14ac:dyDescent="0.15">
      <c r="A1943" t="s">
        <v>23</v>
      </c>
      <c r="F1943"/>
      <c r="M1943"/>
    </row>
    <row r="1944" spans="1:13" x14ac:dyDescent="0.15">
      <c r="A1944" t="s">
        <v>23</v>
      </c>
      <c r="F1944"/>
      <c r="M1944"/>
    </row>
    <row r="1945" spans="1:13" x14ac:dyDescent="0.15">
      <c r="A1945" t="s">
        <v>23</v>
      </c>
      <c r="F1945"/>
      <c r="M1945"/>
    </row>
    <row r="1946" spans="1:13" x14ac:dyDescent="0.15">
      <c r="A1946" t="s">
        <v>23</v>
      </c>
      <c r="F1946"/>
      <c r="M1946"/>
    </row>
    <row r="1947" spans="1:13" x14ac:dyDescent="0.15">
      <c r="A1947" t="s">
        <v>23</v>
      </c>
      <c r="F1947"/>
      <c r="M1947"/>
    </row>
    <row r="1948" spans="1:13" x14ac:dyDescent="0.15">
      <c r="A1948" t="s">
        <v>23</v>
      </c>
      <c r="F1948"/>
      <c r="M1948"/>
    </row>
    <row r="1949" spans="1:13" x14ac:dyDescent="0.15">
      <c r="A1949" t="s">
        <v>23</v>
      </c>
      <c r="F1949"/>
      <c r="M1949"/>
    </row>
    <row r="1950" spans="1:13" x14ac:dyDescent="0.15">
      <c r="A1950" t="s">
        <v>23</v>
      </c>
      <c r="F1950"/>
      <c r="M1950"/>
    </row>
    <row r="1951" spans="1:13" x14ac:dyDescent="0.15">
      <c r="A1951" t="s">
        <v>23</v>
      </c>
      <c r="F1951"/>
      <c r="M1951"/>
    </row>
    <row r="1952" spans="1:13" x14ac:dyDescent="0.15">
      <c r="A1952" t="s">
        <v>23</v>
      </c>
      <c r="F1952"/>
      <c r="M1952"/>
    </row>
    <row r="1953" spans="1:13" x14ac:dyDescent="0.15">
      <c r="A1953" t="s">
        <v>23</v>
      </c>
      <c r="F1953"/>
      <c r="M1953"/>
    </row>
    <row r="1954" spans="1:13" x14ac:dyDescent="0.15">
      <c r="A1954" t="s">
        <v>23</v>
      </c>
      <c r="F1954"/>
      <c r="M1954"/>
    </row>
    <row r="1955" spans="1:13" x14ac:dyDescent="0.15">
      <c r="A1955" t="s">
        <v>23</v>
      </c>
      <c r="F1955"/>
      <c r="M1955"/>
    </row>
    <row r="1956" spans="1:13" x14ac:dyDescent="0.15">
      <c r="A1956" t="s">
        <v>23</v>
      </c>
      <c r="F1956"/>
      <c r="M1956"/>
    </row>
    <row r="1957" spans="1:13" x14ac:dyDescent="0.15">
      <c r="A1957" t="s">
        <v>23</v>
      </c>
      <c r="F1957"/>
      <c r="M1957"/>
    </row>
    <row r="1958" spans="1:13" x14ac:dyDescent="0.15">
      <c r="A1958" t="s">
        <v>23</v>
      </c>
      <c r="F1958"/>
      <c r="M1958"/>
    </row>
    <row r="1959" spans="1:13" x14ac:dyDescent="0.15">
      <c r="A1959" t="s">
        <v>23</v>
      </c>
      <c r="F1959"/>
      <c r="M1959"/>
    </row>
    <row r="1960" spans="1:13" x14ac:dyDescent="0.15">
      <c r="A1960" t="s">
        <v>23</v>
      </c>
      <c r="F1960"/>
      <c r="M1960"/>
    </row>
    <row r="1961" spans="1:13" x14ac:dyDescent="0.15">
      <c r="A1961" t="s">
        <v>23</v>
      </c>
      <c r="F1961"/>
      <c r="M1961"/>
    </row>
    <row r="1962" spans="1:13" x14ac:dyDescent="0.15">
      <c r="A1962" t="s">
        <v>23</v>
      </c>
      <c r="F1962"/>
      <c r="M1962"/>
    </row>
    <row r="1963" spans="1:13" x14ac:dyDescent="0.15">
      <c r="A1963" t="s">
        <v>23</v>
      </c>
      <c r="F1963"/>
      <c r="M1963"/>
    </row>
    <row r="1964" spans="1:13" x14ac:dyDescent="0.15">
      <c r="A1964" t="s">
        <v>23</v>
      </c>
      <c r="F1964"/>
      <c r="M1964"/>
    </row>
    <row r="1965" spans="1:13" x14ac:dyDescent="0.15">
      <c r="A1965" t="s">
        <v>23</v>
      </c>
      <c r="F1965"/>
      <c r="M1965"/>
    </row>
    <row r="1966" spans="1:13" x14ac:dyDescent="0.15">
      <c r="A1966" t="s">
        <v>23</v>
      </c>
      <c r="F1966"/>
      <c r="M1966"/>
    </row>
    <row r="1967" spans="1:13" x14ac:dyDescent="0.15">
      <c r="A1967" t="s">
        <v>23</v>
      </c>
      <c r="F1967"/>
      <c r="M1967"/>
    </row>
    <row r="1968" spans="1:13" x14ac:dyDescent="0.15">
      <c r="A1968" t="s">
        <v>23</v>
      </c>
      <c r="F1968"/>
      <c r="M1968"/>
    </row>
    <row r="1969" spans="1:13" x14ac:dyDescent="0.15">
      <c r="A1969" t="s">
        <v>23</v>
      </c>
      <c r="F1969"/>
      <c r="M1969"/>
    </row>
    <row r="1970" spans="1:13" x14ac:dyDescent="0.15">
      <c r="A1970" t="s">
        <v>23</v>
      </c>
      <c r="F1970"/>
      <c r="M1970"/>
    </row>
    <row r="1971" spans="1:13" x14ac:dyDescent="0.15">
      <c r="A1971" t="s">
        <v>23</v>
      </c>
      <c r="F1971"/>
      <c r="M1971"/>
    </row>
    <row r="1972" spans="1:13" x14ac:dyDescent="0.15">
      <c r="A1972" t="s">
        <v>23</v>
      </c>
      <c r="F1972"/>
      <c r="M1972"/>
    </row>
    <row r="1973" spans="1:13" x14ac:dyDescent="0.15">
      <c r="A1973" t="s">
        <v>23</v>
      </c>
      <c r="F1973"/>
      <c r="M1973"/>
    </row>
    <row r="1974" spans="1:13" x14ac:dyDescent="0.15">
      <c r="A1974" t="s">
        <v>23</v>
      </c>
      <c r="F1974"/>
      <c r="M1974"/>
    </row>
    <row r="1975" spans="1:13" x14ac:dyDescent="0.15">
      <c r="A1975" t="s">
        <v>23</v>
      </c>
      <c r="F1975"/>
      <c r="M1975"/>
    </row>
    <row r="1976" spans="1:13" x14ac:dyDescent="0.15">
      <c r="A1976" t="s">
        <v>23</v>
      </c>
      <c r="F1976"/>
      <c r="M1976"/>
    </row>
    <row r="1977" spans="1:13" x14ac:dyDescent="0.15">
      <c r="A1977" t="s">
        <v>23</v>
      </c>
      <c r="F1977"/>
      <c r="M1977"/>
    </row>
    <row r="1978" spans="1:13" x14ac:dyDescent="0.15">
      <c r="A1978" t="s">
        <v>23</v>
      </c>
      <c r="F1978"/>
      <c r="M1978"/>
    </row>
    <row r="1979" spans="1:13" x14ac:dyDescent="0.15">
      <c r="A1979" t="s">
        <v>23</v>
      </c>
      <c r="F1979"/>
      <c r="M1979"/>
    </row>
    <row r="1980" spans="1:13" x14ac:dyDescent="0.15">
      <c r="A1980" t="s">
        <v>23</v>
      </c>
      <c r="F1980"/>
      <c r="M1980"/>
    </row>
    <row r="1981" spans="1:13" x14ac:dyDescent="0.15">
      <c r="A1981" t="s">
        <v>23</v>
      </c>
      <c r="F1981"/>
      <c r="M1981"/>
    </row>
    <row r="1982" spans="1:13" x14ac:dyDescent="0.15">
      <c r="A1982" t="s">
        <v>23</v>
      </c>
      <c r="F1982"/>
      <c r="M1982"/>
    </row>
    <row r="1983" spans="1:13" x14ac:dyDescent="0.15">
      <c r="A1983" t="s">
        <v>23</v>
      </c>
      <c r="F1983"/>
      <c r="M1983"/>
    </row>
    <row r="1984" spans="1:13" x14ac:dyDescent="0.15">
      <c r="A1984" t="s">
        <v>23</v>
      </c>
      <c r="F1984"/>
      <c r="M1984"/>
    </row>
    <row r="1985" spans="1:13" x14ac:dyDescent="0.15">
      <c r="A1985" t="s">
        <v>23</v>
      </c>
      <c r="F1985"/>
      <c r="M1985"/>
    </row>
    <row r="1986" spans="1:13" x14ac:dyDescent="0.15">
      <c r="A1986" t="s">
        <v>23</v>
      </c>
      <c r="F1986"/>
      <c r="M1986"/>
    </row>
    <row r="1987" spans="1:13" x14ac:dyDescent="0.15">
      <c r="A1987" t="s">
        <v>23</v>
      </c>
      <c r="F1987"/>
      <c r="M1987"/>
    </row>
    <row r="1988" spans="1:13" x14ac:dyDescent="0.15">
      <c r="A1988" t="s">
        <v>23</v>
      </c>
      <c r="F1988"/>
      <c r="M1988"/>
    </row>
    <row r="1989" spans="1:13" x14ac:dyDescent="0.15">
      <c r="A1989" t="s">
        <v>23</v>
      </c>
      <c r="F1989"/>
      <c r="M1989"/>
    </row>
    <row r="1990" spans="1:13" x14ac:dyDescent="0.15">
      <c r="A1990" t="s">
        <v>23</v>
      </c>
      <c r="F1990"/>
      <c r="M1990"/>
    </row>
    <row r="1991" spans="1:13" x14ac:dyDescent="0.15">
      <c r="A1991" t="s">
        <v>23</v>
      </c>
      <c r="F1991"/>
      <c r="M1991"/>
    </row>
    <row r="1992" spans="1:13" x14ac:dyDescent="0.15">
      <c r="A1992" t="s">
        <v>23</v>
      </c>
      <c r="F1992"/>
      <c r="M1992"/>
    </row>
    <row r="1993" spans="1:13" x14ac:dyDescent="0.15">
      <c r="A1993" t="s">
        <v>23</v>
      </c>
      <c r="F1993"/>
      <c r="M1993"/>
    </row>
    <row r="1994" spans="1:13" x14ac:dyDescent="0.15">
      <c r="A1994" t="s">
        <v>23</v>
      </c>
      <c r="F1994"/>
      <c r="M1994"/>
    </row>
    <row r="1995" spans="1:13" x14ac:dyDescent="0.15">
      <c r="A1995" t="s">
        <v>23</v>
      </c>
      <c r="F1995"/>
      <c r="M1995"/>
    </row>
    <row r="1996" spans="1:13" x14ac:dyDescent="0.15">
      <c r="A1996" t="s">
        <v>23</v>
      </c>
      <c r="F1996"/>
      <c r="M1996"/>
    </row>
    <row r="1997" spans="1:13" x14ac:dyDescent="0.15">
      <c r="A1997" t="s">
        <v>23</v>
      </c>
      <c r="F1997"/>
      <c r="M1997"/>
    </row>
    <row r="1998" spans="1:13" x14ac:dyDescent="0.15">
      <c r="A1998" t="s">
        <v>23</v>
      </c>
      <c r="F1998"/>
      <c r="M1998"/>
    </row>
    <row r="1999" spans="1:13" x14ac:dyDescent="0.15">
      <c r="A1999" t="s">
        <v>23</v>
      </c>
      <c r="F1999"/>
      <c r="M1999"/>
    </row>
    <row r="2000" spans="1:13" x14ac:dyDescent="0.15">
      <c r="A2000" t="s">
        <v>23</v>
      </c>
      <c r="F2000"/>
      <c r="M2000"/>
    </row>
    <row r="2001" spans="1:13" x14ac:dyDescent="0.15">
      <c r="A2001" t="s">
        <v>23</v>
      </c>
      <c r="F2001"/>
      <c r="M2001"/>
    </row>
    <row r="2002" spans="1:13" x14ac:dyDescent="0.15">
      <c r="A2002" t="s">
        <v>23</v>
      </c>
      <c r="F2002"/>
      <c r="M2002"/>
    </row>
    <row r="2003" spans="1:13" x14ac:dyDescent="0.15">
      <c r="A2003" t="s">
        <v>23</v>
      </c>
      <c r="F2003"/>
      <c r="M2003"/>
    </row>
    <row r="2004" spans="1:13" x14ac:dyDescent="0.15">
      <c r="A2004" t="s">
        <v>23</v>
      </c>
      <c r="F2004"/>
      <c r="M2004"/>
    </row>
    <row r="2005" spans="1:13" x14ac:dyDescent="0.15">
      <c r="A2005" t="s">
        <v>23</v>
      </c>
      <c r="F2005"/>
      <c r="M2005"/>
    </row>
    <row r="2006" spans="1:13" x14ac:dyDescent="0.15">
      <c r="A2006" t="s">
        <v>23</v>
      </c>
      <c r="F2006"/>
      <c r="M2006"/>
    </row>
    <row r="2007" spans="1:13" x14ac:dyDescent="0.15">
      <c r="A2007" t="s">
        <v>23</v>
      </c>
      <c r="F2007"/>
      <c r="M2007"/>
    </row>
    <row r="2008" spans="1:13" x14ac:dyDescent="0.15">
      <c r="A2008" t="s">
        <v>23</v>
      </c>
      <c r="F2008"/>
      <c r="M2008"/>
    </row>
    <row r="2009" spans="1:13" x14ac:dyDescent="0.15">
      <c r="A2009" t="s">
        <v>23</v>
      </c>
      <c r="F2009"/>
      <c r="M2009"/>
    </row>
    <row r="2010" spans="1:13" x14ac:dyDescent="0.15">
      <c r="A2010" t="s">
        <v>23</v>
      </c>
      <c r="F2010"/>
      <c r="M2010"/>
    </row>
    <row r="2011" spans="1:13" x14ac:dyDescent="0.15">
      <c r="A2011" t="s">
        <v>23</v>
      </c>
      <c r="F2011"/>
      <c r="M2011"/>
    </row>
    <row r="2012" spans="1:13" x14ac:dyDescent="0.15">
      <c r="A2012" t="s">
        <v>23</v>
      </c>
      <c r="F2012"/>
      <c r="M2012"/>
    </row>
    <row r="2013" spans="1:13" x14ac:dyDescent="0.15">
      <c r="A2013" t="s">
        <v>23</v>
      </c>
      <c r="F2013"/>
      <c r="M2013"/>
    </row>
    <row r="2014" spans="1:13" x14ac:dyDescent="0.15">
      <c r="A2014" t="s">
        <v>23</v>
      </c>
      <c r="F2014"/>
      <c r="M2014"/>
    </row>
    <row r="2015" spans="1:13" x14ac:dyDescent="0.15">
      <c r="A2015" t="s">
        <v>23</v>
      </c>
      <c r="F2015"/>
      <c r="M2015"/>
    </row>
    <row r="2016" spans="1:13" x14ac:dyDescent="0.15">
      <c r="A2016" t="s">
        <v>23</v>
      </c>
      <c r="F2016"/>
      <c r="M2016"/>
    </row>
    <row r="2017" spans="1:13" x14ac:dyDescent="0.15">
      <c r="A2017" t="s">
        <v>23</v>
      </c>
      <c r="F2017"/>
      <c r="M2017"/>
    </row>
    <row r="2018" spans="1:13" x14ac:dyDescent="0.15">
      <c r="A2018" t="s">
        <v>23</v>
      </c>
      <c r="F2018"/>
      <c r="M2018"/>
    </row>
    <row r="2019" spans="1:13" x14ac:dyDescent="0.15">
      <c r="A2019" t="s">
        <v>23</v>
      </c>
      <c r="F2019"/>
      <c r="M2019"/>
    </row>
    <row r="2020" spans="1:13" x14ac:dyDescent="0.15">
      <c r="A2020" t="s">
        <v>23</v>
      </c>
      <c r="F2020"/>
      <c r="M2020"/>
    </row>
    <row r="2021" spans="1:13" x14ac:dyDescent="0.15">
      <c r="A2021" t="s">
        <v>23</v>
      </c>
      <c r="F2021"/>
      <c r="M2021"/>
    </row>
    <row r="2022" spans="1:13" x14ac:dyDescent="0.15">
      <c r="A2022" t="s">
        <v>23</v>
      </c>
      <c r="F2022"/>
      <c r="M2022"/>
    </row>
    <row r="2023" spans="1:13" x14ac:dyDescent="0.15">
      <c r="A2023" t="s">
        <v>23</v>
      </c>
      <c r="F2023"/>
      <c r="M2023"/>
    </row>
    <row r="2024" spans="1:13" x14ac:dyDescent="0.15">
      <c r="A2024" t="s">
        <v>23</v>
      </c>
      <c r="F2024"/>
      <c r="M2024"/>
    </row>
    <row r="2025" spans="1:13" x14ac:dyDescent="0.15">
      <c r="A2025" t="s">
        <v>23</v>
      </c>
      <c r="F2025"/>
      <c r="M2025"/>
    </row>
    <row r="2026" spans="1:13" x14ac:dyDescent="0.15">
      <c r="A2026" t="s">
        <v>23</v>
      </c>
      <c r="F2026"/>
      <c r="M2026"/>
    </row>
    <row r="2027" spans="1:13" x14ac:dyDescent="0.15">
      <c r="A2027" t="s">
        <v>23</v>
      </c>
      <c r="F2027"/>
      <c r="M2027"/>
    </row>
    <row r="2028" spans="1:13" x14ac:dyDescent="0.15">
      <c r="A2028" t="s">
        <v>23</v>
      </c>
      <c r="F2028"/>
      <c r="M2028"/>
    </row>
    <row r="2029" spans="1:13" x14ac:dyDescent="0.15">
      <c r="A2029" t="s">
        <v>23</v>
      </c>
      <c r="F2029"/>
      <c r="M2029"/>
    </row>
    <row r="2030" spans="1:13" x14ac:dyDescent="0.15">
      <c r="A2030" t="s">
        <v>23</v>
      </c>
      <c r="F2030"/>
      <c r="M2030"/>
    </row>
    <row r="2031" spans="1:13" x14ac:dyDescent="0.15">
      <c r="A2031" t="s">
        <v>23</v>
      </c>
      <c r="F2031"/>
      <c r="M2031"/>
    </row>
    <row r="2032" spans="1:13" x14ac:dyDescent="0.15">
      <c r="A2032" t="s">
        <v>23</v>
      </c>
      <c r="F2032"/>
      <c r="M2032"/>
    </row>
    <row r="2033" spans="1:13" x14ac:dyDescent="0.15">
      <c r="A2033" t="s">
        <v>23</v>
      </c>
      <c r="F2033"/>
      <c r="M2033"/>
    </row>
    <row r="2034" spans="1:13" x14ac:dyDescent="0.15">
      <c r="A2034" t="s">
        <v>23</v>
      </c>
      <c r="F2034"/>
      <c r="M2034"/>
    </row>
    <row r="2035" spans="1:13" x14ac:dyDescent="0.15">
      <c r="A2035" t="s">
        <v>23</v>
      </c>
      <c r="F2035"/>
      <c r="M2035"/>
    </row>
    <row r="2036" spans="1:13" x14ac:dyDescent="0.15">
      <c r="A2036" t="s">
        <v>23</v>
      </c>
      <c r="F2036"/>
      <c r="M2036"/>
    </row>
    <row r="2037" spans="1:13" x14ac:dyDescent="0.15">
      <c r="A2037" t="s">
        <v>23</v>
      </c>
      <c r="F2037"/>
      <c r="M2037"/>
    </row>
    <row r="2038" spans="1:13" x14ac:dyDescent="0.15">
      <c r="A2038" t="s">
        <v>23</v>
      </c>
      <c r="F2038"/>
      <c r="M2038"/>
    </row>
    <row r="2039" spans="1:13" x14ac:dyDescent="0.15">
      <c r="A2039" t="s">
        <v>23</v>
      </c>
      <c r="F2039"/>
      <c r="M2039"/>
    </row>
    <row r="2040" spans="1:13" x14ac:dyDescent="0.15">
      <c r="A2040" t="s">
        <v>23</v>
      </c>
      <c r="F2040"/>
      <c r="M2040"/>
    </row>
    <row r="2041" spans="1:13" x14ac:dyDescent="0.15">
      <c r="A2041" t="s">
        <v>23</v>
      </c>
      <c r="F2041"/>
      <c r="M2041"/>
    </row>
    <row r="2042" spans="1:13" x14ac:dyDescent="0.15">
      <c r="A2042" t="s">
        <v>23</v>
      </c>
      <c r="F2042"/>
      <c r="M2042"/>
    </row>
    <row r="2043" spans="1:13" x14ac:dyDescent="0.15">
      <c r="A2043" t="s">
        <v>23</v>
      </c>
      <c r="F2043"/>
      <c r="M2043"/>
    </row>
    <row r="2044" spans="1:13" x14ac:dyDescent="0.15">
      <c r="A2044" t="s">
        <v>23</v>
      </c>
      <c r="F2044"/>
      <c r="M2044"/>
    </row>
    <row r="2045" spans="1:13" x14ac:dyDescent="0.15">
      <c r="A2045" t="s">
        <v>23</v>
      </c>
      <c r="F2045"/>
      <c r="M2045"/>
    </row>
    <row r="2046" spans="1:13" x14ac:dyDescent="0.15">
      <c r="A2046" t="s">
        <v>23</v>
      </c>
      <c r="F2046"/>
      <c r="M2046"/>
    </row>
    <row r="2047" spans="1:13" x14ac:dyDescent="0.15">
      <c r="A2047" t="s">
        <v>23</v>
      </c>
      <c r="F2047"/>
      <c r="M2047"/>
    </row>
    <row r="2048" spans="1:13" x14ac:dyDescent="0.15">
      <c r="A2048" t="s">
        <v>23</v>
      </c>
      <c r="F2048"/>
      <c r="M2048"/>
    </row>
    <row r="2049" spans="1:13" x14ac:dyDescent="0.15">
      <c r="A2049" t="s">
        <v>23</v>
      </c>
      <c r="F2049"/>
      <c r="M2049"/>
    </row>
    <row r="2050" spans="1:13" x14ac:dyDescent="0.15">
      <c r="A2050" t="s">
        <v>23</v>
      </c>
      <c r="F2050"/>
      <c r="M2050"/>
    </row>
    <row r="2051" spans="1:13" x14ac:dyDescent="0.15">
      <c r="A2051" t="s">
        <v>23</v>
      </c>
      <c r="F2051"/>
      <c r="M2051"/>
    </row>
    <row r="2052" spans="1:13" x14ac:dyDescent="0.15">
      <c r="A2052" t="s">
        <v>23</v>
      </c>
      <c r="F2052"/>
      <c r="M2052"/>
    </row>
    <row r="2053" spans="1:13" x14ac:dyDescent="0.15">
      <c r="A2053" t="s">
        <v>23</v>
      </c>
      <c r="F2053"/>
      <c r="M2053"/>
    </row>
    <row r="2054" spans="1:13" x14ac:dyDescent="0.15">
      <c r="A2054" t="s">
        <v>23</v>
      </c>
      <c r="F2054"/>
      <c r="M2054"/>
    </row>
    <row r="2055" spans="1:13" x14ac:dyDescent="0.15">
      <c r="A2055" t="s">
        <v>23</v>
      </c>
      <c r="F2055"/>
      <c r="M2055"/>
    </row>
    <row r="2056" spans="1:13" x14ac:dyDescent="0.15">
      <c r="A2056" t="s">
        <v>23</v>
      </c>
      <c r="F2056"/>
      <c r="M2056"/>
    </row>
    <row r="2057" spans="1:13" x14ac:dyDescent="0.15">
      <c r="A2057" t="s">
        <v>23</v>
      </c>
      <c r="F2057"/>
      <c r="M2057"/>
    </row>
    <row r="2058" spans="1:13" x14ac:dyDescent="0.15">
      <c r="A2058" t="s">
        <v>23</v>
      </c>
      <c r="F2058"/>
      <c r="M2058"/>
    </row>
    <row r="2059" spans="1:13" x14ac:dyDescent="0.15">
      <c r="A2059" t="s">
        <v>23</v>
      </c>
      <c r="F2059"/>
      <c r="M2059"/>
    </row>
    <row r="2060" spans="1:13" x14ac:dyDescent="0.15">
      <c r="A2060" t="s">
        <v>23</v>
      </c>
      <c r="F2060"/>
      <c r="M2060"/>
    </row>
    <row r="2061" spans="1:13" x14ac:dyDescent="0.15">
      <c r="A2061" t="s">
        <v>23</v>
      </c>
      <c r="F2061"/>
      <c r="M2061"/>
    </row>
    <row r="2062" spans="1:13" x14ac:dyDescent="0.15">
      <c r="A2062" t="s">
        <v>23</v>
      </c>
      <c r="F2062"/>
      <c r="M2062"/>
    </row>
    <row r="2063" spans="1:13" x14ac:dyDescent="0.15">
      <c r="A2063" t="s">
        <v>23</v>
      </c>
      <c r="F2063"/>
      <c r="M2063"/>
    </row>
    <row r="2064" spans="1:13" x14ac:dyDescent="0.15">
      <c r="A2064" t="s">
        <v>23</v>
      </c>
      <c r="F2064"/>
      <c r="M2064"/>
    </row>
    <row r="2065" spans="1:13" x14ac:dyDescent="0.15">
      <c r="A2065" t="s">
        <v>23</v>
      </c>
      <c r="F2065"/>
      <c r="M2065"/>
    </row>
    <row r="2066" spans="1:13" x14ac:dyDescent="0.15">
      <c r="A2066" t="s">
        <v>23</v>
      </c>
      <c r="F2066"/>
      <c r="M2066"/>
    </row>
    <row r="2067" spans="1:13" x14ac:dyDescent="0.15">
      <c r="A2067" t="s">
        <v>23</v>
      </c>
      <c r="F2067"/>
      <c r="M2067"/>
    </row>
    <row r="2068" spans="1:13" x14ac:dyDescent="0.15">
      <c r="A2068" t="s">
        <v>23</v>
      </c>
      <c r="F2068"/>
      <c r="M2068"/>
    </row>
    <row r="2069" spans="1:13" x14ac:dyDescent="0.15">
      <c r="A2069" t="s">
        <v>23</v>
      </c>
      <c r="F2069"/>
      <c r="M2069"/>
    </row>
    <row r="2070" spans="1:13" x14ac:dyDescent="0.15">
      <c r="A2070" t="s">
        <v>23</v>
      </c>
      <c r="F2070"/>
      <c r="M2070"/>
    </row>
    <row r="2071" spans="1:13" x14ac:dyDescent="0.15">
      <c r="A2071" t="s">
        <v>23</v>
      </c>
      <c r="F2071"/>
      <c r="M2071"/>
    </row>
    <row r="2072" spans="1:13" x14ac:dyDescent="0.15">
      <c r="A2072" t="s">
        <v>23</v>
      </c>
      <c r="F2072"/>
      <c r="M2072"/>
    </row>
    <row r="2073" spans="1:13" x14ac:dyDescent="0.15">
      <c r="A2073" t="s">
        <v>23</v>
      </c>
      <c r="F2073"/>
      <c r="M2073"/>
    </row>
    <row r="2074" spans="1:13" x14ac:dyDescent="0.15">
      <c r="A2074" t="s">
        <v>23</v>
      </c>
      <c r="F2074"/>
      <c r="M2074"/>
    </row>
    <row r="2075" spans="1:13" x14ac:dyDescent="0.15">
      <c r="A2075" t="s">
        <v>23</v>
      </c>
      <c r="F2075"/>
      <c r="M2075"/>
    </row>
    <row r="2076" spans="1:13" x14ac:dyDescent="0.15">
      <c r="A2076" t="s">
        <v>23</v>
      </c>
      <c r="F2076"/>
      <c r="M2076"/>
    </row>
    <row r="2077" spans="1:13" x14ac:dyDescent="0.15">
      <c r="A2077" t="s">
        <v>23</v>
      </c>
      <c r="F2077"/>
      <c r="M2077"/>
    </row>
    <row r="2078" spans="1:13" x14ac:dyDescent="0.15">
      <c r="A2078" t="s">
        <v>23</v>
      </c>
      <c r="F2078"/>
      <c r="M2078"/>
    </row>
    <row r="2079" spans="1:13" x14ac:dyDescent="0.15">
      <c r="A2079" t="s">
        <v>23</v>
      </c>
      <c r="F2079"/>
      <c r="M2079"/>
    </row>
    <row r="2080" spans="1:13" x14ac:dyDescent="0.15">
      <c r="A2080" t="s">
        <v>23</v>
      </c>
      <c r="F2080"/>
      <c r="M2080"/>
    </row>
    <row r="2081" spans="1:13" x14ac:dyDescent="0.15">
      <c r="A2081" t="s">
        <v>23</v>
      </c>
      <c r="F2081"/>
      <c r="M2081"/>
    </row>
    <row r="2082" spans="1:13" x14ac:dyDescent="0.15">
      <c r="A2082" t="s">
        <v>23</v>
      </c>
      <c r="F2082"/>
      <c r="M2082"/>
    </row>
    <row r="2083" spans="1:13" x14ac:dyDescent="0.15">
      <c r="A2083" t="s">
        <v>23</v>
      </c>
      <c r="F2083"/>
      <c r="M2083"/>
    </row>
    <row r="2084" spans="1:13" x14ac:dyDescent="0.15">
      <c r="A2084" t="s">
        <v>23</v>
      </c>
      <c r="F2084"/>
      <c r="M2084"/>
    </row>
    <row r="2085" spans="1:13" x14ac:dyDescent="0.15">
      <c r="A2085" t="s">
        <v>23</v>
      </c>
      <c r="F2085"/>
      <c r="M2085"/>
    </row>
    <row r="2086" spans="1:13" x14ac:dyDescent="0.15">
      <c r="A2086" t="s">
        <v>23</v>
      </c>
      <c r="F2086"/>
      <c r="M2086"/>
    </row>
    <row r="2087" spans="1:13" x14ac:dyDescent="0.15">
      <c r="A2087" t="s">
        <v>23</v>
      </c>
      <c r="F2087"/>
      <c r="M2087"/>
    </row>
    <row r="2088" spans="1:13" x14ac:dyDescent="0.15">
      <c r="A2088" t="s">
        <v>23</v>
      </c>
      <c r="F2088"/>
      <c r="M2088"/>
    </row>
    <row r="2089" spans="1:13" x14ac:dyDescent="0.15">
      <c r="A2089" t="s">
        <v>23</v>
      </c>
      <c r="F2089"/>
      <c r="M2089"/>
    </row>
    <row r="2090" spans="1:13" x14ac:dyDescent="0.15">
      <c r="A2090" t="s">
        <v>23</v>
      </c>
      <c r="F2090"/>
      <c r="M2090"/>
    </row>
    <row r="2091" spans="1:13" x14ac:dyDescent="0.15">
      <c r="A2091" t="s">
        <v>23</v>
      </c>
      <c r="F2091"/>
      <c r="M2091"/>
    </row>
    <row r="2092" spans="1:13" x14ac:dyDescent="0.15">
      <c r="A2092" t="s">
        <v>23</v>
      </c>
      <c r="F2092"/>
      <c r="M2092"/>
    </row>
    <row r="2093" spans="1:13" x14ac:dyDescent="0.15">
      <c r="A2093" t="s">
        <v>23</v>
      </c>
      <c r="F2093"/>
      <c r="M2093"/>
    </row>
    <row r="2094" spans="1:13" x14ac:dyDescent="0.15">
      <c r="A2094" t="s">
        <v>23</v>
      </c>
      <c r="F2094"/>
      <c r="M2094"/>
    </row>
    <row r="2095" spans="1:13" x14ac:dyDescent="0.15">
      <c r="A2095" t="s">
        <v>23</v>
      </c>
      <c r="F2095"/>
      <c r="M2095"/>
    </row>
    <row r="2096" spans="1:13" x14ac:dyDescent="0.15">
      <c r="A2096" t="s">
        <v>23</v>
      </c>
      <c r="F2096"/>
      <c r="M2096"/>
    </row>
    <row r="2097" spans="1:13" x14ac:dyDescent="0.15">
      <c r="A2097" t="s">
        <v>23</v>
      </c>
      <c r="F2097"/>
      <c r="M2097"/>
    </row>
    <row r="2098" spans="1:13" x14ac:dyDescent="0.15">
      <c r="A2098" t="s">
        <v>23</v>
      </c>
      <c r="F2098"/>
      <c r="M2098"/>
    </row>
    <row r="2099" spans="1:13" x14ac:dyDescent="0.15">
      <c r="A2099" t="s">
        <v>23</v>
      </c>
      <c r="F2099"/>
      <c r="M2099"/>
    </row>
    <row r="2100" spans="1:13" x14ac:dyDescent="0.15">
      <c r="A2100" t="s">
        <v>23</v>
      </c>
      <c r="F2100"/>
      <c r="M2100"/>
    </row>
    <row r="2101" spans="1:13" x14ac:dyDescent="0.15">
      <c r="A2101" t="s">
        <v>23</v>
      </c>
      <c r="F2101"/>
      <c r="M2101"/>
    </row>
    <row r="2102" spans="1:13" x14ac:dyDescent="0.15">
      <c r="A2102" t="s">
        <v>23</v>
      </c>
      <c r="F2102"/>
      <c r="M2102"/>
    </row>
    <row r="2103" spans="1:13" x14ac:dyDescent="0.15">
      <c r="A2103" t="s">
        <v>23</v>
      </c>
      <c r="F2103"/>
      <c r="M2103"/>
    </row>
    <row r="2104" spans="1:13" x14ac:dyDescent="0.15">
      <c r="A2104" t="s">
        <v>23</v>
      </c>
      <c r="F2104"/>
      <c r="M2104"/>
    </row>
    <row r="2105" spans="1:13" x14ac:dyDescent="0.15">
      <c r="A2105" t="s">
        <v>23</v>
      </c>
      <c r="F2105"/>
      <c r="M2105"/>
    </row>
    <row r="2106" spans="1:13" x14ac:dyDescent="0.15">
      <c r="A2106" t="s">
        <v>23</v>
      </c>
      <c r="F2106"/>
      <c r="M2106"/>
    </row>
    <row r="2107" spans="1:13" x14ac:dyDescent="0.15">
      <c r="A2107" t="s">
        <v>23</v>
      </c>
      <c r="F2107"/>
      <c r="M2107"/>
    </row>
    <row r="2108" spans="1:13" x14ac:dyDescent="0.15">
      <c r="A2108" t="s">
        <v>23</v>
      </c>
      <c r="F2108"/>
      <c r="M2108"/>
    </row>
    <row r="2109" spans="1:13" x14ac:dyDescent="0.15">
      <c r="A2109" t="s">
        <v>23</v>
      </c>
      <c r="F2109"/>
      <c r="M2109"/>
    </row>
    <row r="2110" spans="1:13" x14ac:dyDescent="0.15">
      <c r="A2110" t="s">
        <v>23</v>
      </c>
      <c r="F2110"/>
      <c r="M2110"/>
    </row>
    <row r="2111" spans="1:13" x14ac:dyDescent="0.15">
      <c r="A2111" t="s">
        <v>23</v>
      </c>
      <c r="F2111"/>
      <c r="M2111"/>
    </row>
    <row r="2112" spans="1:13" x14ac:dyDescent="0.15">
      <c r="A2112" t="s">
        <v>23</v>
      </c>
      <c r="F2112"/>
      <c r="M2112"/>
    </row>
    <row r="2113" spans="1:13" x14ac:dyDescent="0.15">
      <c r="A2113" t="s">
        <v>23</v>
      </c>
      <c r="F2113"/>
      <c r="M2113"/>
    </row>
    <row r="2114" spans="1:13" x14ac:dyDescent="0.15">
      <c r="A2114" t="s">
        <v>23</v>
      </c>
      <c r="F2114"/>
      <c r="M2114"/>
    </row>
    <row r="2115" spans="1:13" x14ac:dyDescent="0.15">
      <c r="A2115" t="s">
        <v>23</v>
      </c>
      <c r="F2115"/>
      <c r="M2115"/>
    </row>
    <row r="2116" spans="1:13" x14ac:dyDescent="0.15">
      <c r="A2116" t="s">
        <v>23</v>
      </c>
      <c r="F2116"/>
      <c r="M2116"/>
    </row>
    <row r="2117" spans="1:13" x14ac:dyDescent="0.15">
      <c r="A2117" t="s">
        <v>23</v>
      </c>
      <c r="F2117"/>
      <c r="M2117"/>
    </row>
    <row r="2118" spans="1:13" x14ac:dyDescent="0.15">
      <c r="A2118" t="s">
        <v>23</v>
      </c>
      <c r="F2118"/>
      <c r="M2118"/>
    </row>
    <row r="2119" spans="1:13" x14ac:dyDescent="0.15">
      <c r="A2119" t="s">
        <v>23</v>
      </c>
      <c r="F2119"/>
      <c r="M2119"/>
    </row>
    <row r="2120" spans="1:13" x14ac:dyDescent="0.15">
      <c r="A2120" t="s">
        <v>23</v>
      </c>
      <c r="F2120"/>
      <c r="M2120"/>
    </row>
    <row r="2121" spans="1:13" x14ac:dyDescent="0.15">
      <c r="A2121" t="s">
        <v>23</v>
      </c>
      <c r="F2121"/>
      <c r="M2121"/>
    </row>
    <row r="2122" spans="1:13" x14ac:dyDescent="0.15">
      <c r="A2122" t="s">
        <v>23</v>
      </c>
      <c r="F2122"/>
      <c r="M2122"/>
    </row>
    <row r="2123" spans="1:13" x14ac:dyDescent="0.15">
      <c r="A2123" t="s">
        <v>23</v>
      </c>
      <c r="F2123"/>
      <c r="M2123"/>
    </row>
    <row r="2124" spans="1:13" x14ac:dyDescent="0.15">
      <c r="A2124" t="s">
        <v>23</v>
      </c>
      <c r="F2124"/>
      <c r="M2124"/>
    </row>
    <row r="2125" spans="1:13" x14ac:dyDescent="0.15">
      <c r="A2125" t="s">
        <v>23</v>
      </c>
      <c r="F2125"/>
      <c r="M2125"/>
    </row>
    <row r="2126" spans="1:13" x14ac:dyDescent="0.15">
      <c r="A2126" t="s">
        <v>23</v>
      </c>
      <c r="F2126"/>
      <c r="M2126"/>
    </row>
    <row r="2127" spans="1:13" x14ac:dyDescent="0.15">
      <c r="A2127" t="s">
        <v>23</v>
      </c>
      <c r="F2127"/>
      <c r="M2127"/>
    </row>
    <row r="2128" spans="1:13" x14ac:dyDescent="0.15">
      <c r="A2128" t="s">
        <v>23</v>
      </c>
      <c r="F2128"/>
      <c r="M2128"/>
    </row>
    <row r="2129" spans="1:13" x14ac:dyDescent="0.15">
      <c r="A2129" t="s">
        <v>23</v>
      </c>
      <c r="F2129"/>
      <c r="M2129"/>
    </row>
    <row r="2130" spans="1:13" x14ac:dyDescent="0.15">
      <c r="A2130" t="s">
        <v>23</v>
      </c>
      <c r="F2130"/>
      <c r="M2130"/>
    </row>
    <row r="2131" spans="1:13" x14ac:dyDescent="0.15">
      <c r="A2131" t="s">
        <v>23</v>
      </c>
      <c r="F2131"/>
      <c r="M2131"/>
    </row>
    <row r="2132" spans="1:13" x14ac:dyDescent="0.15">
      <c r="A2132" t="s">
        <v>23</v>
      </c>
      <c r="F2132"/>
      <c r="M2132"/>
    </row>
    <row r="2133" spans="1:13" x14ac:dyDescent="0.15">
      <c r="A2133" t="s">
        <v>23</v>
      </c>
      <c r="F2133"/>
      <c r="M2133"/>
    </row>
    <row r="2134" spans="1:13" x14ac:dyDescent="0.15">
      <c r="A2134" t="s">
        <v>23</v>
      </c>
      <c r="F2134"/>
      <c r="M2134"/>
    </row>
    <row r="2135" spans="1:13" x14ac:dyDescent="0.15">
      <c r="A2135" t="s">
        <v>23</v>
      </c>
      <c r="F2135"/>
      <c r="M2135"/>
    </row>
    <row r="2136" spans="1:13" x14ac:dyDescent="0.15">
      <c r="A2136" t="s">
        <v>23</v>
      </c>
      <c r="F2136"/>
      <c r="M2136"/>
    </row>
    <row r="2137" spans="1:13" x14ac:dyDescent="0.15">
      <c r="A2137" t="s">
        <v>23</v>
      </c>
      <c r="F2137"/>
      <c r="M2137"/>
    </row>
    <row r="2138" spans="1:13" x14ac:dyDescent="0.15">
      <c r="A2138" t="s">
        <v>23</v>
      </c>
      <c r="F2138"/>
      <c r="M2138"/>
    </row>
    <row r="2139" spans="1:13" x14ac:dyDescent="0.15">
      <c r="A2139" t="s">
        <v>24</v>
      </c>
      <c r="F2139"/>
      <c r="M2139"/>
    </row>
    <row r="2140" spans="1:13" x14ac:dyDescent="0.15">
      <c r="A2140" t="s">
        <v>24</v>
      </c>
      <c r="F2140"/>
      <c r="M2140"/>
    </row>
    <row r="2141" spans="1:13" x14ac:dyDescent="0.15">
      <c r="A2141" t="s">
        <v>24</v>
      </c>
      <c r="F2141"/>
      <c r="M2141"/>
    </row>
    <row r="2142" spans="1:13" x14ac:dyDescent="0.15">
      <c r="A2142" t="s">
        <v>24</v>
      </c>
      <c r="F2142"/>
      <c r="M2142"/>
    </row>
    <row r="2143" spans="1:13" x14ac:dyDescent="0.15">
      <c r="A2143" t="s">
        <v>24</v>
      </c>
      <c r="F2143"/>
      <c r="M2143"/>
    </row>
    <row r="2144" spans="1:13" x14ac:dyDescent="0.15">
      <c r="A2144" t="s">
        <v>24</v>
      </c>
      <c r="F2144"/>
      <c r="M2144"/>
    </row>
    <row r="2145" spans="1:13" x14ac:dyDescent="0.15">
      <c r="A2145" t="s">
        <v>24</v>
      </c>
      <c r="F2145"/>
      <c r="M2145"/>
    </row>
    <row r="2146" spans="1:13" x14ac:dyDescent="0.15">
      <c r="A2146" t="s">
        <v>24</v>
      </c>
      <c r="F2146"/>
      <c r="M2146"/>
    </row>
    <row r="2147" spans="1:13" x14ac:dyDescent="0.15">
      <c r="A2147" t="s">
        <v>24</v>
      </c>
      <c r="F2147"/>
      <c r="M2147"/>
    </row>
    <row r="2148" spans="1:13" x14ac:dyDescent="0.15">
      <c r="A2148" t="s">
        <v>24</v>
      </c>
      <c r="F2148"/>
      <c r="M2148"/>
    </row>
    <row r="2149" spans="1:13" x14ac:dyDescent="0.15">
      <c r="A2149" t="s">
        <v>24</v>
      </c>
      <c r="F2149"/>
      <c r="M2149"/>
    </row>
    <row r="2150" spans="1:13" x14ac:dyDescent="0.15">
      <c r="A2150" t="s">
        <v>24</v>
      </c>
      <c r="F2150"/>
      <c r="M2150"/>
    </row>
    <row r="2151" spans="1:13" x14ac:dyDescent="0.15">
      <c r="A2151" t="s">
        <v>24</v>
      </c>
      <c r="F2151"/>
      <c r="M2151"/>
    </row>
    <row r="2152" spans="1:13" x14ac:dyDescent="0.15">
      <c r="A2152" t="s">
        <v>24</v>
      </c>
      <c r="F2152"/>
      <c r="M2152"/>
    </row>
    <row r="2153" spans="1:13" x14ac:dyDescent="0.15">
      <c r="A2153" t="s">
        <v>24</v>
      </c>
      <c r="F2153"/>
      <c r="M2153"/>
    </row>
    <row r="2154" spans="1:13" x14ac:dyDescent="0.15">
      <c r="A2154" t="s">
        <v>24</v>
      </c>
      <c r="F2154"/>
      <c r="M2154"/>
    </row>
    <row r="2155" spans="1:13" x14ac:dyDescent="0.15">
      <c r="A2155" t="s">
        <v>24</v>
      </c>
      <c r="F2155"/>
      <c r="M2155"/>
    </row>
    <row r="2156" spans="1:13" x14ac:dyDescent="0.15">
      <c r="A2156" t="s">
        <v>24</v>
      </c>
      <c r="F2156"/>
      <c r="M2156"/>
    </row>
    <row r="2157" spans="1:13" x14ac:dyDescent="0.15">
      <c r="A2157" t="s">
        <v>24</v>
      </c>
      <c r="F2157"/>
      <c r="M2157"/>
    </row>
    <row r="2158" spans="1:13" x14ac:dyDescent="0.15">
      <c r="A2158" t="s">
        <v>24</v>
      </c>
      <c r="F2158"/>
      <c r="M2158"/>
    </row>
    <row r="2159" spans="1:13" x14ac:dyDescent="0.15">
      <c r="A2159" t="s">
        <v>24</v>
      </c>
      <c r="F2159"/>
      <c r="M2159"/>
    </row>
    <row r="2160" spans="1:13" x14ac:dyDescent="0.15">
      <c r="A2160" t="s">
        <v>24</v>
      </c>
      <c r="F2160"/>
      <c r="M2160"/>
    </row>
    <row r="2161" spans="1:13" x14ac:dyDescent="0.15">
      <c r="A2161" t="s">
        <v>24</v>
      </c>
      <c r="F2161"/>
      <c r="M2161"/>
    </row>
    <row r="2162" spans="1:13" x14ac:dyDescent="0.15">
      <c r="A2162" t="s">
        <v>24</v>
      </c>
      <c r="F2162"/>
      <c r="M2162"/>
    </row>
    <row r="2163" spans="1:13" x14ac:dyDescent="0.15">
      <c r="A2163" t="s">
        <v>24</v>
      </c>
      <c r="F2163"/>
      <c r="M2163"/>
    </row>
    <row r="2164" spans="1:13" x14ac:dyDescent="0.15">
      <c r="A2164" t="s">
        <v>24</v>
      </c>
      <c r="F2164"/>
      <c r="M2164"/>
    </row>
    <row r="2165" spans="1:13" x14ac:dyDescent="0.15">
      <c r="A2165" t="s">
        <v>24</v>
      </c>
      <c r="F2165"/>
      <c r="M2165"/>
    </row>
    <row r="2166" spans="1:13" x14ac:dyDescent="0.15">
      <c r="A2166" t="s">
        <v>24</v>
      </c>
      <c r="F2166"/>
      <c r="M2166"/>
    </row>
    <row r="2167" spans="1:13" x14ac:dyDescent="0.15">
      <c r="A2167" t="s">
        <v>24</v>
      </c>
      <c r="F2167"/>
      <c r="M2167"/>
    </row>
    <row r="2168" spans="1:13" x14ac:dyDescent="0.15">
      <c r="A2168" t="s">
        <v>24</v>
      </c>
      <c r="F2168"/>
      <c r="M2168"/>
    </row>
    <row r="2169" spans="1:13" x14ac:dyDescent="0.15">
      <c r="A2169" t="s">
        <v>24</v>
      </c>
      <c r="F2169"/>
      <c r="M2169"/>
    </row>
    <row r="2170" spans="1:13" x14ac:dyDescent="0.15">
      <c r="A2170" t="s">
        <v>24</v>
      </c>
      <c r="F2170"/>
      <c r="M2170"/>
    </row>
    <row r="2171" spans="1:13" x14ac:dyDescent="0.15">
      <c r="A2171" t="s">
        <v>24</v>
      </c>
      <c r="F2171"/>
      <c r="M2171"/>
    </row>
    <row r="2172" spans="1:13" x14ac:dyDescent="0.15">
      <c r="A2172" t="s">
        <v>24</v>
      </c>
      <c r="F2172"/>
      <c r="M2172"/>
    </row>
    <row r="2173" spans="1:13" x14ac:dyDescent="0.15">
      <c r="A2173" t="s">
        <v>24</v>
      </c>
      <c r="F2173"/>
      <c r="M2173"/>
    </row>
    <row r="2174" spans="1:13" x14ac:dyDescent="0.15">
      <c r="A2174" t="s">
        <v>24</v>
      </c>
      <c r="F2174"/>
      <c r="M2174"/>
    </row>
    <row r="2175" spans="1:13" x14ac:dyDescent="0.15">
      <c r="A2175" t="s">
        <v>24</v>
      </c>
      <c r="F2175"/>
      <c r="M2175"/>
    </row>
    <row r="2176" spans="1:13" x14ac:dyDescent="0.15">
      <c r="A2176" t="s">
        <v>24</v>
      </c>
      <c r="F2176"/>
      <c r="M2176"/>
    </row>
    <row r="2177" spans="1:13" x14ac:dyDescent="0.15">
      <c r="A2177" t="s">
        <v>24</v>
      </c>
      <c r="F2177"/>
      <c r="M2177"/>
    </row>
    <row r="2178" spans="1:13" x14ac:dyDescent="0.15">
      <c r="A2178" t="s">
        <v>24</v>
      </c>
      <c r="F2178"/>
      <c r="M2178"/>
    </row>
    <row r="2179" spans="1:13" x14ac:dyDescent="0.15">
      <c r="A2179" t="s">
        <v>24</v>
      </c>
      <c r="F2179"/>
      <c r="M2179"/>
    </row>
    <row r="2180" spans="1:13" x14ac:dyDescent="0.15">
      <c r="A2180" t="s">
        <v>24</v>
      </c>
      <c r="F2180"/>
      <c r="M2180"/>
    </row>
    <row r="2181" spans="1:13" x14ac:dyDescent="0.15">
      <c r="A2181" t="s">
        <v>24</v>
      </c>
      <c r="F2181"/>
      <c r="M2181"/>
    </row>
    <row r="2182" spans="1:13" x14ac:dyDescent="0.15">
      <c r="A2182" t="s">
        <v>24</v>
      </c>
      <c r="F2182"/>
      <c r="M2182"/>
    </row>
    <row r="2183" spans="1:13" x14ac:dyDescent="0.15">
      <c r="A2183" t="s">
        <v>24</v>
      </c>
      <c r="F2183"/>
      <c r="M2183"/>
    </row>
    <row r="2184" spans="1:13" x14ac:dyDescent="0.15">
      <c r="A2184" t="s">
        <v>24</v>
      </c>
      <c r="F2184"/>
      <c r="M2184"/>
    </row>
    <row r="2185" spans="1:13" x14ac:dyDescent="0.15">
      <c r="A2185" t="s">
        <v>24</v>
      </c>
      <c r="F2185"/>
      <c r="M2185"/>
    </row>
    <row r="2186" spans="1:13" x14ac:dyDescent="0.15">
      <c r="A2186" t="s">
        <v>24</v>
      </c>
      <c r="F2186"/>
      <c r="M2186"/>
    </row>
    <row r="2187" spans="1:13" x14ac:dyDescent="0.15">
      <c r="A2187" t="s">
        <v>24</v>
      </c>
      <c r="F2187"/>
      <c r="M2187"/>
    </row>
    <row r="2188" spans="1:13" x14ac:dyDescent="0.15">
      <c r="A2188" t="s">
        <v>24</v>
      </c>
      <c r="F2188"/>
      <c r="M2188"/>
    </row>
    <row r="2189" spans="1:13" x14ac:dyDescent="0.15">
      <c r="A2189" t="s">
        <v>24</v>
      </c>
      <c r="F2189"/>
      <c r="M2189"/>
    </row>
    <row r="2190" spans="1:13" x14ac:dyDescent="0.15">
      <c r="A2190" t="s">
        <v>24</v>
      </c>
      <c r="F2190"/>
      <c r="M2190"/>
    </row>
    <row r="2191" spans="1:13" x14ac:dyDescent="0.15">
      <c r="A2191" t="s">
        <v>24</v>
      </c>
      <c r="F2191"/>
      <c r="M2191"/>
    </row>
    <row r="2192" spans="1:13" x14ac:dyDescent="0.15">
      <c r="A2192" t="s">
        <v>24</v>
      </c>
      <c r="F2192"/>
      <c r="M2192"/>
    </row>
    <row r="2193" spans="1:13" x14ac:dyDescent="0.15">
      <c r="A2193" t="s">
        <v>24</v>
      </c>
      <c r="F2193"/>
      <c r="M2193"/>
    </row>
    <row r="2194" spans="1:13" x14ac:dyDescent="0.15">
      <c r="A2194" t="s">
        <v>24</v>
      </c>
      <c r="F2194"/>
      <c r="M2194"/>
    </row>
    <row r="2195" spans="1:13" x14ac:dyDescent="0.15">
      <c r="A2195" t="s">
        <v>24</v>
      </c>
      <c r="F2195"/>
      <c r="M2195"/>
    </row>
    <row r="2196" spans="1:13" x14ac:dyDescent="0.15">
      <c r="A2196" t="s">
        <v>24</v>
      </c>
      <c r="F2196"/>
      <c r="M2196"/>
    </row>
    <row r="2197" spans="1:13" x14ac:dyDescent="0.15">
      <c r="A2197" t="s">
        <v>24</v>
      </c>
      <c r="F2197"/>
      <c r="M2197"/>
    </row>
    <row r="2198" spans="1:13" x14ac:dyDescent="0.15">
      <c r="A2198" t="s">
        <v>24</v>
      </c>
      <c r="F2198"/>
      <c r="M2198"/>
    </row>
    <row r="2199" spans="1:13" x14ac:dyDescent="0.15">
      <c r="A2199" t="s">
        <v>24</v>
      </c>
      <c r="F2199"/>
      <c r="M2199"/>
    </row>
    <row r="2200" spans="1:13" x14ac:dyDescent="0.15">
      <c r="A2200" t="s">
        <v>24</v>
      </c>
      <c r="F2200"/>
      <c r="M2200"/>
    </row>
    <row r="2201" spans="1:13" x14ac:dyDescent="0.15">
      <c r="A2201" t="s">
        <v>24</v>
      </c>
      <c r="F2201"/>
      <c r="M2201"/>
    </row>
    <row r="2202" spans="1:13" x14ac:dyDescent="0.15">
      <c r="A2202" t="s">
        <v>24</v>
      </c>
      <c r="F2202"/>
      <c r="M2202"/>
    </row>
    <row r="2203" spans="1:13" x14ac:dyDescent="0.15">
      <c r="A2203" t="s">
        <v>24</v>
      </c>
      <c r="F2203"/>
      <c r="M2203"/>
    </row>
    <row r="2204" spans="1:13" x14ac:dyDescent="0.15">
      <c r="A2204" t="s">
        <v>24</v>
      </c>
      <c r="F2204"/>
      <c r="M2204"/>
    </row>
    <row r="2205" spans="1:13" x14ac:dyDescent="0.15">
      <c r="A2205" t="s">
        <v>24</v>
      </c>
      <c r="F2205"/>
      <c r="M2205"/>
    </row>
    <row r="2206" spans="1:13" x14ac:dyDescent="0.15">
      <c r="A2206" t="s">
        <v>24</v>
      </c>
      <c r="F2206"/>
      <c r="M2206"/>
    </row>
    <row r="2207" spans="1:13" x14ac:dyDescent="0.15">
      <c r="A2207" t="s">
        <v>24</v>
      </c>
      <c r="F2207"/>
      <c r="M2207"/>
    </row>
    <row r="2208" spans="1:13" x14ac:dyDescent="0.15">
      <c r="A2208" t="s">
        <v>24</v>
      </c>
      <c r="F2208"/>
      <c r="M2208"/>
    </row>
    <row r="2209" spans="1:13" x14ac:dyDescent="0.15">
      <c r="A2209" t="s">
        <v>24</v>
      </c>
      <c r="F2209"/>
      <c r="M2209"/>
    </row>
    <row r="2210" spans="1:13" x14ac:dyDescent="0.15">
      <c r="A2210" t="s">
        <v>24</v>
      </c>
      <c r="F2210"/>
      <c r="M2210"/>
    </row>
    <row r="2211" spans="1:13" x14ac:dyDescent="0.15">
      <c r="A2211" t="s">
        <v>24</v>
      </c>
      <c r="F2211"/>
      <c r="M2211"/>
    </row>
    <row r="2212" spans="1:13" x14ac:dyDescent="0.15">
      <c r="A2212" t="s">
        <v>24</v>
      </c>
      <c r="F2212"/>
      <c r="M2212"/>
    </row>
    <row r="2213" spans="1:13" x14ac:dyDescent="0.15">
      <c r="A2213" t="s">
        <v>24</v>
      </c>
      <c r="F2213"/>
      <c r="M2213"/>
    </row>
    <row r="2214" spans="1:13" x14ac:dyDescent="0.15">
      <c r="A2214" t="s">
        <v>24</v>
      </c>
      <c r="F2214"/>
      <c r="M2214"/>
    </row>
    <row r="2215" spans="1:13" x14ac:dyDescent="0.15">
      <c r="A2215" t="s">
        <v>24</v>
      </c>
      <c r="F2215"/>
      <c r="M2215"/>
    </row>
    <row r="2216" spans="1:13" x14ac:dyDescent="0.15">
      <c r="A2216" t="s">
        <v>24</v>
      </c>
      <c r="F2216"/>
      <c r="M2216"/>
    </row>
    <row r="2217" spans="1:13" x14ac:dyDescent="0.15">
      <c r="A2217" t="s">
        <v>24</v>
      </c>
      <c r="F2217"/>
      <c r="M2217"/>
    </row>
    <row r="2218" spans="1:13" x14ac:dyDescent="0.15">
      <c r="A2218" t="s">
        <v>24</v>
      </c>
      <c r="F2218"/>
      <c r="M2218"/>
    </row>
    <row r="2219" spans="1:13" x14ac:dyDescent="0.15">
      <c r="A2219" t="s">
        <v>24</v>
      </c>
      <c r="F2219"/>
      <c r="M2219"/>
    </row>
    <row r="2220" spans="1:13" x14ac:dyDescent="0.15">
      <c r="A2220" t="s">
        <v>24</v>
      </c>
      <c r="F2220"/>
      <c r="M2220"/>
    </row>
    <row r="2221" spans="1:13" x14ac:dyDescent="0.15">
      <c r="A2221" t="s">
        <v>24</v>
      </c>
      <c r="F2221"/>
      <c r="M2221"/>
    </row>
    <row r="2222" spans="1:13" x14ac:dyDescent="0.15">
      <c r="A2222" t="s">
        <v>24</v>
      </c>
      <c r="F2222"/>
      <c r="M2222"/>
    </row>
    <row r="2223" spans="1:13" x14ac:dyDescent="0.15">
      <c r="A2223" t="s">
        <v>24</v>
      </c>
      <c r="F2223"/>
      <c r="M2223"/>
    </row>
    <row r="2224" spans="1:13" x14ac:dyDescent="0.15">
      <c r="A2224" t="s">
        <v>24</v>
      </c>
      <c r="F2224"/>
      <c r="M2224"/>
    </row>
    <row r="2225" spans="1:13" x14ac:dyDescent="0.15">
      <c r="A2225" t="s">
        <v>24</v>
      </c>
      <c r="F2225"/>
      <c r="M2225"/>
    </row>
    <row r="2226" spans="1:13" x14ac:dyDescent="0.15">
      <c r="A2226" t="s">
        <v>24</v>
      </c>
      <c r="F2226"/>
      <c r="M2226"/>
    </row>
    <row r="2227" spans="1:13" x14ac:dyDescent="0.15">
      <c r="A2227" t="s">
        <v>24</v>
      </c>
      <c r="F2227"/>
      <c r="M2227"/>
    </row>
    <row r="2228" spans="1:13" x14ac:dyDescent="0.15">
      <c r="A2228" t="s">
        <v>24</v>
      </c>
      <c r="F2228"/>
      <c r="M2228"/>
    </row>
    <row r="2229" spans="1:13" x14ac:dyDescent="0.15">
      <c r="A2229" t="s">
        <v>24</v>
      </c>
      <c r="F2229"/>
      <c r="M2229"/>
    </row>
    <row r="2230" spans="1:13" x14ac:dyDescent="0.15">
      <c r="A2230" t="s">
        <v>24</v>
      </c>
      <c r="F2230"/>
      <c r="M2230"/>
    </row>
    <row r="2231" spans="1:13" x14ac:dyDescent="0.15">
      <c r="A2231" t="s">
        <v>24</v>
      </c>
      <c r="F2231"/>
      <c r="M2231"/>
    </row>
    <row r="2232" spans="1:13" x14ac:dyDescent="0.15">
      <c r="A2232" t="s">
        <v>24</v>
      </c>
      <c r="F2232"/>
      <c r="M2232"/>
    </row>
    <row r="2233" spans="1:13" x14ac:dyDescent="0.15">
      <c r="A2233" t="s">
        <v>24</v>
      </c>
      <c r="F2233"/>
      <c r="M2233"/>
    </row>
    <row r="2234" spans="1:13" x14ac:dyDescent="0.15">
      <c r="A2234" t="s">
        <v>24</v>
      </c>
      <c r="F2234"/>
      <c r="M2234"/>
    </row>
    <row r="2235" spans="1:13" x14ac:dyDescent="0.15">
      <c r="A2235" t="s">
        <v>24</v>
      </c>
      <c r="F2235"/>
      <c r="M2235"/>
    </row>
    <row r="2236" spans="1:13" x14ac:dyDescent="0.15">
      <c r="A2236" t="s">
        <v>24</v>
      </c>
      <c r="F2236"/>
      <c r="M2236"/>
    </row>
    <row r="2237" spans="1:13" x14ac:dyDescent="0.15">
      <c r="A2237" t="s">
        <v>24</v>
      </c>
      <c r="F2237"/>
      <c r="M2237"/>
    </row>
    <row r="2238" spans="1:13" x14ac:dyDescent="0.15">
      <c r="A2238" t="s">
        <v>24</v>
      </c>
      <c r="F2238"/>
      <c r="M2238"/>
    </row>
    <row r="2239" spans="1:13" x14ac:dyDescent="0.15">
      <c r="A2239" t="s">
        <v>24</v>
      </c>
      <c r="F2239"/>
      <c r="M2239"/>
    </row>
    <row r="2240" spans="1:13" x14ac:dyDescent="0.15">
      <c r="A2240" t="s">
        <v>24</v>
      </c>
      <c r="F2240"/>
      <c r="M2240"/>
    </row>
    <row r="2241" spans="1:13" x14ac:dyDescent="0.15">
      <c r="A2241" t="s">
        <v>24</v>
      </c>
      <c r="F2241"/>
      <c r="M2241"/>
    </row>
    <row r="2242" spans="1:13" x14ac:dyDescent="0.15">
      <c r="A2242" t="s">
        <v>24</v>
      </c>
      <c r="F2242"/>
      <c r="M2242"/>
    </row>
    <row r="2243" spans="1:13" x14ac:dyDescent="0.15">
      <c r="A2243" t="s">
        <v>24</v>
      </c>
      <c r="F2243"/>
      <c r="M2243"/>
    </row>
    <row r="2244" spans="1:13" x14ac:dyDescent="0.15">
      <c r="A2244" t="s">
        <v>24</v>
      </c>
      <c r="F2244"/>
      <c r="M2244"/>
    </row>
    <row r="2245" spans="1:13" x14ac:dyDescent="0.15">
      <c r="A2245" t="s">
        <v>24</v>
      </c>
      <c r="F2245"/>
      <c r="M2245"/>
    </row>
    <row r="2246" spans="1:13" x14ac:dyDescent="0.15">
      <c r="A2246" t="s">
        <v>24</v>
      </c>
      <c r="F2246"/>
      <c r="M2246"/>
    </row>
    <row r="2247" spans="1:13" x14ac:dyDescent="0.15">
      <c r="A2247" t="s">
        <v>24</v>
      </c>
      <c r="F2247"/>
      <c r="M2247"/>
    </row>
    <row r="2248" spans="1:13" x14ac:dyDescent="0.15">
      <c r="A2248" t="s">
        <v>24</v>
      </c>
      <c r="F2248"/>
      <c r="M2248"/>
    </row>
    <row r="2249" spans="1:13" x14ac:dyDescent="0.15">
      <c r="A2249" t="s">
        <v>24</v>
      </c>
      <c r="F2249"/>
      <c r="M2249"/>
    </row>
    <row r="2250" spans="1:13" x14ac:dyDescent="0.15">
      <c r="A2250" t="s">
        <v>24</v>
      </c>
      <c r="F2250"/>
      <c r="M2250"/>
    </row>
    <row r="2251" spans="1:13" x14ac:dyDescent="0.15">
      <c r="A2251" t="s">
        <v>24</v>
      </c>
      <c r="F2251"/>
      <c r="M2251"/>
    </row>
    <row r="2252" spans="1:13" x14ac:dyDescent="0.15">
      <c r="A2252" t="s">
        <v>24</v>
      </c>
      <c r="F2252"/>
      <c r="M2252"/>
    </row>
    <row r="2253" spans="1:13" x14ac:dyDescent="0.15">
      <c r="A2253" t="s">
        <v>24</v>
      </c>
      <c r="F2253"/>
      <c r="M2253"/>
    </row>
    <row r="2254" spans="1:13" x14ac:dyDescent="0.15">
      <c r="A2254" t="s">
        <v>24</v>
      </c>
      <c r="F2254"/>
      <c r="M2254"/>
    </row>
    <row r="2255" spans="1:13" x14ac:dyDescent="0.15">
      <c r="A2255" t="s">
        <v>24</v>
      </c>
      <c r="F2255"/>
      <c r="M2255"/>
    </row>
    <row r="2256" spans="1:13" x14ac:dyDescent="0.15">
      <c r="A2256" t="s">
        <v>24</v>
      </c>
      <c r="F2256"/>
      <c r="M2256"/>
    </row>
    <row r="2257" spans="1:13" x14ac:dyDescent="0.15">
      <c r="A2257" t="s">
        <v>24</v>
      </c>
      <c r="F2257"/>
      <c r="M2257"/>
    </row>
    <row r="2258" spans="1:13" x14ac:dyDescent="0.15">
      <c r="A2258" t="s">
        <v>24</v>
      </c>
      <c r="F2258"/>
      <c r="M2258"/>
    </row>
    <row r="2259" spans="1:13" x14ac:dyDescent="0.15">
      <c r="A2259" t="s">
        <v>24</v>
      </c>
      <c r="F2259"/>
      <c r="M2259"/>
    </row>
    <row r="2260" spans="1:13" x14ac:dyDescent="0.15">
      <c r="A2260" t="s">
        <v>24</v>
      </c>
      <c r="F2260"/>
      <c r="M2260"/>
    </row>
    <row r="2261" spans="1:13" x14ac:dyDescent="0.15">
      <c r="A2261" t="s">
        <v>24</v>
      </c>
      <c r="F2261"/>
      <c r="M2261"/>
    </row>
    <row r="2262" spans="1:13" x14ac:dyDescent="0.15">
      <c r="A2262" t="s">
        <v>24</v>
      </c>
      <c r="F2262"/>
      <c r="M2262"/>
    </row>
    <row r="2263" spans="1:13" x14ac:dyDescent="0.15">
      <c r="A2263" t="s">
        <v>24</v>
      </c>
      <c r="F2263"/>
      <c r="M2263"/>
    </row>
    <row r="2264" spans="1:13" x14ac:dyDescent="0.15">
      <c r="A2264" t="s">
        <v>24</v>
      </c>
      <c r="F2264"/>
      <c r="M2264"/>
    </row>
    <row r="2265" spans="1:13" x14ac:dyDescent="0.15">
      <c r="A2265" t="s">
        <v>24</v>
      </c>
      <c r="F2265"/>
      <c r="M2265"/>
    </row>
    <row r="2266" spans="1:13" x14ac:dyDescent="0.15">
      <c r="A2266" t="s">
        <v>24</v>
      </c>
      <c r="F2266"/>
      <c r="M2266"/>
    </row>
    <row r="2267" spans="1:13" x14ac:dyDescent="0.15">
      <c r="A2267" t="s">
        <v>24</v>
      </c>
      <c r="F2267"/>
      <c r="M2267"/>
    </row>
    <row r="2268" spans="1:13" x14ac:dyDescent="0.15">
      <c r="A2268" t="s">
        <v>24</v>
      </c>
      <c r="F2268"/>
      <c r="M2268"/>
    </row>
    <row r="2269" spans="1:13" x14ac:dyDescent="0.15">
      <c r="A2269" t="s">
        <v>24</v>
      </c>
      <c r="F2269"/>
      <c r="M2269"/>
    </row>
    <row r="2270" spans="1:13" x14ac:dyDescent="0.15">
      <c r="A2270" t="s">
        <v>24</v>
      </c>
      <c r="F2270"/>
      <c r="M2270"/>
    </row>
    <row r="2271" spans="1:13" x14ac:dyDescent="0.15">
      <c r="A2271" t="s">
        <v>24</v>
      </c>
      <c r="F2271"/>
      <c r="M2271"/>
    </row>
    <row r="2272" spans="1:13" x14ac:dyDescent="0.15">
      <c r="A2272" t="s">
        <v>24</v>
      </c>
      <c r="F2272"/>
      <c r="M2272"/>
    </row>
    <row r="2273" spans="1:13" x14ac:dyDescent="0.15">
      <c r="A2273" t="s">
        <v>24</v>
      </c>
      <c r="F2273"/>
      <c r="M2273"/>
    </row>
    <row r="2274" spans="1:13" x14ac:dyDescent="0.15">
      <c r="A2274" t="s">
        <v>24</v>
      </c>
      <c r="F2274"/>
      <c r="M2274"/>
    </row>
    <row r="2275" spans="1:13" x14ac:dyDescent="0.15">
      <c r="A2275" t="s">
        <v>24</v>
      </c>
      <c r="F2275"/>
      <c r="M2275"/>
    </row>
    <row r="2276" spans="1:13" x14ac:dyDescent="0.15">
      <c r="A2276" t="s">
        <v>24</v>
      </c>
      <c r="F2276"/>
      <c r="M2276"/>
    </row>
    <row r="2277" spans="1:13" x14ac:dyDescent="0.15">
      <c r="A2277" t="s">
        <v>24</v>
      </c>
      <c r="F2277"/>
      <c r="M2277"/>
    </row>
    <row r="2278" spans="1:13" x14ac:dyDescent="0.15">
      <c r="A2278" t="s">
        <v>24</v>
      </c>
      <c r="F2278"/>
      <c r="M2278"/>
    </row>
    <row r="2279" spans="1:13" x14ac:dyDescent="0.15">
      <c r="A2279" t="s">
        <v>24</v>
      </c>
      <c r="F2279"/>
      <c r="M2279"/>
    </row>
    <row r="2280" spans="1:13" x14ac:dyDescent="0.15">
      <c r="A2280" t="s">
        <v>24</v>
      </c>
      <c r="F2280"/>
      <c r="M2280"/>
    </row>
    <row r="2281" spans="1:13" x14ac:dyDescent="0.15">
      <c r="A2281" t="s">
        <v>24</v>
      </c>
      <c r="F2281"/>
      <c r="M2281"/>
    </row>
    <row r="2282" spans="1:13" x14ac:dyDescent="0.15">
      <c r="A2282" t="s">
        <v>24</v>
      </c>
      <c r="F2282"/>
      <c r="M2282"/>
    </row>
    <row r="2283" spans="1:13" x14ac:dyDescent="0.15">
      <c r="A2283" t="s">
        <v>24</v>
      </c>
      <c r="F2283"/>
      <c r="M2283"/>
    </row>
    <row r="2284" spans="1:13" x14ac:dyDescent="0.15">
      <c r="A2284" t="s">
        <v>24</v>
      </c>
      <c r="F2284"/>
      <c r="M2284"/>
    </row>
    <row r="2285" spans="1:13" x14ac:dyDescent="0.15">
      <c r="A2285" t="s">
        <v>24</v>
      </c>
      <c r="F2285"/>
      <c r="M2285"/>
    </row>
    <row r="2286" spans="1:13" x14ac:dyDescent="0.15">
      <c r="A2286" t="s">
        <v>24</v>
      </c>
      <c r="F2286"/>
      <c r="M2286"/>
    </row>
    <row r="2287" spans="1:13" x14ac:dyDescent="0.15">
      <c r="A2287" t="s">
        <v>24</v>
      </c>
      <c r="F2287"/>
      <c r="M2287"/>
    </row>
    <row r="2288" spans="1:13" x14ac:dyDescent="0.15">
      <c r="A2288" t="s">
        <v>24</v>
      </c>
      <c r="F2288"/>
      <c r="M2288"/>
    </row>
    <row r="2289" spans="1:13" x14ac:dyDescent="0.15">
      <c r="A2289" t="s">
        <v>24</v>
      </c>
      <c r="F2289"/>
      <c r="M2289"/>
    </row>
    <row r="2290" spans="1:13" x14ac:dyDescent="0.15">
      <c r="A2290" t="s">
        <v>24</v>
      </c>
      <c r="F2290"/>
      <c r="M2290"/>
    </row>
    <row r="2291" spans="1:13" x14ac:dyDescent="0.15">
      <c r="A2291" t="s">
        <v>24</v>
      </c>
      <c r="F2291"/>
      <c r="M2291"/>
    </row>
    <row r="2292" spans="1:13" x14ac:dyDescent="0.15">
      <c r="A2292" t="s">
        <v>24</v>
      </c>
      <c r="F2292"/>
      <c r="M2292"/>
    </row>
    <row r="2293" spans="1:13" x14ac:dyDescent="0.15">
      <c r="A2293" t="s">
        <v>24</v>
      </c>
      <c r="F2293"/>
      <c r="M2293"/>
    </row>
    <row r="2294" spans="1:13" x14ac:dyDescent="0.15">
      <c r="A2294" t="s">
        <v>24</v>
      </c>
      <c r="F2294"/>
      <c r="M2294"/>
    </row>
    <row r="2295" spans="1:13" x14ac:dyDescent="0.15">
      <c r="A2295" t="s">
        <v>24</v>
      </c>
      <c r="F2295"/>
      <c r="M2295"/>
    </row>
    <row r="2296" spans="1:13" x14ac:dyDescent="0.15">
      <c r="A2296" t="s">
        <v>24</v>
      </c>
      <c r="F2296"/>
      <c r="M2296"/>
    </row>
    <row r="2297" spans="1:13" x14ac:dyDescent="0.15">
      <c r="A2297" t="s">
        <v>24</v>
      </c>
      <c r="F2297"/>
      <c r="M2297"/>
    </row>
    <row r="2298" spans="1:13" x14ac:dyDescent="0.15">
      <c r="A2298" t="s">
        <v>24</v>
      </c>
      <c r="F2298"/>
      <c r="M2298"/>
    </row>
    <row r="2299" spans="1:13" x14ac:dyDescent="0.15">
      <c r="A2299" t="s">
        <v>24</v>
      </c>
      <c r="F2299"/>
      <c r="M2299"/>
    </row>
    <row r="2300" spans="1:13" x14ac:dyDescent="0.15">
      <c r="A2300" t="s">
        <v>24</v>
      </c>
      <c r="F2300"/>
      <c r="M2300"/>
    </row>
    <row r="2301" spans="1:13" x14ac:dyDescent="0.15">
      <c r="A2301" t="s">
        <v>24</v>
      </c>
      <c r="F2301"/>
      <c r="M2301"/>
    </row>
    <row r="2302" spans="1:13" x14ac:dyDescent="0.15">
      <c r="A2302" t="s">
        <v>24</v>
      </c>
      <c r="F2302"/>
      <c r="M2302"/>
    </row>
    <row r="2303" spans="1:13" x14ac:dyDescent="0.15">
      <c r="A2303" t="s">
        <v>24</v>
      </c>
      <c r="F2303"/>
      <c r="M2303"/>
    </row>
    <row r="2304" spans="1:13" x14ac:dyDescent="0.15">
      <c r="A2304" t="s">
        <v>24</v>
      </c>
      <c r="F2304"/>
      <c r="M2304"/>
    </row>
    <row r="2305" spans="1:13" x14ac:dyDescent="0.15">
      <c r="A2305" t="s">
        <v>24</v>
      </c>
      <c r="F2305"/>
      <c r="M2305"/>
    </row>
    <row r="2306" spans="1:13" x14ac:dyDescent="0.15">
      <c r="A2306" t="s">
        <v>24</v>
      </c>
      <c r="F2306"/>
      <c r="M2306"/>
    </row>
    <row r="2307" spans="1:13" x14ac:dyDescent="0.15">
      <c r="A2307" t="s">
        <v>24</v>
      </c>
      <c r="F2307"/>
      <c r="M2307"/>
    </row>
    <row r="2308" spans="1:13" x14ac:dyDescent="0.15">
      <c r="A2308" t="s">
        <v>24</v>
      </c>
      <c r="F2308"/>
      <c r="M2308"/>
    </row>
    <row r="2309" spans="1:13" x14ac:dyDescent="0.15">
      <c r="A2309" t="s">
        <v>24</v>
      </c>
      <c r="F2309"/>
      <c r="M2309"/>
    </row>
    <row r="2310" spans="1:13" x14ac:dyDescent="0.15">
      <c r="A2310" t="s">
        <v>24</v>
      </c>
      <c r="F2310"/>
      <c r="M2310"/>
    </row>
    <row r="2311" spans="1:13" x14ac:dyDescent="0.15">
      <c r="A2311" t="s">
        <v>24</v>
      </c>
      <c r="F2311"/>
      <c r="M2311"/>
    </row>
    <row r="2312" spans="1:13" x14ac:dyDescent="0.15">
      <c r="A2312" t="s">
        <v>24</v>
      </c>
      <c r="F2312"/>
      <c r="M2312"/>
    </row>
    <row r="2313" spans="1:13" x14ac:dyDescent="0.15">
      <c r="A2313" t="s">
        <v>24</v>
      </c>
      <c r="F2313"/>
      <c r="M2313"/>
    </row>
    <row r="2314" spans="1:13" x14ac:dyDescent="0.15">
      <c r="A2314" t="s">
        <v>24</v>
      </c>
      <c r="F2314"/>
      <c r="M2314"/>
    </row>
    <row r="2315" spans="1:13" x14ac:dyDescent="0.15">
      <c r="A2315" t="s">
        <v>24</v>
      </c>
      <c r="F2315"/>
      <c r="M2315"/>
    </row>
    <row r="2316" spans="1:13" x14ac:dyDescent="0.15">
      <c r="A2316" t="s">
        <v>24</v>
      </c>
      <c r="F2316"/>
      <c r="M2316"/>
    </row>
    <row r="2317" spans="1:13" x14ac:dyDescent="0.15">
      <c r="A2317" t="s">
        <v>24</v>
      </c>
      <c r="F2317"/>
      <c r="M2317"/>
    </row>
    <row r="2318" spans="1:13" x14ac:dyDescent="0.15">
      <c r="A2318" t="s">
        <v>24</v>
      </c>
      <c r="F2318"/>
      <c r="M2318"/>
    </row>
    <row r="2319" spans="1:13" x14ac:dyDescent="0.15">
      <c r="A2319" t="s">
        <v>24</v>
      </c>
      <c r="F2319"/>
      <c r="M2319"/>
    </row>
    <row r="2320" spans="1:13" x14ac:dyDescent="0.15">
      <c r="A2320" t="s">
        <v>24</v>
      </c>
      <c r="F2320"/>
      <c r="M2320"/>
    </row>
    <row r="2321" spans="1:13" x14ac:dyDescent="0.15">
      <c r="A2321" t="s">
        <v>24</v>
      </c>
      <c r="F2321"/>
      <c r="M2321"/>
    </row>
    <row r="2322" spans="1:13" x14ac:dyDescent="0.15">
      <c r="A2322" t="s">
        <v>24</v>
      </c>
      <c r="F2322"/>
      <c r="M2322"/>
    </row>
    <row r="2323" spans="1:13" x14ac:dyDescent="0.15">
      <c r="A2323" t="s">
        <v>24</v>
      </c>
      <c r="F2323"/>
      <c r="M2323"/>
    </row>
    <row r="2324" spans="1:13" x14ac:dyDescent="0.15">
      <c r="A2324" t="s">
        <v>24</v>
      </c>
      <c r="F2324"/>
      <c r="M2324"/>
    </row>
    <row r="2325" spans="1:13" x14ac:dyDescent="0.15">
      <c r="A2325" t="s">
        <v>24</v>
      </c>
      <c r="F2325"/>
      <c r="M2325"/>
    </row>
    <row r="2326" spans="1:13" x14ac:dyDescent="0.15">
      <c r="A2326" t="s">
        <v>24</v>
      </c>
      <c r="F2326"/>
      <c r="M2326"/>
    </row>
    <row r="2327" spans="1:13" x14ac:dyDescent="0.15">
      <c r="A2327" t="s">
        <v>24</v>
      </c>
      <c r="F2327"/>
      <c r="M2327"/>
    </row>
    <row r="2328" spans="1:13" x14ac:dyDescent="0.15">
      <c r="A2328" t="s">
        <v>24</v>
      </c>
      <c r="F2328"/>
      <c r="M2328"/>
    </row>
    <row r="2329" spans="1:13" x14ac:dyDescent="0.15">
      <c r="A2329" t="s">
        <v>24</v>
      </c>
      <c r="F2329"/>
      <c r="M2329"/>
    </row>
    <row r="2330" spans="1:13" x14ac:dyDescent="0.15">
      <c r="A2330" t="s">
        <v>24</v>
      </c>
      <c r="F2330"/>
      <c r="M2330"/>
    </row>
    <row r="2331" spans="1:13" x14ac:dyDescent="0.15">
      <c r="A2331" t="s">
        <v>24</v>
      </c>
      <c r="F2331"/>
      <c r="M2331"/>
    </row>
    <row r="2332" spans="1:13" x14ac:dyDescent="0.15">
      <c r="A2332" t="s">
        <v>24</v>
      </c>
      <c r="F2332"/>
      <c r="M2332"/>
    </row>
    <row r="2333" spans="1:13" x14ac:dyDescent="0.15">
      <c r="A2333" t="s">
        <v>24</v>
      </c>
      <c r="F2333"/>
      <c r="M2333"/>
    </row>
    <row r="2334" spans="1:13" x14ac:dyDescent="0.15">
      <c r="A2334" t="s">
        <v>24</v>
      </c>
      <c r="F2334"/>
      <c r="M2334"/>
    </row>
    <row r="2335" spans="1:13" x14ac:dyDescent="0.15">
      <c r="A2335" t="s">
        <v>24</v>
      </c>
      <c r="F2335"/>
      <c r="M2335"/>
    </row>
    <row r="2336" spans="1:13" x14ac:dyDescent="0.15">
      <c r="A2336" t="s">
        <v>24</v>
      </c>
      <c r="F2336"/>
      <c r="M2336"/>
    </row>
    <row r="2337" spans="1:13" x14ac:dyDescent="0.15">
      <c r="A2337" t="s">
        <v>24</v>
      </c>
      <c r="F2337"/>
      <c r="M2337"/>
    </row>
    <row r="2338" spans="1:13" x14ac:dyDescent="0.15">
      <c r="A2338" t="s">
        <v>24</v>
      </c>
      <c r="F2338"/>
      <c r="M2338"/>
    </row>
    <row r="2339" spans="1:13" x14ac:dyDescent="0.15">
      <c r="A2339" t="s">
        <v>24</v>
      </c>
      <c r="F2339"/>
      <c r="M2339"/>
    </row>
    <row r="2340" spans="1:13" x14ac:dyDescent="0.15">
      <c r="A2340" t="s">
        <v>24</v>
      </c>
      <c r="F2340"/>
      <c r="M2340"/>
    </row>
    <row r="2341" spans="1:13" x14ac:dyDescent="0.15">
      <c r="A2341" t="s">
        <v>24</v>
      </c>
      <c r="F2341"/>
      <c r="M2341"/>
    </row>
    <row r="2342" spans="1:13" x14ac:dyDescent="0.15">
      <c r="A2342" t="s">
        <v>24</v>
      </c>
      <c r="F2342"/>
      <c r="M2342"/>
    </row>
    <row r="2343" spans="1:13" x14ac:dyDescent="0.15">
      <c r="A2343" t="s">
        <v>24</v>
      </c>
      <c r="F2343"/>
      <c r="M2343"/>
    </row>
    <row r="2344" spans="1:13" x14ac:dyDescent="0.15">
      <c r="A2344" t="s">
        <v>24</v>
      </c>
      <c r="F2344"/>
      <c r="M2344"/>
    </row>
    <row r="2345" spans="1:13" x14ac:dyDescent="0.15">
      <c r="A2345" t="s">
        <v>24</v>
      </c>
      <c r="F2345"/>
      <c r="M2345"/>
    </row>
    <row r="2346" spans="1:13" x14ac:dyDescent="0.15">
      <c r="A2346" t="s">
        <v>24</v>
      </c>
      <c r="F2346"/>
      <c r="M2346"/>
    </row>
    <row r="2347" spans="1:13" x14ac:dyDescent="0.15">
      <c r="A2347" t="s">
        <v>24</v>
      </c>
      <c r="F2347"/>
      <c r="M2347"/>
    </row>
    <row r="2348" spans="1:13" x14ac:dyDescent="0.15">
      <c r="A2348" t="s">
        <v>24</v>
      </c>
      <c r="F2348"/>
      <c r="M2348"/>
    </row>
    <row r="2349" spans="1:13" x14ac:dyDescent="0.15">
      <c r="A2349" t="s">
        <v>24</v>
      </c>
      <c r="F2349"/>
      <c r="M2349"/>
    </row>
    <row r="2350" spans="1:13" x14ac:dyDescent="0.15">
      <c r="A2350" t="s">
        <v>24</v>
      </c>
      <c r="F2350"/>
      <c r="M2350"/>
    </row>
    <row r="2351" spans="1:13" x14ac:dyDescent="0.15">
      <c r="A2351" t="s">
        <v>24</v>
      </c>
      <c r="F2351"/>
      <c r="M2351"/>
    </row>
    <row r="2352" spans="1:13" x14ac:dyDescent="0.15">
      <c r="A2352" t="s">
        <v>24</v>
      </c>
      <c r="F2352"/>
      <c r="M2352"/>
    </row>
    <row r="2353" spans="1:13" x14ac:dyDescent="0.15">
      <c r="A2353" t="s">
        <v>24</v>
      </c>
      <c r="F2353"/>
      <c r="M2353"/>
    </row>
    <row r="2354" spans="1:13" x14ac:dyDescent="0.15">
      <c r="A2354" t="s">
        <v>24</v>
      </c>
      <c r="F2354"/>
      <c r="M2354"/>
    </row>
    <row r="2355" spans="1:13" x14ac:dyDescent="0.15">
      <c r="A2355" t="s">
        <v>24</v>
      </c>
      <c r="F2355"/>
      <c r="M2355"/>
    </row>
    <row r="2356" spans="1:13" x14ac:dyDescent="0.15">
      <c r="A2356" t="s">
        <v>24</v>
      </c>
      <c r="F2356"/>
      <c r="M2356"/>
    </row>
    <row r="2357" spans="1:13" x14ac:dyDescent="0.15">
      <c r="A2357" t="s">
        <v>24</v>
      </c>
      <c r="F2357"/>
      <c r="M2357"/>
    </row>
    <row r="2358" spans="1:13" x14ac:dyDescent="0.15">
      <c r="A2358" t="s">
        <v>24</v>
      </c>
      <c r="F2358"/>
      <c r="M2358"/>
    </row>
    <row r="2359" spans="1:13" x14ac:dyDescent="0.15">
      <c r="A2359" t="s">
        <v>24</v>
      </c>
      <c r="F2359"/>
      <c r="M2359"/>
    </row>
    <row r="2360" spans="1:13" x14ac:dyDescent="0.15">
      <c r="A2360" t="s">
        <v>24</v>
      </c>
      <c r="F2360"/>
      <c r="M2360"/>
    </row>
    <row r="2361" spans="1:13" x14ac:dyDescent="0.15">
      <c r="A2361" t="s">
        <v>24</v>
      </c>
      <c r="F2361"/>
      <c r="M2361"/>
    </row>
    <row r="2362" spans="1:13" x14ac:dyDescent="0.15">
      <c r="A2362" t="s">
        <v>24</v>
      </c>
      <c r="F2362"/>
      <c r="M2362"/>
    </row>
    <row r="2363" spans="1:13" x14ac:dyDescent="0.15">
      <c r="A2363" t="s">
        <v>24</v>
      </c>
      <c r="F2363"/>
      <c r="M2363"/>
    </row>
    <row r="2364" spans="1:13" x14ac:dyDescent="0.15">
      <c r="A2364" t="s">
        <v>24</v>
      </c>
      <c r="F2364"/>
      <c r="M2364"/>
    </row>
    <row r="2365" spans="1:13" x14ac:dyDescent="0.15">
      <c r="A2365" t="s">
        <v>24</v>
      </c>
      <c r="F2365"/>
      <c r="M2365"/>
    </row>
    <row r="2366" spans="1:13" x14ac:dyDescent="0.15">
      <c r="A2366" t="s">
        <v>24</v>
      </c>
      <c r="F2366"/>
      <c r="M2366"/>
    </row>
    <row r="2367" spans="1:13" x14ac:dyDescent="0.15">
      <c r="A2367" t="s">
        <v>24</v>
      </c>
      <c r="F2367"/>
      <c r="M2367"/>
    </row>
    <row r="2368" spans="1:13" x14ac:dyDescent="0.15">
      <c r="A2368" t="s">
        <v>24</v>
      </c>
      <c r="F2368"/>
      <c r="M2368"/>
    </row>
    <row r="2369" spans="1:13" x14ac:dyDescent="0.15">
      <c r="A2369" t="s">
        <v>24</v>
      </c>
      <c r="F2369"/>
      <c r="M2369"/>
    </row>
    <row r="2370" spans="1:13" x14ac:dyDescent="0.15">
      <c r="A2370" t="s">
        <v>24</v>
      </c>
      <c r="F2370"/>
      <c r="M2370"/>
    </row>
    <row r="2371" spans="1:13" x14ac:dyDescent="0.15">
      <c r="A2371" t="s">
        <v>24</v>
      </c>
      <c r="F2371"/>
      <c r="M2371"/>
    </row>
    <row r="2372" spans="1:13" x14ac:dyDescent="0.15">
      <c r="A2372" t="s">
        <v>24</v>
      </c>
      <c r="F2372"/>
      <c r="M2372"/>
    </row>
    <row r="2373" spans="1:13" x14ac:dyDescent="0.15">
      <c r="A2373" t="s">
        <v>24</v>
      </c>
      <c r="F2373"/>
      <c r="M2373"/>
    </row>
    <row r="2374" spans="1:13" x14ac:dyDescent="0.15">
      <c r="A2374" t="s">
        <v>24</v>
      </c>
      <c r="F2374"/>
      <c r="M2374"/>
    </row>
    <row r="2375" spans="1:13" x14ac:dyDescent="0.15">
      <c r="A2375" t="s">
        <v>24</v>
      </c>
      <c r="F2375"/>
      <c r="M2375"/>
    </row>
    <row r="2376" spans="1:13" x14ac:dyDescent="0.15">
      <c r="A2376" t="s">
        <v>24</v>
      </c>
      <c r="F2376"/>
      <c r="M2376"/>
    </row>
    <row r="2377" spans="1:13" x14ac:dyDescent="0.15">
      <c r="A2377" t="s">
        <v>24</v>
      </c>
      <c r="F2377"/>
      <c r="M2377"/>
    </row>
    <row r="2378" spans="1:13" x14ac:dyDescent="0.15">
      <c r="A2378" t="s">
        <v>24</v>
      </c>
      <c r="F2378"/>
      <c r="M2378"/>
    </row>
    <row r="2379" spans="1:13" x14ac:dyDescent="0.15">
      <c r="A2379" t="s">
        <v>24</v>
      </c>
      <c r="F2379"/>
      <c r="M2379"/>
    </row>
    <row r="2380" spans="1:13" x14ac:dyDescent="0.15">
      <c r="A2380" t="s">
        <v>24</v>
      </c>
      <c r="F2380"/>
      <c r="M2380"/>
    </row>
    <row r="2381" spans="1:13" x14ac:dyDescent="0.15">
      <c r="A2381" t="s">
        <v>24</v>
      </c>
      <c r="F2381"/>
      <c r="M2381"/>
    </row>
    <row r="2382" spans="1:13" x14ac:dyDescent="0.15">
      <c r="A2382" t="s">
        <v>24</v>
      </c>
      <c r="F2382"/>
      <c r="M2382"/>
    </row>
    <row r="2383" spans="1:13" x14ac:dyDescent="0.15">
      <c r="A2383" t="s">
        <v>24</v>
      </c>
      <c r="F2383"/>
      <c r="M2383"/>
    </row>
    <row r="2384" spans="1:13" x14ac:dyDescent="0.15">
      <c r="A2384" t="s">
        <v>24</v>
      </c>
      <c r="F2384"/>
      <c r="M2384"/>
    </row>
    <row r="2385" spans="1:13" x14ac:dyDescent="0.15">
      <c r="A2385" t="s">
        <v>24</v>
      </c>
      <c r="F2385"/>
      <c r="M2385"/>
    </row>
    <row r="2386" spans="1:13" x14ac:dyDescent="0.15">
      <c r="A2386" t="s">
        <v>24</v>
      </c>
      <c r="F2386"/>
      <c r="M2386"/>
    </row>
    <row r="2387" spans="1:13" x14ac:dyDescent="0.15">
      <c r="A2387" t="s">
        <v>24</v>
      </c>
      <c r="F2387"/>
      <c r="M2387"/>
    </row>
    <row r="2388" spans="1:13" x14ac:dyDescent="0.15">
      <c r="A2388" t="s">
        <v>24</v>
      </c>
      <c r="F2388"/>
      <c r="M2388"/>
    </row>
    <row r="2389" spans="1:13" x14ac:dyDescent="0.15">
      <c r="A2389" t="s">
        <v>24</v>
      </c>
      <c r="F2389"/>
      <c r="M2389"/>
    </row>
    <row r="2390" spans="1:13" x14ac:dyDescent="0.15">
      <c r="A2390" t="s">
        <v>24</v>
      </c>
      <c r="F2390"/>
      <c r="M2390"/>
    </row>
    <row r="2391" spans="1:13" x14ac:dyDescent="0.15">
      <c r="A2391" t="s">
        <v>24</v>
      </c>
      <c r="F2391"/>
      <c r="M2391"/>
    </row>
    <row r="2392" spans="1:13" x14ac:dyDescent="0.15">
      <c r="A2392" t="s">
        <v>24</v>
      </c>
      <c r="F2392"/>
      <c r="M2392"/>
    </row>
    <row r="2393" spans="1:13" x14ac:dyDescent="0.15">
      <c r="A2393" t="s">
        <v>24</v>
      </c>
      <c r="F2393"/>
      <c r="M2393"/>
    </row>
    <row r="2394" spans="1:13" x14ac:dyDescent="0.15">
      <c r="A2394" t="s">
        <v>24</v>
      </c>
      <c r="F2394"/>
      <c r="M2394"/>
    </row>
    <row r="2395" spans="1:13" x14ac:dyDescent="0.15">
      <c r="A2395" t="s">
        <v>24</v>
      </c>
      <c r="F2395"/>
      <c r="M2395"/>
    </row>
    <row r="2396" spans="1:13" x14ac:dyDescent="0.15">
      <c r="A2396" t="s">
        <v>24</v>
      </c>
      <c r="F2396"/>
      <c r="M2396"/>
    </row>
    <row r="2397" spans="1:13" x14ac:dyDescent="0.15">
      <c r="A2397" t="s">
        <v>24</v>
      </c>
      <c r="F2397"/>
      <c r="M2397"/>
    </row>
    <row r="2398" spans="1:13" x14ac:dyDescent="0.15">
      <c r="A2398" t="s">
        <v>24</v>
      </c>
      <c r="F2398"/>
      <c r="M2398"/>
    </row>
    <row r="2399" spans="1:13" x14ac:dyDescent="0.15">
      <c r="A2399" t="s">
        <v>24</v>
      </c>
      <c r="F2399"/>
      <c r="M2399"/>
    </row>
    <row r="2400" spans="1:13" x14ac:dyDescent="0.15">
      <c r="A2400" t="s">
        <v>24</v>
      </c>
      <c r="F2400"/>
      <c r="M2400"/>
    </row>
    <row r="2401" spans="1:13" x14ac:dyDescent="0.15">
      <c r="A2401" t="s">
        <v>24</v>
      </c>
      <c r="F2401"/>
      <c r="M2401"/>
    </row>
    <row r="2402" spans="1:13" x14ac:dyDescent="0.15">
      <c r="A2402" t="s">
        <v>24</v>
      </c>
      <c r="F2402"/>
      <c r="M2402"/>
    </row>
    <row r="2403" spans="1:13" x14ac:dyDescent="0.15">
      <c r="A2403" t="s">
        <v>24</v>
      </c>
      <c r="F2403"/>
      <c r="M2403"/>
    </row>
    <row r="2404" spans="1:13" x14ac:dyDescent="0.15">
      <c r="A2404" t="s">
        <v>24</v>
      </c>
      <c r="F2404"/>
      <c r="M2404"/>
    </row>
    <row r="2405" spans="1:13" x14ac:dyDescent="0.15">
      <c r="A2405" t="s">
        <v>24</v>
      </c>
      <c r="F2405"/>
      <c r="M2405"/>
    </row>
    <row r="2406" spans="1:13" x14ac:dyDescent="0.15">
      <c r="A2406" t="s">
        <v>24</v>
      </c>
      <c r="F2406"/>
      <c r="M2406"/>
    </row>
    <row r="2407" spans="1:13" x14ac:dyDescent="0.15">
      <c r="A2407" t="s">
        <v>24</v>
      </c>
      <c r="F2407"/>
      <c r="M2407"/>
    </row>
    <row r="2408" spans="1:13" x14ac:dyDescent="0.15">
      <c r="A2408" t="s">
        <v>24</v>
      </c>
      <c r="F2408"/>
      <c r="M2408"/>
    </row>
    <row r="2409" spans="1:13" x14ac:dyDescent="0.15">
      <c r="A2409" t="s">
        <v>24</v>
      </c>
      <c r="F2409"/>
      <c r="M2409"/>
    </row>
    <row r="2410" spans="1:13" x14ac:dyDescent="0.15">
      <c r="A2410" t="s">
        <v>24</v>
      </c>
      <c r="F2410"/>
      <c r="M2410"/>
    </row>
    <row r="2411" spans="1:13" x14ac:dyDescent="0.15">
      <c r="A2411" t="s">
        <v>24</v>
      </c>
      <c r="F2411"/>
      <c r="M2411"/>
    </row>
    <row r="2412" spans="1:13" x14ac:dyDescent="0.15">
      <c r="A2412" t="s">
        <v>24</v>
      </c>
      <c r="F2412"/>
      <c r="M2412"/>
    </row>
    <row r="2413" spans="1:13" x14ac:dyDescent="0.15">
      <c r="A2413" t="s">
        <v>24</v>
      </c>
      <c r="F2413"/>
      <c r="M2413"/>
    </row>
    <row r="2414" spans="1:13" x14ac:dyDescent="0.15">
      <c r="A2414" t="s">
        <v>24</v>
      </c>
      <c r="F2414"/>
      <c r="M2414"/>
    </row>
    <row r="2415" spans="1:13" x14ac:dyDescent="0.15">
      <c r="A2415" t="s">
        <v>24</v>
      </c>
      <c r="F2415"/>
      <c r="M2415"/>
    </row>
    <row r="2416" spans="1:13" x14ac:dyDescent="0.15">
      <c r="A2416" t="s">
        <v>24</v>
      </c>
      <c r="F2416"/>
      <c r="M2416"/>
    </row>
    <row r="2417" spans="1:13" x14ac:dyDescent="0.15">
      <c r="A2417" t="s">
        <v>24</v>
      </c>
      <c r="F2417"/>
      <c r="M2417"/>
    </row>
    <row r="2418" spans="1:13" x14ac:dyDescent="0.15">
      <c r="A2418" t="s">
        <v>24</v>
      </c>
      <c r="F2418"/>
      <c r="M2418"/>
    </row>
    <row r="2419" spans="1:13" x14ac:dyDescent="0.15">
      <c r="A2419" t="s">
        <v>24</v>
      </c>
      <c r="F2419"/>
      <c r="M2419"/>
    </row>
    <row r="2420" spans="1:13" x14ac:dyDescent="0.15">
      <c r="A2420" t="s">
        <v>24</v>
      </c>
      <c r="F2420"/>
      <c r="M2420"/>
    </row>
    <row r="2421" spans="1:13" x14ac:dyDescent="0.15">
      <c r="A2421" t="s">
        <v>24</v>
      </c>
      <c r="F2421"/>
      <c r="M2421"/>
    </row>
    <row r="2422" spans="1:13" x14ac:dyDescent="0.15">
      <c r="A2422" t="s">
        <v>24</v>
      </c>
      <c r="F2422"/>
      <c r="M2422"/>
    </row>
    <row r="2423" spans="1:13" x14ac:dyDescent="0.15">
      <c r="A2423" t="s">
        <v>24</v>
      </c>
      <c r="F2423"/>
      <c r="M2423"/>
    </row>
    <row r="2424" spans="1:13" x14ac:dyDescent="0.15">
      <c r="A2424" t="s">
        <v>24</v>
      </c>
      <c r="F2424"/>
      <c r="M2424"/>
    </row>
    <row r="2425" spans="1:13" x14ac:dyDescent="0.15">
      <c r="A2425" t="s">
        <v>24</v>
      </c>
      <c r="F2425"/>
      <c r="M2425"/>
    </row>
    <row r="2426" spans="1:13" x14ac:dyDescent="0.15">
      <c r="A2426" t="s">
        <v>24</v>
      </c>
      <c r="F2426"/>
      <c r="M2426"/>
    </row>
    <row r="2427" spans="1:13" x14ac:dyDescent="0.15">
      <c r="A2427" t="s">
        <v>24</v>
      </c>
      <c r="F2427"/>
      <c r="M2427"/>
    </row>
    <row r="2428" spans="1:13" x14ac:dyDescent="0.15">
      <c r="A2428" t="s">
        <v>24</v>
      </c>
      <c r="F2428"/>
      <c r="M2428"/>
    </row>
    <row r="2429" spans="1:13" x14ac:dyDescent="0.15">
      <c r="A2429" t="s">
        <v>24</v>
      </c>
      <c r="F2429"/>
      <c r="M2429"/>
    </row>
    <row r="2430" spans="1:13" x14ac:dyDescent="0.15">
      <c r="A2430" t="s">
        <v>24</v>
      </c>
      <c r="F2430"/>
      <c r="M2430"/>
    </row>
    <row r="2431" spans="1:13" x14ac:dyDescent="0.15">
      <c r="A2431" t="s">
        <v>24</v>
      </c>
      <c r="F2431"/>
      <c r="M2431"/>
    </row>
    <row r="2432" spans="1:13" x14ac:dyDescent="0.15">
      <c r="A2432" t="s">
        <v>24</v>
      </c>
      <c r="F2432"/>
      <c r="M2432"/>
    </row>
    <row r="2433" spans="1:13" x14ac:dyDescent="0.15">
      <c r="A2433" t="s">
        <v>24</v>
      </c>
      <c r="F2433"/>
      <c r="M2433"/>
    </row>
    <row r="2434" spans="1:13" x14ac:dyDescent="0.15">
      <c r="A2434" t="s">
        <v>24</v>
      </c>
      <c r="F2434"/>
      <c r="M2434"/>
    </row>
    <row r="2435" spans="1:13" x14ac:dyDescent="0.15">
      <c r="A2435" t="s">
        <v>24</v>
      </c>
      <c r="F2435"/>
      <c r="M2435"/>
    </row>
    <row r="2436" spans="1:13" x14ac:dyDescent="0.15">
      <c r="A2436" t="s">
        <v>24</v>
      </c>
      <c r="F2436"/>
      <c r="M2436"/>
    </row>
    <row r="2437" spans="1:13" x14ac:dyDescent="0.15">
      <c r="A2437" t="s">
        <v>24</v>
      </c>
      <c r="F2437"/>
      <c r="M2437"/>
    </row>
    <row r="2438" spans="1:13" x14ac:dyDescent="0.15">
      <c r="A2438" t="s">
        <v>24</v>
      </c>
      <c r="F2438"/>
      <c r="M2438"/>
    </row>
    <row r="2439" spans="1:13" x14ac:dyDescent="0.15">
      <c r="A2439" t="s">
        <v>24</v>
      </c>
      <c r="F2439"/>
      <c r="M2439"/>
    </row>
    <row r="2440" spans="1:13" x14ac:dyDescent="0.15">
      <c r="A2440" t="s">
        <v>24</v>
      </c>
      <c r="F2440"/>
      <c r="M2440"/>
    </row>
    <row r="2441" spans="1:13" x14ac:dyDescent="0.15">
      <c r="A2441" t="s">
        <v>24</v>
      </c>
      <c r="F2441"/>
      <c r="M2441"/>
    </row>
    <row r="2442" spans="1:13" x14ac:dyDescent="0.15">
      <c r="A2442" t="s">
        <v>24</v>
      </c>
      <c r="F2442"/>
      <c r="M2442"/>
    </row>
    <row r="2443" spans="1:13" x14ac:dyDescent="0.15">
      <c r="A2443" t="s">
        <v>24</v>
      </c>
      <c r="F2443"/>
      <c r="M2443"/>
    </row>
    <row r="2444" spans="1:13" x14ac:dyDescent="0.15">
      <c r="A2444" t="s">
        <v>24</v>
      </c>
      <c r="F2444"/>
      <c r="M2444"/>
    </row>
    <row r="2445" spans="1:13" x14ac:dyDescent="0.15">
      <c r="A2445" t="s">
        <v>24</v>
      </c>
      <c r="F2445"/>
      <c r="M2445"/>
    </row>
    <row r="2446" spans="1:13" x14ac:dyDescent="0.15">
      <c r="A2446" t="s">
        <v>24</v>
      </c>
      <c r="F2446"/>
      <c r="M2446"/>
    </row>
    <row r="2447" spans="1:13" x14ac:dyDescent="0.15">
      <c r="A2447" t="s">
        <v>24</v>
      </c>
      <c r="F2447"/>
      <c r="M2447"/>
    </row>
    <row r="2448" spans="1:13" x14ac:dyDescent="0.15">
      <c r="A2448" t="s">
        <v>24</v>
      </c>
      <c r="F2448"/>
      <c r="M2448"/>
    </row>
    <row r="2449" spans="1:13" x14ac:dyDescent="0.15">
      <c r="A2449" t="s">
        <v>24</v>
      </c>
      <c r="F2449"/>
      <c r="M2449"/>
    </row>
    <row r="2450" spans="1:13" x14ac:dyDescent="0.15">
      <c r="A2450" t="s">
        <v>24</v>
      </c>
      <c r="F2450"/>
      <c r="M2450"/>
    </row>
    <row r="2451" spans="1:13" x14ac:dyDescent="0.15">
      <c r="A2451" t="s">
        <v>24</v>
      </c>
      <c r="F2451"/>
      <c r="M2451"/>
    </row>
    <row r="2452" spans="1:13" x14ac:dyDescent="0.15">
      <c r="A2452" t="s">
        <v>24</v>
      </c>
      <c r="F2452"/>
      <c r="M2452"/>
    </row>
    <row r="2453" spans="1:13" x14ac:dyDescent="0.15">
      <c r="A2453" t="s">
        <v>24</v>
      </c>
      <c r="F2453"/>
      <c r="M2453"/>
    </row>
    <row r="2454" spans="1:13" x14ac:dyDescent="0.15">
      <c r="A2454" t="s">
        <v>24</v>
      </c>
      <c r="F2454"/>
      <c r="M2454"/>
    </row>
    <row r="2455" spans="1:13" x14ac:dyDescent="0.15">
      <c r="A2455" t="s">
        <v>24</v>
      </c>
      <c r="F2455"/>
      <c r="M2455"/>
    </row>
    <row r="2456" spans="1:13" x14ac:dyDescent="0.15">
      <c r="A2456" t="s">
        <v>24</v>
      </c>
      <c r="F2456"/>
      <c r="M2456"/>
    </row>
    <row r="2457" spans="1:13" x14ac:dyDescent="0.15">
      <c r="A2457" t="s">
        <v>24</v>
      </c>
      <c r="F2457"/>
      <c r="M2457"/>
    </row>
    <row r="2458" spans="1:13" x14ac:dyDescent="0.15">
      <c r="A2458" t="s">
        <v>24</v>
      </c>
      <c r="F2458"/>
      <c r="M2458"/>
    </row>
    <row r="2459" spans="1:13" x14ac:dyDescent="0.15">
      <c r="A2459" t="s">
        <v>24</v>
      </c>
      <c r="F2459"/>
      <c r="M2459"/>
    </row>
    <row r="2460" spans="1:13" x14ac:dyDescent="0.15">
      <c r="A2460" t="s">
        <v>24</v>
      </c>
      <c r="F2460"/>
      <c r="M2460"/>
    </row>
    <row r="2461" spans="1:13" x14ac:dyDescent="0.15">
      <c r="A2461" t="s">
        <v>24</v>
      </c>
      <c r="F2461"/>
      <c r="M2461"/>
    </row>
    <row r="2462" spans="1:13" x14ac:dyDescent="0.15">
      <c r="A2462" t="s">
        <v>24</v>
      </c>
      <c r="F2462"/>
      <c r="M2462"/>
    </row>
    <row r="2463" spans="1:13" x14ac:dyDescent="0.15">
      <c r="A2463" t="s">
        <v>24</v>
      </c>
      <c r="F2463"/>
      <c r="M2463"/>
    </row>
    <row r="2464" spans="1:13" x14ac:dyDescent="0.15">
      <c r="A2464" t="s">
        <v>24</v>
      </c>
      <c r="F2464"/>
      <c r="M2464"/>
    </row>
    <row r="2465" spans="1:13" x14ac:dyDescent="0.15">
      <c r="A2465" t="s">
        <v>24</v>
      </c>
      <c r="F2465"/>
      <c r="M2465"/>
    </row>
    <row r="2466" spans="1:13" x14ac:dyDescent="0.15">
      <c r="A2466" t="s">
        <v>24</v>
      </c>
      <c r="F2466"/>
      <c r="M2466"/>
    </row>
    <row r="2467" spans="1:13" x14ac:dyDescent="0.15">
      <c r="A2467" t="s">
        <v>24</v>
      </c>
      <c r="F2467"/>
      <c r="M2467"/>
    </row>
    <row r="2468" spans="1:13" x14ac:dyDescent="0.15">
      <c r="A2468" t="s">
        <v>24</v>
      </c>
      <c r="F2468"/>
      <c r="M2468"/>
    </row>
    <row r="2469" spans="1:13" x14ac:dyDescent="0.15">
      <c r="A2469" t="s">
        <v>24</v>
      </c>
      <c r="F2469"/>
      <c r="M2469"/>
    </row>
    <row r="2470" spans="1:13" x14ac:dyDescent="0.15">
      <c r="A2470" t="s">
        <v>24</v>
      </c>
      <c r="F2470"/>
      <c r="M2470"/>
    </row>
    <row r="2471" spans="1:13" x14ac:dyDescent="0.15">
      <c r="A2471" t="s">
        <v>24</v>
      </c>
      <c r="F2471"/>
      <c r="M2471"/>
    </row>
    <row r="2472" spans="1:13" x14ac:dyDescent="0.15">
      <c r="A2472" t="s">
        <v>24</v>
      </c>
      <c r="F2472"/>
      <c r="M2472"/>
    </row>
    <row r="2473" spans="1:13" x14ac:dyDescent="0.15">
      <c r="A2473" t="s">
        <v>24</v>
      </c>
      <c r="F2473"/>
      <c r="M2473"/>
    </row>
    <row r="2474" spans="1:13" x14ac:dyDescent="0.15">
      <c r="A2474" t="s">
        <v>24</v>
      </c>
      <c r="F2474"/>
      <c r="M2474"/>
    </row>
    <row r="2475" spans="1:13" x14ac:dyDescent="0.15">
      <c r="A2475" t="s">
        <v>24</v>
      </c>
      <c r="F2475"/>
      <c r="M2475"/>
    </row>
    <row r="2476" spans="1:13" x14ac:dyDescent="0.15">
      <c r="A2476" t="s">
        <v>24</v>
      </c>
      <c r="F2476"/>
      <c r="M2476"/>
    </row>
    <row r="2477" spans="1:13" x14ac:dyDescent="0.15">
      <c r="A2477" t="s">
        <v>24</v>
      </c>
      <c r="F2477"/>
      <c r="M2477"/>
    </row>
    <row r="2478" spans="1:13" x14ac:dyDescent="0.15">
      <c r="A2478" t="s">
        <v>24</v>
      </c>
      <c r="F2478"/>
      <c r="M2478"/>
    </row>
    <row r="2479" spans="1:13" x14ac:dyDescent="0.15">
      <c r="A2479" t="s">
        <v>24</v>
      </c>
      <c r="F2479"/>
      <c r="M2479"/>
    </row>
    <row r="2480" spans="1:13" x14ac:dyDescent="0.15">
      <c r="A2480" t="s">
        <v>24</v>
      </c>
      <c r="F2480"/>
      <c r="M2480"/>
    </row>
    <row r="2481" spans="1:13" x14ac:dyDescent="0.15">
      <c r="A2481" t="s">
        <v>24</v>
      </c>
      <c r="F2481"/>
      <c r="M2481"/>
    </row>
    <row r="2482" spans="1:13" x14ac:dyDescent="0.15">
      <c r="A2482" t="s">
        <v>24</v>
      </c>
      <c r="F2482"/>
      <c r="M2482"/>
    </row>
    <row r="2483" spans="1:13" x14ac:dyDescent="0.15">
      <c r="A2483" t="s">
        <v>24</v>
      </c>
      <c r="F2483"/>
      <c r="M2483"/>
    </row>
    <row r="2484" spans="1:13" x14ac:dyDescent="0.15">
      <c r="A2484" t="s">
        <v>24</v>
      </c>
      <c r="F2484"/>
      <c r="M2484"/>
    </row>
    <row r="2485" spans="1:13" x14ac:dyDescent="0.15">
      <c r="A2485" t="s">
        <v>24</v>
      </c>
      <c r="F2485"/>
      <c r="M2485"/>
    </row>
    <row r="2486" spans="1:13" x14ac:dyDescent="0.15">
      <c r="A2486" t="s">
        <v>24</v>
      </c>
      <c r="F2486"/>
      <c r="M2486"/>
    </row>
    <row r="2487" spans="1:13" x14ac:dyDescent="0.15">
      <c r="A2487" t="s">
        <v>24</v>
      </c>
      <c r="F2487"/>
      <c r="M2487"/>
    </row>
    <row r="2488" spans="1:13" x14ac:dyDescent="0.15">
      <c r="A2488" t="s">
        <v>24</v>
      </c>
      <c r="F2488"/>
      <c r="M2488"/>
    </row>
    <row r="2489" spans="1:13" x14ac:dyDescent="0.15">
      <c r="A2489" t="s">
        <v>24</v>
      </c>
      <c r="F2489"/>
      <c r="M2489"/>
    </row>
    <row r="2490" spans="1:13" x14ac:dyDescent="0.15">
      <c r="A2490" t="s">
        <v>24</v>
      </c>
      <c r="F2490"/>
      <c r="M2490"/>
    </row>
    <row r="2491" spans="1:13" x14ac:dyDescent="0.15">
      <c r="A2491" t="s">
        <v>24</v>
      </c>
      <c r="F2491"/>
      <c r="M2491"/>
    </row>
    <row r="2492" spans="1:13" x14ac:dyDescent="0.15">
      <c r="A2492" t="s">
        <v>24</v>
      </c>
      <c r="F2492"/>
      <c r="M2492"/>
    </row>
    <row r="2493" spans="1:13" x14ac:dyDescent="0.15">
      <c r="A2493" t="s">
        <v>24</v>
      </c>
      <c r="F2493"/>
      <c r="M2493"/>
    </row>
    <row r="2494" spans="1:13" x14ac:dyDescent="0.15">
      <c r="A2494" t="s">
        <v>24</v>
      </c>
      <c r="F2494"/>
      <c r="M2494"/>
    </row>
    <row r="2495" spans="1:13" x14ac:dyDescent="0.15">
      <c r="A2495" t="s">
        <v>24</v>
      </c>
      <c r="F2495"/>
      <c r="M2495"/>
    </row>
    <row r="2496" spans="1:13" x14ac:dyDescent="0.15">
      <c r="A2496" t="s">
        <v>24</v>
      </c>
      <c r="F2496"/>
      <c r="M2496"/>
    </row>
    <row r="2497" spans="1:13" x14ac:dyDescent="0.15">
      <c r="A2497" t="s">
        <v>24</v>
      </c>
      <c r="F2497"/>
      <c r="M2497"/>
    </row>
    <row r="2498" spans="1:13" x14ac:dyDescent="0.15">
      <c r="A2498" t="s">
        <v>24</v>
      </c>
      <c r="F2498"/>
      <c r="M2498"/>
    </row>
    <row r="2499" spans="1:13" x14ac:dyDescent="0.15">
      <c r="A2499" t="s">
        <v>24</v>
      </c>
      <c r="F2499"/>
      <c r="M2499"/>
    </row>
    <row r="2500" spans="1:13" x14ac:dyDescent="0.15">
      <c r="A2500" t="s">
        <v>24</v>
      </c>
      <c r="F2500"/>
      <c r="M2500"/>
    </row>
    <row r="2501" spans="1:13" x14ac:dyDescent="0.15">
      <c r="A2501" t="s">
        <v>24</v>
      </c>
      <c r="F2501"/>
      <c r="M2501"/>
    </row>
    <row r="2502" spans="1:13" x14ac:dyDescent="0.15">
      <c r="A2502" t="s">
        <v>24</v>
      </c>
      <c r="F2502"/>
      <c r="M2502"/>
    </row>
    <row r="2503" spans="1:13" x14ac:dyDescent="0.15">
      <c r="A2503" t="s">
        <v>24</v>
      </c>
      <c r="F2503"/>
      <c r="M2503"/>
    </row>
    <row r="2504" spans="1:13" x14ac:dyDescent="0.15">
      <c r="A2504" t="s">
        <v>24</v>
      </c>
      <c r="F2504"/>
      <c r="M2504"/>
    </row>
    <row r="2505" spans="1:13" x14ac:dyDescent="0.15">
      <c r="A2505" t="s">
        <v>24</v>
      </c>
      <c r="F2505"/>
      <c r="M2505"/>
    </row>
    <row r="2506" spans="1:13" x14ac:dyDescent="0.15">
      <c r="A2506" t="s">
        <v>24</v>
      </c>
      <c r="F2506"/>
      <c r="M2506"/>
    </row>
    <row r="2507" spans="1:13" x14ac:dyDescent="0.15">
      <c r="A2507" t="s">
        <v>24</v>
      </c>
      <c r="F2507"/>
      <c r="M2507"/>
    </row>
    <row r="2508" spans="1:13" x14ac:dyDescent="0.15">
      <c r="A2508" t="s">
        <v>24</v>
      </c>
      <c r="F2508"/>
      <c r="M2508"/>
    </row>
    <row r="2509" spans="1:13" x14ac:dyDescent="0.15">
      <c r="A2509" t="s">
        <v>24</v>
      </c>
      <c r="F2509"/>
      <c r="M2509"/>
    </row>
    <row r="2510" spans="1:13" x14ac:dyDescent="0.15">
      <c r="A2510" t="s">
        <v>24</v>
      </c>
      <c r="F2510"/>
      <c r="M2510"/>
    </row>
    <row r="2511" spans="1:13" x14ac:dyDescent="0.15">
      <c r="A2511" t="s">
        <v>24</v>
      </c>
      <c r="F2511"/>
      <c r="M2511"/>
    </row>
    <row r="2512" spans="1:13" x14ac:dyDescent="0.15">
      <c r="A2512" t="s">
        <v>24</v>
      </c>
      <c r="F2512"/>
      <c r="M2512"/>
    </row>
    <row r="2513" spans="1:13" x14ac:dyDescent="0.15">
      <c r="A2513" t="s">
        <v>24</v>
      </c>
      <c r="F2513"/>
      <c r="M2513"/>
    </row>
    <row r="2514" spans="1:13" x14ac:dyDescent="0.15">
      <c r="A2514" t="s">
        <v>24</v>
      </c>
      <c r="F2514"/>
      <c r="M2514"/>
    </row>
    <row r="2515" spans="1:13" x14ac:dyDescent="0.15">
      <c r="A2515" t="s">
        <v>24</v>
      </c>
      <c r="F2515"/>
      <c r="M2515"/>
    </row>
    <row r="2516" spans="1:13" x14ac:dyDescent="0.15">
      <c r="A2516" t="s">
        <v>24</v>
      </c>
      <c r="F2516"/>
      <c r="M2516"/>
    </row>
    <row r="2517" spans="1:13" x14ac:dyDescent="0.15">
      <c r="A2517" t="s">
        <v>24</v>
      </c>
      <c r="F2517"/>
      <c r="M2517"/>
    </row>
    <row r="2518" spans="1:13" x14ac:dyDescent="0.15">
      <c r="A2518" t="s">
        <v>24</v>
      </c>
      <c r="F2518"/>
      <c r="M2518"/>
    </row>
    <row r="2519" spans="1:13" x14ac:dyDescent="0.15">
      <c r="A2519" t="s">
        <v>24</v>
      </c>
      <c r="F2519"/>
      <c r="M2519"/>
    </row>
    <row r="2520" spans="1:13" x14ac:dyDescent="0.15">
      <c r="A2520" t="s">
        <v>24</v>
      </c>
      <c r="F2520"/>
      <c r="M2520"/>
    </row>
    <row r="2521" spans="1:13" x14ac:dyDescent="0.15">
      <c r="A2521" t="s">
        <v>24</v>
      </c>
      <c r="F2521"/>
      <c r="M2521"/>
    </row>
    <row r="2522" spans="1:13" x14ac:dyDescent="0.15">
      <c r="A2522" t="s">
        <v>24</v>
      </c>
      <c r="F2522"/>
      <c r="M2522"/>
    </row>
    <row r="2523" spans="1:13" x14ac:dyDescent="0.15">
      <c r="A2523" t="s">
        <v>24</v>
      </c>
      <c r="F2523"/>
      <c r="M2523"/>
    </row>
    <row r="2524" spans="1:13" x14ac:dyDescent="0.15">
      <c r="A2524" t="s">
        <v>24</v>
      </c>
      <c r="F2524"/>
      <c r="M2524"/>
    </row>
    <row r="2525" spans="1:13" x14ac:dyDescent="0.15">
      <c r="A2525" t="s">
        <v>24</v>
      </c>
      <c r="F2525"/>
      <c r="M2525"/>
    </row>
    <row r="2526" spans="1:13" x14ac:dyDescent="0.15">
      <c r="A2526" t="s">
        <v>24</v>
      </c>
      <c r="F2526"/>
      <c r="M2526"/>
    </row>
    <row r="2527" spans="1:13" x14ac:dyDescent="0.15">
      <c r="A2527" t="s">
        <v>24</v>
      </c>
      <c r="F2527"/>
      <c r="M2527"/>
    </row>
    <row r="2528" spans="1:13" x14ac:dyDescent="0.15">
      <c r="A2528" t="s">
        <v>24</v>
      </c>
      <c r="F2528"/>
      <c r="M2528"/>
    </row>
    <row r="2529" spans="1:13" x14ac:dyDescent="0.15">
      <c r="A2529" t="s">
        <v>24</v>
      </c>
      <c r="F2529"/>
      <c r="M2529"/>
    </row>
    <row r="2530" spans="1:13" x14ac:dyDescent="0.15">
      <c r="A2530" t="s">
        <v>24</v>
      </c>
      <c r="F2530"/>
      <c r="M2530"/>
    </row>
    <row r="2531" spans="1:13" x14ac:dyDescent="0.15">
      <c r="A2531" t="s">
        <v>24</v>
      </c>
      <c r="F2531"/>
      <c r="M2531"/>
    </row>
    <row r="2532" spans="1:13" x14ac:dyDescent="0.15">
      <c r="A2532" t="s">
        <v>24</v>
      </c>
      <c r="F2532"/>
      <c r="M2532"/>
    </row>
    <row r="2533" spans="1:13" x14ac:dyDescent="0.15">
      <c r="A2533" t="s">
        <v>24</v>
      </c>
      <c r="F2533"/>
      <c r="M2533"/>
    </row>
    <row r="2534" spans="1:13" x14ac:dyDescent="0.15">
      <c r="A2534" t="s">
        <v>24</v>
      </c>
      <c r="F2534"/>
      <c r="M2534"/>
    </row>
    <row r="2535" spans="1:13" x14ac:dyDescent="0.15">
      <c r="A2535" t="s">
        <v>24</v>
      </c>
      <c r="F2535"/>
      <c r="M2535"/>
    </row>
    <row r="2536" spans="1:13" x14ac:dyDescent="0.15">
      <c r="A2536" t="s">
        <v>24</v>
      </c>
      <c r="F2536"/>
      <c r="M2536"/>
    </row>
    <row r="2537" spans="1:13" x14ac:dyDescent="0.15">
      <c r="A2537" t="s">
        <v>24</v>
      </c>
      <c r="F2537"/>
      <c r="M2537"/>
    </row>
    <row r="2538" spans="1:13" x14ac:dyDescent="0.15">
      <c r="A2538" t="s">
        <v>24</v>
      </c>
      <c r="F2538"/>
      <c r="M2538"/>
    </row>
    <row r="2539" spans="1:13" x14ac:dyDescent="0.15">
      <c r="A2539" t="s">
        <v>24</v>
      </c>
      <c r="F2539"/>
      <c r="M2539"/>
    </row>
    <row r="2540" spans="1:13" x14ac:dyDescent="0.15">
      <c r="A2540" t="s">
        <v>24</v>
      </c>
      <c r="F2540"/>
      <c r="M2540"/>
    </row>
    <row r="2541" spans="1:13" x14ac:dyDescent="0.15">
      <c r="A2541" t="s">
        <v>24</v>
      </c>
      <c r="F2541"/>
      <c r="M2541"/>
    </row>
    <row r="2542" spans="1:13" x14ac:dyDescent="0.15">
      <c r="A2542" t="s">
        <v>24</v>
      </c>
      <c r="F2542"/>
      <c r="M2542"/>
    </row>
    <row r="2543" spans="1:13" x14ac:dyDescent="0.15">
      <c r="A2543" t="s">
        <v>24</v>
      </c>
      <c r="F2543"/>
      <c r="M2543"/>
    </row>
    <row r="2544" spans="1:13" x14ac:dyDescent="0.15">
      <c r="A2544" t="s">
        <v>24</v>
      </c>
      <c r="F2544"/>
      <c r="M2544"/>
    </row>
    <row r="2545" spans="1:13" x14ac:dyDescent="0.15">
      <c r="A2545" t="s">
        <v>24</v>
      </c>
      <c r="F2545"/>
      <c r="M2545"/>
    </row>
    <row r="2546" spans="1:13" x14ac:dyDescent="0.15">
      <c r="A2546" t="s">
        <v>24</v>
      </c>
      <c r="F2546"/>
      <c r="M2546"/>
    </row>
    <row r="2547" spans="1:13" x14ac:dyDescent="0.15">
      <c r="A2547" t="s">
        <v>24</v>
      </c>
      <c r="F2547"/>
      <c r="M2547"/>
    </row>
    <row r="2548" spans="1:13" x14ac:dyDescent="0.15">
      <c r="A2548" t="s">
        <v>24</v>
      </c>
      <c r="F2548"/>
      <c r="M2548"/>
    </row>
    <row r="2549" spans="1:13" x14ac:dyDescent="0.15">
      <c r="A2549" t="s">
        <v>24</v>
      </c>
      <c r="F2549"/>
      <c r="M2549"/>
    </row>
    <row r="2550" spans="1:13" x14ac:dyDescent="0.15">
      <c r="A2550" t="s">
        <v>24</v>
      </c>
      <c r="F2550"/>
      <c r="M2550"/>
    </row>
    <row r="2551" spans="1:13" x14ac:dyDescent="0.15">
      <c r="A2551" t="s">
        <v>24</v>
      </c>
      <c r="F2551"/>
      <c r="M2551"/>
    </row>
    <row r="2552" spans="1:13" x14ac:dyDescent="0.15">
      <c r="A2552" t="s">
        <v>24</v>
      </c>
      <c r="F2552"/>
      <c r="M2552"/>
    </row>
    <row r="2553" spans="1:13" x14ac:dyDescent="0.15">
      <c r="A2553" t="s">
        <v>24</v>
      </c>
      <c r="F2553"/>
      <c r="M2553"/>
    </row>
    <row r="2554" spans="1:13" x14ac:dyDescent="0.15">
      <c r="A2554" t="s">
        <v>24</v>
      </c>
      <c r="F2554"/>
      <c r="M2554"/>
    </row>
    <row r="2555" spans="1:13" x14ac:dyDescent="0.15">
      <c r="A2555" t="s">
        <v>24</v>
      </c>
      <c r="F2555"/>
      <c r="M2555"/>
    </row>
    <row r="2556" spans="1:13" x14ac:dyDescent="0.15">
      <c r="A2556" t="s">
        <v>24</v>
      </c>
      <c r="F2556"/>
      <c r="M2556"/>
    </row>
    <row r="2557" spans="1:13" x14ac:dyDescent="0.15">
      <c r="A2557" t="s">
        <v>24</v>
      </c>
      <c r="F2557"/>
      <c r="M2557"/>
    </row>
    <row r="2558" spans="1:13" x14ac:dyDescent="0.15">
      <c r="A2558" t="s">
        <v>24</v>
      </c>
      <c r="F2558"/>
      <c r="M2558"/>
    </row>
    <row r="2559" spans="1:13" x14ac:dyDescent="0.15">
      <c r="A2559" t="s">
        <v>24</v>
      </c>
      <c r="F2559"/>
      <c r="M2559"/>
    </row>
    <row r="2560" spans="1:13" x14ac:dyDescent="0.15">
      <c r="A2560" t="s">
        <v>24</v>
      </c>
      <c r="F2560"/>
      <c r="M2560"/>
    </row>
    <row r="2561" spans="1:13" x14ac:dyDescent="0.15">
      <c r="A2561" t="s">
        <v>24</v>
      </c>
      <c r="F2561"/>
      <c r="M2561"/>
    </row>
    <row r="2562" spans="1:13" x14ac:dyDescent="0.15">
      <c r="A2562" t="s">
        <v>24</v>
      </c>
      <c r="F2562"/>
      <c r="M2562"/>
    </row>
    <row r="2563" spans="1:13" x14ac:dyDescent="0.15">
      <c r="A2563" t="s">
        <v>24</v>
      </c>
      <c r="F2563"/>
      <c r="M2563"/>
    </row>
    <row r="2564" spans="1:13" x14ac:dyDescent="0.15">
      <c r="A2564" t="s">
        <v>24</v>
      </c>
      <c r="F2564"/>
      <c r="M2564"/>
    </row>
    <row r="2565" spans="1:13" x14ac:dyDescent="0.15">
      <c r="A2565" t="s">
        <v>24</v>
      </c>
      <c r="F2565"/>
      <c r="M2565"/>
    </row>
    <row r="2566" spans="1:13" x14ac:dyDescent="0.15">
      <c r="A2566" t="s">
        <v>24</v>
      </c>
      <c r="F2566"/>
      <c r="M2566"/>
    </row>
    <row r="2567" spans="1:13" x14ac:dyDescent="0.15">
      <c r="A2567" t="s">
        <v>24</v>
      </c>
      <c r="F2567"/>
      <c r="M2567"/>
    </row>
    <row r="2568" spans="1:13" x14ac:dyDescent="0.15">
      <c r="A2568" t="s">
        <v>24</v>
      </c>
      <c r="F2568"/>
      <c r="M2568"/>
    </row>
    <row r="2569" spans="1:13" x14ac:dyDescent="0.15">
      <c r="A2569" t="s">
        <v>24</v>
      </c>
      <c r="F2569"/>
      <c r="M2569"/>
    </row>
    <row r="2570" spans="1:13" x14ac:dyDescent="0.15">
      <c r="A2570" t="s">
        <v>24</v>
      </c>
      <c r="F2570"/>
      <c r="M2570"/>
    </row>
    <row r="2571" spans="1:13" x14ac:dyDescent="0.15">
      <c r="A2571" t="s">
        <v>24</v>
      </c>
      <c r="F2571"/>
      <c r="M2571"/>
    </row>
    <row r="2572" spans="1:13" x14ac:dyDescent="0.15">
      <c r="A2572" t="s">
        <v>24</v>
      </c>
      <c r="F2572"/>
      <c r="M2572"/>
    </row>
    <row r="2573" spans="1:13" x14ac:dyDescent="0.15">
      <c r="A2573" t="s">
        <v>24</v>
      </c>
      <c r="F2573"/>
      <c r="M2573"/>
    </row>
    <row r="2574" spans="1:13" x14ac:dyDescent="0.15">
      <c r="A2574" t="s">
        <v>24</v>
      </c>
      <c r="F2574"/>
      <c r="M2574"/>
    </row>
    <row r="2575" spans="1:13" x14ac:dyDescent="0.15">
      <c r="A2575" t="s">
        <v>24</v>
      </c>
      <c r="F2575"/>
      <c r="M2575"/>
    </row>
    <row r="2576" spans="1:13" x14ac:dyDescent="0.15">
      <c r="A2576" t="s">
        <v>24</v>
      </c>
      <c r="F2576"/>
      <c r="M2576"/>
    </row>
    <row r="2577" spans="1:13" x14ac:dyDescent="0.15">
      <c r="A2577" t="s">
        <v>24</v>
      </c>
      <c r="F2577"/>
      <c r="M2577"/>
    </row>
    <row r="2578" spans="1:13" x14ac:dyDescent="0.15">
      <c r="A2578" t="s">
        <v>24</v>
      </c>
      <c r="F2578"/>
      <c r="M2578"/>
    </row>
    <row r="2579" spans="1:13" x14ac:dyDescent="0.15">
      <c r="A2579" t="s">
        <v>24</v>
      </c>
      <c r="F2579"/>
      <c r="M2579"/>
    </row>
    <row r="2580" spans="1:13" x14ac:dyDescent="0.15">
      <c r="A2580" t="s">
        <v>24</v>
      </c>
      <c r="F2580"/>
      <c r="M2580"/>
    </row>
    <row r="2581" spans="1:13" x14ac:dyDescent="0.15">
      <c r="A2581" t="s">
        <v>24</v>
      </c>
      <c r="F2581"/>
      <c r="M2581"/>
    </row>
    <row r="2582" spans="1:13" x14ac:dyDescent="0.15">
      <c r="A2582" t="s">
        <v>24</v>
      </c>
      <c r="F2582"/>
      <c r="M2582"/>
    </row>
    <row r="2583" spans="1:13" x14ac:dyDescent="0.15">
      <c r="A2583" t="s">
        <v>24</v>
      </c>
      <c r="F2583"/>
      <c r="M2583"/>
    </row>
    <row r="2584" spans="1:13" x14ac:dyDescent="0.15">
      <c r="A2584" t="s">
        <v>24</v>
      </c>
      <c r="F2584"/>
      <c r="M2584"/>
    </row>
    <row r="2585" spans="1:13" x14ac:dyDescent="0.15">
      <c r="A2585" t="s">
        <v>24</v>
      </c>
      <c r="F2585"/>
      <c r="M2585"/>
    </row>
    <row r="2586" spans="1:13" x14ac:dyDescent="0.15">
      <c r="A2586" t="s">
        <v>24</v>
      </c>
      <c r="F2586"/>
      <c r="M2586"/>
    </row>
    <row r="2587" spans="1:13" x14ac:dyDescent="0.15">
      <c r="A2587" t="s">
        <v>24</v>
      </c>
      <c r="F2587"/>
      <c r="M2587"/>
    </row>
    <row r="2588" spans="1:13" x14ac:dyDescent="0.15">
      <c r="A2588" t="s">
        <v>24</v>
      </c>
      <c r="F2588"/>
      <c r="M2588"/>
    </row>
    <row r="2589" spans="1:13" x14ac:dyDescent="0.15">
      <c r="A2589" t="s">
        <v>24</v>
      </c>
      <c r="F2589"/>
      <c r="M2589"/>
    </row>
    <row r="2590" spans="1:13" x14ac:dyDescent="0.15">
      <c r="A2590" t="s">
        <v>24</v>
      </c>
      <c r="F2590"/>
      <c r="M2590"/>
    </row>
    <row r="2591" spans="1:13" x14ac:dyDescent="0.15">
      <c r="A2591" t="s">
        <v>24</v>
      </c>
      <c r="F2591"/>
      <c r="M2591"/>
    </row>
    <row r="2592" spans="1:13" x14ac:dyDescent="0.15">
      <c r="A2592" t="s">
        <v>24</v>
      </c>
      <c r="F2592"/>
      <c r="M2592"/>
    </row>
    <row r="2593" spans="1:13" x14ac:dyDescent="0.15">
      <c r="A2593" t="s">
        <v>24</v>
      </c>
      <c r="F2593"/>
      <c r="M2593"/>
    </row>
    <row r="2594" spans="1:13" x14ac:dyDescent="0.15">
      <c r="A2594" t="s">
        <v>24</v>
      </c>
      <c r="F2594"/>
      <c r="M2594"/>
    </row>
    <row r="2595" spans="1:13" x14ac:dyDescent="0.15">
      <c r="A2595" t="s">
        <v>24</v>
      </c>
      <c r="F2595"/>
      <c r="M2595"/>
    </row>
    <row r="2596" spans="1:13" x14ac:dyDescent="0.15">
      <c r="A2596" t="s">
        <v>24</v>
      </c>
      <c r="F2596"/>
      <c r="M2596"/>
    </row>
    <row r="2597" spans="1:13" x14ac:dyDescent="0.15">
      <c r="A2597" t="s">
        <v>24</v>
      </c>
      <c r="F2597"/>
      <c r="M2597"/>
    </row>
    <row r="2598" spans="1:13" x14ac:dyDescent="0.15">
      <c r="A2598" t="s">
        <v>24</v>
      </c>
      <c r="F2598"/>
      <c r="M2598"/>
    </row>
    <row r="2599" spans="1:13" x14ac:dyDescent="0.15">
      <c r="A2599" t="s">
        <v>24</v>
      </c>
      <c r="F2599"/>
      <c r="M2599"/>
    </row>
    <row r="2600" spans="1:13" x14ac:dyDescent="0.15">
      <c r="A2600" t="s">
        <v>24</v>
      </c>
      <c r="F2600"/>
      <c r="M2600"/>
    </row>
    <row r="2601" spans="1:13" x14ac:dyDescent="0.15">
      <c r="A2601" t="s">
        <v>24</v>
      </c>
      <c r="F2601"/>
      <c r="M2601"/>
    </row>
    <row r="2602" spans="1:13" x14ac:dyDescent="0.15">
      <c r="A2602" t="s">
        <v>24</v>
      </c>
      <c r="F2602"/>
      <c r="M2602"/>
    </row>
    <row r="2603" spans="1:13" x14ac:dyDescent="0.15">
      <c r="A2603" t="s">
        <v>24</v>
      </c>
      <c r="F2603"/>
      <c r="M2603"/>
    </row>
    <row r="2604" spans="1:13" x14ac:dyDescent="0.15">
      <c r="A2604" t="s">
        <v>24</v>
      </c>
      <c r="F2604"/>
      <c r="M2604"/>
    </row>
    <row r="2605" spans="1:13" x14ac:dyDescent="0.15">
      <c r="A2605" t="s">
        <v>24</v>
      </c>
      <c r="F2605"/>
      <c r="M2605"/>
    </row>
    <row r="2606" spans="1:13" x14ac:dyDescent="0.15">
      <c r="A2606" t="s">
        <v>24</v>
      </c>
      <c r="F2606"/>
      <c r="M2606"/>
    </row>
    <row r="2607" spans="1:13" x14ac:dyDescent="0.15">
      <c r="A2607" t="s">
        <v>24</v>
      </c>
      <c r="F2607"/>
      <c r="M2607"/>
    </row>
    <row r="2608" spans="1:13" x14ac:dyDescent="0.15">
      <c r="A2608" t="s">
        <v>24</v>
      </c>
      <c r="F2608"/>
      <c r="M2608"/>
    </row>
    <row r="2609" spans="1:13" x14ac:dyDescent="0.15">
      <c r="A2609" t="s">
        <v>24</v>
      </c>
      <c r="F2609"/>
      <c r="M2609"/>
    </row>
    <row r="2610" spans="1:13" x14ac:dyDescent="0.15">
      <c r="A2610" t="s">
        <v>24</v>
      </c>
      <c r="F2610"/>
      <c r="M2610"/>
    </row>
    <row r="2611" spans="1:13" x14ac:dyDescent="0.15">
      <c r="A2611" t="s">
        <v>24</v>
      </c>
      <c r="F2611"/>
      <c r="M2611"/>
    </row>
    <row r="2612" spans="1:13" x14ac:dyDescent="0.15">
      <c r="A2612" t="s">
        <v>24</v>
      </c>
      <c r="F2612"/>
      <c r="M2612"/>
    </row>
    <row r="2613" spans="1:13" x14ac:dyDescent="0.15">
      <c r="A2613" t="s">
        <v>24</v>
      </c>
      <c r="F2613"/>
      <c r="M2613"/>
    </row>
    <row r="2614" spans="1:13" x14ac:dyDescent="0.15">
      <c r="A2614" t="s">
        <v>24</v>
      </c>
      <c r="F2614"/>
      <c r="M2614"/>
    </row>
    <row r="2615" spans="1:13" x14ac:dyDescent="0.15">
      <c r="A2615" t="s">
        <v>24</v>
      </c>
      <c r="F2615"/>
      <c r="M2615"/>
    </row>
    <row r="2616" spans="1:13" x14ac:dyDescent="0.15">
      <c r="A2616" t="s">
        <v>24</v>
      </c>
      <c r="F2616"/>
      <c r="M2616"/>
    </row>
    <row r="2617" spans="1:13" x14ac:dyDescent="0.15">
      <c r="A2617" t="s">
        <v>24</v>
      </c>
      <c r="F2617"/>
      <c r="M2617"/>
    </row>
    <row r="2618" spans="1:13" x14ac:dyDescent="0.15">
      <c r="A2618" t="s">
        <v>24</v>
      </c>
      <c r="F2618"/>
      <c r="M2618"/>
    </row>
    <row r="2619" spans="1:13" x14ac:dyDescent="0.15">
      <c r="A2619" t="s">
        <v>24</v>
      </c>
      <c r="F2619"/>
      <c r="M2619"/>
    </row>
    <row r="2620" spans="1:13" x14ac:dyDescent="0.15">
      <c r="A2620" t="s">
        <v>24</v>
      </c>
      <c r="F2620"/>
      <c r="M2620"/>
    </row>
    <row r="2621" spans="1:13" x14ac:dyDescent="0.15">
      <c r="A2621" t="s">
        <v>24</v>
      </c>
      <c r="F2621"/>
      <c r="M2621"/>
    </row>
    <row r="2622" spans="1:13" x14ac:dyDescent="0.15">
      <c r="A2622" t="s">
        <v>24</v>
      </c>
      <c r="F2622"/>
      <c r="M2622"/>
    </row>
    <row r="2623" spans="1:13" x14ac:dyDescent="0.15">
      <c r="A2623" t="s">
        <v>24</v>
      </c>
      <c r="F2623"/>
      <c r="M2623"/>
    </row>
    <row r="2624" spans="1:13" x14ac:dyDescent="0.15">
      <c r="A2624" t="s">
        <v>24</v>
      </c>
      <c r="F2624"/>
      <c r="M2624"/>
    </row>
    <row r="2625" spans="1:13" x14ac:dyDescent="0.15">
      <c r="A2625" t="s">
        <v>24</v>
      </c>
      <c r="F2625"/>
      <c r="M2625"/>
    </row>
    <row r="2626" spans="1:13" x14ac:dyDescent="0.15">
      <c r="A2626" t="s">
        <v>24</v>
      </c>
      <c r="F2626"/>
      <c r="M2626"/>
    </row>
    <row r="2627" spans="1:13" x14ac:dyDescent="0.15">
      <c r="A2627" t="s">
        <v>24</v>
      </c>
      <c r="F2627"/>
      <c r="M2627"/>
    </row>
    <row r="2628" spans="1:13" x14ac:dyDescent="0.15">
      <c r="A2628" t="s">
        <v>24</v>
      </c>
      <c r="F2628"/>
      <c r="M2628"/>
    </row>
    <row r="2629" spans="1:13" x14ac:dyDescent="0.15">
      <c r="A2629" t="s">
        <v>24</v>
      </c>
      <c r="F2629"/>
      <c r="M2629"/>
    </row>
    <row r="2630" spans="1:13" x14ac:dyDescent="0.15">
      <c r="A2630" t="s">
        <v>24</v>
      </c>
      <c r="F2630"/>
      <c r="M2630"/>
    </row>
    <row r="2631" spans="1:13" x14ac:dyDescent="0.15">
      <c r="A2631" t="s">
        <v>24</v>
      </c>
      <c r="F2631"/>
      <c r="M2631"/>
    </row>
    <row r="2632" spans="1:13" x14ac:dyDescent="0.15">
      <c r="A2632" t="s">
        <v>24</v>
      </c>
      <c r="F2632"/>
      <c r="M2632"/>
    </row>
    <row r="2633" spans="1:13" x14ac:dyDescent="0.15">
      <c r="A2633" t="s">
        <v>24</v>
      </c>
      <c r="F2633"/>
      <c r="M2633"/>
    </row>
    <row r="2634" spans="1:13" x14ac:dyDescent="0.15">
      <c r="A2634" t="s">
        <v>24</v>
      </c>
      <c r="F2634"/>
      <c r="M2634"/>
    </row>
    <row r="2635" spans="1:13" x14ac:dyDescent="0.15">
      <c r="A2635" t="s">
        <v>24</v>
      </c>
      <c r="F2635"/>
      <c r="M2635"/>
    </row>
    <row r="2636" spans="1:13" x14ac:dyDescent="0.15">
      <c r="A2636" t="s">
        <v>24</v>
      </c>
      <c r="F2636"/>
      <c r="M2636"/>
    </row>
    <row r="2637" spans="1:13" x14ac:dyDescent="0.15">
      <c r="A2637" t="s">
        <v>24</v>
      </c>
      <c r="F2637"/>
      <c r="M2637"/>
    </row>
    <row r="2638" spans="1:13" x14ac:dyDescent="0.15">
      <c r="A2638" t="s">
        <v>24</v>
      </c>
      <c r="F2638"/>
      <c r="M2638"/>
    </row>
    <row r="2639" spans="1:13" x14ac:dyDescent="0.15">
      <c r="A2639" t="s">
        <v>24</v>
      </c>
      <c r="F2639"/>
      <c r="M2639"/>
    </row>
    <row r="2640" spans="1:13" x14ac:dyDescent="0.15">
      <c r="A2640" t="s">
        <v>24</v>
      </c>
      <c r="F2640"/>
      <c r="M2640"/>
    </row>
    <row r="2641" spans="1:13" x14ac:dyDescent="0.15">
      <c r="A2641" t="s">
        <v>24</v>
      </c>
      <c r="F2641"/>
      <c r="M2641"/>
    </row>
    <row r="2642" spans="1:13" x14ac:dyDescent="0.15">
      <c r="A2642" t="s">
        <v>24</v>
      </c>
      <c r="F2642"/>
      <c r="M2642"/>
    </row>
    <row r="2643" spans="1:13" x14ac:dyDescent="0.15">
      <c r="A2643" t="s">
        <v>24</v>
      </c>
      <c r="F2643"/>
      <c r="M2643"/>
    </row>
    <row r="2644" spans="1:13" x14ac:dyDescent="0.15">
      <c r="A2644" t="s">
        <v>24</v>
      </c>
      <c r="F2644"/>
      <c r="M2644"/>
    </row>
    <row r="2645" spans="1:13" x14ac:dyDescent="0.15">
      <c r="A2645" t="s">
        <v>24</v>
      </c>
      <c r="F2645"/>
      <c r="M2645"/>
    </row>
    <row r="2646" spans="1:13" x14ac:dyDescent="0.15">
      <c r="A2646" t="s">
        <v>24</v>
      </c>
      <c r="F2646"/>
      <c r="M2646"/>
    </row>
    <row r="2647" spans="1:13" x14ac:dyDescent="0.15">
      <c r="A2647" t="s">
        <v>24</v>
      </c>
      <c r="F2647"/>
      <c r="M2647"/>
    </row>
    <row r="2648" spans="1:13" x14ac:dyDescent="0.15">
      <c r="A2648" t="s">
        <v>24</v>
      </c>
      <c r="F2648"/>
      <c r="M2648"/>
    </row>
    <row r="2649" spans="1:13" x14ac:dyDescent="0.15">
      <c r="A2649" t="s">
        <v>24</v>
      </c>
      <c r="F2649"/>
      <c r="M2649"/>
    </row>
    <row r="2650" spans="1:13" x14ac:dyDescent="0.15">
      <c r="A2650" t="s">
        <v>24</v>
      </c>
      <c r="F2650"/>
      <c r="M2650"/>
    </row>
    <row r="2651" spans="1:13" x14ac:dyDescent="0.15">
      <c r="A2651" t="s">
        <v>24</v>
      </c>
      <c r="F2651"/>
      <c r="M2651"/>
    </row>
    <row r="2652" spans="1:13" x14ac:dyDescent="0.15">
      <c r="A2652" t="s">
        <v>24</v>
      </c>
      <c r="F2652"/>
      <c r="M2652"/>
    </row>
    <row r="2653" spans="1:13" x14ac:dyDescent="0.15">
      <c r="A2653" t="s">
        <v>24</v>
      </c>
      <c r="F2653"/>
      <c r="M2653"/>
    </row>
    <row r="2654" spans="1:13" x14ac:dyDescent="0.15">
      <c r="A2654" t="s">
        <v>24</v>
      </c>
      <c r="F2654"/>
      <c r="M2654"/>
    </row>
    <row r="2655" spans="1:13" x14ac:dyDescent="0.15">
      <c r="A2655" t="s">
        <v>24</v>
      </c>
      <c r="F2655"/>
      <c r="M2655"/>
    </row>
    <row r="2656" spans="1:13" x14ac:dyDescent="0.15">
      <c r="A2656" t="s">
        <v>24</v>
      </c>
      <c r="F2656"/>
      <c r="M2656"/>
    </row>
    <row r="2657" spans="1:13" x14ac:dyDescent="0.15">
      <c r="A2657" t="s">
        <v>24</v>
      </c>
      <c r="F2657"/>
      <c r="M2657"/>
    </row>
    <row r="2658" spans="1:13" x14ac:dyDescent="0.15">
      <c r="A2658" t="s">
        <v>24</v>
      </c>
      <c r="F2658"/>
      <c r="M2658"/>
    </row>
    <row r="2659" spans="1:13" x14ac:dyDescent="0.15">
      <c r="A2659" t="s">
        <v>24</v>
      </c>
      <c r="F2659"/>
      <c r="M2659"/>
    </row>
    <row r="2660" spans="1:13" x14ac:dyDescent="0.15">
      <c r="A2660" t="s">
        <v>24</v>
      </c>
      <c r="F2660"/>
      <c r="M2660"/>
    </row>
    <row r="2661" spans="1:13" x14ac:dyDescent="0.15">
      <c r="A2661" t="s">
        <v>24</v>
      </c>
      <c r="F2661"/>
      <c r="M2661"/>
    </row>
    <row r="2662" spans="1:13" x14ac:dyDescent="0.15">
      <c r="A2662" t="s">
        <v>24</v>
      </c>
      <c r="F2662"/>
      <c r="M2662"/>
    </row>
    <row r="2663" spans="1:13" x14ac:dyDescent="0.15">
      <c r="A2663" t="s">
        <v>24</v>
      </c>
      <c r="F2663"/>
      <c r="M2663"/>
    </row>
    <row r="2664" spans="1:13" x14ac:dyDescent="0.15">
      <c r="A2664" t="s">
        <v>24</v>
      </c>
      <c r="F2664"/>
      <c r="M2664"/>
    </row>
    <row r="2665" spans="1:13" x14ac:dyDescent="0.15">
      <c r="A2665" t="s">
        <v>24</v>
      </c>
      <c r="F2665"/>
      <c r="M2665"/>
    </row>
    <row r="2666" spans="1:13" x14ac:dyDescent="0.15">
      <c r="A2666" t="s">
        <v>24</v>
      </c>
      <c r="F2666"/>
      <c r="M2666"/>
    </row>
    <row r="2667" spans="1:13" x14ac:dyDescent="0.15">
      <c r="A2667" t="s">
        <v>24</v>
      </c>
      <c r="F2667"/>
      <c r="M2667"/>
    </row>
    <row r="2668" spans="1:13" x14ac:dyDescent="0.15">
      <c r="A2668" t="s">
        <v>24</v>
      </c>
      <c r="F2668"/>
      <c r="M2668"/>
    </row>
    <row r="2669" spans="1:13" x14ac:dyDescent="0.15">
      <c r="A2669" t="s">
        <v>24</v>
      </c>
      <c r="F2669"/>
      <c r="M2669"/>
    </row>
    <row r="2670" spans="1:13" x14ac:dyDescent="0.15">
      <c r="A2670" t="s">
        <v>24</v>
      </c>
      <c r="F2670"/>
      <c r="M2670"/>
    </row>
    <row r="2671" spans="1:13" x14ac:dyDescent="0.15">
      <c r="A2671" t="s">
        <v>24</v>
      </c>
      <c r="F2671"/>
      <c r="M2671"/>
    </row>
    <row r="2672" spans="1:13" x14ac:dyDescent="0.15">
      <c r="A2672" t="s">
        <v>24</v>
      </c>
      <c r="F2672"/>
      <c r="M2672"/>
    </row>
    <row r="2673" spans="1:13" x14ac:dyDescent="0.15">
      <c r="A2673" t="s">
        <v>24</v>
      </c>
      <c r="F2673"/>
      <c r="M2673"/>
    </row>
    <row r="2674" spans="1:13" x14ac:dyDescent="0.15">
      <c r="A2674" t="s">
        <v>24</v>
      </c>
      <c r="F2674"/>
      <c r="M2674"/>
    </row>
    <row r="2675" spans="1:13" x14ac:dyDescent="0.15">
      <c r="A2675" t="s">
        <v>24</v>
      </c>
      <c r="F2675"/>
      <c r="M2675"/>
    </row>
    <row r="2676" spans="1:13" x14ac:dyDescent="0.15">
      <c r="A2676" t="s">
        <v>24</v>
      </c>
      <c r="F2676"/>
      <c r="M2676"/>
    </row>
    <row r="2677" spans="1:13" x14ac:dyDescent="0.15">
      <c r="A2677" t="s">
        <v>24</v>
      </c>
      <c r="F2677"/>
      <c r="M2677"/>
    </row>
    <row r="2678" spans="1:13" x14ac:dyDescent="0.15">
      <c r="A2678" t="s">
        <v>24</v>
      </c>
      <c r="F2678"/>
      <c r="M2678"/>
    </row>
    <row r="2679" spans="1:13" x14ac:dyDescent="0.15">
      <c r="A2679" t="s">
        <v>24</v>
      </c>
      <c r="F2679"/>
      <c r="M2679"/>
    </row>
    <row r="2680" spans="1:13" x14ac:dyDescent="0.15">
      <c r="A2680" t="s">
        <v>24</v>
      </c>
      <c r="F2680"/>
      <c r="M2680"/>
    </row>
    <row r="2681" spans="1:13" x14ac:dyDescent="0.15">
      <c r="A2681" t="s">
        <v>24</v>
      </c>
      <c r="F2681"/>
      <c r="M2681"/>
    </row>
    <row r="2682" spans="1:13" x14ac:dyDescent="0.15">
      <c r="A2682" t="s">
        <v>24</v>
      </c>
      <c r="F2682"/>
      <c r="M2682"/>
    </row>
    <row r="2683" spans="1:13" x14ac:dyDescent="0.15">
      <c r="A2683" t="s">
        <v>24</v>
      </c>
      <c r="F2683"/>
      <c r="M2683"/>
    </row>
    <row r="2684" spans="1:13" x14ac:dyDescent="0.15">
      <c r="A2684" t="s">
        <v>24</v>
      </c>
      <c r="F2684"/>
      <c r="M2684"/>
    </row>
    <row r="2685" spans="1:13" x14ac:dyDescent="0.15">
      <c r="A2685" t="s">
        <v>24</v>
      </c>
      <c r="F2685"/>
      <c r="M2685"/>
    </row>
    <row r="2686" spans="1:13" x14ac:dyDescent="0.15">
      <c r="A2686" t="s">
        <v>24</v>
      </c>
      <c r="F2686"/>
      <c r="M2686"/>
    </row>
    <row r="2687" spans="1:13" x14ac:dyDescent="0.15">
      <c r="A2687" t="s">
        <v>24</v>
      </c>
      <c r="F2687"/>
      <c r="M2687"/>
    </row>
    <row r="2688" spans="1:13" x14ac:dyDescent="0.15">
      <c r="A2688" t="s">
        <v>24</v>
      </c>
      <c r="F2688"/>
      <c r="M2688"/>
    </row>
    <row r="2689" spans="1:13" x14ac:dyDescent="0.15">
      <c r="A2689" t="s">
        <v>24</v>
      </c>
      <c r="F2689"/>
      <c r="M2689"/>
    </row>
    <row r="2690" spans="1:13" x14ac:dyDescent="0.15">
      <c r="A2690" t="s">
        <v>24</v>
      </c>
      <c r="F2690"/>
      <c r="M2690"/>
    </row>
    <row r="2691" spans="1:13" x14ac:dyDescent="0.15">
      <c r="A2691" t="s">
        <v>24</v>
      </c>
      <c r="F2691"/>
      <c r="M2691"/>
    </row>
    <row r="2692" spans="1:13" x14ac:dyDescent="0.15">
      <c r="A2692" t="s">
        <v>24</v>
      </c>
      <c r="F2692"/>
      <c r="M2692"/>
    </row>
    <row r="2693" spans="1:13" x14ac:dyDescent="0.15">
      <c r="A2693" t="s">
        <v>24</v>
      </c>
      <c r="F2693"/>
      <c r="M2693"/>
    </row>
    <row r="2694" spans="1:13" x14ac:dyDescent="0.15">
      <c r="A2694" t="s">
        <v>24</v>
      </c>
      <c r="F2694"/>
      <c r="M2694"/>
    </row>
    <row r="2695" spans="1:13" x14ac:dyDescent="0.15">
      <c r="A2695" t="s">
        <v>24</v>
      </c>
      <c r="F2695"/>
      <c r="M2695"/>
    </row>
    <row r="2696" spans="1:13" x14ac:dyDescent="0.15">
      <c r="A2696" t="s">
        <v>24</v>
      </c>
      <c r="F2696"/>
      <c r="M2696"/>
    </row>
    <row r="2697" spans="1:13" x14ac:dyDescent="0.15">
      <c r="A2697" t="s">
        <v>24</v>
      </c>
      <c r="F2697"/>
      <c r="M2697"/>
    </row>
    <row r="2698" spans="1:13" x14ac:dyDescent="0.15">
      <c r="A2698" t="s">
        <v>24</v>
      </c>
      <c r="F2698"/>
      <c r="M2698"/>
    </row>
    <row r="2699" spans="1:13" x14ac:dyDescent="0.15">
      <c r="A2699" t="s">
        <v>24</v>
      </c>
      <c r="F2699"/>
      <c r="M2699"/>
    </row>
    <row r="2700" spans="1:13" x14ac:dyDescent="0.15">
      <c r="A2700" t="s">
        <v>24</v>
      </c>
      <c r="F2700"/>
      <c r="M2700"/>
    </row>
    <row r="2701" spans="1:13" x14ac:dyDescent="0.15">
      <c r="A2701" t="s">
        <v>24</v>
      </c>
      <c r="F2701"/>
      <c r="M2701"/>
    </row>
    <row r="2702" spans="1:13" x14ac:dyDescent="0.15">
      <c r="A2702" t="s">
        <v>24</v>
      </c>
      <c r="F2702"/>
      <c r="M2702"/>
    </row>
    <row r="2703" spans="1:13" x14ac:dyDescent="0.15">
      <c r="A2703" t="s">
        <v>24</v>
      </c>
      <c r="F2703"/>
      <c r="M2703"/>
    </row>
    <row r="2704" spans="1:13" x14ac:dyDescent="0.15">
      <c r="A2704" t="s">
        <v>24</v>
      </c>
      <c r="F2704"/>
      <c r="M2704"/>
    </row>
    <row r="2705" spans="1:13" x14ac:dyDescent="0.15">
      <c r="A2705" t="s">
        <v>24</v>
      </c>
      <c r="F2705"/>
      <c r="M2705"/>
    </row>
    <row r="2706" spans="1:13" x14ac:dyDescent="0.15">
      <c r="A2706" t="s">
        <v>24</v>
      </c>
      <c r="F2706"/>
      <c r="M2706"/>
    </row>
    <row r="2707" spans="1:13" x14ac:dyDescent="0.15">
      <c r="A2707" t="s">
        <v>24</v>
      </c>
      <c r="F2707"/>
      <c r="M2707"/>
    </row>
    <row r="2708" spans="1:13" x14ac:dyDescent="0.15">
      <c r="A2708" t="s">
        <v>24</v>
      </c>
      <c r="F2708"/>
      <c r="M2708"/>
    </row>
    <row r="2709" spans="1:13" x14ac:dyDescent="0.15">
      <c r="A2709" t="s">
        <v>24</v>
      </c>
      <c r="F2709"/>
      <c r="M2709"/>
    </row>
    <row r="2710" spans="1:13" x14ac:dyDescent="0.15">
      <c r="A2710" t="s">
        <v>24</v>
      </c>
      <c r="F2710"/>
      <c r="M2710"/>
    </row>
    <row r="2711" spans="1:13" x14ac:dyDescent="0.15">
      <c r="A2711" t="s">
        <v>24</v>
      </c>
      <c r="F2711"/>
      <c r="M2711"/>
    </row>
    <row r="2712" spans="1:13" x14ac:dyDescent="0.15">
      <c r="A2712" t="s">
        <v>24</v>
      </c>
      <c r="F2712"/>
      <c r="M2712"/>
    </row>
    <row r="2713" spans="1:13" x14ac:dyDescent="0.15">
      <c r="A2713" t="s">
        <v>24</v>
      </c>
      <c r="F2713"/>
      <c r="M2713"/>
    </row>
    <row r="2714" spans="1:13" x14ac:dyDescent="0.15">
      <c r="A2714" t="s">
        <v>24</v>
      </c>
      <c r="F2714"/>
      <c r="M2714"/>
    </row>
    <row r="2715" spans="1:13" x14ac:dyDescent="0.15">
      <c r="A2715" t="s">
        <v>24</v>
      </c>
      <c r="F2715"/>
      <c r="M2715"/>
    </row>
    <row r="2716" spans="1:13" x14ac:dyDescent="0.15">
      <c r="A2716" t="s">
        <v>24</v>
      </c>
      <c r="F2716"/>
      <c r="M2716"/>
    </row>
    <row r="2717" spans="1:13" x14ac:dyDescent="0.15">
      <c r="A2717" t="s">
        <v>24</v>
      </c>
      <c r="F2717"/>
      <c r="M2717"/>
    </row>
    <row r="2718" spans="1:13" x14ac:dyDescent="0.15">
      <c r="A2718" t="s">
        <v>24</v>
      </c>
      <c r="F2718"/>
      <c r="M2718"/>
    </row>
    <row r="2719" spans="1:13" x14ac:dyDescent="0.15">
      <c r="A2719" t="s">
        <v>24</v>
      </c>
      <c r="F2719"/>
      <c r="M2719"/>
    </row>
    <row r="2720" spans="1:13" x14ac:dyDescent="0.15">
      <c r="A2720" t="s">
        <v>24</v>
      </c>
      <c r="F2720"/>
      <c r="M2720"/>
    </row>
    <row r="2721" spans="1:13" x14ac:dyDescent="0.15">
      <c r="A2721" t="s">
        <v>24</v>
      </c>
      <c r="F2721"/>
      <c r="M2721"/>
    </row>
    <row r="2722" spans="1:13" x14ac:dyDescent="0.15">
      <c r="A2722" t="s">
        <v>24</v>
      </c>
      <c r="F2722"/>
      <c r="M2722"/>
    </row>
    <row r="2723" spans="1:13" x14ac:dyDescent="0.15">
      <c r="A2723" t="s">
        <v>24</v>
      </c>
      <c r="F2723"/>
      <c r="M2723"/>
    </row>
    <row r="2724" spans="1:13" x14ac:dyDescent="0.15">
      <c r="A2724" t="s">
        <v>24</v>
      </c>
      <c r="F2724"/>
      <c r="M2724"/>
    </row>
    <row r="2725" spans="1:13" x14ac:dyDescent="0.15">
      <c r="A2725" t="s">
        <v>24</v>
      </c>
      <c r="F2725"/>
      <c r="M2725"/>
    </row>
    <row r="2726" spans="1:13" x14ac:dyDescent="0.15">
      <c r="A2726" t="s">
        <v>24</v>
      </c>
      <c r="F2726"/>
      <c r="M2726"/>
    </row>
    <row r="2727" spans="1:13" x14ac:dyDescent="0.15">
      <c r="A2727" t="s">
        <v>24</v>
      </c>
      <c r="F2727"/>
      <c r="M2727"/>
    </row>
    <row r="2728" spans="1:13" x14ac:dyDescent="0.15">
      <c r="A2728" t="s">
        <v>24</v>
      </c>
      <c r="F2728"/>
      <c r="M2728"/>
    </row>
    <row r="2729" spans="1:13" x14ac:dyDescent="0.15">
      <c r="A2729" t="s">
        <v>24</v>
      </c>
      <c r="F2729"/>
      <c r="M2729"/>
    </row>
    <row r="2730" spans="1:13" x14ac:dyDescent="0.15">
      <c r="A2730" t="s">
        <v>24</v>
      </c>
      <c r="F2730"/>
      <c r="M2730"/>
    </row>
    <row r="2731" spans="1:13" x14ac:dyDescent="0.15">
      <c r="A2731" t="s">
        <v>24</v>
      </c>
      <c r="F2731"/>
      <c r="M2731"/>
    </row>
    <row r="2732" spans="1:13" x14ac:dyDescent="0.15">
      <c r="A2732" t="s">
        <v>24</v>
      </c>
      <c r="F2732"/>
      <c r="M2732"/>
    </row>
    <row r="2733" spans="1:13" x14ac:dyDescent="0.15">
      <c r="A2733" t="s">
        <v>24</v>
      </c>
      <c r="F2733"/>
      <c r="M2733"/>
    </row>
    <row r="2734" spans="1:13" x14ac:dyDescent="0.15">
      <c r="A2734" t="s">
        <v>24</v>
      </c>
      <c r="F2734"/>
      <c r="M2734"/>
    </row>
    <row r="2735" spans="1:13" x14ac:dyDescent="0.15">
      <c r="A2735" t="s">
        <v>24</v>
      </c>
      <c r="F2735"/>
      <c r="M2735"/>
    </row>
    <row r="2736" spans="1:13" x14ac:dyDescent="0.15">
      <c r="A2736" t="s">
        <v>24</v>
      </c>
      <c r="F2736"/>
      <c r="M2736"/>
    </row>
    <row r="2737" spans="1:13" x14ac:dyDescent="0.15">
      <c r="A2737" t="s">
        <v>24</v>
      </c>
      <c r="F2737"/>
      <c r="M2737"/>
    </row>
    <row r="2738" spans="1:13" x14ac:dyDescent="0.15">
      <c r="A2738" t="s">
        <v>24</v>
      </c>
      <c r="F2738"/>
      <c r="M2738"/>
    </row>
    <row r="2739" spans="1:13" x14ac:dyDescent="0.15">
      <c r="A2739" t="s">
        <v>24</v>
      </c>
      <c r="F2739"/>
      <c r="M2739"/>
    </row>
    <row r="2740" spans="1:13" x14ac:dyDescent="0.15">
      <c r="A2740" t="s">
        <v>24</v>
      </c>
      <c r="F2740"/>
      <c r="M2740"/>
    </row>
    <row r="2741" spans="1:13" x14ac:dyDescent="0.15">
      <c r="A2741" t="s">
        <v>24</v>
      </c>
      <c r="F2741"/>
      <c r="M2741"/>
    </row>
    <row r="2742" spans="1:13" x14ac:dyDescent="0.15">
      <c r="A2742" t="s">
        <v>24</v>
      </c>
      <c r="F2742"/>
      <c r="M2742"/>
    </row>
    <row r="2743" spans="1:13" x14ac:dyDescent="0.15">
      <c r="A2743" t="s">
        <v>24</v>
      </c>
      <c r="F2743"/>
      <c r="M2743"/>
    </row>
    <row r="2744" spans="1:13" x14ac:dyDescent="0.15">
      <c r="A2744" t="s">
        <v>24</v>
      </c>
      <c r="F2744"/>
      <c r="M2744"/>
    </row>
    <row r="2745" spans="1:13" x14ac:dyDescent="0.15">
      <c r="A2745" t="s">
        <v>24</v>
      </c>
      <c r="F2745"/>
      <c r="M2745"/>
    </row>
    <row r="2746" spans="1:13" x14ac:dyDescent="0.15">
      <c r="A2746" t="s">
        <v>24</v>
      </c>
      <c r="F2746"/>
      <c r="M2746"/>
    </row>
    <row r="2747" spans="1:13" x14ac:dyDescent="0.15">
      <c r="A2747" t="s">
        <v>24</v>
      </c>
      <c r="F2747"/>
      <c r="M2747"/>
    </row>
    <row r="2748" spans="1:13" x14ac:dyDescent="0.15">
      <c r="A2748" t="s">
        <v>24</v>
      </c>
      <c r="F2748"/>
      <c r="M2748"/>
    </row>
    <row r="2749" spans="1:13" x14ac:dyDescent="0.15">
      <c r="A2749" t="s">
        <v>24</v>
      </c>
      <c r="F2749"/>
      <c r="M2749"/>
    </row>
    <row r="2750" spans="1:13" x14ac:dyDescent="0.15">
      <c r="A2750" t="s">
        <v>24</v>
      </c>
      <c r="F2750"/>
      <c r="M2750"/>
    </row>
    <row r="2751" spans="1:13" x14ac:dyDescent="0.15">
      <c r="A2751" t="s">
        <v>24</v>
      </c>
      <c r="F2751"/>
      <c r="M2751"/>
    </row>
    <row r="2752" spans="1:13" x14ac:dyDescent="0.15">
      <c r="A2752" t="s">
        <v>24</v>
      </c>
      <c r="F2752"/>
      <c r="M2752"/>
    </row>
    <row r="2753" spans="1:13" x14ac:dyDescent="0.15">
      <c r="A2753" t="s">
        <v>24</v>
      </c>
      <c r="F2753"/>
      <c r="M2753"/>
    </row>
    <row r="2754" spans="1:13" x14ac:dyDescent="0.15">
      <c r="A2754" t="s">
        <v>24</v>
      </c>
      <c r="F2754"/>
      <c r="M2754"/>
    </row>
    <row r="2755" spans="1:13" x14ac:dyDescent="0.15">
      <c r="A2755" t="s">
        <v>24</v>
      </c>
      <c r="F2755"/>
      <c r="M2755"/>
    </row>
    <row r="2756" spans="1:13" x14ac:dyDescent="0.15">
      <c r="A2756" t="s">
        <v>24</v>
      </c>
      <c r="F2756"/>
      <c r="M2756"/>
    </row>
    <row r="2757" spans="1:13" x14ac:dyDescent="0.15">
      <c r="A2757" t="s">
        <v>24</v>
      </c>
      <c r="F2757"/>
      <c r="M2757"/>
    </row>
    <row r="2758" spans="1:13" x14ac:dyDescent="0.15">
      <c r="A2758" t="s">
        <v>24</v>
      </c>
      <c r="F2758"/>
      <c r="M2758"/>
    </row>
    <row r="2759" spans="1:13" x14ac:dyDescent="0.15">
      <c r="A2759" t="s">
        <v>24</v>
      </c>
      <c r="F2759"/>
      <c r="M2759"/>
    </row>
    <row r="2760" spans="1:13" x14ac:dyDescent="0.15">
      <c r="A2760" t="s">
        <v>24</v>
      </c>
      <c r="F2760"/>
      <c r="M2760"/>
    </row>
    <row r="2761" spans="1:13" x14ac:dyDescent="0.15">
      <c r="A2761" t="s">
        <v>24</v>
      </c>
      <c r="F2761"/>
      <c r="M2761"/>
    </row>
    <row r="2762" spans="1:13" x14ac:dyDescent="0.15">
      <c r="A2762" t="s">
        <v>24</v>
      </c>
      <c r="F2762"/>
      <c r="M2762"/>
    </row>
    <row r="2763" spans="1:13" x14ac:dyDescent="0.15">
      <c r="A2763" t="s">
        <v>24</v>
      </c>
      <c r="F2763"/>
      <c r="M2763"/>
    </row>
    <row r="2764" spans="1:13" x14ac:dyDescent="0.15">
      <c r="A2764" t="s">
        <v>24</v>
      </c>
      <c r="F2764"/>
      <c r="M2764"/>
    </row>
    <row r="2765" spans="1:13" x14ac:dyDescent="0.15">
      <c r="A2765" t="s">
        <v>24</v>
      </c>
      <c r="F2765"/>
      <c r="M2765"/>
    </row>
    <row r="2766" spans="1:13" x14ac:dyDescent="0.15">
      <c r="A2766" t="s">
        <v>24</v>
      </c>
      <c r="F2766"/>
      <c r="M2766"/>
    </row>
    <row r="2767" spans="1:13" x14ac:dyDescent="0.15">
      <c r="A2767" t="s">
        <v>24</v>
      </c>
      <c r="F2767"/>
      <c r="M2767"/>
    </row>
    <row r="2768" spans="1:13" x14ac:dyDescent="0.15">
      <c r="A2768" t="s">
        <v>24</v>
      </c>
      <c r="F2768"/>
      <c r="M2768"/>
    </row>
    <row r="2769" spans="1:13" x14ac:dyDescent="0.15">
      <c r="A2769" t="s">
        <v>24</v>
      </c>
      <c r="F2769"/>
      <c r="M2769"/>
    </row>
    <row r="2770" spans="1:13" x14ac:dyDescent="0.15">
      <c r="A2770" t="s">
        <v>24</v>
      </c>
      <c r="F2770"/>
      <c r="M2770"/>
    </row>
    <row r="2771" spans="1:13" x14ac:dyDescent="0.15">
      <c r="A2771" t="s">
        <v>24</v>
      </c>
      <c r="F2771"/>
      <c r="M2771"/>
    </row>
    <row r="2772" spans="1:13" x14ac:dyDescent="0.15">
      <c r="A2772" t="s">
        <v>24</v>
      </c>
      <c r="F2772"/>
      <c r="M2772"/>
    </row>
    <row r="2773" spans="1:13" x14ac:dyDescent="0.15">
      <c r="A2773" t="s">
        <v>24</v>
      </c>
      <c r="F2773"/>
      <c r="M2773"/>
    </row>
    <row r="2774" spans="1:13" x14ac:dyDescent="0.15">
      <c r="A2774" t="s">
        <v>24</v>
      </c>
      <c r="F2774"/>
      <c r="M2774"/>
    </row>
    <row r="2775" spans="1:13" x14ac:dyDescent="0.15">
      <c r="A2775" t="s">
        <v>24</v>
      </c>
      <c r="F2775"/>
      <c r="M2775"/>
    </row>
    <row r="2776" spans="1:13" x14ac:dyDescent="0.15">
      <c r="A2776" t="s">
        <v>24</v>
      </c>
      <c r="F2776"/>
      <c r="M2776"/>
    </row>
    <row r="2777" spans="1:13" x14ac:dyDescent="0.15">
      <c r="A2777" t="s">
        <v>24</v>
      </c>
      <c r="F2777"/>
      <c r="M2777"/>
    </row>
    <row r="2778" spans="1:13" x14ac:dyDescent="0.15">
      <c r="A2778" t="s">
        <v>24</v>
      </c>
      <c r="F2778"/>
      <c r="M2778"/>
    </row>
    <row r="2779" spans="1:13" x14ac:dyDescent="0.15">
      <c r="A2779" t="s">
        <v>24</v>
      </c>
      <c r="F2779"/>
      <c r="M2779"/>
    </row>
    <row r="2780" spans="1:13" x14ac:dyDescent="0.15">
      <c r="A2780" t="s">
        <v>24</v>
      </c>
      <c r="F2780"/>
      <c r="M2780"/>
    </row>
    <row r="2781" spans="1:13" x14ac:dyDescent="0.15">
      <c r="A2781" t="s">
        <v>24</v>
      </c>
      <c r="F2781"/>
      <c r="M2781"/>
    </row>
    <row r="2782" spans="1:13" x14ac:dyDescent="0.15">
      <c r="A2782" t="s">
        <v>24</v>
      </c>
      <c r="F2782"/>
      <c r="M2782"/>
    </row>
    <row r="2783" spans="1:13" x14ac:dyDescent="0.15">
      <c r="A2783" t="s">
        <v>24</v>
      </c>
      <c r="F2783"/>
      <c r="M2783"/>
    </row>
    <row r="2784" spans="1:13" x14ac:dyDescent="0.15">
      <c r="A2784" t="s">
        <v>24</v>
      </c>
      <c r="F2784"/>
      <c r="M2784"/>
    </row>
    <row r="2785" spans="1:13" x14ac:dyDescent="0.15">
      <c r="A2785" t="s">
        <v>24</v>
      </c>
      <c r="F2785"/>
      <c r="M2785"/>
    </row>
    <row r="2786" spans="1:13" x14ac:dyDescent="0.15">
      <c r="A2786" t="s">
        <v>24</v>
      </c>
      <c r="F2786"/>
      <c r="M2786"/>
    </row>
    <row r="2787" spans="1:13" x14ac:dyDescent="0.15">
      <c r="A2787" t="s">
        <v>24</v>
      </c>
      <c r="F2787"/>
      <c r="M2787"/>
    </row>
    <row r="2788" spans="1:13" x14ac:dyDescent="0.15">
      <c r="A2788" t="s">
        <v>24</v>
      </c>
      <c r="F2788"/>
      <c r="M2788"/>
    </row>
    <row r="2789" spans="1:13" x14ac:dyDescent="0.15">
      <c r="A2789" t="s">
        <v>24</v>
      </c>
      <c r="F2789"/>
      <c r="M2789"/>
    </row>
    <row r="2790" spans="1:13" x14ac:dyDescent="0.15">
      <c r="A2790" t="s">
        <v>24</v>
      </c>
      <c r="F2790"/>
      <c r="M2790"/>
    </row>
    <row r="2791" spans="1:13" x14ac:dyDescent="0.15">
      <c r="A2791" t="s">
        <v>24</v>
      </c>
      <c r="F2791"/>
      <c r="M2791"/>
    </row>
    <row r="2792" spans="1:13" x14ac:dyDescent="0.15">
      <c r="A2792" t="s">
        <v>24</v>
      </c>
      <c r="F2792"/>
      <c r="M2792"/>
    </row>
    <row r="2793" spans="1:13" x14ac:dyDescent="0.15">
      <c r="A2793" t="s">
        <v>24</v>
      </c>
      <c r="F2793"/>
      <c r="M2793"/>
    </row>
    <row r="2794" spans="1:13" x14ac:dyDescent="0.15">
      <c r="A2794" t="s">
        <v>24</v>
      </c>
      <c r="F2794"/>
      <c r="M2794"/>
    </row>
    <row r="2795" spans="1:13" x14ac:dyDescent="0.15">
      <c r="A2795" t="s">
        <v>24</v>
      </c>
      <c r="F2795"/>
      <c r="M2795"/>
    </row>
    <row r="2796" spans="1:13" x14ac:dyDescent="0.15">
      <c r="A2796" t="s">
        <v>24</v>
      </c>
      <c r="F2796"/>
      <c r="M2796"/>
    </row>
    <row r="2797" spans="1:13" x14ac:dyDescent="0.15">
      <c r="A2797" t="s">
        <v>24</v>
      </c>
      <c r="F2797"/>
      <c r="M2797"/>
    </row>
    <row r="2798" spans="1:13" x14ac:dyDescent="0.15">
      <c r="A2798" t="s">
        <v>24</v>
      </c>
      <c r="F2798"/>
      <c r="M2798"/>
    </row>
    <row r="2799" spans="1:13" x14ac:dyDescent="0.15">
      <c r="A2799" t="s">
        <v>24</v>
      </c>
      <c r="F2799"/>
      <c r="M2799"/>
    </row>
    <row r="2800" spans="1:13" x14ac:dyDescent="0.15">
      <c r="A2800" t="s">
        <v>24</v>
      </c>
      <c r="F2800"/>
      <c r="M2800"/>
    </row>
    <row r="2801" spans="1:13" x14ac:dyDescent="0.15">
      <c r="A2801" t="s">
        <v>24</v>
      </c>
      <c r="F2801"/>
      <c r="M2801"/>
    </row>
    <row r="2802" spans="1:13" x14ac:dyDescent="0.15">
      <c r="A2802" t="s">
        <v>24</v>
      </c>
      <c r="F2802"/>
      <c r="M2802"/>
    </row>
    <row r="2803" spans="1:13" x14ac:dyDescent="0.15">
      <c r="A2803" t="s">
        <v>24</v>
      </c>
      <c r="F2803"/>
      <c r="M2803"/>
    </row>
    <row r="2804" spans="1:13" x14ac:dyDescent="0.15">
      <c r="A2804" t="s">
        <v>24</v>
      </c>
      <c r="F2804"/>
      <c r="M2804"/>
    </row>
    <row r="2805" spans="1:13" x14ac:dyDescent="0.15">
      <c r="A2805" t="s">
        <v>24</v>
      </c>
      <c r="F2805"/>
      <c r="M2805"/>
    </row>
    <row r="2806" spans="1:13" x14ac:dyDescent="0.15">
      <c r="A2806" t="s">
        <v>24</v>
      </c>
      <c r="F2806"/>
      <c r="M2806"/>
    </row>
    <row r="2807" spans="1:13" x14ac:dyDescent="0.15">
      <c r="A2807" t="s">
        <v>24</v>
      </c>
      <c r="F2807"/>
      <c r="M2807"/>
    </row>
    <row r="2808" spans="1:13" x14ac:dyDescent="0.15">
      <c r="A2808" t="s">
        <v>24</v>
      </c>
      <c r="F2808"/>
      <c r="M2808"/>
    </row>
    <row r="2809" spans="1:13" x14ac:dyDescent="0.15">
      <c r="A2809" t="s">
        <v>24</v>
      </c>
      <c r="F2809"/>
      <c r="M2809"/>
    </row>
    <row r="2810" spans="1:13" x14ac:dyDescent="0.15">
      <c r="A2810" t="s">
        <v>24</v>
      </c>
      <c r="F2810"/>
      <c r="M2810"/>
    </row>
    <row r="2811" spans="1:13" x14ac:dyDescent="0.15">
      <c r="A2811" t="s">
        <v>24</v>
      </c>
      <c r="F2811"/>
      <c r="M2811"/>
    </row>
    <row r="2812" spans="1:13" x14ac:dyDescent="0.15">
      <c r="A2812" t="s">
        <v>24</v>
      </c>
      <c r="F2812"/>
      <c r="M2812"/>
    </row>
    <row r="2813" spans="1:13" x14ac:dyDescent="0.15">
      <c r="A2813" t="s">
        <v>24</v>
      </c>
      <c r="F2813"/>
      <c r="M2813"/>
    </row>
    <row r="2814" spans="1:13" x14ac:dyDescent="0.15">
      <c r="A2814" t="s">
        <v>24</v>
      </c>
      <c r="F2814"/>
      <c r="M2814"/>
    </row>
    <row r="2815" spans="1:13" x14ac:dyDescent="0.15">
      <c r="A2815" t="s">
        <v>24</v>
      </c>
      <c r="F2815"/>
      <c r="M2815"/>
    </row>
    <row r="2816" spans="1:13" x14ac:dyDescent="0.15">
      <c r="A2816" t="s">
        <v>24</v>
      </c>
      <c r="F2816"/>
      <c r="M2816"/>
    </row>
    <row r="2817" spans="1:13" x14ac:dyDescent="0.15">
      <c r="A2817" t="s">
        <v>24</v>
      </c>
      <c r="F2817"/>
      <c r="M2817"/>
    </row>
    <row r="2818" spans="1:13" x14ac:dyDescent="0.15">
      <c r="A2818" t="s">
        <v>24</v>
      </c>
      <c r="F2818"/>
      <c r="M2818"/>
    </row>
    <row r="2819" spans="1:13" x14ac:dyDescent="0.15">
      <c r="A2819" t="s">
        <v>24</v>
      </c>
      <c r="F2819"/>
      <c r="M2819"/>
    </row>
    <row r="2820" spans="1:13" x14ac:dyDescent="0.15">
      <c r="A2820" t="s">
        <v>24</v>
      </c>
      <c r="F2820"/>
      <c r="M2820"/>
    </row>
    <row r="2821" spans="1:13" x14ac:dyDescent="0.15">
      <c r="A2821" t="s">
        <v>24</v>
      </c>
      <c r="F2821"/>
      <c r="M2821"/>
    </row>
    <row r="2822" spans="1:13" x14ac:dyDescent="0.15">
      <c r="A2822" t="s">
        <v>24</v>
      </c>
      <c r="F2822"/>
      <c r="M2822"/>
    </row>
    <row r="2823" spans="1:13" x14ac:dyDescent="0.15">
      <c r="A2823" t="s">
        <v>24</v>
      </c>
      <c r="F2823"/>
      <c r="M2823"/>
    </row>
    <row r="2824" spans="1:13" x14ac:dyDescent="0.15">
      <c r="A2824" t="s">
        <v>24</v>
      </c>
      <c r="F2824"/>
      <c r="M2824"/>
    </row>
    <row r="2825" spans="1:13" x14ac:dyDescent="0.15">
      <c r="A2825" t="s">
        <v>24</v>
      </c>
      <c r="F2825"/>
      <c r="M2825"/>
    </row>
    <row r="2826" spans="1:13" x14ac:dyDescent="0.15">
      <c r="A2826" t="s">
        <v>24</v>
      </c>
      <c r="F2826"/>
      <c r="M2826"/>
    </row>
    <row r="2827" spans="1:13" x14ac:dyDescent="0.15">
      <c r="A2827" t="s">
        <v>24</v>
      </c>
      <c r="F2827"/>
      <c r="M2827"/>
    </row>
    <row r="2828" spans="1:13" x14ac:dyDescent="0.15">
      <c r="A2828" t="s">
        <v>24</v>
      </c>
      <c r="F2828"/>
      <c r="M2828"/>
    </row>
    <row r="2829" spans="1:13" x14ac:dyDescent="0.15">
      <c r="A2829" t="s">
        <v>24</v>
      </c>
      <c r="F2829"/>
      <c r="M2829"/>
    </row>
    <row r="2830" spans="1:13" x14ac:dyDescent="0.15">
      <c r="A2830" t="s">
        <v>24</v>
      </c>
      <c r="F2830"/>
      <c r="M2830"/>
    </row>
    <row r="2831" spans="1:13" x14ac:dyDescent="0.15">
      <c r="A2831" t="s">
        <v>24</v>
      </c>
      <c r="F2831"/>
      <c r="M2831"/>
    </row>
    <row r="2832" spans="1:13" x14ac:dyDescent="0.15">
      <c r="A2832" t="s">
        <v>24</v>
      </c>
      <c r="F2832"/>
      <c r="M2832"/>
    </row>
    <row r="2833" spans="1:13" x14ac:dyDescent="0.15">
      <c r="A2833" t="s">
        <v>24</v>
      </c>
      <c r="F2833"/>
      <c r="M2833"/>
    </row>
    <row r="2834" spans="1:13" x14ac:dyDescent="0.15">
      <c r="A2834" t="s">
        <v>24</v>
      </c>
      <c r="F2834"/>
      <c r="M2834"/>
    </row>
    <row r="2835" spans="1:13" x14ac:dyDescent="0.15">
      <c r="A2835" t="s">
        <v>24</v>
      </c>
      <c r="F2835"/>
      <c r="M2835"/>
    </row>
    <row r="2836" spans="1:13" x14ac:dyDescent="0.15">
      <c r="A2836" t="s">
        <v>24</v>
      </c>
      <c r="F2836"/>
      <c r="M2836"/>
    </row>
    <row r="2837" spans="1:13" x14ac:dyDescent="0.15">
      <c r="A2837" t="s">
        <v>24</v>
      </c>
      <c r="F2837"/>
      <c r="M2837"/>
    </row>
    <row r="2838" spans="1:13" x14ac:dyDescent="0.15">
      <c r="A2838" t="s">
        <v>24</v>
      </c>
      <c r="F2838"/>
      <c r="M2838"/>
    </row>
    <row r="2839" spans="1:13" x14ac:dyDescent="0.15">
      <c r="A2839" t="s">
        <v>24</v>
      </c>
      <c r="F2839"/>
      <c r="M2839"/>
    </row>
    <row r="2840" spans="1:13" x14ac:dyDescent="0.15">
      <c r="A2840" t="s">
        <v>24</v>
      </c>
      <c r="F2840"/>
      <c r="M2840"/>
    </row>
    <row r="2841" spans="1:13" x14ac:dyDescent="0.15">
      <c r="A2841" t="s">
        <v>24</v>
      </c>
      <c r="F2841"/>
      <c r="M2841"/>
    </row>
    <row r="2842" spans="1:13" x14ac:dyDescent="0.15">
      <c r="A2842" t="s">
        <v>24</v>
      </c>
      <c r="F2842"/>
      <c r="M2842"/>
    </row>
    <row r="2843" spans="1:13" x14ac:dyDescent="0.15">
      <c r="A2843" t="s">
        <v>24</v>
      </c>
      <c r="F2843"/>
      <c r="M2843"/>
    </row>
    <row r="2844" spans="1:13" x14ac:dyDescent="0.15">
      <c r="A2844" t="s">
        <v>24</v>
      </c>
      <c r="F2844"/>
      <c r="M2844"/>
    </row>
    <row r="2845" spans="1:13" x14ac:dyDescent="0.15">
      <c r="A2845" t="s">
        <v>24</v>
      </c>
      <c r="F2845"/>
      <c r="M2845"/>
    </row>
    <row r="2846" spans="1:13" x14ac:dyDescent="0.15">
      <c r="A2846" t="s">
        <v>24</v>
      </c>
      <c r="F2846"/>
      <c r="M2846"/>
    </row>
    <row r="2847" spans="1:13" x14ac:dyDescent="0.15">
      <c r="A2847" t="s">
        <v>24</v>
      </c>
      <c r="F2847"/>
      <c r="M2847"/>
    </row>
    <row r="2848" spans="1:13" x14ac:dyDescent="0.15">
      <c r="A2848" t="s">
        <v>24</v>
      </c>
      <c r="F2848"/>
      <c r="M2848"/>
    </row>
    <row r="2849" spans="1:13" x14ac:dyDescent="0.15">
      <c r="A2849" t="s">
        <v>24</v>
      </c>
      <c r="F2849"/>
      <c r="M2849"/>
    </row>
    <row r="2850" spans="1:13" x14ac:dyDescent="0.15">
      <c r="A2850" t="s">
        <v>24</v>
      </c>
      <c r="F2850"/>
      <c r="M2850"/>
    </row>
    <row r="2851" spans="1:13" x14ac:dyDescent="0.15">
      <c r="A2851" t="s">
        <v>24</v>
      </c>
      <c r="F2851"/>
      <c r="M2851"/>
    </row>
    <row r="2852" spans="1:13" x14ac:dyDescent="0.15">
      <c r="A2852" t="s">
        <v>24</v>
      </c>
      <c r="F2852"/>
      <c r="M2852"/>
    </row>
    <row r="2853" spans="1:13" x14ac:dyDescent="0.15">
      <c r="A2853" t="s">
        <v>24</v>
      </c>
      <c r="F2853"/>
      <c r="M2853"/>
    </row>
    <row r="2854" spans="1:13" x14ac:dyDescent="0.15">
      <c r="A2854" t="s">
        <v>24</v>
      </c>
      <c r="F2854"/>
      <c r="M2854"/>
    </row>
    <row r="2855" spans="1:13" x14ac:dyDescent="0.15">
      <c r="A2855" t="s">
        <v>24</v>
      </c>
      <c r="F2855"/>
      <c r="M2855"/>
    </row>
    <row r="2856" spans="1:13" x14ac:dyDescent="0.15">
      <c r="A2856" t="s">
        <v>24</v>
      </c>
      <c r="F2856"/>
      <c r="M2856"/>
    </row>
    <row r="2857" spans="1:13" x14ac:dyDescent="0.15">
      <c r="A2857" t="s">
        <v>24</v>
      </c>
      <c r="F2857"/>
      <c r="M2857"/>
    </row>
    <row r="2858" spans="1:13" x14ac:dyDescent="0.15">
      <c r="A2858" t="s">
        <v>24</v>
      </c>
      <c r="F2858"/>
      <c r="M2858"/>
    </row>
    <row r="2859" spans="1:13" x14ac:dyDescent="0.15">
      <c r="A2859" t="s">
        <v>24</v>
      </c>
      <c r="F2859"/>
      <c r="M2859"/>
    </row>
    <row r="2860" spans="1:13" x14ac:dyDescent="0.15">
      <c r="A2860" t="s">
        <v>24</v>
      </c>
      <c r="F2860"/>
      <c r="M2860"/>
    </row>
    <row r="2861" spans="1:13" x14ac:dyDescent="0.15">
      <c r="A2861" t="s">
        <v>24</v>
      </c>
      <c r="F2861"/>
      <c r="M2861"/>
    </row>
    <row r="2862" spans="1:13" x14ac:dyDescent="0.15">
      <c r="A2862" t="s">
        <v>24</v>
      </c>
      <c r="F2862"/>
      <c r="M2862"/>
    </row>
    <row r="2863" spans="1:13" x14ac:dyDescent="0.15">
      <c r="A2863" t="s">
        <v>24</v>
      </c>
      <c r="F2863"/>
      <c r="M2863"/>
    </row>
    <row r="2864" spans="1:13" x14ac:dyDescent="0.15">
      <c r="A2864" t="s">
        <v>24</v>
      </c>
      <c r="F2864"/>
      <c r="M2864"/>
    </row>
    <row r="2865" spans="1:13" x14ac:dyDescent="0.15">
      <c r="A2865" t="s">
        <v>24</v>
      </c>
      <c r="F2865"/>
      <c r="M2865"/>
    </row>
    <row r="2866" spans="1:13" x14ac:dyDescent="0.15">
      <c r="A2866" t="s">
        <v>24</v>
      </c>
      <c r="F2866"/>
      <c r="M2866"/>
    </row>
    <row r="2867" spans="1:13" x14ac:dyDescent="0.15">
      <c r="A2867" t="s">
        <v>24</v>
      </c>
      <c r="F2867"/>
      <c r="M2867"/>
    </row>
    <row r="2868" spans="1:13" x14ac:dyDescent="0.15">
      <c r="A2868" t="s">
        <v>24</v>
      </c>
      <c r="F2868"/>
      <c r="M2868"/>
    </row>
    <row r="2869" spans="1:13" x14ac:dyDescent="0.15">
      <c r="A2869" t="s">
        <v>24</v>
      </c>
      <c r="F2869"/>
      <c r="M2869"/>
    </row>
    <row r="2870" spans="1:13" x14ac:dyDescent="0.15">
      <c r="A2870" t="s">
        <v>24</v>
      </c>
      <c r="F2870"/>
      <c r="M2870"/>
    </row>
    <row r="2871" spans="1:13" x14ac:dyDescent="0.15">
      <c r="A2871" t="s">
        <v>24</v>
      </c>
      <c r="F2871"/>
      <c r="M2871"/>
    </row>
    <row r="2872" spans="1:13" x14ac:dyDescent="0.15">
      <c r="A2872" t="s">
        <v>24</v>
      </c>
      <c r="F2872"/>
      <c r="M2872"/>
    </row>
    <row r="2873" spans="1:13" x14ac:dyDescent="0.15">
      <c r="A2873" t="s">
        <v>24</v>
      </c>
      <c r="F2873"/>
      <c r="M2873"/>
    </row>
    <row r="2874" spans="1:13" x14ac:dyDescent="0.15">
      <c r="A2874" t="s">
        <v>24</v>
      </c>
      <c r="F2874"/>
      <c r="M2874"/>
    </row>
    <row r="2875" spans="1:13" x14ac:dyDescent="0.15">
      <c r="A2875" t="s">
        <v>24</v>
      </c>
      <c r="F2875"/>
      <c r="M2875"/>
    </row>
    <row r="2876" spans="1:13" x14ac:dyDescent="0.15">
      <c r="A2876" t="s">
        <v>24</v>
      </c>
      <c r="F2876"/>
      <c r="M2876"/>
    </row>
    <row r="2877" spans="1:13" x14ac:dyDescent="0.15">
      <c r="A2877" t="s">
        <v>24</v>
      </c>
      <c r="F2877"/>
      <c r="M2877"/>
    </row>
    <row r="2878" spans="1:13" x14ac:dyDescent="0.15">
      <c r="A2878" t="s">
        <v>24</v>
      </c>
      <c r="F2878"/>
      <c r="M2878"/>
    </row>
    <row r="2879" spans="1:13" x14ac:dyDescent="0.15">
      <c r="A2879" t="s">
        <v>24</v>
      </c>
      <c r="F2879"/>
      <c r="M2879"/>
    </row>
    <row r="2880" spans="1:13" x14ac:dyDescent="0.15">
      <c r="A2880" t="s">
        <v>24</v>
      </c>
      <c r="F2880"/>
      <c r="M2880"/>
    </row>
    <row r="2881" spans="1:13" x14ac:dyDescent="0.15">
      <c r="A2881" t="s">
        <v>24</v>
      </c>
      <c r="F2881"/>
      <c r="M2881"/>
    </row>
    <row r="2882" spans="1:13" x14ac:dyDescent="0.15">
      <c r="A2882" t="s">
        <v>24</v>
      </c>
      <c r="F2882"/>
      <c r="M2882"/>
    </row>
    <row r="2883" spans="1:13" x14ac:dyDescent="0.15">
      <c r="A2883" t="s">
        <v>24</v>
      </c>
      <c r="F2883"/>
      <c r="M2883"/>
    </row>
    <row r="2884" spans="1:13" x14ac:dyDescent="0.15">
      <c r="A2884" t="s">
        <v>24</v>
      </c>
      <c r="F2884"/>
      <c r="M2884"/>
    </row>
    <row r="2885" spans="1:13" x14ac:dyDescent="0.15">
      <c r="A2885" t="s">
        <v>24</v>
      </c>
      <c r="F2885"/>
      <c r="M2885"/>
    </row>
    <row r="2886" spans="1:13" x14ac:dyDescent="0.15">
      <c r="A2886" t="s">
        <v>24</v>
      </c>
      <c r="F2886"/>
      <c r="M2886"/>
    </row>
    <row r="2887" spans="1:13" x14ac:dyDescent="0.15">
      <c r="A2887" t="s">
        <v>24</v>
      </c>
      <c r="F2887"/>
      <c r="M2887"/>
    </row>
    <row r="2888" spans="1:13" x14ac:dyDescent="0.15">
      <c r="A2888" t="s">
        <v>24</v>
      </c>
      <c r="F2888"/>
      <c r="M2888"/>
    </row>
    <row r="2889" spans="1:13" x14ac:dyDescent="0.15">
      <c r="A2889" t="s">
        <v>24</v>
      </c>
      <c r="F2889"/>
      <c r="M2889"/>
    </row>
    <row r="2890" spans="1:13" x14ac:dyDescent="0.15">
      <c r="A2890" t="s">
        <v>24</v>
      </c>
      <c r="F2890"/>
      <c r="M2890"/>
    </row>
    <row r="2891" spans="1:13" x14ac:dyDescent="0.15">
      <c r="A2891" t="s">
        <v>24</v>
      </c>
      <c r="F2891"/>
      <c r="M2891"/>
    </row>
    <row r="2892" spans="1:13" x14ac:dyDescent="0.15">
      <c r="A2892" t="s">
        <v>24</v>
      </c>
      <c r="F2892"/>
      <c r="M2892"/>
    </row>
    <row r="2893" spans="1:13" x14ac:dyDescent="0.15">
      <c r="A2893" t="s">
        <v>24</v>
      </c>
      <c r="F2893"/>
      <c r="M2893"/>
    </row>
    <row r="2894" spans="1:13" x14ac:dyDescent="0.15">
      <c r="A2894" t="s">
        <v>24</v>
      </c>
      <c r="F2894"/>
      <c r="M2894"/>
    </row>
    <row r="2895" spans="1:13" x14ac:dyDescent="0.15">
      <c r="A2895" t="s">
        <v>24</v>
      </c>
      <c r="F2895"/>
      <c r="M2895"/>
    </row>
    <row r="2896" spans="1:13" x14ac:dyDescent="0.15">
      <c r="A2896" t="s">
        <v>24</v>
      </c>
      <c r="F2896"/>
      <c r="M2896"/>
    </row>
    <row r="2897" spans="1:13" x14ac:dyDescent="0.15">
      <c r="A2897" t="s">
        <v>24</v>
      </c>
      <c r="F2897"/>
      <c r="M2897"/>
    </row>
    <row r="2898" spans="1:13" x14ac:dyDescent="0.15">
      <c r="A2898" t="s">
        <v>24</v>
      </c>
      <c r="F2898"/>
      <c r="M2898"/>
    </row>
    <row r="2899" spans="1:13" x14ac:dyDescent="0.15">
      <c r="A2899" t="s">
        <v>24</v>
      </c>
      <c r="F2899"/>
      <c r="M2899"/>
    </row>
    <row r="2900" spans="1:13" x14ac:dyDescent="0.15">
      <c r="A2900" t="s">
        <v>24</v>
      </c>
      <c r="F2900"/>
      <c r="M2900"/>
    </row>
    <row r="2901" spans="1:13" x14ac:dyDescent="0.15">
      <c r="A2901" t="s">
        <v>24</v>
      </c>
      <c r="F2901"/>
      <c r="M2901"/>
    </row>
    <row r="2902" spans="1:13" x14ac:dyDescent="0.15">
      <c r="A2902" t="s">
        <v>24</v>
      </c>
      <c r="F2902"/>
      <c r="M2902"/>
    </row>
    <row r="2903" spans="1:13" x14ac:dyDescent="0.15">
      <c r="A2903" t="s">
        <v>24</v>
      </c>
      <c r="F2903"/>
      <c r="M2903"/>
    </row>
    <row r="2904" spans="1:13" x14ac:dyDescent="0.15">
      <c r="A2904" t="s">
        <v>24</v>
      </c>
      <c r="F2904"/>
      <c r="M2904"/>
    </row>
    <row r="2905" spans="1:13" x14ac:dyDescent="0.15">
      <c r="A2905" t="s">
        <v>24</v>
      </c>
      <c r="F2905"/>
      <c r="M2905"/>
    </row>
    <row r="2906" spans="1:13" x14ac:dyDescent="0.15">
      <c r="A2906" t="s">
        <v>24</v>
      </c>
      <c r="F2906"/>
      <c r="M2906"/>
    </row>
    <row r="2907" spans="1:13" x14ac:dyDescent="0.15">
      <c r="A2907" t="s">
        <v>24</v>
      </c>
      <c r="F2907"/>
      <c r="M2907"/>
    </row>
    <row r="2908" spans="1:13" x14ac:dyDescent="0.15">
      <c r="A2908" t="s">
        <v>24</v>
      </c>
      <c r="F2908"/>
      <c r="M2908"/>
    </row>
    <row r="2909" spans="1:13" x14ac:dyDescent="0.15">
      <c r="A2909" t="s">
        <v>24</v>
      </c>
      <c r="F2909"/>
      <c r="M2909"/>
    </row>
    <row r="2910" spans="1:13" x14ac:dyDescent="0.15">
      <c r="A2910" t="s">
        <v>24</v>
      </c>
      <c r="F2910"/>
      <c r="M2910"/>
    </row>
    <row r="2911" spans="1:13" x14ac:dyDescent="0.15">
      <c r="A2911" t="s">
        <v>24</v>
      </c>
      <c r="F2911"/>
      <c r="M2911"/>
    </row>
    <row r="2912" spans="1:13" x14ac:dyDescent="0.15">
      <c r="A2912" t="s">
        <v>24</v>
      </c>
      <c r="F2912"/>
      <c r="M2912"/>
    </row>
    <row r="2913" spans="1:13" x14ac:dyDescent="0.15">
      <c r="A2913" t="s">
        <v>24</v>
      </c>
      <c r="F2913"/>
      <c r="M2913"/>
    </row>
    <row r="2914" spans="1:13" x14ac:dyDescent="0.15">
      <c r="A2914" t="s">
        <v>24</v>
      </c>
      <c r="F2914"/>
      <c r="M2914"/>
    </row>
    <row r="2915" spans="1:13" x14ac:dyDescent="0.15">
      <c r="A2915" t="s">
        <v>24</v>
      </c>
      <c r="F2915"/>
      <c r="M2915"/>
    </row>
    <row r="2916" spans="1:13" x14ac:dyDescent="0.15">
      <c r="A2916" t="s">
        <v>24</v>
      </c>
      <c r="F2916"/>
      <c r="M2916"/>
    </row>
    <row r="2917" spans="1:13" x14ac:dyDescent="0.15">
      <c r="A2917" t="s">
        <v>24</v>
      </c>
      <c r="F2917"/>
      <c r="M2917"/>
    </row>
    <row r="2918" spans="1:13" x14ac:dyDescent="0.15">
      <c r="A2918" t="s">
        <v>24</v>
      </c>
      <c r="F2918"/>
      <c r="M2918"/>
    </row>
    <row r="2919" spans="1:13" x14ac:dyDescent="0.15">
      <c r="A2919" t="s">
        <v>24</v>
      </c>
      <c r="F2919"/>
      <c r="M2919"/>
    </row>
    <row r="2920" spans="1:13" x14ac:dyDescent="0.15">
      <c r="A2920" t="s">
        <v>24</v>
      </c>
      <c r="F2920"/>
      <c r="M2920"/>
    </row>
    <row r="2921" spans="1:13" x14ac:dyDescent="0.15">
      <c r="A2921" t="s">
        <v>24</v>
      </c>
      <c r="F2921"/>
      <c r="M2921"/>
    </row>
    <row r="2922" spans="1:13" x14ac:dyDescent="0.15">
      <c r="A2922" t="s">
        <v>24</v>
      </c>
      <c r="F2922"/>
      <c r="M2922"/>
    </row>
    <row r="2923" spans="1:13" x14ac:dyDescent="0.15">
      <c r="A2923" t="s">
        <v>24</v>
      </c>
      <c r="F2923"/>
      <c r="M2923"/>
    </row>
    <row r="2924" spans="1:13" x14ac:dyDescent="0.15">
      <c r="A2924" t="s">
        <v>24</v>
      </c>
      <c r="F2924"/>
      <c r="M2924"/>
    </row>
    <row r="2925" spans="1:13" x14ac:dyDescent="0.15">
      <c r="A2925" t="s">
        <v>24</v>
      </c>
      <c r="F2925"/>
      <c r="M2925"/>
    </row>
    <row r="2926" spans="1:13" x14ac:dyDescent="0.15">
      <c r="A2926" t="s">
        <v>24</v>
      </c>
      <c r="F2926"/>
      <c r="M2926"/>
    </row>
    <row r="2927" spans="1:13" x14ac:dyDescent="0.15">
      <c r="A2927" t="s">
        <v>24</v>
      </c>
      <c r="F2927"/>
      <c r="M2927"/>
    </row>
    <row r="2928" spans="1:13" x14ac:dyDescent="0.15">
      <c r="A2928" t="s">
        <v>24</v>
      </c>
      <c r="F2928"/>
      <c r="M2928"/>
    </row>
    <row r="2929" spans="1:13" x14ac:dyDescent="0.15">
      <c r="A2929" t="s">
        <v>24</v>
      </c>
      <c r="F2929"/>
      <c r="M2929"/>
    </row>
    <row r="2930" spans="1:13" x14ac:dyDescent="0.15">
      <c r="A2930" t="s">
        <v>24</v>
      </c>
      <c r="F2930"/>
      <c r="M2930"/>
    </row>
    <row r="2931" spans="1:13" x14ac:dyDescent="0.15">
      <c r="A2931" t="s">
        <v>24</v>
      </c>
      <c r="F2931"/>
      <c r="M2931"/>
    </row>
    <row r="2932" spans="1:13" x14ac:dyDescent="0.15">
      <c r="A2932" t="s">
        <v>24</v>
      </c>
      <c r="F2932"/>
      <c r="M2932"/>
    </row>
    <row r="2933" spans="1:13" x14ac:dyDescent="0.15">
      <c r="A2933" t="s">
        <v>24</v>
      </c>
      <c r="F2933"/>
      <c r="M2933"/>
    </row>
    <row r="2934" spans="1:13" x14ac:dyDescent="0.15">
      <c r="A2934" t="s">
        <v>24</v>
      </c>
      <c r="F2934"/>
      <c r="M2934"/>
    </row>
    <row r="2935" spans="1:13" x14ac:dyDescent="0.15">
      <c r="A2935" t="s">
        <v>24</v>
      </c>
      <c r="F2935"/>
      <c r="M2935"/>
    </row>
    <row r="2936" spans="1:13" x14ac:dyDescent="0.15">
      <c r="A2936" t="s">
        <v>24</v>
      </c>
      <c r="F2936"/>
      <c r="M2936"/>
    </row>
    <row r="2937" spans="1:13" x14ac:dyDescent="0.15">
      <c r="A2937" t="s">
        <v>24</v>
      </c>
      <c r="F2937"/>
      <c r="M2937"/>
    </row>
    <row r="2938" spans="1:13" x14ac:dyDescent="0.15">
      <c r="A2938" t="s">
        <v>24</v>
      </c>
      <c r="F2938"/>
      <c r="M2938"/>
    </row>
    <row r="2939" spans="1:13" x14ac:dyDescent="0.15">
      <c r="A2939" t="s">
        <v>24</v>
      </c>
      <c r="F2939"/>
      <c r="M2939"/>
    </row>
    <row r="2940" spans="1:13" x14ac:dyDescent="0.15">
      <c r="A2940" t="s">
        <v>24</v>
      </c>
      <c r="F2940"/>
      <c r="M2940"/>
    </row>
    <row r="2941" spans="1:13" x14ac:dyDescent="0.15">
      <c r="A2941" t="s">
        <v>24</v>
      </c>
      <c r="F2941"/>
      <c r="M2941"/>
    </row>
    <row r="2942" spans="1:13" x14ac:dyDescent="0.15">
      <c r="A2942" t="s">
        <v>24</v>
      </c>
      <c r="F2942"/>
      <c r="M2942"/>
    </row>
    <row r="2943" spans="1:13" x14ac:dyDescent="0.15">
      <c r="A2943" t="s">
        <v>24</v>
      </c>
      <c r="F2943"/>
      <c r="M2943"/>
    </row>
    <row r="2944" spans="1:13" x14ac:dyDescent="0.15">
      <c r="A2944" t="s">
        <v>24</v>
      </c>
      <c r="F2944"/>
      <c r="M2944"/>
    </row>
    <row r="2945" spans="1:13" x14ac:dyDescent="0.15">
      <c r="A2945" t="s">
        <v>24</v>
      </c>
      <c r="F2945"/>
      <c r="M2945"/>
    </row>
    <row r="2946" spans="1:13" x14ac:dyDescent="0.15">
      <c r="A2946" t="s">
        <v>24</v>
      </c>
      <c r="F2946"/>
      <c r="M2946"/>
    </row>
    <row r="2947" spans="1:13" x14ac:dyDescent="0.15">
      <c r="A2947" t="s">
        <v>24</v>
      </c>
      <c r="F2947"/>
      <c r="M2947"/>
    </row>
    <row r="2948" spans="1:13" x14ac:dyDescent="0.15">
      <c r="A2948" t="s">
        <v>24</v>
      </c>
      <c r="F2948"/>
      <c r="M2948"/>
    </row>
    <row r="2949" spans="1:13" x14ac:dyDescent="0.15">
      <c r="A2949" t="s">
        <v>24</v>
      </c>
      <c r="F2949"/>
      <c r="M2949"/>
    </row>
    <row r="2950" spans="1:13" x14ac:dyDescent="0.15">
      <c r="A2950" t="s">
        <v>24</v>
      </c>
      <c r="F2950"/>
      <c r="M2950"/>
    </row>
    <row r="2951" spans="1:13" x14ac:dyDescent="0.15">
      <c r="A2951" t="s">
        <v>24</v>
      </c>
      <c r="F2951"/>
      <c r="M2951"/>
    </row>
    <row r="2952" spans="1:13" x14ac:dyDescent="0.15">
      <c r="A2952" t="s">
        <v>24</v>
      </c>
      <c r="F2952"/>
      <c r="M2952"/>
    </row>
    <row r="2953" spans="1:13" x14ac:dyDescent="0.15">
      <c r="A2953" t="s">
        <v>24</v>
      </c>
      <c r="F2953"/>
      <c r="M2953"/>
    </row>
    <row r="2954" spans="1:13" x14ac:dyDescent="0.15">
      <c r="A2954" t="s">
        <v>24</v>
      </c>
      <c r="F2954"/>
      <c r="M2954"/>
    </row>
    <row r="2955" spans="1:13" x14ac:dyDescent="0.15">
      <c r="A2955" t="s">
        <v>24</v>
      </c>
      <c r="F2955"/>
      <c r="M2955"/>
    </row>
    <row r="2956" spans="1:13" x14ac:dyDescent="0.15">
      <c r="A2956" t="s">
        <v>24</v>
      </c>
      <c r="F2956"/>
      <c r="M2956"/>
    </row>
    <row r="2957" spans="1:13" x14ac:dyDescent="0.15">
      <c r="A2957" t="s">
        <v>24</v>
      </c>
      <c r="F2957"/>
      <c r="M2957"/>
    </row>
    <row r="2958" spans="1:13" x14ac:dyDescent="0.15">
      <c r="A2958" t="s">
        <v>24</v>
      </c>
      <c r="F2958"/>
      <c r="M2958"/>
    </row>
    <row r="2959" spans="1:13" x14ac:dyDescent="0.15">
      <c r="A2959" t="s">
        <v>24</v>
      </c>
      <c r="F2959"/>
      <c r="M2959"/>
    </row>
    <row r="2960" spans="1:13" x14ac:dyDescent="0.15">
      <c r="A2960" t="s">
        <v>24</v>
      </c>
      <c r="F2960"/>
      <c r="M2960"/>
    </row>
    <row r="2961" spans="1:13" x14ac:dyDescent="0.15">
      <c r="A2961" t="s">
        <v>24</v>
      </c>
      <c r="F2961"/>
      <c r="M2961"/>
    </row>
    <row r="2962" spans="1:13" x14ac:dyDescent="0.15">
      <c r="A2962" t="s">
        <v>24</v>
      </c>
      <c r="F2962"/>
      <c r="M2962"/>
    </row>
    <row r="2963" spans="1:13" x14ac:dyDescent="0.15">
      <c r="A2963" t="s">
        <v>24</v>
      </c>
      <c r="F2963"/>
      <c r="M2963"/>
    </row>
    <row r="2964" spans="1:13" x14ac:dyDescent="0.15">
      <c r="A2964" t="s">
        <v>24</v>
      </c>
      <c r="F2964"/>
      <c r="M2964"/>
    </row>
    <row r="2965" spans="1:13" x14ac:dyDescent="0.15">
      <c r="A2965" t="s">
        <v>24</v>
      </c>
      <c r="F2965"/>
      <c r="M2965"/>
    </row>
    <row r="2966" spans="1:13" x14ac:dyDescent="0.15">
      <c r="A2966" t="s">
        <v>24</v>
      </c>
      <c r="F2966"/>
      <c r="M2966"/>
    </row>
    <row r="2967" spans="1:13" x14ac:dyDescent="0.15">
      <c r="A2967" t="s">
        <v>24</v>
      </c>
      <c r="F2967"/>
      <c r="M2967"/>
    </row>
    <row r="2968" spans="1:13" x14ac:dyDescent="0.15">
      <c r="A2968" t="s">
        <v>24</v>
      </c>
      <c r="F2968"/>
      <c r="M2968"/>
    </row>
    <row r="2969" spans="1:13" x14ac:dyDescent="0.15">
      <c r="A2969" t="s">
        <v>24</v>
      </c>
      <c r="F2969"/>
      <c r="M2969"/>
    </row>
    <row r="2970" spans="1:13" x14ac:dyDescent="0.15">
      <c r="A2970" t="s">
        <v>24</v>
      </c>
      <c r="F2970"/>
      <c r="M2970"/>
    </row>
    <row r="2971" spans="1:13" x14ac:dyDescent="0.15">
      <c r="A2971" t="s">
        <v>24</v>
      </c>
      <c r="F2971"/>
      <c r="M2971"/>
    </row>
    <row r="2972" spans="1:13" x14ac:dyDescent="0.15">
      <c r="A2972" t="s">
        <v>24</v>
      </c>
      <c r="F2972"/>
      <c r="M2972"/>
    </row>
    <row r="2973" spans="1:13" x14ac:dyDescent="0.15">
      <c r="A2973" t="s">
        <v>24</v>
      </c>
      <c r="F2973"/>
      <c r="M2973"/>
    </row>
    <row r="2974" spans="1:13" x14ac:dyDescent="0.15">
      <c r="A2974" t="s">
        <v>24</v>
      </c>
      <c r="F2974"/>
      <c r="M2974"/>
    </row>
    <row r="2975" spans="1:13" x14ac:dyDescent="0.15">
      <c r="A2975" t="s">
        <v>24</v>
      </c>
      <c r="F2975"/>
      <c r="M2975"/>
    </row>
    <row r="2976" spans="1:13" x14ac:dyDescent="0.15">
      <c r="A2976" t="s">
        <v>24</v>
      </c>
      <c r="F2976"/>
      <c r="M2976"/>
    </row>
    <row r="2977" spans="1:13" x14ac:dyDescent="0.15">
      <c r="A2977" t="s">
        <v>24</v>
      </c>
      <c r="F2977"/>
      <c r="M2977"/>
    </row>
    <row r="2978" spans="1:13" x14ac:dyDescent="0.15">
      <c r="A2978" t="s">
        <v>24</v>
      </c>
      <c r="F2978"/>
      <c r="M2978"/>
    </row>
    <row r="2979" spans="1:13" x14ac:dyDescent="0.15">
      <c r="A2979" t="s">
        <v>24</v>
      </c>
      <c r="F2979"/>
      <c r="M2979"/>
    </row>
    <row r="2980" spans="1:13" x14ac:dyDescent="0.15">
      <c r="A2980" t="s">
        <v>24</v>
      </c>
      <c r="F2980"/>
      <c r="M2980"/>
    </row>
    <row r="2981" spans="1:13" x14ac:dyDescent="0.15">
      <c r="A2981" t="s">
        <v>24</v>
      </c>
      <c r="F2981"/>
      <c r="M2981"/>
    </row>
    <row r="2982" spans="1:13" x14ac:dyDescent="0.15">
      <c r="A2982" t="s">
        <v>24</v>
      </c>
      <c r="F2982"/>
      <c r="M2982"/>
    </row>
    <row r="2983" spans="1:13" x14ac:dyDescent="0.15">
      <c r="A2983" t="s">
        <v>24</v>
      </c>
      <c r="F2983"/>
      <c r="M2983"/>
    </row>
    <row r="2984" spans="1:13" x14ac:dyDescent="0.15">
      <c r="A2984" t="s">
        <v>24</v>
      </c>
      <c r="F2984"/>
      <c r="M2984"/>
    </row>
    <row r="2985" spans="1:13" x14ac:dyDescent="0.15">
      <c r="A2985" t="s">
        <v>24</v>
      </c>
      <c r="F2985"/>
      <c r="M2985"/>
    </row>
    <row r="2986" spans="1:13" x14ac:dyDescent="0.15">
      <c r="A2986" t="s">
        <v>24</v>
      </c>
      <c r="F2986"/>
      <c r="M2986"/>
    </row>
    <row r="2987" spans="1:13" x14ac:dyDescent="0.15">
      <c r="A2987" t="s">
        <v>24</v>
      </c>
      <c r="F2987"/>
      <c r="M2987"/>
    </row>
    <row r="2988" spans="1:13" x14ac:dyDescent="0.15">
      <c r="A2988" t="s">
        <v>24</v>
      </c>
      <c r="F2988"/>
      <c r="M2988"/>
    </row>
    <row r="2989" spans="1:13" x14ac:dyDescent="0.15">
      <c r="A2989" t="s">
        <v>24</v>
      </c>
      <c r="F2989"/>
      <c r="M2989"/>
    </row>
    <row r="2990" spans="1:13" x14ac:dyDescent="0.15">
      <c r="A2990" t="s">
        <v>24</v>
      </c>
      <c r="F2990"/>
      <c r="M2990"/>
    </row>
    <row r="2991" spans="1:13" x14ac:dyDescent="0.15">
      <c r="A2991" t="s">
        <v>24</v>
      </c>
      <c r="F2991"/>
      <c r="M2991"/>
    </row>
    <row r="2992" spans="1:13" x14ac:dyDescent="0.15">
      <c r="A2992" t="s">
        <v>24</v>
      </c>
      <c r="F2992"/>
      <c r="M2992"/>
    </row>
    <row r="2993" spans="1:13" x14ac:dyDescent="0.15">
      <c r="A2993" t="s">
        <v>24</v>
      </c>
      <c r="F2993"/>
      <c r="M2993"/>
    </row>
    <row r="2994" spans="1:13" x14ac:dyDescent="0.15">
      <c r="A2994" t="s">
        <v>24</v>
      </c>
      <c r="F2994"/>
      <c r="M2994"/>
    </row>
    <row r="2995" spans="1:13" x14ac:dyDescent="0.15">
      <c r="A2995" t="s">
        <v>24</v>
      </c>
      <c r="F2995"/>
      <c r="M2995"/>
    </row>
    <row r="2996" spans="1:13" x14ac:dyDescent="0.15">
      <c r="A2996" t="s">
        <v>24</v>
      </c>
      <c r="F2996"/>
      <c r="M2996"/>
    </row>
    <row r="2997" spans="1:13" x14ac:dyDescent="0.15">
      <c r="A2997" t="s">
        <v>24</v>
      </c>
      <c r="F2997"/>
      <c r="M2997"/>
    </row>
    <row r="2998" spans="1:13" x14ac:dyDescent="0.15">
      <c r="A2998" t="s">
        <v>24</v>
      </c>
      <c r="F2998"/>
      <c r="M2998"/>
    </row>
    <row r="2999" spans="1:13" x14ac:dyDescent="0.15">
      <c r="A2999" t="s">
        <v>24</v>
      </c>
      <c r="F2999"/>
      <c r="M2999"/>
    </row>
    <row r="3000" spans="1:13" x14ac:dyDescent="0.15">
      <c r="A3000" t="s">
        <v>24</v>
      </c>
      <c r="F3000"/>
      <c r="M3000"/>
    </row>
    <row r="3001" spans="1:13" x14ac:dyDescent="0.15">
      <c r="A3001" t="s">
        <v>24</v>
      </c>
      <c r="F3001"/>
      <c r="M3001"/>
    </row>
    <row r="3002" spans="1:13" x14ac:dyDescent="0.15">
      <c r="A3002" t="s">
        <v>24</v>
      </c>
      <c r="F3002"/>
      <c r="M3002"/>
    </row>
    <row r="3003" spans="1:13" x14ac:dyDescent="0.15">
      <c r="A3003" t="s">
        <v>24</v>
      </c>
      <c r="F3003"/>
      <c r="M3003"/>
    </row>
    <row r="3004" spans="1:13" x14ac:dyDescent="0.15">
      <c r="A3004" t="s">
        <v>24</v>
      </c>
      <c r="F3004"/>
      <c r="M3004"/>
    </row>
    <row r="3005" spans="1:13" x14ac:dyDescent="0.15">
      <c r="A3005" t="s">
        <v>24</v>
      </c>
      <c r="F3005"/>
      <c r="M3005"/>
    </row>
    <row r="3006" spans="1:13" x14ac:dyDescent="0.15">
      <c r="A3006" t="s">
        <v>24</v>
      </c>
      <c r="F3006"/>
      <c r="M3006"/>
    </row>
    <row r="3007" spans="1:13" x14ac:dyDescent="0.15">
      <c r="A3007" t="s">
        <v>24</v>
      </c>
      <c r="F3007"/>
      <c r="M3007"/>
    </row>
    <row r="3008" spans="1:13" x14ac:dyDescent="0.15">
      <c r="A3008" t="s">
        <v>24</v>
      </c>
      <c r="F3008"/>
      <c r="M3008"/>
    </row>
    <row r="3009" spans="1:13" x14ac:dyDescent="0.15">
      <c r="A3009" t="s">
        <v>24</v>
      </c>
      <c r="F3009"/>
      <c r="M3009"/>
    </row>
    <row r="3010" spans="1:13" x14ac:dyDescent="0.15">
      <c r="A3010" t="s">
        <v>24</v>
      </c>
      <c r="F3010"/>
      <c r="M3010"/>
    </row>
    <row r="3011" spans="1:13" x14ac:dyDescent="0.15">
      <c r="A3011" t="s">
        <v>24</v>
      </c>
      <c r="F3011"/>
      <c r="M3011"/>
    </row>
    <row r="3012" spans="1:13" x14ac:dyDescent="0.15">
      <c r="A3012" t="s">
        <v>24</v>
      </c>
      <c r="F3012"/>
      <c r="M3012"/>
    </row>
    <row r="3013" spans="1:13" x14ac:dyDescent="0.15">
      <c r="A3013" t="s">
        <v>24</v>
      </c>
      <c r="F3013"/>
      <c r="M3013"/>
    </row>
    <row r="3014" spans="1:13" x14ac:dyDescent="0.15">
      <c r="A3014" t="s">
        <v>24</v>
      </c>
      <c r="F3014"/>
      <c r="M3014"/>
    </row>
    <row r="3015" spans="1:13" x14ac:dyDescent="0.15">
      <c r="A3015" t="s">
        <v>24</v>
      </c>
      <c r="F3015"/>
      <c r="M3015"/>
    </row>
    <row r="3016" spans="1:13" x14ac:dyDescent="0.15">
      <c r="A3016" t="s">
        <v>24</v>
      </c>
      <c r="F3016"/>
      <c r="M3016"/>
    </row>
    <row r="3017" spans="1:13" x14ac:dyDescent="0.15">
      <c r="A3017" t="s">
        <v>24</v>
      </c>
      <c r="F3017"/>
      <c r="M3017"/>
    </row>
    <row r="3018" spans="1:13" x14ac:dyDescent="0.15">
      <c r="A3018" t="s">
        <v>24</v>
      </c>
      <c r="F3018"/>
      <c r="M3018"/>
    </row>
    <row r="3019" spans="1:13" x14ac:dyDescent="0.15">
      <c r="A3019" t="s">
        <v>24</v>
      </c>
      <c r="F3019"/>
      <c r="M3019"/>
    </row>
    <row r="3020" spans="1:13" x14ac:dyDescent="0.15">
      <c r="A3020" t="s">
        <v>24</v>
      </c>
      <c r="F3020"/>
      <c r="M3020"/>
    </row>
    <row r="3021" spans="1:13" x14ac:dyDescent="0.15">
      <c r="A3021" t="s">
        <v>24</v>
      </c>
      <c r="F3021"/>
      <c r="M3021"/>
    </row>
    <row r="3022" spans="1:13" x14ac:dyDescent="0.15">
      <c r="A3022" t="s">
        <v>24</v>
      </c>
      <c r="F3022"/>
      <c r="M3022"/>
    </row>
    <row r="3023" spans="1:13" x14ac:dyDescent="0.15">
      <c r="A3023" t="s">
        <v>24</v>
      </c>
      <c r="F3023"/>
      <c r="M3023"/>
    </row>
    <row r="3024" spans="1:13" x14ac:dyDescent="0.15">
      <c r="A3024" t="s">
        <v>24</v>
      </c>
      <c r="F3024"/>
      <c r="M3024"/>
    </row>
    <row r="3025" spans="1:13" x14ac:dyDescent="0.15">
      <c r="A3025" t="s">
        <v>24</v>
      </c>
      <c r="F3025"/>
      <c r="M3025"/>
    </row>
    <row r="3026" spans="1:13" x14ac:dyDescent="0.15">
      <c r="A3026" t="s">
        <v>24</v>
      </c>
      <c r="F3026"/>
      <c r="M3026"/>
    </row>
    <row r="3027" spans="1:13" x14ac:dyDescent="0.15">
      <c r="A3027" t="s">
        <v>24</v>
      </c>
      <c r="F3027"/>
      <c r="M3027"/>
    </row>
    <row r="3028" spans="1:13" x14ac:dyDescent="0.15">
      <c r="A3028" t="s">
        <v>24</v>
      </c>
      <c r="F3028"/>
      <c r="M3028"/>
    </row>
    <row r="3029" spans="1:13" x14ac:dyDescent="0.15">
      <c r="A3029" t="s">
        <v>24</v>
      </c>
      <c r="F3029"/>
      <c r="M3029"/>
    </row>
    <row r="3030" spans="1:13" x14ac:dyDescent="0.15">
      <c r="A3030" t="s">
        <v>24</v>
      </c>
      <c r="F3030"/>
      <c r="M3030"/>
    </row>
    <row r="3031" spans="1:13" x14ac:dyDescent="0.15">
      <c r="A3031" t="s">
        <v>24</v>
      </c>
      <c r="F3031"/>
      <c r="M3031"/>
    </row>
    <row r="3032" spans="1:13" x14ac:dyDescent="0.15">
      <c r="A3032" t="s">
        <v>24</v>
      </c>
      <c r="F3032"/>
      <c r="M3032"/>
    </row>
    <row r="3033" spans="1:13" x14ac:dyDescent="0.15">
      <c r="A3033" t="s">
        <v>24</v>
      </c>
      <c r="F3033"/>
      <c r="M3033"/>
    </row>
    <row r="3034" spans="1:13" x14ac:dyDescent="0.15">
      <c r="A3034" t="s">
        <v>24</v>
      </c>
      <c r="F3034"/>
      <c r="M3034"/>
    </row>
    <row r="3035" spans="1:13" x14ac:dyDescent="0.15">
      <c r="A3035" t="s">
        <v>24</v>
      </c>
      <c r="F3035"/>
      <c r="M3035"/>
    </row>
    <row r="3036" spans="1:13" x14ac:dyDescent="0.15">
      <c r="A3036" t="s">
        <v>24</v>
      </c>
      <c r="F3036"/>
      <c r="M3036"/>
    </row>
    <row r="3037" spans="1:13" x14ac:dyDescent="0.15">
      <c r="A3037" t="s">
        <v>24</v>
      </c>
      <c r="F3037"/>
      <c r="M3037"/>
    </row>
    <row r="3038" spans="1:13" x14ac:dyDescent="0.15">
      <c r="A3038" t="s">
        <v>24</v>
      </c>
      <c r="F3038"/>
      <c r="M3038"/>
    </row>
    <row r="3039" spans="1:13" x14ac:dyDescent="0.15">
      <c r="A3039" t="s">
        <v>24</v>
      </c>
      <c r="F3039"/>
      <c r="M3039"/>
    </row>
    <row r="3040" spans="1:13" x14ac:dyDescent="0.15">
      <c r="A3040" t="s">
        <v>24</v>
      </c>
      <c r="F3040"/>
      <c r="M3040"/>
    </row>
    <row r="3041" spans="1:13" x14ac:dyDescent="0.15">
      <c r="A3041" t="s">
        <v>24</v>
      </c>
      <c r="F3041"/>
      <c r="M3041"/>
    </row>
    <row r="3042" spans="1:13" x14ac:dyDescent="0.15">
      <c r="A3042" t="s">
        <v>24</v>
      </c>
      <c r="F3042"/>
      <c r="M3042"/>
    </row>
    <row r="3043" spans="1:13" x14ac:dyDescent="0.15">
      <c r="A3043" t="s">
        <v>24</v>
      </c>
      <c r="F3043"/>
      <c r="M3043"/>
    </row>
    <row r="3044" spans="1:13" x14ac:dyDescent="0.15">
      <c r="A3044" t="s">
        <v>24</v>
      </c>
      <c r="F3044"/>
      <c r="M3044"/>
    </row>
    <row r="3045" spans="1:13" x14ac:dyDescent="0.15">
      <c r="A3045" t="s">
        <v>24</v>
      </c>
      <c r="F3045"/>
      <c r="M3045"/>
    </row>
    <row r="3046" spans="1:13" x14ac:dyDescent="0.15">
      <c r="A3046" t="s">
        <v>24</v>
      </c>
      <c r="F3046"/>
      <c r="M3046"/>
    </row>
    <row r="3047" spans="1:13" x14ac:dyDescent="0.15">
      <c r="A3047" t="s">
        <v>24</v>
      </c>
      <c r="F3047"/>
      <c r="M3047"/>
    </row>
    <row r="3048" spans="1:13" x14ac:dyDescent="0.15">
      <c r="A3048" t="s">
        <v>24</v>
      </c>
      <c r="F3048"/>
      <c r="M3048"/>
    </row>
    <row r="3049" spans="1:13" x14ac:dyDescent="0.15">
      <c r="A3049" t="s">
        <v>24</v>
      </c>
      <c r="F3049"/>
      <c r="M3049"/>
    </row>
    <row r="3050" spans="1:13" x14ac:dyDescent="0.15">
      <c r="A3050" t="s">
        <v>24</v>
      </c>
      <c r="F3050"/>
      <c r="M3050"/>
    </row>
    <row r="3051" spans="1:13" x14ac:dyDescent="0.15">
      <c r="A3051" t="s">
        <v>24</v>
      </c>
      <c r="F3051"/>
      <c r="M3051"/>
    </row>
    <row r="3052" spans="1:13" x14ac:dyDescent="0.15">
      <c r="A3052" t="s">
        <v>24</v>
      </c>
      <c r="F3052"/>
      <c r="M3052"/>
    </row>
    <row r="3053" spans="1:13" x14ac:dyDescent="0.15">
      <c r="A3053" t="s">
        <v>24</v>
      </c>
      <c r="F3053"/>
      <c r="M3053"/>
    </row>
    <row r="3054" spans="1:13" x14ac:dyDescent="0.15">
      <c r="A3054" t="s">
        <v>24</v>
      </c>
      <c r="F3054"/>
      <c r="M3054"/>
    </row>
    <row r="3055" spans="1:13" x14ac:dyDescent="0.15">
      <c r="A3055" t="s">
        <v>24</v>
      </c>
      <c r="F3055"/>
      <c r="M3055"/>
    </row>
    <row r="3056" spans="1:13" x14ac:dyDescent="0.15">
      <c r="A3056" t="s">
        <v>24</v>
      </c>
      <c r="F3056"/>
      <c r="M3056"/>
    </row>
    <row r="3057" spans="1:13" x14ac:dyDescent="0.15">
      <c r="A3057" t="s">
        <v>24</v>
      </c>
      <c r="F3057"/>
      <c r="M3057"/>
    </row>
    <row r="3058" spans="1:13" x14ac:dyDescent="0.15">
      <c r="A3058" t="s">
        <v>24</v>
      </c>
      <c r="F3058"/>
      <c r="M3058"/>
    </row>
    <row r="3059" spans="1:13" x14ac:dyDescent="0.15">
      <c r="A3059" t="s">
        <v>24</v>
      </c>
      <c r="F3059"/>
      <c r="M3059"/>
    </row>
    <row r="3060" spans="1:13" x14ac:dyDescent="0.15">
      <c r="A3060" t="s">
        <v>24</v>
      </c>
      <c r="F3060"/>
      <c r="M3060"/>
    </row>
    <row r="3061" spans="1:13" x14ac:dyDescent="0.15">
      <c r="A3061" t="s">
        <v>24</v>
      </c>
      <c r="F3061"/>
      <c r="M3061"/>
    </row>
    <row r="3062" spans="1:13" x14ac:dyDescent="0.15">
      <c r="A3062" t="s">
        <v>24</v>
      </c>
      <c r="F3062"/>
      <c r="M3062"/>
    </row>
    <row r="3063" spans="1:13" x14ac:dyDescent="0.15">
      <c r="A3063" t="s">
        <v>24</v>
      </c>
      <c r="F3063"/>
      <c r="M3063"/>
    </row>
    <row r="3064" spans="1:13" x14ac:dyDescent="0.15">
      <c r="A3064" t="s">
        <v>24</v>
      </c>
      <c r="F3064"/>
      <c r="M3064"/>
    </row>
    <row r="3065" spans="1:13" x14ac:dyDescent="0.15">
      <c r="A3065" t="s">
        <v>24</v>
      </c>
      <c r="F3065"/>
      <c r="M3065"/>
    </row>
    <row r="3066" spans="1:13" x14ac:dyDescent="0.15">
      <c r="A3066" t="s">
        <v>24</v>
      </c>
      <c r="F3066"/>
      <c r="M3066"/>
    </row>
    <row r="3067" spans="1:13" x14ac:dyDescent="0.15">
      <c r="A3067" t="s">
        <v>24</v>
      </c>
      <c r="F3067"/>
      <c r="M3067"/>
    </row>
    <row r="3068" spans="1:13" x14ac:dyDescent="0.15">
      <c r="A3068" t="s">
        <v>24</v>
      </c>
      <c r="F3068"/>
      <c r="M3068"/>
    </row>
    <row r="3069" spans="1:13" x14ac:dyDescent="0.15">
      <c r="A3069" t="s">
        <v>24</v>
      </c>
      <c r="F3069"/>
      <c r="M3069"/>
    </row>
    <row r="3070" spans="1:13" x14ac:dyDescent="0.15">
      <c r="A3070" t="s">
        <v>24</v>
      </c>
      <c r="F3070"/>
      <c r="M3070"/>
    </row>
    <row r="3071" spans="1:13" x14ac:dyDescent="0.15">
      <c r="A3071" t="s">
        <v>24</v>
      </c>
      <c r="F3071"/>
      <c r="M3071"/>
    </row>
    <row r="3072" spans="1:13" x14ac:dyDescent="0.15">
      <c r="A3072" t="s">
        <v>24</v>
      </c>
      <c r="F3072"/>
      <c r="M3072"/>
    </row>
    <row r="3073" spans="1:13" x14ac:dyDescent="0.15">
      <c r="A3073" t="s">
        <v>24</v>
      </c>
      <c r="F3073"/>
      <c r="M3073"/>
    </row>
    <row r="3074" spans="1:13" x14ac:dyDescent="0.15">
      <c r="A3074" t="s">
        <v>24</v>
      </c>
      <c r="F3074"/>
      <c r="M3074"/>
    </row>
    <row r="3075" spans="1:13" x14ac:dyDescent="0.15">
      <c r="A3075" t="s">
        <v>24</v>
      </c>
      <c r="F3075"/>
      <c r="M3075"/>
    </row>
    <row r="3076" spans="1:13" x14ac:dyDescent="0.15">
      <c r="A3076" t="s">
        <v>24</v>
      </c>
      <c r="F3076"/>
      <c r="M3076"/>
    </row>
    <row r="3077" spans="1:13" x14ac:dyDescent="0.15">
      <c r="A3077" t="s">
        <v>24</v>
      </c>
      <c r="F3077"/>
      <c r="M3077"/>
    </row>
    <row r="3078" spans="1:13" x14ac:dyDescent="0.15">
      <c r="A3078" t="s">
        <v>24</v>
      </c>
      <c r="F3078"/>
      <c r="M3078"/>
    </row>
    <row r="3079" spans="1:13" x14ac:dyDescent="0.15">
      <c r="A3079" t="s">
        <v>24</v>
      </c>
      <c r="F3079"/>
      <c r="M3079"/>
    </row>
    <row r="3080" spans="1:13" x14ac:dyDescent="0.15">
      <c r="A3080" t="s">
        <v>24</v>
      </c>
      <c r="F3080"/>
      <c r="M3080"/>
    </row>
    <row r="3081" spans="1:13" x14ac:dyDescent="0.15">
      <c r="A3081" t="s">
        <v>24</v>
      </c>
      <c r="F3081"/>
      <c r="M3081"/>
    </row>
    <row r="3082" spans="1:13" x14ac:dyDescent="0.15">
      <c r="A3082" t="s">
        <v>24</v>
      </c>
      <c r="F3082"/>
      <c r="M3082"/>
    </row>
    <row r="3083" spans="1:13" x14ac:dyDescent="0.15">
      <c r="A3083" t="s">
        <v>24</v>
      </c>
      <c r="F3083"/>
      <c r="M3083"/>
    </row>
    <row r="3084" spans="1:13" x14ac:dyDescent="0.15">
      <c r="A3084" t="s">
        <v>24</v>
      </c>
      <c r="F3084"/>
      <c r="M3084"/>
    </row>
    <row r="3085" spans="1:13" x14ac:dyDescent="0.15">
      <c r="A3085" t="s">
        <v>24</v>
      </c>
      <c r="F3085"/>
      <c r="M3085"/>
    </row>
    <row r="3086" spans="1:13" x14ac:dyDescent="0.15">
      <c r="A3086" t="s">
        <v>24</v>
      </c>
      <c r="F3086"/>
      <c r="M3086"/>
    </row>
    <row r="3087" spans="1:13" x14ac:dyDescent="0.15">
      <c r="A3087" t="s">
        <v>24</v>
      </c>
      <c r="F3087"/>
      <c r="M3087"/>
    </row>
    <row r="3088" spans="1:13" x14ac:dyDescent="0.15">
      <c r="A3088" t="s">
        <v>24</v>
      </c>
      <c r="F3088"/>
      <c r="M3088"/>
    </row>
    <row r="3089" spans="1:13" x14ac:dyDescent="0.15">
      <c r="A3089" t="s">
        <v>24</v>
      </c>
      <c r="F3089"/>
      <c r="M3089"/>
    </row>
    <row r="3090" spans="1:13" x14ac:dyDescent="0.15">
      <c r="A3090" t="s">
        <v>24</v>
      </c>
      <c r="F3090"/>
      <c r="M3090"/>
    </row>
    <row r="3091" spans="1:13" x14ac:dyDescent="0.15">
      <c r="A3091" t="s">
        <v>24</v>
      </c>
      <c r="F3091"/>
      <c r="M3091"/>
    </row>
    <row r="3092" spans="1:13" x14ac:dyDescent="0.15">
      <c r="A3092" t="s">
        <v>24</v>
      </c>
      <c r="F3092"/>
      <c r="M3092"/>
    </row>
    <row r="3093" spans="1:13" x14ac:dyDescent="0.15">
      <c r="A3093" t="s">
        <v>24</v>
      </c>
      <c r="F3093"/>
      <c r="M3093"/>
    </row>
    <row r="3094" spans="1:13" x14ac:dyDescent="0.15">
      <c r="A3094" t="s">
        <v>24</v>
      </c>
      <c r="F3094"/>
      <c r="M3094"/>
    </row>
    <row r="3095" spans="1:13" x14ac:dyDescent="0.15">
      <c r="A3095" t="s">
        <v>24</v>
      </c>
      <c r="F3095"/>
      <c r="M3095"/>
    </row>
    <row r="3096" spans="1:13" x14ac:dyDescent="0.15">
      <c r="A3096" t="s">
        <v>24</v>
      </c>
      <c r="F3096"/>
      <c r="M3096"/>
    </row>
    <row r="3097" spans="1:13" x14ac:dyDescent="0.15">
      <c r="A3097" t="s">
        <v>24</v>
      </c>
      <c r="F3097"/>
      <c r="M3097"/>
    </row>
    <row r="3098" spans="1:13" x14ac:dyDescent="0.15">
      <c r="A3098" t="s">
        <v>24</v>
      </c>
      <c r="F3098"/>
      <c r="M3098"/>
    </row>
    <row r="3099" spans="1:13" x14ac:dyDescent="0.15">
      <c r="A3099" t="s">
        <v>24</v>
      </c>
      <c r="F3099"/>
      <c r="M3099"/>
    </row>
    <row r="3100" spans="1:13" x14ac:dyDescent="0.15">
      <c r="A3100" t="s">
        <v>24</v>
      </c>
      <c r="F3100"/>
      <c r="M3100"/>
    </row>
    <row r="3101" spans="1:13" x14ac:dyDescent="0.15">
      <c r="A3101" t="s">
        <v>24</v>
      </c>
      <c r="F3101"/>
      <c r="M3101"/>
    </row>
    <row r="3102" spans="1:13" x14ac:dyDescent="0.15">
      <c r="A3102" t="s">
        <v>24</v>
      </c>
      <c r="F3102"/>
      <c r="M3102"/>
    </row>
    <row r="3103" spans="1:13" x14ac:dyDescent="0.15">
      <c r="A3103" t="s">
        <v>24</v>
      </c>
      <c r="F3103"/>
      <c r="M3103"/>
    </row>
    <row r="3104" spans="1:13" x14ac:dyDescent="0.15">
      <c r="A3104" t="s">
        <v>24</v>
      </c>
      <c r="F3104"/>
      <c r="M3104"/>
    </row>
    <row r="3105" spans="1:13" x14ac:dyDescent="0.15">
      <c r="A3105" t="s">
        <v>24</v>
      </c>
      <c r="F3105"/>
      <c r="M3105"/>
    </row>
    <row r="3106" spans="1:13" x14ac:dyDescent="0.15">
      <c r="A3106" t="s">
        <v>24</v>
      </c>
      <c r="F3106"/>
      <c r="M3106"/>
    </row>
    <row r="3107" spans="1:13" x14ac:dyDescent="0.15">
      <c r="A3107" t="s">
        <v>24</v>
      </c>
      <c r="F3107"/>
      <c r="M3107"/>
    </row>
    <row r="3108" spans="1:13" x14ac:dyDescent="0.15">
      <c r="A3108" t="s">
        <v>24</v>
      </c>
      <c r="F3108"/>
      <c r="M3108"/>
    </row>
    <row r="3109" spans="1:13" x14ac:dyDescent="0.15">
      <c r="A3109" t="s">
        <v>24</v>
      </c>
      <c r="F3109"/>
      <c r="M3109"/>
    </row>
    <row r="3110" spans="1:13" x14ac:dyDescent="0.15">
      <c r="A3110" t="s">
        <v>24</v>
      </c>
      <c r="F3110"/>
      <c r="M3110"/>
    </row>
    <row r="3111" spans="1:13" x14ac:dyDescent="0.15">
      <c r="A3111" t="s">
        <v>24</v>
      </c>
      <c r="F3111"/>
      <c r="M3111"/>
    </row>
    <row r="3112" spans="1:13" x14ac:dyDescent="0.15">
      <c r="A3112" t="s">
        <v>24</v>
      </c>
      <c r="F3112"/>
      <c r="M3112"/>
    </row>
    <row r="3113" spans="1:13" x14ac:dyDescent="0.15">
      <c r="A3113" t="s">
        <v>24</v>
      </c>
      <c r="F3113"/>
      <c r="M3113"/>
    </row>
    <row r="3114" spans="1:13" x14ac:dyDescent="0.15">
      <c r="A3114" t="s">
        <v>24</v>
      </c>
      <c r="F3114"/>
      <c r="M3114"/>
    </row>
    <row r="3115" spans="1:13" x14ac:dyDescent="0.15">
      <c r="A3115" t="s">
        <v>24</v>
      </c>
      <c r="F3115"/>
      <c r="M3115"/>
    </row>
    <row r="3116" spans="1:13" x14ac:dyDescent="0.15">
      <c r="A3116" t="s">
        <v>24</v>
      </c>
      <c r="F3116"/>
      <c r="M3116"/>
    </row>
    <row r="3117" spans="1:13" x14ac:dyDescent="0.15">
      <c r="A3117" t="s">
        <v>24</v>
      </c>
      <c r="F3117"/>
      <c r="M3117"/>
    </row>
    <row r="3118" spans="1:13" x14ac:dyDescent="0.15">
      <c r="A3118" t="s">
        <v>24</v>
      </c>
      <c r="F3118"/>
      <c r="M3118"/>
    </row>
    <row r="3119" spans="1:13" x14ac:dyDescent="0.15">
      <c r="A3119" t="s">
        <v>24</v>
      </c>
      <c r="F3119"/>
      <c r="M3119"/>
    </row>
    <row r="3120" spans="1:13" x14ac:dyDescent="0.15">
      <c r="A3120" t="s">
        <v>24</v>
      </c>
      <c r="F3120"/>
      <c r="M3120"/>
    </row>
    <row r="3121" spans="1:13" x14ac:dyDescent="0.15">
      <c r="A3121" t="s">
        <v>24</v>
      </c>
      <c r="F3121"/>
      <c r="M3121"/>
    </row>
    <row r="3122" spans="1:13" x14ac:dyDescent="0.15">
      <c r="A3122" t="s">
        <v>24</v>
      </c>
      <c r="F3122"/>
      <c r="M3122"/>
    </row>
    <row r="3123" spans="1:13" x14ac:dyDescent="0.15">
      <c r="A3123" t="s">
        <v>24</v>
      </c>
      <c r="F3123"/>
      <c r="M3123"/>
    </row>
    <row r="3124" spans="1:13" x14ac:dyDescent="0.15">
      <c r="A3124" t="s">
        <v>24</v>
      </c>
      <c r="F3124"/>
      <c r="M3124"/>
    </row>
    <row r="3125" spans="1:13" x14ac:dyDescent="0.15">
      <c r="A3125" t="s">
        <v>24</v>
      </c>
      <c r="F3125"/>
      <c r="M3125"/>
    </row>
    <row r="3126" spans="1:13" x14ac:dyDescent="0.15">
      <c r="A3126" t="s">
        <v>24</v>
      </c>
      <c r="F3126"/>
      <c r="M3126"/>
    </row>
    <row r="3127" spans="1:13" x14ac:dyDescent="0.15">
      <c r="A3127" t="s">
        <v>24</v>
      </c>
      <c r="F3127"/>
      <c r="M3127"/>
    </row>
    <row r="3128" spans="1:13" x14ac:dyDescent="0.15">
      <c r="A3128" t="s">
        <v>24</v>
      </c>
      <c r="F3128"/>
      <c r="M3128"/>
    </row>
    <row r="3129" spans="1:13" x14ac:dyDescent="0.15">
      <c r="A3129" t="s">
        <v>24</v>
      </c>
      <c r="F3129"/>
      <c r="M3129"/>
    </row>
    <row r="3130" spans="1:13" x14ac:dyDescent="0.15">
      <c r="A3130" t="s">
        <v>24</v>
      </c>
      <c r="F3130"/>
      <c r="M3130"/>
    </row>
    <row r="3131" spans="1:13" x14ac:dyDescent="0.15">
      <c r="A3131" t="s">
        <v>24</v>
      </c>
      <c r="F3131"/>
      <c r="M3131"/>
    </row>
    <row r="3132" spans="1:13" x14ac:dyDescent="0.15">
      <c r="A3132" t="s">
        <v>24</v>
      </c>
      <c r="F3132"/>
      <c r="M3132"/>
    </row>
    <row r="3133" spans="1:13" x14ac:dyDescent="0.15">
      <c r="A3133" t="s">
        <v>24</v>
      </c>
      <c r="F3133"/>
      <c r="M3133"/>
    </row>
    <row r="3134" spans="1:13" x14ac:dyDescent="0.15">
      <c r="A3134" t="s">
        <v>24</v>
      </c>
      <c r="F3134"/>
      <c r="M3134"/>
    </row>
    <row r="3135" spans="1:13" x14ac:dyDescent="0.15">
      <c r="A3135" t="s">
        <v>24</v>
      </c>
      <c r="F3135"/>
      <c r="M3135"/>
    </row>
    <row r="3136" spans="1:13" x14ac:dyDescent="0.15">
      <c r="A3136" t="s">
        <v>24</v>
      </c>
      <c r="F3136"/>
      <c r="M3136"/>
    </row>
    <row r="3137" spans="1:13" x14ac:dyDescent="0.15">
      <c r="A3137" t="s">
        <v>24</v>
      </c>
      <c r="F3137"/>
      <c r="M3137"/>
    </row>
    <row r="3138" spans="1:13" x14ac:dyDescent="0.15">
      <c r="A3138" t="s">
        <v>24</v>
      </c>
      <c r="F3138"/>
      <c r="M3138"/>
    </row>
    <row r="3139" spans="1:13" x14ac:dyDescent="0.15">
      <c r="A3139" t="s">
        <v>24</v>
      </c>
      <c r="F3139"/>
      <c r="M3139"/>
    </row>
    <row r="3140" spans="1:13" x14ac:dyDescent="0.15">
      <c r="A3140" t="s">
        <v>24</v>
      </c>
      <c r="F3140"/>
      <c r="M3140"/>
    </row>
    <row r="3141" spans="1:13" x14ac:dyDescent="0.15">
      <c r="A3141" t="s">
        <v>24</v>
      </c>
      <c r="F3141"/>
      <c r="M3141"/>
    </row>
    <row r="3142" spans="1:13" x14ac:dyDescent="0.15">
      <c r="A3142" t="s">
        <v>24</v>
      </c>
      <c r="F3142"/>
      <c r="M3142"/>
    </row>
    <row r="3143" spans="1:13" x14ac:dyDescent="0.15">
      <c r="A3143" t="s">
        <v>24</v>
      </c>
      <c r="F3143"/>
      <c r="M3143"/>
    </row>
    <row r="3144" spans="1:13" x14ac:dyDescent="0.15">
      <c r="A3144" t="s">
        <v>24</v>
      </c>
      <c r="F3144"/>
      <c r="M3144"/>
    </row>
    <row r="3145" spans="1:13" x14ac:dyDescent="0.15">
      <c r="A3145" t="s">
        <v>24</v>
      </c>
      <c r="F3145"/>
      <c r="M3145"/>
    </row>
    <row r="3146" spans="1:13" x14ac:dyDescent="0.15">
      <c r="A3146" t="s">
        <v>24</v>
      </c>
      <c r="F3146"/>
      <c r="M3146"/>
    </row>
    <row r="3147" spans="1:13" x14ac:dyDescent="0.15">
      <c r="A3147" t="s">
        <v>24</v>
      </c>
      <c r="F3147"/>
      <c r="M3147"/>
    </row>
    <row r="3148" spans="1:13" x14ac:dyDescent="0.15">
      <c r="A3148" t="s">
        <v>24</v>
      </c>
      <c r="F3148"/>
      <c r="M3148"/>
    </row>
    <row r="3149" spans="1:13" x14ac:dyDescent="0.15">
      <c r="A3149" t="s">
        <v>24</v>
      </c>
      <c r="F3149"/>
      <c r="M3149"/>
    </row>
    <row r="3150" spans="1:13" x14ac:dyDescent="0.15">
      <c r="A3150" t="s">
        <v>24</v>
      </c>
      <c r="F3150"/>
      <c r="M3150"/>
    </row>
    <row r="3151" spans="1:13" x14ac:dyDescent="0.15">
      <c r="A3151" t="s">
        <v>24</v>
      </c>
      <c r="F3151"/>
      <c r="M3151"/>
    </row>
    <row r="3152" spans="1:13" x14ac:dyDescent="0.15">
      <c r="A3152" t="s">
        <v>24</v>
      </c>
      <c r="F3152"/>
      <c r="M3152"/>
    </row>
    <row r="3153" spans="1:13" x14ac:dyDescent="0.15">
      <c r="A3153" t="s">
        <v>24</v>
      </c>
      <c r="F3153"/>
      <c r="M3153"/>
    </row>
    <row r="3154" spans="1:13" x14ac:dyDescent="0.15">
      <c r="A3154" t="s">
        <v>24</v>
      </c>
      <c r="F3154"/>
      <c r="M3154"/>
    </row>
    <row r="3155" spans="1:13" x14ac:dyDescent="0.15">
      <c r="A3155" t="s">
        <v>24</v>
      </c>
      <c r="F3155"/>
      <c r="M3155"/>
    </row>
    <row r="3156" spans="1:13" x14ac:dyDescent="0.15">
      <c r="A3156" t="s">
        <v>24</v>
      </c>
      <c r="F3156"/>
      <c r="M3156"/>
    </row>
    <row r="3157" spans="1:13" x14ac:dyDescent="0.15">
      <c r="A3157" t="s">
        <v>24</v>
      </c>
      <c r="F3157"/>
      <c r="M3157"/>
    </row>
    <row r="3158" spans="1:13" x14ac:dyDescent="0.15">
      <c r="A3158" t="s">
        <v>24</v>
      </c>
      <c r="F3158"/>
      <c r="M3158"/>
    </row>
    <row r="3159" spans="1:13" x14ac:dyDescent="0.15">
      <c r="A3159" t="s">
        <v>24</v>
      </c>
      <c r="F3159"/>
      <c r="M3159"/>
    </row>
    <row r="3160" spans="1:13" x14ac:dyDescent="0.15">
      <c r="A3160" t="s">
        <v>24</v>
      </c>
      <c r="F3160"/>
      <c r="M3160"/>
    </row>
    <row r="3161" spans="1:13" x14ac:dyDescent="0.15">
      <c r="A3161" t="s">
        <v>24</v>
      </c>
      <c r="F3161"/>
      <c r="M3161"/>
    </row>
    <row r="3162" spans="1:13" x14ac:dyDescent="0.15">
      <c r="A3162" t="s">
        <v>24</v>
      </c>
      <c r="F3162"/>
      <c r="M3162"/>
    </row>
    <row r="3163" spans="1:13" x14ac:dyDescent="0.15">
      <c r="A3163" t="s">
        <v>24</v>
      </c>
      <c r="F3163"/>
      <c r="M3163"/>
    </row>
    <row r="3164" spans="1:13" x14ac:dyDescent="0.15">
      <c r="A3164" t="s">
        <v>24</v>
      </c>
      <c r="F3164"/>
      <c r="M3164"/>
    </row>
    <row r="3165" spans="1:13" x14ac:dyDescent="0.15">
      <c r="A3165" t="s">
        <v>24</v>
      </c>
      <c r="F3165"/>
      <c r="M3165"/>
    </row>
    <row r="3166" spans="1:13" x14ac:dyDescent="0.15">
      <c r="A3166" t="s">
        <v>25</v>
      </c>
      <c r="F3166"/>
      <c r="M3166"/>
    </row>
    <row r="3167" spans="1:13" x14ac:dyDescent="0.15">
      <c r="A3167" t="s">
        <v>25</v>
      </c>
      <c r="F3167"/>
      <c r="M3167"/>
    </row>
    <row r="3168" spans="1:13" x14ac:dyDescent="0.15">
      <c r="A3168" t="s">
        <v>25</v>
      </c>
      <c r="F3168"/>
      <c r="M3168"/>
    </row>
    <row r="3169" spans="1:13" x14ac:dyDescent="0.15">
      <c r="A3169" t="s">
        <v>25</v>
      </c>
      <c r="F3169"/>
      <c r="M3169"/>
    </row>
    <row r="3170" spans="1:13" x14ac:dyDescent="0.15">
      <c r="A3170" t="s">
        <v>25</v>
      </c>
      <c r="F3170"/>
      <c r="M3170"/>
    </row>
    <row r="3171" spans="1:13" x14ac:dyDescent="0.15">
      <c r="A3171" t="s">
        <v>25</v>
      </c>
      <c r="F3171"/>
      <c r="M3171"/>
    </row>
    <row r="3172" spans="1:13" x14ac:dyDescent="0.15">
      <c r="A3172" t="s">
        <v>25</v>
      </c>
      <c r="F3172"/>
      <c r="M3172"/>
    </row>
    <row r="3173" spans="1:13" x14ac:dyDescent="0.15">
      <c r="A3173" t="s">
        <v>25</v>
      </c>
      <c r="F3173"/>
      <c r="M3173"/>
    </row>
    <row r="3174" spans="1:13" x14ac:dyDescent="0.15">
      <c r="A3174" t="s">
        <v>25</v>
      </c>
      <c r="F3174"/>
      <c r="M3174"/>
    </row>
    <row r="3175" spans="1:13" x14ac:dyDescent="0.15">
      <c r="A3175" t="s">
        <v>25</v>
      </c>
      <c r="F3175"/>
      <c r="M3175"/>
    </row>
    <row r="3176" spans="1:13" x14ac:dyDescent="0.15">
      <c r="A3176" t="s">
        <v>25</v>
      </c>
      <c r="F3176"/>
      <c r="M3176"/>
    </row>
    <row r="3177" spans="1:13" x14ac:dyDescent="0.15">
      <c r="A3177" t="s">
        <v>25</v>
      </c>
      <c r="F3177"/>
      <c r="M3177"/>
    </row>
    <row r="3178" spans="1:13" x14ac:dyDescent="0.15">
      <c r="A3178" t="s">
        <v>25</v>
      </c>
      <c r="F3178"/>
      <c r="M3178"/>
    </row>
    <row r="3179" spans="1:13" x14ac:dyDescent="0.15">
      <c r="A3179" t="s">
        <v>25</v>
      </c>
      <c r="F3179"/>
      <c r="M3179"/>
    </row>
    <row r="3180" spans="1:13" x14ac:dyDescent="0.15">
      <c r="A3180" t="s">
        <v>25</v>
      </c>
      <c r="F3180"/>
      <c r="M3180"/>
    </row>
    <row r="3181" spans="1:13" x14ac:dyDescent="0.15">
      <c r="A3181" t="s">
        <v>25</v>
      </c>
      <c r="F3181"/>
      <c r="M3181"/>
    </row>
    <row r="3182" spans="1:13" x14ac:dyDescent="0.15">
      <c r="A3182" t="s">
        <v>25</v>
      </c>
      <c r="F3182"/>
      <c r="M3182"/>
    </row>
    <row r="3183" spans="1:13" x14ac:dyDescent="0.15">
      <c r="A3183" t="s">
        <v>25</v>
      </c>
      <c r="F3183"/>
      <c r="M3183"/>
    </row>
    <row r="3184" spans="1:13" x14ac:dyDescent="0.15">
      <c r="A3184" t="s">
        <v>25</v>
      </c>
      <c r="F3184"/>
      <c r="M3184"/>
    </row>
    <row r="3185" spans="1:13" x14ac:dyDescent="0.15">
      <c r="A3185" t="s">
        <v>25</v>
      </c>
      <c r="F3185"/>
      <c r="M3185"/>
    </row>
    <row r="3186" spans="1:13" x14ac:dyDescent="0.15">
      <c r="A3186" t="s">
        <v>25</v>
      </c>
      <c r="F3186"/>
      <c r="M3186"/>
    </row>
    <row r="3187" spans="1:13" x14ac:dyDescent="0.15">
      <c r="A3187" t="s">
        <v>25</v>
      </c>
      <c r="F3187"/>
      <c r="M3187"/>
    </row>
    <row r="3188" spans="1:13" x14ac:dyDescent="0.15">
      <c r="A3188" t="s">
        <v>25</v>
      </c>
      <c r="F3188"/>
      <c r="M3188"/>
    </row>
    <row r="3189" spans="1:13" x14ac:dyDescent="0.15">
      <c r="A3189" t="s">
        <v>25</v>
      </c>
      <c r="F3189"/>
      <c r="M3189"/>
    </row>
    <row r="3190" spans="1:13" x14ac:dyDescent="0.15">
      <c r="A3190" t="s">
        <v>25</v>
      </c>
      <c r="F3190"/>
      <c r="M3190"/>
    </row>
    <row r="3191" spans="1:13" x14ac:dyDescent="0.15">
      <c r="A3191" t="s">
        <v>25</v>
      </c>
      <c r="F3191"/>
      <c r="M3191"/>
    </row>
    <row r="3192" spans="1:13" x14ac:dyDescent="0.15">
      <c r="A3192" t="s">
        <v>25</v>
      </c>
      <c r="F3192"/>
      <c r="M3192"/>
    </row>
    <row r="3193" spans="1:13" x14ac:dyDescent="0.15">
      <c r="A3193" t="s">
        <v>25</v>
      </c>
      <c r="F3193"/>
      <c r="M3193"/>
    </row>
    <row r="3194" spans="1:13" x14ac:dyDescent="0.15">
      <c r="A3194" t="s">
        <v>25</v>
      </c>
      <c r="F3194"/>
      <c r="M3194"/>
    </row>
    <row r="3195" spans="1:13" x14ac:dyDescent="0.15">
      <c r="A3195" t="s">
        <v>25</v>
      </c>
      <c r="F3195"/>
      <c r="M3195"/>
    </row>
    <row r="3196" spans="1:13" x14ac:dyDescent="0.15">
      <c r="A3196" t="s">
        <v>25</v>
      </c>
      <c r="F3196"/>
      <c r="M3196"/>
    </row>
    <row r="3197" spans="1:13" x14ac:dyDescent="0.15">
      <c r="A3197" t="s">
        <v>25</v>
      </c>
      <c r="F3197"/>
      <c r="M3197"/>
    </row>
    <row r="3198" spans="1:13" x14ac:dyDescent="0.15">
      <c r="A3198" t="s">
        <v>25</v>
      </c>
      <c r="F3198"/>
      <c r="M3198"/>
    </row>
    <row r="3199" spans="1:13" x14ac:dyDescent="0.15">
      <c r="A3199" t="s">
        <v>25</v>
      </c>
      <c r="F3199"/>
      <c r="M3199"/>
    </row>
    <row r="3200" spans="1:13" x14ac:dyDescent="0.15">
      <c r="A3200" t="s">
        <v>25</v>
      </c>
      <c r="F3200"/>
      <c r="M3200"/>
    </row>
    <row r="3201" spans="1:13" x14ac:dyDescent="0.15">
      <c r="A3201" t="s">
        <v>25</v>
      </c>
      <c r="F3201"/>
      <c r="M3201"/>
    </row>
    <row r="3202" spans="1:13" x14ac:dyDescent="0.15">
      <c r="A3202" t="s">
        <v>25</v>
      </c>
      <c r="F3202"/>
      <c r="M3202"/>
    </row>
    <row r="3203" spans="1:13" x14ac:dyDescent="0.15">
      <c r="A3203" t="s">
        <v>25</v>
      </c>
      <c r="F3203"/>
      <c r="M3203"/>
    </row>
    <row r="3204" spans="1:13" x14ac:dyDescent="0.15">
      <c r="A3204" t="s">
        <v>25</v>
      </c>
      <c r="F3204"/>
      <c r="M3204"/>
    </row>
    <row r="3205" spans="1:13" x14ac:dyDescent="0.15">
      <c r="A3205" t="s">
        <v>25</v>
      </c>
      <c r="F3205"/>
      <c r="M3205"/>
    </row>
    <row r="3206" spans="1:13" x14ac:dyDescent="0.15">
      <c r="A3206" t="s">
        <v>25</v>
      </c>
      <c r="F3206"/>
      <c r="M3206"/>
    </row>
    <row r="3207" spans="1:13" x14ac:dyDescent="0.15">
      <c r="A3207" t="s">
        <v>25</v>
      </c>
      <c r="F3207"/>
      <c r="M3207"/>
    </row>
    <row r="3208" spans="1:13" x14ac:dyDescent="0.15">
      <c r="A3208" t="s">
        <v>25</v>
      </c>
      <c r="F3208"/>
      <c r="M3208"/>
    </row>
    <row r="3209" spans="1:13" x14ac:dyDescent="0.15">
      <c r="A3209" t="s">
        <v>25</v>
      </c>
      <c r="F3209"/>
      <c r="M3209"/>
    </row>
    <row r="3210" spans="1:13" x14ac:dyDescent="0.15">
      <c r="A3210" t="s">
        <v>25</v>
      </c>
      <c r="F3210"/>
      <c r="M3210"/>
    </row>
    <row r="3211" spans="1:13" x14ac:dyDescent="0.15">
      <c r="A3211" t="s">
        <v>25</v>
      </c>
      <c r="F3211"/>
      <c r="M3211"/>
    </row>
    <row r="3212" spans="1:13" x14ac:dyDescent="0.15">
      <c r="A3212" t="s">
        <v>25</v>
      </c>
      <c r="F3212"/>
      <c r="M3212"/>
    </row>
    <row r="3213" spans="1:13" x14ac:dyDescent="0.15">
      <c r="A3213" t="s">
        <v>25</v>
      </c>
      <c r="F3213"/>
      <c r="M3213"/>
    </row>
    <row r="3214" spans="1:13" x14ac:dyDescent="0.15">
      <c r="A3214" t="s">
        <v>25</v>
      </c>
      <c r="F3214"/>
      <c r="M3214"/>
    </row>
    <row r="3215" spans="1:13" x14ac:dyDescent="0.15">
      <c r="A3215" t="s">
        <v>25</v>
      </c>
      <c r="F3215"/>
      <c r="M3215"/>
    </row>
    <row r="3216" spans="1:13" x14ac:dyDescent="0.15">
      <c r="A3216" t="s">
        <v>25</v>
      </c>
      <c r="F3216"/>
      <c r="M3216"/>
    </row>
    <row r="3217" spans="1:13" x14ac:dyDescent="0.15">
      <c r="A3217" t="s">
        <v>25</v>
      </c>
      <c r="F3217"/>
      <c r="M3217"/>
    </row>
    <row r="3218" spans="1:13" x14ac:dyDescent="0.15">
      <c r="A3218" t="s">
        <v>25</v>
      </c>
      <c r="F3218"/>
      <c r="M3218"/>
    </row>
    <row r="3219" spans="1:13" x14ac:dyDescent="0.15">
      <c r="A3219" t="s">
        <v>25</v>
      </c>
      <c r="F3219"/>
      <c r="M3219"/>
    </row>
    <row r="3220" spans="1:13" x14ac:dyDescent="0.15">
      <c r="A3220" t="s">
        <v>25</v>
      </c>
      <c r="F3220"/>
      <c r="M3220"/>
    </row>
    <row r="3221" spans="1:13" x14ac:dyDescent="0.15">
      <c r="A3221" t="s">
        <v>25</v>
      </c>
      <c r="F3221"/>
      <c r="M3221"/>
    </row>
    <row r="3222" spans="1:13" x14ac:dyDescent="0.15">
      <c r="A3222" t="s">
        <v>25</v>
      </c>
      <c r="F3222"/>
      <c r="M3222"/>
    </row>
    <row r="3223" spans="1:13" x14ac:dyDescent="0.15">
      <c r="A3223" t="s">
        <v>25</v>
      </c>
      <c r="F3223"/>
      <c r="M3223"/>
    </row>
    <row r="3224" spans="1:13" x14ac:dyDescent="0.15">
      <c r="A3224" t="s">
        <v>25</v>
      </c>
      <c r="F3224"/>
      <c r="M3224"/>
    </row>
    <row r="3225" spans="1:13" x14ac:dyDescent="0.15">
      <c r="A3225" t="s">
        <v>25</v>
      </c>
      <c r="F3225"/>
      <c r="M3225"/>
    </row>
    <row r="3226" spans="1:13" x14ac:dyDescent="0.15">
      <c r="A3226" t="s">
        <v>25</v>
      </c>
      <c r="F3226"/>
      <c r="M3226"/>
    </row>
    <row r="3227" spans="1:13" x14ac:dyDescent="0.15">
      <c r="A3227" t="s">
        <v>25</v>
      </c>
      <c r="F3227"/>
      <c r="M3227"/>
    </row>
    <row r="3228" spans="1:13" x14ac:dyDescent="0.15">
      <c r="A3228" t="s">
        <v>25</v>
      </c>
      <c r="F3228"/>
      <c r="M3228"/>
    </row>
    <row r="3229" spans="1:13" x14ac:dyDescent="0.15">
      <c r="A3229" t="s">
        <v>25</v>
      </c>
      <c r="F3229"/>
      <c r="M3229"/>
    </row>
    <row r="3230" spans="1:13" x14ac:dyDescent="0.15">
      <c r="A3230" t="s">
        <v>25</v>
      </c>
      <c r="F3230"/>
      <c r="M3230"/>
    </row>
    <row r="3231" spans="1:13" x14ac:dyDescent="0.15">
      <c r="A3231" t="s">
        <v>25</v>
      </c>
      <c r="F3231"/>
      <c r="M3231"/>
    </row>
    <row r="3232" spans="1:13" x14ac:dyDescent="0.15">
      <c r="A3232" t="s">
        <v>25</v>
      </c>
      <c r="F3232"/>
      <c r="M3232"/>
    </row>
    <row r="3233" spans="1:13" x14ac:dyDescent="0.15">
      <c r="A3233" t="s">
        <v>25</v>
      </c>
      <c r="F3233"/>
      <c r="M3233"/>
    </row>
    <row r="3234" spans="1:13" x14ac:dyDescent="0.15">
      <c r="A3234" t="s">
        <v>25</v>
      </c>
      <c r="F3234"/>
      <c r="M3234"/>
    </row>
    <row r="3235" spans="1:13" x14ac:dyDescent="0.15">
      <c r="A3235" t="s">
        <v>25</v>
      </c>
      <c r="F3235"/>
      <c r="M3235"/>
    </row>
    <row r="3236" spans="1:13" x14ac:dyDescent="0.15">
      <c r="A3236" t="s">
        <v>25</v>
      </c>
      <c r="F3236"/>
      <c r="M3236"/>
    </row>
    <row r="3237" spans="1:13" x14ac:dyDescent="0.15">
      <c r="A3237" t="s">
        <v>25</v>
      </c>
      <c r="F3237"/>
      <c r="M3237"/>
    </row>
    <row r="3238" spans="1:13" x14ac:dyDescent="0.15">
      <c r="A3238" t="s">
        <v>25</v>
      </c>
      <c r="F3238"/>
      <c r="M3238"/>
    </row>
    <row r="3239" spans="1:13" x14ac:dyDescent="0.15">
      <c r="A3239" t="s">
        <v>25</v>
      </c>
      <c r="F3239"/>
      <c r="M3239"/>
    </row>
    <row r="3240" spans="1:13" x14ac:dyDescent="0.15">
      <c r="A3240" t="s">
        <v>25</v>
      </c>
      <c r="F3240"/>
      <c r="M3240"/>
    </row>
    <row r="3241" spans="1:13" x14ac:dyDescent="0.15">
      <c r="A3241" t="s">
        <v>25</v>
      </c>
      <c r="F3241"/>
      <c r="M3241"/>
    </row>
    <row r="3242" spans="1:13" x14ac:dyDescent="0.15">
      <c r="A3242" t="s">
        <v>25</v>
      </c>
      <c r="F3242"/>
      <c r="M3242"/>
    </row>
    <row r="3243" spans="1:13" x14ac:dyDescent="0.15">
      <c r="A3243" t="s">
        <v>25</v>
      </c>
      <c r="F3243"/>
      <c r="M3243"/>
    </row>
    <row r="3244" spans="1:13" x14ac:dyDescent="0.15">
      <c r="A3244" t="s">
        <v>25</v>
      </c>
      <c r="F3244"/>
      <c r="M3244"/>
    </row>
    <row r="3245" spans="1:13" x14ac:dyDescent="0.15">
      <c r="A3245" t="s">
        <v>25</v>
      </c>
      <c r="F3245"/>
      <c r="M3245"/>
    </row>
    <row r="3246" spans="1:13" x14ac:dyDescent="0.15">
      <c r="A3246" t="s">
        <v>25</v>
      </c>
      <c r="F3246"/>
      <c r="M3246"/>
    </row>
    <row r="3247" spans="1:13" x14ac:dyDescent="0.15">
      <c r="A3247" t="s">
        <v>25</v>
      </c>
      <c r="F3247"/>
      <c r="M3247"/>
    </row>
    <row r="3248" spans="1:13" x14ac:dyDescent="0.15">
      <c r="A3248" t="s">
        <v>25</v>
      </c>
      <c r="F3248"/>
      <c r="M3248"/>
    </row>
    <row r="3249" spans="1:13" x14ac:dyDescent="0.15">
      <c r="A3249" t="s">
        <v>25</v>
      </c>
      <c r="F3249"/>
      <c r="M3249"/>
    </row>
    <row r="3250" spans="1:13" x14ac:dyDescent="0.15">
      <c r="A3250" t="s">
        <v>25</v>
      </c>
      <c r="F3250"/>
      <c r="M3250"/>
    </row>
    <row r="3251" spans="1:13" x14ac:dyDescent="0.15">
      <c r="A3251" t="s">
        <v>25</v>
      </c>
      <c r="F3251"/>
      <c r="M3251"/>
    </row>
    <row r="3252" spans="1:13" x14ac:dyDescent="0.15">
      <c r="A3252" t="s">
        <v>25</v>
      </c>
      <c r="F3252"/>
      <c r="M3252"/>
    </row>
    <row r="3253" spans="1:13" x14ac:dyDescent="0.15">
      <c r="A3253" t="s">
        <v>25</v>
      </c>
      <c r="F3253"/>
      <c r="M3253"/>
    </row>
    <row r="3254" spans="1:13" x14ac:dyDescent="0.15">
      <c r="A3254" t="s">
        <v>25</v>
      </c>
      <c r="F3254"/>
      <c r="M3254"/>
    </row>
    <row r="3255" spans="1:13" x14ac:dyDescent="0.15">
      <c r="A3255" t="s">
        <v>25</v>
      </c>
      <c r="F3255"/>
      <c r="M3255"/>
    </row>
    <row r="3256" spans="1:13" x14ac:dyDescent="0.15">
      <c r="A3256" t="s">
        <v>25</v>
      </c>
      <c r="F3256"/>
      <c r="M3256"/>
    </row>
    <row r="3257" spans="1:13" x14ac:dyDescent="0.15">
      <c r="A3257" t="s">
        <v>25</v>
      </c>
      <c r="F3257"/>
      <c r="M3257"/>
    </row>
    <row r="3258" spans="1:13" x14ac:dyDescent="0.15">
      <c r="A3258" t="s">
        <v>25</v>
      </c>
      <c r="F3258"/>
      <c r="M3258"/>
    </row>
    <row r="3259" spans="1:13" x14ac:dyDescent="0.15">
      <c r="A3259" t="s">
        <v>25</v>
      </c>
      <c r="F3259"/>
      <c r="M3259"/>
    </row>
    <row r="3260" spans="1:13" x14ac:dyDescent="0.15">
      <c r="A3260" t="s">
        <v>25</v>
      </c>
      <c r="F3260"/>
      <c r="M3260"/>
    </row>
    <row r="3261" spans="1:13" x14ac:dyDescent="0.15">
      <c r="A3261" t="s">
        <v>25</v>
      </c>
      <c r="F3261"/>
      <c r="M3261"/>
    </row>
    <row r="3262" spans="1:13" x14ac:dyDescent="0.15">
      <c r="A3262" t="s">
        <v>25</v>
      </c>
      <c r="F3262"/>
      <c r="M3262"/>
    </row>
    <row r="3263" spans="1:13" x14ac:dyDescent="0.15">
      <c r="A3263" t="s">
        <v>25</v>
      </c>
      <c r="F3263"/>
      <c r="M3263"/>
    </row>
    <row r="3264" spans="1:13" x14ac:dyDescent="0.15">
      <c r="A3264" t="s">
        <v>25</v>
      </c>
      <c r="F3264"/>
      <c r="M3264"/>
    </row>
    <row r="3265" spans="1:13" x14ac:dyDescent="0.15">
      <c r="A3265" t="s">
        <v>25</v>
      </c>
      <c r="F3265"/>
      <c r="M3265"/>
    </row>
    <row r="3266" spans="1:13" x14ac:dyDescent="0.15">
      <c r="A3266" t="s">
        <v>25</v>
      </c>
      <c r="F3266"/>
      <c r="M3266"/>
    </row>
    <row r="3267" spans="1:13" x14ac:dyDescent="0.15">
      <c r="A3267" t="s">
        <v>25</v>
      </c>
      <c r="F3267"/>
      <c r="M3267"/>
    </row>
    <row r="3268" spans="1:13" x14ac:dyDescent="0.15">
      <c r="A3268" t="s">
        <v>25</v>
      </c>
      <c r="F3268"/>
      <c r="M3268"/>
    </row>
    <row r="3269" spans="1:13" x14ac:dyDescent="0.15">
      <c r="A3269" t="s">
        <v>25</v>
      </c>
      <c r="F3269"/>
      <c r="M3269"/>
    </row>
    <row r="3270" spans="1:13" x14ac:dyDescent="0.15">
      <c r="A3270" t="s">
        <v>25</v>
      </c>
      <c r="F3270"/>
      <c r="M3270"/>
    </row>
    <row r="3271" spans="1:13" x14ac:dyDescent="0.15">
      <c r="A3271" t="s">
        <v>25</v>
      </c>
      <c r="F3271"/>
      <c r="M3271"/>
    </row>
    <row r="3272" spans="1:13" x14ac:dyDescent="0.15">
      <c r="A3272" t="s">
        <v>25</v>
      </c>
      <c r="F3272"/>
      <c r="M3272"/>
    </row>
    <row r="3273" spans="1:13" x14ac:dyDescent="0.15">
      <c r="A3273" t="s">
        <v>25</v>
      </c>
      <c r="F3273"/>
      <c r="M3273"/>
    </row>
    <row r="3274" spans="1:13" x14ac:dyDescent="0.15">
      <c r="A3274" t="s">
        <v>25</v>
      </c>
      <c r="F3274"/>
      <c r="M3274"/>
    </row>
    <row r="3275" spans="1:13" x14ac:dyDescent="0.15">
      <c r="A3275" t="s">
        <v>25</v>
      </c>
      <c r="F3275"/>
      <c r="M3275"/>
    </row>
    <row r="3276" spans="1:13" x14ac:dyDescent="0.15">
      <c r="A3276" t="s">
        <v>25</v>
      </c>
      <c r="F3276"/>
      <c r="M3276"/>
    </row>
    <row r="3277" spans="1:13" x14ac:dyDescent="0.15">
      <c r="A3277" t="s">
        <v>25</v>
      </c>
      <c r="F3277"/>
      <c r="M3277"/>
    </row>
    <row r="3278" spans="1:13" x14ac:dyDescent="0.15">
      <c r="A3278" t="s">
        <v>25</v>
      </c>
      <c r="F3278"/>
      <c r="M3278"/>
    </row>
    <row r="3279" spans="1:13" x14ac:dyDescent="0.15">
      <c r="A3279" t="s">
        <v>25</v>
      </c>
      <c r="F3279"/>
      <c r="M3279"/>
    </row>
    <row r="3280" spans="1:13" x14ac:dyDescent="0.15">
      <c r="A3280" t="s">
        <v>25</v>
      </c>
      <c r="F3280"/>
      <c r="M3280"/>
    </row>
    <row r="3281" spans="1:13" x14ac:dyDescent="0.15">
      <c r="A3281" t="s">
        <v>25</v>
      </c>
      <c r="F3281"/>
      <c r="M3281"/>
    </row>
    <row r="3282" spans="1:13" x14ac:dyDescent="0.15">
      <c r="A3282" t="s">
        <v>25</v>
      </c>
      <c r="F3282"/>
      <c r="M3282"/>
    </row>
    <row r="3283" spans="1:13" x14ac:dyDescent="0.15">
      <c r="A3283" t="s">
        <v>25</v>
      </c>
      <c r="F3283"/>
      <c r="M3283"/>
    </row>
    <row r="3284" spans="1:13" x14ac:dyDescent="0.15">
      <c r="A3284" t="s">
        <v>25</v>
      </c>
      <c r="F3284"/>
      <c r="M3284"/>
    </row>
    <row r="3285" spans="1:13" x14ac:dyDescent="0.15">
      <c r="A3285" t="s">
        <v>25</v>
      </c>
      <c r="F3285"/>
      <c r="M3285"/>
    </row>
    <row r="3286" spans="1:13" x14ac:dyDescent="0.15">
      <c r="A3286" t="s">
        <v>25</v>
      </c>
      <c r="F3286"/>
      <c r="M3286"/>
    </row>
    <row r="3287" spans="1:13" x14ac:dyDescent="0.15">
      <c r="A3287" t="s">
        <v>25</v>
      </c>
      <c r="F3287"/>
      <c r="M3287"/>
    </row>
    <row r="3288" spans="1:13" x14ac:dyDescent="0.15">
      <c r="A3288" t="s">
        <v>25</v>
      </c>
      <c r="F3288"/>
      <c r="M3288"/>
    </row>
    <row r="3289" spans="1:13" x14ac:dyDescent="0.15">
      <c r="A3289" t="s">
        <v>25</v>
      </c>
      <c r="F3289"/>
      <c r="M3289"/>
    </row>
    <row r="3290" spans="1:13" x14ac:dyDescent="0.15">
      <c r="A3290" t="s">
        <v>25</v>
      </c>
      <c r="F3290"/>
      <c r="M3290"/>
    </row>
    <row r="3291" spans="1:13" x14ac:dyDescent="0.15">
      <c r="A3291" t="s">
        <v>25</v>
      </c>
      <c r="F3291"/>
      <c r="M3291"/>
    </row>
    <row r="3292" spans="1:13" x14ac:dyDescent="0.15">
      <c r="A3292" t="s">
        <v>25</v>
      </c>
      <c r="F3292"/>
      <c r="M3292"/>
    </row>
    <row r="3293" spans="1:13" x14ac:dyDescent="0.15">
      <c r="A3293" t="s">
        <v>25</v>
      </c>
      <c r="F3293"/>
      <c r="M3293"/>
    </row>
    <row r="3294" spans="1:13" x14ac:dyDescent="0.15">
      <c r="A3294" t="s">
        <v>25</v>
      </c>
      <c r="F3294"/>
      <c r="M3294"/>
    </row>
    <row r="3295" spans="1:13" x14ac:dyDescent="0.15">
      <c r="A3295" t="s">
        <v>25</v>
      </c>
      <c r="F3295"/>
      <c r="M3295"/>
    </row>
    <row r="3296" spans="1:13" x14ac:dyDescent="0.15">
      <c r="A3296" t="s">
        <v>25</v>
      </c>
      <c r="F3296"/>
      <c r="M3296"/>
    </row>
    <row r="3297" spans="1:13" x14ac:dyDescent="0.15">
      <c r="A3297" t="s">
        <v>25</v>
      </c>
      <c r="F3297"/>
      <c r="M3297"/>
    </row>
    <row r="3298" spans="1:13" x14ac:dyDescent="0.15">
      <c r="A3298" t="s">
        <v>25</v>
      </c>
      <c r="F3298"/>
      <c r="M3298"/>
    </row>
    <row r="3299" spans="1:13" x14ac:dyDescent="0.15">
      <c r="A3299" t="s">
        <v>25</v>
      </c>
      <c r="F3299"/>
      <c r="M3299"/>
    </row>
    <row r="3300" spans="1:13" x14ac:dyDescent="0.15">
      <c r="A3300" t="s">
        <v>25</v>
      </c>
      <c r="F3300"/>
      <c r="M3300"/>
    </row>
    <row r="3301" spans="1:13" x14ac:dyDescent="0.15">
      <c r="A3301" t="s">
        <v>25</v>
      </c>
      <c r="F3301"/>
      <c r="M3301"/>
    </row>
    <row r="3302" spans="1:13" x14ac:dyDescent="0.15">
      <c r="A3302" t="s">
        <v>25</v>
      </c>
      <c r="F3302"/>
      <c r="M3302"/>
    </row>
    <row r="3303" spans="1:13" x14ac:dyDescent="0.15">
      <c r="A3303" t="s">
        <v>25</v>
      </c>
      <c r="F3303"/>
      <c r="M3303"/>
    </row>
    <row r="3304" spans="1:13" x14ac:dyDescent="0.15">
      <c r="A3304" t="s">
        <v>25</v>
      </c>
      <c r="F3304"/>
      <c r="M3304"/>
    </row>
    <row r="3305" spans="1:13" x14ac:dyDescent="0.15">
      <c r="A3305" t="s">
        <v>25</v>
      </c>
      <c r="F3305"/>
      <c r="M3305"/>
    </row>
    <row r="3306" spans="1:13" x14ac:dyDescent="0.15">
      <c r="A3306" t="s">
        <v>25</v>
      </c>
      <c r="F3306"/>
      <c r="M3306"/>
    </row>
    <row r="3307" spans="1:13" x14ac:dyDescent="0.15">
      <c r="A3307" t="s">
        <v>25</v>
      </c>
      <c r="F3307"/>
      <c r="M3307"/>
    </row>
    <row r="3308" spans="1:13" x14ac:dyDescent="0.15">
      <c r="A3308" t="s">
        <v>25</v>
      </c>
      <c r="F3308"/>
      <c r="M3308"/>
    </row>
    <row r="3309" spans="1:13" x14ac:dyDescent="0.15">
      <c r="A3309" t="s">
        <v>25</v>
      </c>
      <c r="F3309"/>
      <c r="M3309"/>
    </row>
    <row r="3310" spans="1:13" x14ac:dyDescent="0.15">
      <c r="A3310" t="s">
        <v>25</v>
      </c>
      <c r="F3310"/>
      <c r="M3310"/>
    </row>
    <row r="3311" spans="1:13" x14ac:dyDescent="0.15">
      <c r="A3311" t="s">
        <v>25</v>
      </c>
      <c r="F3311"/>
      <c r="M3311"/>
    </row>
    <row r="3312" spans="1:13" x14ac:dyDescent="0.15">
      <c r="A3312" t="s">
        <v>25</v>
      </c>
      <c r="F3312"/>
      <c r="M3312"/>
    </row>
    <row r="3313" spans="1:13" x14ac:dyDescent="0.15">
      <c r="A3313" t="s">
        <v>25</v>
      </c>
      <c r="F3313"/>
      <c r="M3313"/>
    </row>
    <row r="3314" spans="1:13" x14ac:dyDescent="0.15">
      <c r="A3314" t="s">
        <v>25</v>
      </c>
      <c r="F3314"/>
      <c r="M3314"/>
    </row>
    <row r="3315" spans="1:13" x14ac:dyDescent="0.15">
      <c r="A3315" t="s">
        <v>25</v>
      </c>
      <c r="F3315"/>
      <c r="M3315"/>
    </row>
    <row r="3316" spans="1:13" x14ac:dyDescent="0.15">
      <c r="A3316" t="s">
        <v>25</v>
      </c>
      <c r="F3316"/>
      <c r="M3316"/>
    </row>
    <row r="3317" spans="1:13" x14ac:dyDescent="0.15">
      <c r="A3317" t="s">
        <v>25</v>
      </c>
      <c r="F3317"/>
      <c r="M3317"/>
    </row>
    <row r="3318" spans="1:13" x14ac:dyDescent="0.15">
      <c r="A3318" t="s">
        <v>25</v>
      </c>
      <c r="F3318"/>
      <c r="M3318"/>
    </row>
    <row r="3319" spans="1:13" x14ac:dyDescent="0.15">
      <c r="A3319" t="s">
        <v>25</v>
      </c>
      <c r="F3319"/>
      <c r="M3319"/>
    </row>
    <row r="3320" spans="1:13" x14ac:dyDescent="0.15">
      <c r="A3320" t="s">
        <v>25</v>
      </c>
      <c r="F3320"/>
      <c r="M3320"/>
    </row>
    <row r="3321" spans="1:13" x14ac:dyDescent="0.15">
      <c r="A3321" t="s">
        <v>25</v>
      </c>
      <c r="F3321"/>
      <c r="M3321"/>
    </row>
    <row r="3322" spans="1:13" x14ac:dyDescent="0.15">
      <c r="A3322" t="s">
        <v>25</v>
      </c>
      <c r="F3322"/>
      <c r="M3322"/>
    </row>
    <row r="3323" spans="1:13" x14ac:dyDescent="0.15">
      <c r="A3323" t="s">
        <v>25</v>
      </c>
      <c r="F3323"/>
      <c r="M3323"/>
    </row>
    <row r="3324" spans="1:13" x14ac:dyDescent="0.15">
      <c r="A3324" t="s">
        <v>25</v>
      </c>
      <c r="F3324"/>
      <c r="M3324"/>
    </row>
    <row r="3325" spans="1:13" x14ac:dyDescent="0.15">
      <c r="A3325" t="s">
        <v>25</v>
      </c>
      <c r="F3325"/>
      <c r="M3325"/>
    </row>
    <row r="3326" spans="1:13" x14ac:dyDescent="0.15">
      <c r="A3326" t="s">
        <v>25</v>
      </c>
      <c r="F3326"/>
      <c r="M3326"/>
    </row>
    <row r="3327" spans="1:13" x14ac:dyDescent="0.15">
      <c r="A3327" t="s">
        <v>25</v>
      </c>
      <c r="F3327"/>
      <c r="M3327"/>
    </row>
    <row r="3328" spans="1:13" x14ac:dyDescent="0.15">
      <c r="A3328" t="s">
        <v>25</v>
      </c>
      <c r="F3328"/>
      <c r="M3328"/>
    </row>
    <row r="3329" spans="1:13" x14ac:dyDescent="0.15">
      <c r="A3329" t="s">
        <v>25</v>
      </c>
      <c r="F3329"/>
      <c r="M3329"/>
    </row>
    <row r="3330" spans="1:13" x14ac:dyDescent="0.15">
      <c r="A3330" t="s">
        <v>25</v>
      </c>
      <c r="F3330"/>
      <c r="M3330"/>
    </row>
    <row r="3331" spans="1:13" x14ac:dyDescent="0.15">
      <c r="A3331" t="s">
        <v>25</v>
      </c>
      <c r="F3331"/>
      <c r="M3331"/>
    </row>
    <row r="3332" spans="1:13" x14ac:dyDescent="0.15">
      <c r="A3332" t="s">
        <v>25</v>
      </c>
      <c r="F3332"/>
      <c r="M3332"/>
    </row>
    <row r="3333" spans="1:13" x14ac:dyDescent="0.15">
      <c r="A3333" t="s">
        <v>25</v>
      </c>
      <c r="F3333"/>
      <c r="M3333"/>
    </row>
    <row r="3334" spans="1:13" x14ac:dyDescent="0.15">
      <c r="A3334" t="s">
        <v>25</v>
      </c>
      <c r="F3334"/>
      <c r="M3334"/>
    </row>
    <row r="3335" spans="1:13" x14ac:dyDescent="0.15">
      <c r="A3335" t="s">
        <v>25</v>
      </c>
      <c r="F3335"/>
      <c r="M3335"/>
    </row>
    <row r="3336" spans="1:13" x14ac:dyDescent="0.15">
      <c r="A3336" t="s">
        <v>25</v>
      </c>
      <c r="F3336"/>
      <c r="M3336"/>
    </row>
    <row r="3337" spans="1:13" x14ac:dyDescent="0.15">
      <c r="A3337" t="s">
        <v>25</v>
      </c>
      <c r="F3337"/>
      <c r="M3337"/>
    </row>
    <row r="3338" spans="1:13" x14ac:dyDescent="0.15">
      <c r="A3338" t="s">
        <v>25</v>
      </c>
      <c r="F3338"/>
      <c r="M3338"/>
    </row>
    <row r="3339" spans="1:13" x14ac:dyDescent="0.15">
      <c r="A3339" t="s">
        <v>25</v>
      </c>
      <c r="F3339"/>
      <c r="M3339"/>
    </row>
    <row r="3340" spans="1:13" x14ac:dyDescent="0.15">
      <c r="A3340" t="s">
        <v>25</v>
      </c>
      <c r="F3340"/>
      <c r="M3340"/>
    </row>
    <row r="3341" spans="1:13" x14ac:dyDescent="0.15">
      <c r="A3341" t="s">
        <v>25</v>
      </c>
      <c r="F3341"/>
      <c r="M3341"/>
    </row>
    <row r="3342" spans="1:13" x14ac:dyDescent="0.15">
      <c r="A3342" t="s">
        <v>25</v>
      </c>
      <c r="F3342"/>
      <c r="M3342"/>
    </row>
    <row r="3343" spans="1:13" x14ac:dyDescent="0.15">
      <c r="A3343" t="s">
        <v>25</v>
      </c>
      <c r="F3343"/>
      <c r="M3343"/>
    </row>
    <row r="3344" spans="1:13" x14ac:dyDescent="0.15">
      <c r="A3344" t="s">
        <v>25</v>
      </c>
      <c r="F3344"/>
      <c r="M3344"/>
    </row>
    <row r="3345" spans="1:13" x14ac:dyDescent="0.15">
      <c r="A3345" t="s">
        <v>25</v>
      </c>
      <c r="F3345"/>
      <c r="M3345"/>
    </row>
    <row r="3346" spans="1:13" x14ac:dyDescent="0.15">
      <c r="A3346" t="s">
        <v>25</v>
      </c>
      <c r="F3346"/>
      <c r="M3346"/>
    </row>
    <row r="3347" spans="1:13" x14ac:dyDescent="0.15">
      <c r="A3347" t="s">
        <v>25</v>
      </c>
      <c r="F3347"/>
      <c r="M3347"/>
    </row>
    <row r="3348" spans="1:13" x14ac:dyDescent="0.15">
      <c r="A3348" t="s">
        <v>25</v>
      </c>
      <c r="F3348"/>
      <c r="M3348"/>
    </row>
    <row r="3349" spans="1:13" x14ac:dyDescent="0.15">
      <c r="A3349" t="s">
        <v>25</v>
      </c>
      <c r="F3349"/>
      <c r="M3349"/>
    </row>
    <row r="3350" spans="1:13" x14ac:dyDescent="0.15">
      <c r="A3350" t="s">
        <v>25</v>
      </c>
      <c r="F3350"/>
      <c r="M3350"/>
    </row>
    <row r="3351" spans="1:13" x14ac:dyDescent="0.15">
      <c r="A3351" t="s">
        <v>25</v>
      </c>
      <c r="F3351"/>
      <c r="M3351"/>
    </row>
    <row r="3352" spans="1:13" x14ac:dyDescent="0.15">
      <c r="A3352" t="s">
        <v>25</v>
      </c>
      <c r="F3352"/>
      <c r="M3352"/>
    </row>
    <row r="3353" spans="1:13" x14ac:dyDescent="0.15">
      <c r="A3353" t="s">
        <v>25</v>
      </c>
      <c r="F3353"/>
      <c r="M3353"/>
    </row>
    <row r="3354" spans="1:13" x14ac:dyDescent="0.15">
      <c r="A3354" t="s">
        <v>25</v>
      </c>
      <c r="F3354"/>
      <c r="M3354"/>
    </row>
    <row r="3355" spans="1:13" x14ac:dyDescent="0.15">
      <c r="A3355" t="s">
        <v>25</v>
      </c>
      <c r="F3355"/>
      <c r="M3355"/>
    </row>
    <row r="3356" spans="1:13" x14ac:dyDescent="0.15">
      <c r="A3356" t="s">
        <v>25</v>
      </c>
      <c r="F3356"/>
      <c r="M3356"/>
    </row>
    <row r="3357" spans="1:13" x14ac:dyDescent="0.15">
      <c r="A3357" t="s">
        <v>25</v>
      </c>
      <c r="F3357"/>
      <c r="M3357"/>
    </row>
    <row r="3358" spans="1:13" x14ac:dyDescent="0.15">
      <c r="A3358" t="s">
        <v>25</v>
      </c>
      <c r="F3358"/>
      <c r="M3358"/>
    </row>
    <row r="3359" spans="1:13" x14ac:dyDescent="0.15">
      <c r="A3359" t="s">
        <v>25</v>
      </c>
      <c r="F3359"/>
      <c r="M3359"/>
    </row>
    <row r="3360" spans="1:13" x14ac:dyDescent="0.15">
      <c r="A3360" t="s">
        <v>25</v>
      </c>
      <c r="F3360"/>
      <c r="M3360"/>
    </row>
    <row r="3361" spans="1:13" x14ac:dyDescent="0.15">
      <c r="A3361" t="s">
        <v>25</v>
      </c>
      <c r="F3361"/>
      <c r="M3361"/>
    </row>
    <row r="3362" spans="1:13" x14ac:dyDescent="0.15">
      <c r="A3362" t="s">
        <v>25</v>
      </c>
      <c r="F3362"/>
      <c r="M3362"/>
    </row>
    <row r="3363" spans="1:13" x14ac:dyDescent="0.15">
      <c r="A3363" t="s">
        <v>25</v>
      </c>
      <c r="F3363"/>
      <c r="M3363"/>
    </row>
    <row r="3364" spans="1:13" x14ac:dyDescent="0.15">
      <c r="A3364" t="s">
        <v>25</v>
      </c>
      <c r="F3364"/>
      <c r="M3364"/>
    </row>
    <row r="3365" spans="1:13" x14ac:dyDescent="0.15">
      <c r="A3365" t="s">
        <v>25</v>
      </c>
      <c r="F3365"/>
      <c r="M3365"/>
    </row>
    <row r="3366" spans="1:13" x14ac:dyDescent="0.15">
      <c r="A3366" t="s">
        <v>25</v>
      </c>
      <c r="F3366"/>
      <c r="M3366"/>
    </row>
    <row r="3367" spans="1:13" x14ac:dyDescent="0.15">
      <c r="A3367" t="s">
        <v>25</v>
      </c>
      <c r="F3367"/>
      <c r="M3367"/>
    </row>
    <row r="3368" spans="1:13" x14ac:dyDescent="0.15">
      <c r="A3368" t="s">
        <v>25</v>
      </c>
      <c r="F3368"/>
      <c r="M3368"/>
    </row>
    <row r="3369" spans="1:13" x14ac:dyDescent="0.15">
      <c r="A3369" t="s">
        <v>25</v>
      </c>
      <c r="F3369"/>
      <c r="M3369"/>
    </row>
    <row r="3370" spans="1:13" x14ac:dyDescent="0.15">
      <c r="A3370" t="s">
        <v>25</v>
      </c>
      <c r="F3370"/>
      <c r="M3370"/>
    </row>
    <row r="3371" spans="1:13" x14ac:dyDescent="0.15">
      <c r="A3371" t="s">
        <v>25</v>
      </c>
      <c r="F3371"/>
      <c r="M3371"/>
    </row>
    <row r="3372" spans="1:13" x14ac:dyDescent="0.15">
      <c r="A3372" t="s">
        <v>25</v>
      </c>
      <c r="F3372"/>
      <c r="M3372"/>
    </row>
    <row r="3373" spans="1:13" x14ac:dyDescent="0.15">
      <c r="A3373" t="s">
        <v>25</v>
      </c>
      <c r="F3373"/>
      <c r="M3373"/>
    </row>
    <row r="3374" spans="1:13" x14ac:dyDescent="0.15">
      <c r="A3374" t="s">
        <v>25</v>
      </c>
      <c r="F3374"/>
      <c r="M3374"/>
    </row>
    <row r="3375" spans="1:13" x14ac:dyDescent="0.15">
      <c r="A3375" t="s">
        <v>25</v>
      </c>
      <c r="F3375"/>
      <c r="M3375"/>
    </row>
    <row r="3376" spans="1:13" x14ac:dyDescent="0.15">
      <c r="A3376" t="s">
        <v>25</v>
      </c>
      <c r="F3376"/>
      <c r="M3376"/>
    </row>
    <row r="3377" spans="1:13" x14ac:dyDescent="0.15">
      <c r="A3377" t="s">
        <v>25</v>
      </c>
      <c r="F3377"/>
      <c r="M3377"/>
    </row>
    <row r="3378" spans="1:13" x14ac:dyDescent="0.15">
      <c r="A3378" t="s">
        <v>25</v>
      </c>
      <c r="F3378"/>
      <c r="M3378"/>
    </row>
    <row r="3379" spans="1:13" x14ac:dyDescent="0.15">
      <c r="A3379" t="s">
        <v>25</v>
      </c>
      <c r="F3379"/>
      <c r="M3379"/>
    </row>
    <row r="3380" spans="1:13" x14ac:dyDescent="0.15">
      <c r="A3380" t="s">
        <v>25</v>
      </c>
      <c r="F3380"/>
      <c r="M3380"/>
    </row>
    <row r="3381" spans="1:13" x14ac:dyDescent="0.15">
      <c r="A3381" t="s">
        <v>25</v>
      </c>
      <c r="F3381"/>
      <c r="M3381"/>
    </row>
    <row r="3382" spans="1:13" x14ac:dyDescent="0.15">
      <c r="A3382" t="s">
        <v>25</v>
      </c>
      <c r="F3382"/>
      <c r="M3382"/>
    </row>
    <row r="3383" spans="1:13" x14ac:dyDescent="0.15">
      <c r="A3383" t="s">
        <v>25</v>
      </c>
      <c r="F3383"/>
      <c r="M3383"/>
    </row>
    <row r="3384" spans="1:13" x14ac:dyDescent="0.15">
      <c r="A3384" t="s">
        <v>25</v>
      </c>
      <c r="F3384"/>
      <c r="M3384"/>
    </row>
    <row r="3385" spans="1:13" x14ac:dyDescent="0.15">
      <c r="A3385" t="s">
        <v>25</v>
      </c>
      <c r="F3385"/>
      <c r="M3385"/>
    </row>
    <row r="3386" spans="1:13" x14ac:dyDescent="0.15">
      <c r="A3386" t="s">
        <v>25</v>
      </c>
      <c r="F3386"/>
      <c r="M3386"/>
    </row>
    <row r="3387" spans="1:13" x14ac:dyDescent="0.15">
      <c r="A3387" t="s">
        <v>25</v>
      </c>
      <c r="F3387"/>
      <c r="M3387"/>
    </row>
    <row r="3388" spans="1:13" x14ac:dyDescent="0.15">
      <c r="A3388" t="s">
        <v>25</v>
      </c>
      <c r="F3388"/>
      <c r="M3388"/>
    </row>
    <row r="3389" spans="1:13" x14ac:dyDescent="0.15">
      <c r="A3389" t="s">
        <v>25</v>
      </c>
      <c r="F3389"/>
      <c r="M3389"/>
    </row>
    <row r="3390" spans="1:13" x14ac:dyDescent="0.15">
      <c r="A3390" t="s">
        <v>25</v>
      </c>
      <c r="F3390"/>
      <c r="M3390"/>
    </row>
    <row r="3391" spans="1:13" x14ac:dyDescent="0.15">
      <c r="A3391" t="s">
        <v>25</v>
      </c>
      <c r="F3391"/>
      <c r="M3391"/>
    </row>
    <row r="3392" spans="1:13" x14ac:dyDescent="0.15">
      <c r="A3392" t="s">
        <v>25</v>
      </c>
      <c r="F3392"/>
      <c r="M3392"/>
    </row>
    <row r="3393" spans="1:13" x14ac:dyDescent="0.15">
      <c r="A3393" t="s">
        <v>25</v>
      </c>
      <c r="F3393"/>
      <c r="M3393"/>
    </row>
    <row r="3394" spans="1:13" x14ac:dyDescent="0.15">
      <c r="A3394" t="s">
        <v>25</v>
      </c>
      <c r="F3394"/>
      <c r="M3394"/>
    </row>
    <row r="3395" spans="1:13" x14ac:dyDescent="0.15">
      <c r="A3395" t="s">
        <v>25</v>
      </c>
      <c r="F3395"/>
      <c r="M3395"/>
    </row>
    <row r="3396" spans="1:13" x14ac:dyDescent="0.15">
      <c r="A3396" t="s">
        <v>25</v>
      </c>
      <c r="F3396"/>
      <c r="M3396"/>
    </row>
    <row r="3397" spans="1:13" x14ac:dyDescent="0.15">
      <c r="A3397" t="s">
        <v>25</v>
      </c>
      <c r="F3397"/>
      <c r="M3397"/>
    </row>
    <row r="3398" spans="1:13" x14ac:dyDescent="0.15">
      <c r="A3398" t="s">
        <v>25</v>
      </c>
      <c r="F3398"/>
      <c r="M3398"/>
    </row>
    <row r="3399" spans="1:13" x14ac:dyDescent="0.15">
      <c r="A3399" t="s">
        <v>25</v>
      </c>
      <c r="F3399"/>
      <c r="M3399"/>
    </row>
    <row r="3400" spans="1:13" x14ac:dyDescent="0.15">
      <c r="A3400" t="s">
        <v>25</v>
      </c>
      <c r="F3400"/>
      <c r="M3400"/>
    </row>
    <row r="3401" spans="1:13" x14ac:dyDescent="0.15">
      <c r="A3401" t="s">
        <v>25</v>
      </c>
      <c r="F3401"/>
      <c r="M3401"/>
    </row>
    <row r="3402" spans="1:13" x14ac:dyDescent="0.15">
      <c r="A3402" t="s">
        <v>25</v>
      </c>
      <c r="F3402"/>
      <c r="M3402"/>
    </row>
    <row r="3403" spans="1:13" x14ac:dyDescent="0.15">
      <c r="A3403" t="s">
        <v>25</v>
      </c>
      <c r="F3403"/>
      <c r="M3403"/>
    </row>
    <row r="3404" spans="1:13" x14ac:dyDescent="0.15">
      <c r="A3404" t="s">
        <v>25</v>
      </c>
      <c r="F3404"/>
      <c r="M3404"/>
    </row>
    <row r="3405" spans="1:13" x14ac:dyDescent="0.15">
      <c r="A3405" t="s">
        <v>25</v>
      </c>
      <c r="F3405"/>
      <c r="M3405"/>
    </row>
    <row r="3406" spans="1:13" x14ac:dyDescent="0.15">
      <c r="A3406" t="s">
        <v>25</v>
      </c>
      <c r="F3406"/>
      <c r="M3406"/>
    </row>
    <row r="3407" spans="1:13" x14ac:dyDescent="0.15">
      <c r="A3407" t="s">
        <v>25</v>
      </c>
      <c r="F3407"/>
      <c r="M3407"/>
    </row>
    <row r="3408" spans="1:13" x14ac:dyDescent="0.15">
      <c r="A3408" t="s">
        <v>25</v>
      </c>
      <c r="F3408"/>
      <c r="M3408"/>
    </row>
    <row r="3409" spans="1:13" x14ac:dyDescent="0.15">
      <c r="A3409" t="s">
        <v>25</v>
      </c>
      <c r="F3409"/>
      <c r="M3409"/>
    </row>
    <row r="3410" spans="1:13" x14ac:dyDescent="0.15">
      <c r="A3410" t="s">
        <v>25</v>
      </c>
      <c r="F3410"/>
      <c r="M3410"/>
    </row>
    <row r="3411" spans="1:13" x14ac:dyDescent="0.15">
      <c r="A3411" t="s">
        <v>25</v>
      </c>
      <c r="F3411"/>
      <c r="M3411"/>
    </row>
    <row r="3412" spans="1:13" x14ac:dyDescent="0.15">
      <c r="A3412" t="s">
        <v>25</v>
      </c>
      <c r="F3412"/>
      <c r="M3412"/>
    </row>
    <row r="3413" spans="1:13" x14ac:dyDescent="0.15">
      <c r="A3413" t="s">
        <v>25</v>
      </c>
      <c r="F3413"/>
      <c r="M3413"/>
    </row>
    <row r="3414" spans="1:13" x14ac:dyDescent="0.15">
      <c r="A3414" t="s">
        <v>25</v>
      </c>
      <c r="F3414"/>
      <c r="M3414"/>
    </row>
    <row r="3415" spans="1:13" x14ac:dyDescent="0.15">
      <c r="A3415" t="s">
        <v>25</v>
      </c>
      <c r="F3415"/>
      <c r="M3415"/>
    </row>
    <row r="3416" spans="1:13" x14ac:dyDescent="0.15">
      <c r="A3416" t="s">
        <v>25</v>
      </c>
      <c r="F3416"/>
      <c r="M3416"/>
    </row>
    <row r="3417" spans="1:13" x14ac:dyDescent="0.15">
      <c r="A3417" t="s">
        <v>25</v>
      </c>
      <c r="F3417"/>
      <c r="M3417"/>
    </row>
    <row r="3418" spans="1:13" x14ac:dyDescent="0.15">
      <c r="A3418" t="s">
        <v>25</v>
      </c>
      <c r="F3418"/>
      <c r="M3418"/>
    </row>
    <row r="3419" spans="1:13" x14ac:dyDescent="0.15">
      <c r="A3419" t="s">
        <v>25</v>
      </c>
      <c r="F3419"/>
      <c r="M3419"/>
    </row>
    <row r="3420" spans="1:13" x14ac:dyDescent="0.15">
      <c r="A3420" t="s">
        <v>25</v>
      </c>
      <c r="F3420"/>
      <c r="M3420"/>
    </row>
    <row r="3421" spans="1:13" x14ac:dyDescent="0.15">
      <c r="A3421" t="s">
        <v>25</v>
      </c>
      <c r="F3421"/>
      <c r="M3421"/>
    </row>
    <row r="3422" spans="1:13" x14ac:dyDescent="0.15">
      <c r="A3422" t="s">
        <v>25</v>
      </c>
      <c r="F3422"/>
      <c r="M3422"/>
    </row>
    <row r="3423" spans="1:13" x14ac:dyDescent="0.15">
      <c r="A3423" t="s">
        <v>25</v>
      </c>
      <c r="F3423"/>
      <c r="M3423"/>
    </row>
    <row r="3424" spans="1:13" x14ac:dyDescent="0.15">
      <c r="A3424" t="s">
        <v>25</v>
      </c>
      <c r="F3424"/>
      <c r="M3424"/>
    </row>
    <row r="3425" spans="1:13" x14ac:dyDescent="0.15">
      <c r="A3425" t="s">
        <v>25</v>
      </c>
      <c r="F3425"/>
      <c r="M3425"/>
    </row>
    <row r="3426" spans="1:13" x14ac:dyDescent="0.15">
      <c r="A3426" t="s">
        <v>25</v>
      </c>
      <c r="F3426"/>
      <c r="M3426"/>
    </row>
    <row r="3427" spans="1:13" x14ac:dyDescent="0.15">
      <c r="A3427" t="s">
        <v>25</v>
      </c>
      <c r="F3427"/>
      <c r="M3427"/>
    </row>
    <row r="3428" spans="1:13" x14ac:dyDescent="0.15">
      <c r="A3428" t="s">
        <v>25</v>
      </c>
      <c r="F3428"/>
      <c r="M3428"/>
    </row>
    <row r="3429" spans="1:13" x14ac:dyDescent="0.15">
      <c r="A3429" t="s">
        <v>25</v>
      </c>
      <c r="F3429"/>
      <c r="M3429"/>
    </row>
    <row r="3430" spans="1:13" x14ac:dyDescent="0.15">
      <c r="A3430" t="s">
        <v>25</v>
      </c>
      <c r="F3430"/>
      <c r="M3430"/>
    </row>
    <row r="3431" spans="1:13" x14ac:dyDescent="0.15">
      <c r="A3431" t="s">
        <v>25</v>
      </c>
      <c r="F3431"/>
      <c r="M3431"/>
    </row>
    <row r="3432" spans="1:13" x14ac:dyDescent="0.15">
      <c r="A3432" t="s">
        <v>25</v>
      </c>
      <c r="F3432"/>
      <c r="M3432"/>
    </row>
    <row r="3433" spans="1:13" x14ac:dyDescent="0.15">
      <c r="A3433" t="s">
        <v>25</v>
      </c>
      <c r="F3433"/>
      <c r="M3433"/>
    </row>
    <row r="3434" spans="1:13" x14ac:dyDescent="0.15">
      <c r="A3434" t="s">
        <v>25</v>
      </c>
      <c r="F3434"/>
      <c r="M3434"/>
    </row>
    <row r="3435" spans="1:13" x14ac:dyDescent="0.15">
      <c r="A3435" t="s">
        <v>25</v>
      </c>
      <c r="F3435"/>
      <c r="M3435"/>
    </row>
    <row r="3436" spans="1:13" x14ac:dyDescent="0.15">
      <c r="A3436" t="s">
        <v>25</v>
      </c>
      <c r="F3436"/>
      <c r="M3436"/>
    </row>
    <row r="3437" spans="1:13" x14ac:dyDescent="0.15">
      <c r="A3437" t="s">
        <v>25</v>
      </c>
      <c r="F3437"/>
      <c r="M3437"/>
    </row>
    <row r="3438" spans="1:13" x14ac:dyDescent="0.15">
      <c r="A3438" t="s">
        <v>25</v>
      </c>
      <c r="F3438"/>
      <c r="M3438"/>
    </row>
    <row r="3439" spans="1:13" x14ac:dyDescent="0.15">
      <c r="A3439" t="s">
        <v>25</v>
      </c>
      <c r="F3439"/>
      <c r="M3439"/>
    </row>
    <row r="3440" spans="1:13" x14ac:dyDescent="0.15">
      <c r="A3440" t="s">
        <v>25</v>
      </c>
      <c r="F3440"/>
      <c r="M3440"/>
    </row>
    <row r="3441" spans="1:13" x14ac:dyDescent="0.15">
      <c r="A3441" t="s">
        <v>25</v>
      </c>
      <c r="F3441"/>
      <c r="M3441"/>
    </row>
    <row r="3442" spans="1:13" x14ac:dyDescent="0.15">
      <c r="A3442" t="s">
        <v>25</v>
      </c>
      <c r="F3442"/>
      <c r="M3442"/>
    </row>
    <row r="3443" spans="1:13" x14ac:dyDescent="0.15">
      <c r="A3443" t="s">
        <v>25</v>
      </c>
      <c r="F3443"/>
      <c r="M3443"/>
    </row>
    <row r="3444" spans="1:13" x14ac:dyDescent="0.15">
      <c r="A3444" t="s">
        <v>25</v>
      </c>
      <c r="F3444"/>
      <c r="M3444"/>
    </row>
    <row r="3445" spans="1:13" x14ac:dyDescent="0.15">
      <c r="A3445" t="s">
        <v>25</v>
      </c>
      <c r="F3445"/>
      <c r="M3445"/>
    </row>
    <row r="3446" spans="1:13" x14ac:dyDescent="0.15">
      <c r="A3446" t="s">
        <v>25</v>
      </c>
      <c r="F3446"/>
      <c r="M3446"/>
    </row>
    <row r="3447" spans="1:13" x14ac:dyDescent="0.15">
      <c r="A3447" t="s">
        <v>25</v>
      </c>
      <c r="F3447"/>
      <c r="M3447"/>
    </row>
    <row r="3448" spans="1:13" x14ac:dyDescent="0.15">
      <c r="A3448" t="s">
        <v>25</v>
      </c>
      <c r="F3448"/>
      <c r="M3448"/>
    </row>
    <row r="3449" spans="1:13" x14ac:dyDescent="0.15">
      <c r="A3449" t="s">
        <v>25</v>
      </c>
      <c r="F3449"/>
      <c r="M3449"/>
    </row>
    <row r="3450" spans="1:13" x14ac:dyDescent="0.15">
      <c r="A3450" t="s">
        <v>25</v>
      </c>
      <c r="F3450"/>
      <c r="M3450"/>
    </row>
    <row r="3451" spans="1:13" x14ac:dyDescent="0.15">
      <c r="A3451" t="s">
        <v>25</v>
      </c>
      <c r="F3451"/>
      <c r="M3451"/>
    </row>
    <row r="3452" spans="1:13" x14ac:dyDescent="0.15">
      <c r="A3452" t="s">
        <v>25</v>
      </c>
      <c r="F3452"/>
      <c r="M3452"/>
    </row>
    <row r="3453" spans="1:13" x14ac:dyDescent="0.15">
      <c r="A3453" t="s">
        <v>25</v>
      </c>
      <c r="F3453"/>
      <c r="M3453"/>
    </row>
    <row r="3454" spans="1:13" x14ac:dyDescent="0.15">
      <c r="A3454" t="s">
        <v>25</v>
      </c>
      <c r="F3454"/>
      <c r="M3454"/>
    </row>
    <row r="3455" spans="1:13" x14ac:dyDescent="0.15">
      <c r="A3455" t="s">
        <v>25</v>
      </c>
      <c r="F3455"/>
      <c r="M3455"/>
    </row>
    <row r="3456" spans="1:13" x14ac:dyDescent="0.15">
      <c r="A3456" t="s">
        <v>25</v>
      </c>
      <c r="F3456"/>
      <c r="M3456"/>
    </row>
    <row r="3457" spans="1:13" x14ac:dyDescent="0.15">
      <c r="A3457" t="s">
        <v>25</v>
      </c>
      <c r="F3457"/>
      <c r="M3457"/>
    </row>
    <row r="3458" spans="1:13" x14ac:dyDescent="0.15">
      <c r="A3458" t="s">
        <v>25</v>
      </c>
      <c r="F3458"/>
      <c r="M3458"/>
    </row>
    <row r="3459" spans="1:13" x14ac:dyDescent="0.15">
      <c r="A3459" t="s">
        <v>25</v>
      </c>
      <c r="F3459"/>
      <c r="M3459"/>
    </row>
    <row r="3460" spans="1:13" x14ac:dyDescent="0.15">
      <c r="A3460" t="s">
        <v>25</v>
      </c>
      <c r="F3460"/>
      <c r="M3460"/>
    </row>
    <row r="3461" spans="1:13" x14ac:dyDescent="0.15">
      <c r="A3461" t="s">
        <v>25</v>
      </c>
      <c r="F3461"/>
      <c r="M3461"/>
    </row>
    <row r="3462" spans="1:13" x14ac:dyDescent="0.15">
      <c r="A3462" t="s">
        <v>25</v>
      </c>
      <c r="F3462"/>
      <c r="M3462"/>
    </row>
    <row r="3463" spans="1:13" x14ac:dyDescent="0.15">
      <c r="A3463" t="s">
        <v>25</v>
      </c>
      <c r="F3463"/>
      <c r="M3463"/>
    </row>
    <row r="3464" spans="1:13" x14ac:dyDescent="0.15">
      <c r="A3464" t="s">
        <v>25</v>
      </c>
      <c r="F3464"/>
      <c r="M3464"/>
    </row>
    <row r="3465" spans="1:13" x14ac:dyDescent="0.15">
      <c r="A3465" t="s">
        <v>25</v>
      </c>
      <c r="F3465"/>
      <c r="M3465"/>
    </row>
    <row r="3466" spans="1:13" x14ac:dyDescent="0.15">
      <c r="A3466" t="s">
        <v>25</v>
      </c>
      <c r="F3466"/>
      <c r="M3466"/>
    </row>
    <row r="3467" spans="1:13" x14ac:dyDescent="0.15">
      <c r="A3467" t="s">
        <v>25</v>
      </c>
      <c r="F3467"/>
      <c r="M3467"/>
    </row>
    <row r="3468" spans="1:13" x14ac:dyDescent="0.15">
      <c r="A3468" t="s">
        <v>25</v>
      </c>
      <c r="F3468"/>
      <c r="M3468"/>
    </row>
    <row r="3469" spans="1:13" x14ac:dyDescent="0.15">
      <c r="A3469" t="s">
        <v>25</v>
      </c>
      <c r="F3469"/>
      <c r="M3469"/>
    </row>
    <row r="3470" spans="1:13" x14ac:dyDescent="0.15">
      <c r="A3470" t="s">
        <v>25</v>
      </c>
      <c r="F3470"/>
      <c r="M3470"/>
    </row>
    <row r="3471" spans="1:13" x14ac:dyDescent="0.15">
      <c r="A3471" t="s">
        <v>25</v>
      </c>
      <c r="F3471"/>
      <c r="M3471"/>
    </row>
    <row r="3472" spans="1:13" x14ac:dyDescent="0.15">
      <c r="A3472" t="s">
        <v>25</v>
      </c>
      <c r="F3472"/>
      <c r="M3472"/>
    </row>
    <row r="3473" spans="1:13" x14ac:dyDescent="0.15">
      <c r="A3473" t="s">
        <v>25</v>
      </c>
      <c r="F3473"/>
      <c r="M3473"/>
    </row>
    <row r="3474" spans="1:13" x14ac:dyDescent="0.15">
      <c r="A3474" t="s">
        <v>25</v>
      </c>
      <c r="F3474"/>
      <c r="M3474"/>
    </row>
    <row r="3475" spans="1:13" x14ac:dyDescent="0.15">
      <c r="A3475" t="s">
        <v>25</v>
      </c>
      <c r="F3475"/>
      <c r="M3475"/>
    </row>
    <row r="3476" spans="1:13" x14ac:dyDescent="0.15">
      <c r="A3476" t="s">
        <v>25</v>
      </c>
      <c r="F3476"/>
      <c r="M3476"/>
    </row>
    <row r="3477" spans="1:13" x14ac:dyDescent="0.15">
      <c r="A3477" t="s">
        <v>25</v>
      </c>
      <c r="F3477"/>
      <c r="M3477"/>
    </row>
    <row r="3478" spans="1:13" x14ac:dyDescent="0.15">
      <c r="A3478" t="s">
        <v>25</v>
      </c>
      <c r="F3478"/>
      <c r="M3478"/>
    </row>
    <row r="3479" spans="1:13" x14ac:dyDescent="0.15">
      <c r="A3479" t="s">
        <v>25</v>
      </c>
      <c r="F3479"/>
      <c r="M3479"/>
    </row>
    <row r="3480" spans="1:13" x14ac:dyDescent="0.15">
      <c r="A3480" t="s">
        <v>25</v>
      </c>
      <c r="F3480"/>
      <c r="M3480"/>
    </row>
    <row r="3481" spans="1:13" x14ac:dyDescent="0.15">
      <c r="A3481" t="s">
        <v>25</v>
      </c>
      <c r="F3481"/>
      <c r="M3481"/>
    </row>
    <row r="3482" spans="1:13" x14ac:dyDescent="0.15">
      <c r="A3482" t="s">
        <v>25</v>
      </c>
      <c r="F3482"/>
      <c r="M3482"/>
    </row>
    <row r="3483" spans="1:13" x14ac:dyDescent="0.15">
      <c r="A3483" t="s">
        <v>25</v>
      </c>
      <c r="F3483"/>
      <c r="M3483"/>
    </row>
    <row r="3484" spans="1:13" x14ac:dyDescent="0.15">
      <c r="A3484" t="s">
        <v>25</v>
      </c>
      <c r="F3484"/>
      <c r="M3484"/>
    </row>
    <row r="3485" spans="1:13" x14ac:dyDescent="0.15">
      <c r="A3485" t="s">
        <v>25</v>
      </c>
      <c r="F3485"/>
      <c r="M3485"/>
    </row>
    <row r="3486" spans="1:13" x14ac:dyDescent="0.15">
      <c r="A3486" t="s">
        <v>25</v>
      </c>
      <c r="F3486"/>
      <c r="M3486"/>
    </row>
    <row r="3487" spans="1:13" x14ac:dyDescent="0.15">
      <c r="A3487" t="s">
        <v>25</v>
      </c>
      <c r="F3487"/>
      <c r="M3487"/>
    </row>
    <row r="3488" spans="1:13" x14ac:dyDescent="0.15">
      <c r="A3488" t="s">
        <v>25</v>
      </c>
      <c r="F3488"/>
      <c r="M3488"/>
    </row>
    <row r="3489" spans="1:13" x14ac:dyDescent="0.15">
      <c r="A3489" t="s">
        <v>25</v>
      </c>
      <c r="F3489"/>
      <c r="M3489"/>
    </row>
    <row r="3490" spans="1:13" x14ac:dyDescent="0.15">
      <c r="A3490" t="s">
        <v>25</v>
      </c>
      <c r="F3490"/>
      <c r="M3490"/>
    </row>
    <row r="3491" spans="1:13" x14ac:dyDescent="0.15">
      <c r="A3491" t="s">
        <v>25</v>
      </c>
      <c r="F3491"/>
      <c r="M3491"/>
    </row>
    <row r="3492" spans="1:13" x14ac:dyDescent="0.15">
      <c r="A3492" t="s">
        <v>25</v>
      </c>
      <c r="F3492"/>
      <c r="M3492"/>
    </row>
    <row r="3493" spans="1:13" x14ac:dyDescent="0.15">
      <c r="A3493" t="s">
        <v>25</v>
      </c>
      <c r="F3493"/>
      <c r="M3493"/>
    </row>
    <row r="3494" spans="1:13" x14ac:dyDescent="0.15">
      <c r="A3494" t="s">
        <v>25</v>
      </c>
      <c r="F3494"/>
      <c r="M3494"/>
    </row>
    <row r="3495" spans="1:13" x14ac:dyDescent="0.15">
      <c r="A3495" t="s">
        <v>25</v>
      </c>
      <c r="F3495"/>
      <c r="M3495"/>
    </row>
    <row r="3496" spans="1:13" x14ac:dyDescent="0.15">
      <c r="A3496" t="s">
        <v>25</v>
      </c>
      <c r="F3496"/>
      <c r="M3496"/>
    </row>
    <row r="3497" spans="1:13" x14ac:dyDescent="0.15">
      <c r="A3497" t="s">
        <v>25</v>
      </c>
      <c r="F3497"/>
      <c r="M3497"/>
    </row>
    <row r="3498" spans="1:13" x14ac:dyDescent="0.15">
      <c r="A3498" t="s">
        <v>25</v>
      </c>
      <c r="F3498"/>
      <c r="M3498"/>
    </row>
    <row r="3499" spans="1:13" x14ac:dyDescent="0.15">
      <c r="A3499" t="s">
        <v>25</v>
      </c>
      <c r="F3499"/>
      <c r="M3499"/>
    </row>
    <row r="3500" spans="1:13" x14ac:dyDescent="0.15">
      <c r="A3500" t="s">
        <v>25</v>
      </c>
      <c r="F3500"/>
      <c r="M3500"/>
    </row>
    <row r="3501" spans="1:13" x14ac:dyDescent="0.15">
      <c r="A3501" t="s">
        <v>25</v>
      </c>
      <c r="F3501"/>
      <c r="M3501"/>
    </row>
    <row r="3502" spans="1:13" x14ac:dyDescent="0.15">
      <c r="A3502" t="s">
        <v>25</v>
      </c>
      <c r="F3502"/>
      <c r="M3502"/>
    </row>
    <row r="3503" spans="1:13" x14ac:dyDescent="0.15">
      <c r="A3503" t="s">
        <v>25</v>
      </c>
      <c r="F3503"/>
      <c r="M3503"/>
    </row>
    <row r="3504" spans="1:13" x14ac:dyDescent="0.15">
      <c r="A3504" t="s">
        <v>25</v>
      </c>
      <c r="F3504"/>
      <c r="M3504"/>
    </row>
    <row r="3505" spans="1:13" x14ac:dyDescent="0.15">
      <c r="A3505" t="s">
        <v>25</v>
      </c>
      <c r="F3505"/>
      <c r="M3505"/>
    </row>
    <row r="3506" spans="1:13" x14ac:dyDescent="0.15">
      <c r="A3506" t="s">
        <v>25</v>
      </c>
      <c r="F3506"/>
      <c r="M3506"/>
    </row>
    <row r="3507" spans="1:13" x14ac:dyDescent="0.15">
      <c r="A3507" t="s">
        <v>25</v>
      </c>
      <c r="F3507"/>
      <c r="M3507"/>
    </row>
    <row r="3508" spans="1:13" x14ac:dyDescent="0.15">
      <c r="A3508" t="s">
        <v>25</v>
      </c>
      <c r="F3508"/>
      <c r="M3508"/>
    </row>
    <row r="3509" spans="1:13" x14ac:dyDescent="0.15">
      <c r="A3509" t="s">
        <v>25</v>
      </c>
      <c r="F3509"/>
      <c r="M3509"/>
    </row>
    <row r="3510" spans="1:13" x14ac:dyDescent="0.15">
      <c r="A3510" t="s">
        <v>25</v>
      </c>
      <c r="F3510"/>
      <c r="M3510"/>
    </row>
    <row r="3511" spans="1:13" x14ac:dyDescent="0.15">
      <c r="A3511" t="s">
        <v>25</v>
      </c>
      <c r="F3511"/>
      <c r="M3511"/>
    </row>
    <row r="3512" spans="1:13" x14ac:dyDescent="0.15">
      <c r="A3512" t="s">
        <v>25</v>
      </c>
      <c r="F3512"/>
      <c r="M3512"/>
    </row>
    <row r="3513" spans="1:13" x14ac:dyDescent="0.15">
      <c r="A3513" t="s">
        <v>25</v>
      </c>
      <c r="F3513"/>
      <c r="M3513"/>
    </row>
    <row r="3514" spans="1:13" x14ac:dyDescent="0.15">
      <c r="A3514" t="s">
        <v>25</v>
      </c>
      <c r="F3514"/>
      <c r="M3514"/>
    </row>
    <row r="3515" spans="1:13" x14ac:dyDescent="0.15">
      <c r="A3515" t="s">
        <v>25</v>
      </c>
      <c r="F3515"/>
      <c r="M3515"/>
    </row>
    <row r="3516" spans="1:13" x14ac:dyDescent="0.15">
      <c r="A3516" t="s">
        <v>25</v>
      </c>
      <c r="F3516"/>
      <c r="M3516"/>
    </row>
    <row r="3517" spans="1:13" x14ac:dyDescent="0.15">
      <c r="A3517" t="s">
        <v>25</v>
      </c>
      <c r="F3517"/>
      <c r="M3517"/>
    </row>
    <row r="3518" spans="1:13" x14ac:dyDescent="0.15">
      <c r="A3518" t="s">
        <v>25</v>
      </c>
      <c r="F3518"/>
      <c r="M3518"/>
    </row>
    <row r="3519" spans="1:13" x14ac:dyDescent="0.15">
      <c r="A3519" t="s">
        <v>25</v>
      </c>
      <c r="F3519"/>
      <c r="M3519"/>
    </row>
    <row r="3520" spans="1:13" x14ac:dyDescent="0.15">
      <c r="A3520" t="s">
        <v>25</v>
      </c>
      <c r="F3520"/>
      <c r="M3520"/>
    </row>
    <row r="3521" spans="1:13" x14ac:dyDescent="0.15">
      <c r="A3521" t="s">
        <v>25</v>
      </c>
      <c r="F3521"/>
      <c r="M3521"/>
    </row>
    <row r="3522" spans="1:13" x14ac:dyDescent="0.15">
      <c r="A3522" t="s">
        <v>25</v>
      </c>
      <c r="F3522"/>
      <c r="M3522"/>
    </row>
    <row r="3523" spans="1:13" x14ac:dyDescent="0.15">
      <c r="A3523" t="s">
        <v>25</v>
      </c>
      <c r="F3523"/>
      <c r="M3523"/>
    </row>
    <row r="3524" spans="1:13" x14ac:dyDescent="0.15">
      <c r="A3524" t="s">
        <v>25</v>
      </c>
      <c r="F3524"/>
      <c r="M3524"/>
    </row>
    <row r="3525" spans="1:13" x14ac:dyDescent="0.15">
      <c r="A3525" t="s">
        <v>25</v>
      </c>
      <c r="F3525"/>
      <c r="M3525"/>
    </row>
    <row r="3526" spans="1:13" x14ac:dyDescent="0.15">
      <c r="A3526" t="s">
        <v>25</v>
      </c>
      <c r="F3526"/>
      <c r="M3526"/>
    </row>
    <row r="3527" spans="1:13" x14ac:dyDescent="0.15">
      <c r="A3527" t="s">
        <v>25</v>
      </c>
      <c r="F3527"/>
      <c r="M3527"/>
    </row>
    <row r="3528" spans="1:13" x14ac:dyDescent="0.15">
      <c r="A3528" t="s">
        <v>25</v>
      </c>
      <c r="F3528"/>
      <c r="M3528"/>
    </row>
    <row r="3529" spans="1:13" x14ac:dyDescent="0.15">
      <c r="A3529" t="s">
        <v>25</v>
      </c>
      <c r="F3529"/>
      <c r="M3529"/>
    </row>
    <row r="3530" spans="1:13" x14ac:dyDescent="0.15">
      <c r="A3530" t="s">
        <v>25</v>
      </c>
      <c r="F3530"/>
      <c r="M3530"/>
    </row>
    <row r="3531" spans="1:13" x14ac:dyDescent="0.15">
      <c r="A3531" t="s">
        <v>25</v>
      </c>
      <c r="F3531"/>
      <c r="M3531"/>
    </row>
    <row r="3532" spans="1:13" x14ac:dyDescent="0.15">
      <c r="A3532" t="s">
        <v>25</v>
      </c>
      <c r="F3532"/>
      <c r="M3532"/>
    </row>
    <row r="3533" spans="1:13" x14ac:dyDescent="0.15">
      <c r="A3533" t="s">
        <v>25</v>
      </c>
      <c r="F3533"/>
      <c r="M3533"/>
    </row>
    <row r="3534" spans="1:13" x14ac:dyDescent="0.15">
      <c r="A3534" t="s">
        <v>25</v>
      </c>
      <c r="F3534"/>
      <c r="M3534"/>
    </row>
    <row r="3535" spans="1:13" x14ac:dyDescent="0.15">
      <c r="A3535" t="s">
        <v>25</v>
      </c>
      <c r="F3535"/>
      <c r="M3535"/>
    </row>
    <row r="3536" spans="1:13" x14ac:dyDescent="0.15">
      <c r="A3536" t="s">
        <v>25</v>
      </c>
      <c r="F3536"/>
      <c r="M3536"/>
    </row>
    <row r="3537" spans="1:13" x14ac:dyDescent="0.15">
      <c r="A3537" t="s">
        <v>25</v>
      </c>
      <c r="F3537"/>
      <c r="M3537"/>
    </row>
    <row r="3538" spans="1:13" x14ac:dyDescent="0.15">
      <c r="A3538" t="s">
        <v>25</v>
      </c>
      <c r="F3538"/>
      <c r="M3538"/>
    </row>
    <row r="3539" spans="1:13" x14ac:dyDescent="0.15">
      <c r="A3539" t="s">
        <v>25</v>
      </c>
      <c r="F3539"/>
      <c r="M3539"/>
    </row>
    <row r="3540" spans="1:13" x14ac:dyDescent="0.15">
      <c r="A3540" t="s">
        <v>25</v>
      </c>
      <c r="F3540"/>
      <c r="M3540"/>
    </row>
    <row r="3541" spans="1:13" x14ac:dyDescent="0.15">
      <c r="A3541" t="s">
        <v>25</v>
      </c>
      <c r="F3541"/>
      <c r="M3541"/>
    </row>
    <row r="3542" spans="1:13" x14ac:dyDescent="0.15">
      <c r="A3542" t="s">
        <v>25</v>
      </c>
      <c r="F3542"/>
      <c r="M3542"/>
    </row>
    <row r="3543" spans="1:13" x14ac:dyDescent="0.15">
      <c r="A3543" t="s">
        <v>25</v>
      </c>
      <c r="F3543"/>
      <c r="M3543"/>
    </row>
    <row r="3544" spans="1:13" x14ac:dyDescent="0.15">
      <c r="A3544" t="s">
        <v>25</v>
      </c>
      <c r="F3544"/>
      <c r="M3544"/>
    </row>
    <row r="3545" spans="1:13" x14ac:dyDescent="0.15">
      <c r="A3545" t="s">
        <v>25</v>
      </c>
      <c r="F3545"/>
      <c r="M3545"/>
    </row>
    <row r="3546" spans="1:13" x14ac:dyDescent="0.15">
      <c r="A3546" t="s">
        <v>25</v>
      </c>
      <c r="F3546"/>
      <c r="M3546"/>
    </row>
    <row r="3547" spans="1:13" x14ac:dyDescent="0.15">
      <c r="A3547" t="s">
        <v>25</v>
      </c>
      <c r="F3547"/>
      <c r="M3547"/>
    </row>
    <row r="3548" spans="1:13" x14ac:dyDescent="0.15">
      <c r="A3548" t="s">
        <v>25</v>
      </c>
      <c r="F3548"/>
      <c r="M3548"/>
    </row>
    <row r="3549" spans="1:13" x14ac:dyDescent="0.15">
      <c r="A3549" t="s">
        <v>25</v>
      </c>
      <c r="F3549"/>
      <c r="M3549"/>
    </row>
    <row r="3550" spans="1:13" x14ac:dyDescent="0.15">
      <c r="A3550" t="s">
        <v>25</v>
      </c>
      <c r="F3550"/>
      <c r="M3550"/>
    </row>
    <row r="3551" spans="1:13" x14ac:dyDescent="0.15">
      <c r="A3551" t="s">
        <v>25</v>
      </c>
      <c r="F3551"/>
      <c r="M3551"/>
    </row>
    <row r="3552" spans="1:13" x14ac:dyDescent="0.15">
      <c r="A3552" t="s">
        <v>25</v>
      </c>
      <c r="F3552"/>
      <c r="M3552"/>
    </row>
    <row r="3553" spans="1:13" x14ac:dyDescent="0.15">
      <c r="A3553" t="s">
        <v>25</v>
      </c>
      <c r="F3553"/>
      <c r="M3553"/>
    </row>
    <row r="3554" spans="1:13" x14ac:dyDescent="0.15">
      <c r="A3554" t="s">
        <v>25</v>
      </c>
      <c r="F3554"/>
      <c r="M3554"/>
    </row>
    <row r="3555" spans="1:13" x14ac:dyDescent="0.15">
      <c r="A3555" t="s">
        <v>25</v>
      </c>
      <c r="F3555"/>
      <c r="M3555"/>
    </row>
    <row r="3556" spans="1:13" x14ac:dyDescent="0.15">
      <c r="A3556" t="s">
        <v>25</v>
      </c>
      <c r="F3556"/>
      <c r="M3556"/>
    </row>
    <row r="3557" spans="1:13" x14ac:dyDescent="0.15">
      <c r="A3557" t="s">
        <v>25</v>
      </c>
      <c r="F3557"/>
      <c r="M3557"/>
    </row>
    <row r="3558" spans="1:13" x14ac:dyDescent="0.15">
      <c r="A3558" t="s">
        <v>25</v>
      </c>
      <c r="F3558"/>
      <c r="M3558"/>
    </row>
    <row r="3559" spans="1:13" x14ac:dyDescent="0.15">
      <c r="A3559" t="s">
        <v>25</v>
      </c>
      <c r="F3559"/>
      <c r="M3559"/>
    </row>
    <row r="3560" spans="1:13" x14ac:dyDescent="0.15">
      <c r="A3560" t="s">
        <v>25</v>
      </c>
      <c r="F3560"/>
      <c r="M3560"/>
    </row>
    <row r="3561" spans="1:13" x14ac:dyDescent="0.15">
      <c r="A3561" t="s">
        <v>25</v>
      </c>
      <c r="F3561"/>
      <c r="M3561"/>
    </row>
    <row r="3562" spans="1:13" x14ac:dyDescent="0.15">
      <c r="A3562" t="s">
        <v>25</v>
      </c>
      <c r="F3562"/>
      <c r="M3562"/>
    </row>
    <row r="3563" spans="1:13" x14ac:dyDescent="0.15">
      <c r="A3563" t="s">
        <v>25</v>
      </c>
      <c r="F3563"/>
      <c r="M3563"/>
    </row>
    <row r="3564" spans="1:13" x14ac:dyDescent="0.15">
      <c r="A3564" t="s">
        <v>25</v>
      </c>
      <c r="F3564"/>
      <c r="M3564"/>
    </row>
    <row r="3565" spans="1:13" x14ac:dyDescent="0.15">
      <c r="A3565" t="s">
        <v>25</v>
      </c>
      <c r="F3565"/>
      <c r="M3565"/>
    </row>
    <row r="3566" spans="1:13" x14ac:dyDescent="0.15">
      <c r="A3566" t="s">
        <v>25</v>
      </c>
      <c r="F3566"/>
      <c r="M3566"/>
    </row>
    <row r="3567" spans="1:13" x14ac:dyDescent="0.15">
      <c r="A3567" t="s">
        <v>25</v>
      </c>
      <c r="F3567"/>
      <c r="M3567"/>
    </row>
    <row r="3568" spans="1:13" x14ac:dyDescent="0.15">
      <c r="A3568" t="s">
        <v>25</v>
      </c>
      <c r="F3568"/>
      <c r="M3568"/>
    </row>
    <row r="3569" spans="1:13" x14ac:dyDescent="0.15">
      <c r="A3569" t="s">
        <v>25</v>
      </c>
      <c r="F3569"/>
      <c r="M3569"/>
    </row>
    <row r="3570" spans="1:13" x14ac:dyDescent="0.15">
      <c r="A3570" t="s">
        <v>25</v>
      </c>
      <c r="F3570"/>
      <c r="M3570"/>
    </row>
    <row r="3571" spans="1:13" x14ac:dyDescent="0.15">
      <c r="A3571" t="s">
        <v>25</v>
      </c>
      <c r="F3571"/>
      <c r="M3571"/>
    </row>
    <row r="3572" spans="1:13" x14ac:dyDescent="0.15">
      <c r="A3572" t="s">
        <v>25</v>
      </c>
      <c r="F3572"/>
      <c r="M3572"/>
    </row>
    <row r="3573" spans="1:13" x14ac:dyDescent="0.15">
      <c r="A3573" t="s">
        <v>25</v>
      </c>
      <c r="F3573"/>
      <c r="M3573"/>
    </row>
    <row r="3574" spans="1:13" x14ac:dyDescent="0.15">
      <c r="A3574" t="s">
        <v>25</v>
      </c>
      <c r="F3574"/>
      <c r="M3574"/>
    </row>
    <row r="3575" spans="1:13" x14ac:dyDescent="0.15">
      <c r="A3575" t="s">
        <v>25</v>
      </c>
      <c r="F3575"/>
      <c r="M3575"/>
    </row>
    <row r="3576" spans="1:13" x14ac:dyDescent="0.15">
      <c r="A3576" t="s">
        <v>25</v>
      </c>
      <c r="F3576"/>
      <c r="M3576"/>
    </row>
    <row r="3577" spans="1:13" x14ac:dyDescent="0.15">
      <c r="A3577" t="s">
        <v>25</v>
      </c>
      <c r="F3577"/>
      <c r="M3577"/>
    </row>
    <row r="3578" spans="1:13" x14ac:dyDescent="0.15">
      <c r="A3578" t="s">
        <v>25</v>
      </c>
      <c r="F3578"/>
      <c r="M3578"/>
    </row>
    <row r="3579" spans="1:13" x14ac:dyDescent="0.15">
      <c r="A3579" t="s">
        <v>25</v>
      </c>
      <c r="F3579"/>
      <c r="M3579"/>
    </row>
    <row r="3580" spans="1:13" x14ac:dyDescent="0.15">
      <c r="A3580" t="s">
        <v>25</v>
      </c>
      <c r="F3580"/>
      <c r="M3580"/>
    </row>
    <row r="3581" spans="1:13" x14ac:dyDescent="0.15">
      <c r="A3581" t="s">
        <v>25</v>
      </c>
      <c r="F3581"/>
      <c r="M3581"/>
    </row>
    <row r="3582" spans="1:13" x14ac:dyDescent="0.15">
      <c r="A3582" t="s">
        <v>25</v>
      </c>
      <c r="F3582"/>
      <c r="M3582"/>
    </row>
    <row r="3583" spans="1:13" x14ac:dyDescent="0.15">
      <c r="A3583" t="s">
        <v>25</v>
      </c>
      <c r="F3583"/>
      <c r="M3583"/>
    </row>
    <row r="3584" spans="1:13" x14ac:dyDescent="0.15">
      <c r="A3584" t="s">
        <v>25</v>
      </c>
      <c r="F3584"/>
      <c r="M3584"/>
    </row>
    <row r="3585" spans="1:13" x14ac:dyDescent="0.15">
      <c r="A3585" t="s">
        <v>25</v>
      </c>
      <c r="F3585"/>
      <c r="M3585"/>
    </row>
    <row r="3586" spans="1:13" x14ac:dyDescent="0.15">
      <c r="A3586" t="s">
        <v>25</v>
      </c>
      <c r="F3586"/>
      <c r="M3586"/>
    </row>
    <row r="3587" spans="1:13" x14ac:dyDescent="0.15">
      <c r="A3587" t="s">
        <v>25</v>
      </c>
      <c r="F3587"/>
      <c r="M3587"/>
    </row>
    <row r="3588" spans="1:13" x14ac:dyDescent="0.15">
      <c r="A3588" t="s">
        <v>25</v>
      </c>
      <c r="F3588"/>
      <c r="M3588"/>
    </row>
    <row r="3589" spans="1:13" x14ac:dyDescent="0.15">
      <c r="A3589" t="s">
        <v>25</v>
      </c>
      <c r="F3589"/>
      <c r="M3589"/>
    </row>
    <row r="3590" spans="1:13" x14ac:dyDescent="0.15">
      <c r="A3590" t="s">
        <v>25</v>
      </c>
      <c r="F3590"/>
      <c r="M3590"/>
    </row>
    <row r="3591" spans="1:13" x14ac:dyDescent="0.15">
      <c r="A3591" t="s">
        <v>25</v>
      </c>
      <c r="F3591"/>
      <c r="M3591"/>
    </row>
    <row r="3592" spans="1:13" x14ac:dyDescent="0.15">
      <c r="A3592" t="s">
        <v>25</v>
      </c>
      <c r="F3592"/>
      <c r="M3592"/>
    </row>
    <row r="3593" spans="1:13" x14ac:dyDescent="0.15">
      <c r="A3593" t="s">
        <v>25</v>
      </c>
      <c r="F3593"/>
      <c r="M3593"/>
    </row>
    <row r="3594" spans="1:13" x14ac:dyDescent="0.15">
      <c r="A3594" t="s">
        <v>25</v>
      </c>
      <c r="F3594"/>
      <c r="M3594"/>
    </row>
    <row r="3595" spans="1:13" x14ac:dyDescent="0.15">
      <c r="A3595" t="s">
        <v>25</v>
      </c>
      <c r="F3595"/>
      <c r="M3595"/>
    </row>
    <row r="3596" spans="1:13" x14ac:dyDescent="0.15">
      <c r="A3596" t="s">
        <v>25</v>
      </c>
      <c r="F3596"/>
      <c r="M3596"/>
    </row>
    <row r="3597" spans="1:13" x14ac:dyDescent="0.15">
      <c r="A3597" t="s">
        <v>25</v>
      </c>
      <c r="F3597"/>
      <c r="M3597"/>
    </row>
    <row r="3598" spans="1:13" x14ac:dyDescent="0.15">
      <c r="A3598" t="s">
        <v>25</v>
      </c>
      <c r="F3598"/>
      <c r="M3598"/>
    </row>
    <row r="3599" spans="1:13" x14ac:dyDescent="0.15">
      <c r="A3599" t="s">
        <v>25</v>
      </c>
      <c r="F3599"/>
      <c r="M3599"/>
    </row>
    <row r="3600" spans="1:13" x14ac:dyDescent="0.15">
      <c r="A3600" t="s">
        <v>25</v>
      </c>
      <c r="F3600"/>
      <c r="M3600"/>
    </row>
    <row r="3601" spans="1:13" x14ac:dyDescent="0.15">
      <c r="A3601" t="s">
        <v>25</v>
      </c>
      <c r="F3601"/>
      <c r="M3601"/>
    </row>
    <row r="3602" spans="1:13" x14ac:dyDescent="0.15">
      <c r="A3602" t="s">
        <v>25</v>
      </c>
      <c r="F3602"/>
      <c r="M3602"/>
    </row>
    <row r="3603" spans="1:13" x14ac:dyDescent="0.15">
      <c r="A3603" t="s">
        <v>25</v>
      </c>
      <c r="F3603"/>
      <c r="M3603"/>
    </row>
    <row r="3604" spans="1:13" x14ac:dyDescent="0.15">
      <c r="A3604" t="s">
        <v>25</v>
      </c>
      <c r="F3604"/>
      <c r="M3604"/>
    </row>
    <row r="3605" spans="1:13" x14ac:dyDescent="0.15">
      <c r="A3605" t="s">
        <v>25</v>
      </c>
      <c r="F3605"/>
      <c r="M3605"/>
    </row>
    <row r="3606" spans="1:13" x14ac:dyDescent="0.15">
      <c r="A3606" t="s">
        <v>25</v>
      </c>
      <c r="F3606"/>
      <c r="M3606"/>
    </row>
    <row r="3607" spans="1:13" x14ac:dyDescent="0.15">
      <c r="A3607" t="s">
        <v>25</v>
      </c>
      <c r="F3607"/>
      <c r="M3607"/>
    </row>
    <row r="3608" spans="1:13" x14ac:dyDescent="0.15">
      <c r="A3608" t="s">
        <v>25</v>
      </c>
      <c r="F3608"/>
      <c r="M3608"/>
    </row>
    <row r="3609" spans="1:13" x14ac:dyDescent="0.15">
      <c r="A3609" t="s">
        <v>25</v>
      </c>
      <c r="F3609"/>
      <c r="M3609"/>
    </row>
    <row r="3610" spans="1:13" x14ac:dyDescent="0.15">
      <c r="A3610" t="s">
        <v>25</v>
      </c>
      <c r="F3610"/>
      <c r="M3610"/>
    </row>
    <row r="3611" spans="1:13" x14ac:dyDescent="0.15">
      <c r="A3611" t="s">
        <v>25</v>
      </c>
      <c r="F3611"/>
      <c r="M3611"/>
    </row>
    <row r="3612" spans="1:13" x14ac:dyDescent="0.15">
      <c r="A3612" t="s">
        <v>25</v>
      </c>
      <c r="F3612"/>
      <c r="M3612"/>
    </row>
    <row r="3613" spans="1:13" x14ac:dyDescent="0.15">
      <c r="A3613" t="s">
        <v>25</v>
      </c>
      <c r="F3613"/>
      <c r="M3613"/>
    </row>
    <row r="3614" spans="1:13" x14ac:dyDescent="0.15">
      <c r="A3614" t="s">
        <v>25</v>
      </c>
      <c r="F3614"/>
      <c r="M3614"/>
    </row>
    <row r="3615" spans="1:13" x14ac:dyDescent="0.15">
      <c r="A3615" t="s">
        <v>25</v>
      </c>
      <c r="F3615"/>
      <c r="M3615"/>
    </row>
    <row r="3616" spans="1:13" x14ac:dyDescent="0.15">
      <c r="A3616" t="s">
        <v>25</v>
      </c>
      <c r="F3616"/>
      <c r="M3616"/>
    </row>
    <row r="3617" spans="1:13" x14ac:dyDescent="0.15">
      <c r="A3617" t="s">
        <v>25</v>
      </c>
      <c r="F3617"/>
      <c r="M3617"/>
    </row>
    <row r="3618" spans="1:13" x14ac:dyDescent="0.15">
      <c r="A3618" t="s">
        <v>25</v>
      </c>
      <c r="F3618"/>
      <c r="M3618"/>
    </row>
    <row r="3619" spans="1:13" x14ac:dyDescent="0.15">
      <c r="A3619" t="s">
        <v>25</v>
      </c>
      <c r="F3619"/>
      <c r="M3619"/>
    </row>
    <row r="3620" spans="1:13" x14ac:dyDescent="0.15">
      <c r="A3620" t="s">
        <v>25</v>
      </c>
      <c r="F3620"/>
      <c r="M3620"/>
    </row>
    <row r="3621" spans="1:13" x14ac:dyDescent="0.15">
      <c r="A3621" t="s">
        <v>25</v>
      </c>
      <c r="F3621"/>
      <c r="M3621"/>
    </row>
    <row r="3622" spans="1:13" x14ac:dyDescent="0.15">
      <c r="A3622" t="s">
        <v>25</v>
      </c>
      <c r="F3622"/>
      <c r="M3622"/>
    </row>
    <row r="3623" spans="1:13" x14ac:dyDescent="0.15">
      <c r="A3623" t="s">
        <v>25</v>
      </c>
      <c r="F3623"/>
      <c r="M3623"/>
    </row>
    <row r="3624" spans="1:13" x14ac:dyDescent="0.15">
      <c r="A3624" t="s">
        <v>25</v>
      </c>
      <c r="F3624"/>
      <c r="M3624"/>
    </row>
    <row r="3625" spans="1:13" x14ac:dyDescent="0.15">
      <c r="A3625" t="s">
        <v>25</v>
      </c>
      <c r="F3625"/>
      <c r="M3625"/>
    </row>
    <row r="3626" spans="1:13" x14ac:dyDescent="0.15">
      <c r="A3626" t="s">
        <v>25</v>
      </c>
      <c r="F3626"/>
      <c r="M3626"/>
    </row>
    <row r="3627" spans="1:13" x14ac:dyDescent="0.15">
      <c r="A3627" t="s">
        <v>25</v>
      </c>
      <c r="F3627"/>
      <c r="M3627"/>
    </row>
    <row r="3628" spans="1:13" x14ac:dyDescent="0.15">
      <c r="A3628" t="s">
        <v>25</v>
      </c>
      <c r="F3628"/>
      <c r="M3628"/>
    </row>
    <row r="3629" spans="1:13" x14ac:dyDescent="0.15">
      <c r="A3629" t="s">
        <v>25</v>
      </c>
      <c r="F3629"/>
      <c r="M3629"/>
    </row>
    <row r="3630" spans="1:13" x14ac:dyDescent="0.15">
      <c r="A3630" t="s">
        <v>25</v>
      </c>
      <c r="F3630"/>
      <c r="M3630"/>
    </row>
    <row r="3631" spans="1:13" x14ac:dyDescent="0.15">
      <c r="A3631" t="s">
        <v>25</v>
      </c>
      <c r="F3631"/>
      <c r="M3631"/>
    </row>
    <row r="3632" spans="1:13" x14ac:dyDescent="0.15">
      <c r="A3632" t="s">
        <v>25</v>
      </c>
      <c r="F3632"/>
      <c r="M3632"/>
    </row>
    <row r="3633" spans="1:13" x14ac:dyDescent="0.15">
      <c r="A3633" t="s">
        <v>25</v>
      </c>
      <c r="F3633"/>
      <c r="M3633"/>
    </row>
    <row r="3634" spans="1:13" x14ac:dyDescent="0.15">
      <c r="A3634" t="s">
        <v>25</v>
      </c>
      <c r="F3634"/>
      <c r="M3634"/>
    </row>
    <row r="3635" spans="1:13" x14ac:dyDescent="0.15">
      <c r="A3635" t="s">
        <v>25</v>
      </c>
      <c r="F3635"/>
      <c r="M3635"/>
    </row>
    <row r="3636" spans="1:13" x14ac:dyDescent="0.15">
      <c r="A3636" t="s">
        <v>25</v>
      </c>
      <c r="F3636"/>
      <c r="M3636"/>
    </row>
    <row r="3637" spans="1:13" x14ac:dyDescent="0.15">
      <c r="A3637" t="s">
        <v>25</v>
      </c>
      <c r="F3637"/>
      <c r="M3637"/>
    </row>
    <row r="3638" spans="1:13" x14ac:dyDescent="0.15">
      <c r="A3638" t="s">
        <v>25</v>
      </c>
      <c r="F3638"/>
      <c r="M3638"/>
    </row>
    <row r="3639" spans="1:13" x14ac:dyDescent="0.15">
      <c r="A3639" t="s">
        <v>25</v>
      </c>
      <c r="F3639"/>
      <c r="M3639"/>
    </row>
    <row r="3640" spans="1:13" x14ac:dyDescent="0.15">
      <c r="A3640" t="s">
        <v>25</v>
      </c>
      <c r="F3640"/>
      <c r="M3640"/>
    </row>
    <row r="3641" spans="1:13" x14ac:dyDescent="0.15">
      <c r="A3641" t="s">
        <v>25</v>
      </c>
      <c r="F3641"/>
      <c r="M3641"/>
    </row>
    <row r="3642" spans="1:13" x14ac:dyDescent="0.15">
      <c r="A3642" t="s">
        <v>25</v>
      </c>
      <c r="F3642"/>
      <c r="M3642"/>
    </row>
    <row r="3643" spans="1:13" x14ac:dyDescent="0.15">
      <c r="A3643" t="s">
        <v>25</v>
      </c>
      <c r="F3643"/>
      <c r="M3643"/>
    </row>
    <row r="3644" spans="1:13" x14ac:dyDescent="0.15">
      <c r="A3644" t="s">
        <v>25</v>
      </c>
      <c r="F3644"/>
      <c r="M3644"/>
    </row>
    <row r="3645" spans="1:13" x14ac:dyDescent="0.15">
      <c r="A3645" t="s">
        <v>25</v>
      </c>
      <c r="F3645"/>
      <c r="M3645"/>
    </row>
    <row r="3646" spans="1:13" x14ac:dyDescent="0.15">
      <c r="A3646" t="s">
        <v>25</v>
      </c>
      <c r="F3646"/>
      <c r="M3646"/>
    </row>
    <row r="3647" spans="1:13" x14ac:dyDescent="0.15">
      <c r="A3647" t="s">
        <v>25</v>
      </c>
      <c r="F3647"/>
      <c r="M3647"/>
    </row>
    <row r="3648" spans="1:13" x14ac:dyDescent="0.15">
      <c r="A3648" t="s">
        <v>25</v>
      </c>
      <c r="F3648"/>
      <c r="M3648"/>
    </row>
    <row r="3649" spans="1:13" x14ac:dyDescent="0.15">
      <c r="A3649" t="s">
        <v>26</v>
      </c>
      <c r="F3649"/>
      <c r="M3649"/>
    </row>
    <row r="3650" spans="1:13" x14ac:dyDescent="0.15">
      <c r="A3650" t="s">
        <v>26</v>
      </c>
      <c r="F3650"/>
      <c r="M3650"/>
    </row>
    <row r="3651" spans="1:13" x14ac:dyDescent="0.15">
      <c r="A3651" t="s">
        <v>26</v>
      </c>
      <c r="F3651"/>
      <c r="M3651"/>
    </row>
    <row r="3652" spans="1:13" x14ac:dyDescent="0.15">
      <c r="A3652" t="s">
        <v>26</v>
      </c>
      <c r="F3652"/>
      <c r="M3652"/>
    </row>
    <row r="3653" spans="1:13" x14ac:dyDescent="0.15">
      <c r="A3653" t="s">
        <v>26</v>
      </c>
      <c r="F3653"/>
      <c r="M3653"/>
    </row>
    <row r="3654" spans="1:13" x14ac:dyDescent="0.15">
      <c r="A3654" t="s">
        <v>26</v>
      </c>
      <c r="F3654"/>
      <c r="M3654"/>
    </row>
    <row r="3655" spans="1:13" x14ac:dyDescent="0.15">
      <c r="A3655" t="s">
        <v>26</v>
      </c>
      <c r="F3655"/>
      <c r="M3655"/>
    </row>
    <row r="3656" spans="1:13" x14ac:dyDescent="0.15">
      <c r="A3656" t="s">
        <v>26</v>
      </c>
      <c r="F3656"/>
      <c r="M3656"/>
    </row>
    <row r="3657" spans="1:13" x14ac:dyDescent="0.15">
      <c r="A3657" t="s">
        <v>26</v>
      </c>
      <c r="F3657"/>
      <c r="M3657"/>
    </row>
    <row r="3658" spans="1:13" x14ac:dyDescent="0.15">
      <c r="A3658" t="s">
        <v>26</v>
      </c>
      <c r="F3658"/>
      <c r="M3658"/>
    </row>
    <row r="3659" spans="1:13" x14ac:dyDescent="0.15">
      <c r="A3659" t="s">
        <v>26</v>
      </c>
      <c r="F3659"/>
      <c r="M3659"/>
    </row>
    <row r="3660" spans="1:13" x14ac:dyDescent="0.15">
      <c r="A3660" t="s">
        <v>26</v>
      </c>
      <c r="F3660"/>
      <c r="M3660"/>
    </row>
    <row r="3661" spans="1:13" x14ac:dyDescent="0.15">
      <c r="A3661" t="s">
        <v>26</v>
      </c>
      <c r="F3661"/>
      <c r="M3661"/>
    </row>
    <row r="3662" spans="1:13" x14ac:dyDescent="0.15">
      <c r="A3662" t="s">
        <v>26</v>
      </c>
      <c r="F3662"/>
      <c r="M3662"/>
    </row>
    <row r="3663" spans="1:13" x14ac:dyDescent="0.15">
      <c r="A3663" t="s">
        <v>26</v>
      </c>
      <c r="F3663"/>
      <c r="M3663"/>
    </row>
    <row r="3664" spans="1:13" x14ac:dyDescent="0.15">
      <c r="A3664" t="s">
        <v>26</v>
      </c>
      <c r="F3664"/>
      <c r="M3664"/>
    </row>
    <row r="3665" spans="1:13" x14ac:dyDescent="0.15">
      <c r="A3665" t="s">
        <v>26</v>
      </c>
      <c r="F3665"/>
      <c r="M3665"/>
    </row>
    <row r="3666" spans="1:13" x14ac:dyDescent="0.15">
      <c r="A3666" t="s">
        <v>26</v>
      </c>
      <c r="F3666"/>
      <c r="M3666"/>
    </row>
    <row r="3667" spans="1:13" x14ac:dyDescent="0.15">
      <c r="A3667" t="s">
        <v>26</v>
      </c>
      <c r="F3667"/>
      <c r="M3667"/>
    </row>
    <row r="3668" spans="1:13" x14ac:dyDescent="0.15">
      <c r="A3668" t="s">
        <v>26</v>
      </c>
      <c r="F3668"/>
      <c r="M3668"/>
    </row>
    <row r="3669" spans="1:13" x14ac:dyDescent="0.15">
      <c r="A3669" t="s">
        <v>26</v>
      </c>
      <c r="F3669"/>
      <c r="M3669"/>
    </row>
    <row r="3670" spans="1:13" x14ac:dyDescent="0.15">
      <c r="A3670" t="s">
        <v>26</v>
      </c>
      <c r="F3670"/>
      <c r="M3670"/>
    </row>
    <row r="3671" spans="1:13" x14ac:dyDescent="0.15">
      <c r="A3671" t="s">
        <v>26</v>
      </c>
      <c r="F3671"/>
      <c r="M3671"/>
    </row>
    <row r="3672" spans="1:13" x14ac:dyDescent="0.15">
      <c r="A3672" t="s">
        <v>26</v>
      </c>
      <c r="F3672"/>
      <c r="M3672"/>
    </row>
    <row r="3673" spans="1:13" x14ac:dyDescent="0.15">
      <c r="A3673" t="s">
        <v>26</v>
      </c>
      <c r="F3673"/>
      <c r="M3673"/>
    </row>
    <row r="3674" spans="1:13" x14ac:dyDescent="0.15">
      <c r="A3674" t="s">
        <v>26</v>
      </c>
      <c r="F3674"/>
      <c r="M3674"/>
    </row>
    <row r="3675" spans="1:13" x14ac:dyDescent="0.15">
      <c r="A3675" t="s">
        <v>26</v>
      </c>
      <c r="F3675"/>
      <c r="M3675"/>
    </row>
    <row r="3676" spans="1:13" x14ac:dyDescent="0.15">
      <c r="A3676" t="s">
        <v>26</v>
      </c>
      <c r="F3676"/>
      <c r="M3676"/>
    </row>
    <row r="3677" spans="1:13" x14ac:dyDescent="0.15">
      <c r="A3677" t="s">
        <v>26</v>
      </c>
      <c r="F3677"/>
      <c r="M3677"/>
    </row>
    <row r="3678" spans="1:13" x14ac:dyDescent="0.15">
      <c r="A3678" t="s">
        <v>26</v>
      </c>
      <c r="F3678"/>
      <c r="M3678"/>
    </row>
    <row r="3679" spans="1:13" x14ac:dyDescent="0.15">
      <c r="A3679" t="s">
        <v>26</v>
      </c>
      <c r="F3679"/>
      <c r="M3679"/>
    </row>
    <row r="3680" spans="1:13" x14ac:dyDescent="0.15">
      <c r="A3680" t="s">
        <v>26</v>
      </c>
      <c r="F3680"/>
      <c r="M3680"/>
    </row>
    <row r="3681" spans="1:13" x14ac:dyDescent="0.15">
      <c r="A3681" t="s">
        <v>26</v>
      </c>
      <c r="F3681"/>
      <c r="M3681"/>
    </row>
    <row r="3682" spans="1:13" x14ac:dyDescent="0.15">
      <c r="A3682" t="s">
        <v>26</v>
      </c>
      <c r="F3682"/>
      <c r="M3682"/>
    </row>
    <row r="3683" spans="1:13" x14ac:dyDescent="0.15">
      <c r="A3683" t="s">
        <v>26</v>
      </c>
      <c r="F3683"/>
      <c r="M3683"/>
    </row>
    <row r="3684" spans="1:13" x14ac:dyDescent="0.15">
      <c r="A3684" t="s">
        <v>26</v>
      </c>
      <c r="F3684"/>
      <c r="M3684"/>
    </row>
    <row r="3685" spans="1:13" x14ac:dyDescent="0.15">
      <c r="A3685" t="s">
        <v>26</v>
      </c>
      <c r="F3685"/>
      <c r="M3685"/>
    </row>
    <row r="3686" spans="1:13" x14ac:dyDescent="0.15">
      <c r="A3686" t="s">
        <v>26</v>
      </c>
      <c r="F3686"/>
      <c r="M3686"/>
    </row>
    <row r="3687" spans="1:13" x14ac:dyDescent="0.15">
      <c r="A3687" t="s">
        <v>26</v>
      </c>
      <c r="F3687"/>
      <c r="M3687"/>
    </row>
    <row r="3688" spans="1:13" x14ac:dyDescent="0.15">
      <c r="A3688" t="s">
        <v>26</v>
      </c>
      <c r="F3688"/>
      <c r="M3688"/>
    </row>
    <row r="3689" spans="1:13" x14ac:dyDescent="0.15">
      <c r="A3689" t="s">
        <v>26</v>
      </c>
      <c r="F3689"/>
      <c r="M3689"/>
    </row>
    <row r="3690" spans="1:13" x14ac:dyDescent="0.15">
      <c r="A3690" t="s">
        <v>26</v>
      </c>
      <c r="F3690"/>
      <c r="M3690"/>
    </row>
    <row r="3691" spans="1:13" x14ac:dyDescent="0.15">
      <c r="A3691" t="s">
        <v>26</v>
      </c>
      <c r="F3691"/>
      <c r="M3691"/>
    </row>
    <row r="3692" spans="1:13" x14ac:dyDescent="0.15">
      <c r="A3692" t="s">
        <v>26</v>
      </c>
      <c r="F3692"/>
      <c r="M3692"/>
    </row>
    <row r="3693" spans="1:13" x14ac:dyDescent="0.15">
      <c r="A3693" t="s">
        <v>26</v>
      </c>
      <c r="F3693"/>
      <c r="M3693"/>
    </row>
    <row r="3694" spans="1:13" x14ac:dyDescent="0.15">
      <c r="A3694" t="s">
        <v>26</v>
      </c>
      <c r="F3694"/>
      <c r="M3694"/>
    </row>
    <row r="3695" spans="1:13" x14ac:dyDescent="0.15">
      <c r="A3695" t="s">
        <v>26</v>
      </c>
      <c r="F3695"/>
      <c r="M3695"/>
    </row>
    <row r="3696" spans="1:13" x14ac:dyDescent="0.15">
      <c r="A3696" t="s">
        <v>26</v>
      </c>
      <c r="F3696"/>
      <c r="M3696"/>
    </row>
    <row r="3697" spans="1:13" x14ac:dyDescent="0.15">
      <c r="A3697" t="s">
        <v>26</v>
      </c>
      <c r="F3697"/>
      <c r="M3697"/>
    </row>
    <row r="3698" spans="1:13" x14ac:dyDescent="0.15">
      <c r="A3698" t="s">
        <v>26</v>
      </c>
      <c r="F3698"/>
      <c r="M3698"/>
    </row>
    <row r="3699" spans="1:13" x14ac:dyDescent="0.15">
      <c r="A3699" t="s">
        <v>26</v>
      </c>
      <c r="F3699"/>
      <c r="M3699"/>
    </row>
    <row r="3700" spans="1:13" x14ac:dyDescent="0.15">
      <c r="A3700" t="s">
        <v>26</v>
      </c>
      <c r="F3700"/>
      <c r="M3700"/>
    </row>
    <row r="3701" spans="1:13" x14ac:dyDescent="0.15">
      <c r="A3701" t="s">
        <v>26</v>
      </c>
      <c r="F3701"/>
      <c r="M3701"/>
    </row>
    <row r="3702" spans="1:13" x14ac:dyDescent="0.15">
      <c r="A3702" t="s">
        <v>26</v>
      </c>
      <c r="F3702"/>
      <c r="M3702"/>
    </row>
    <row r="3703" spans="1:13" x14ac:dyDescent="0.15">
      <c r="A3703" t="s">
        <v>26</v>
      </c>
      <c r="F3703"/>
      <c r="M3703"/>
    </row>
    <row r="3704" spans="1:13" x14ac:dyDescent="0.15">
      <c r="A3704" t="s">
        <v>26</v>
      </c>
      <c r="F3704"/>
      <c r="M3704"/>
    </row>
    <row r="3705" spans="1:13" x14ac:dyDescent="0.15">
      <c r="A3705" t="s">
        <v>26</v>
      </c>
      <c r="F3705"/>
      <c r="M3705"/>
    </row>
    <row r="3706" spans="1:13" x14ac:dyDescent="0.15">
      <c r="A3706" t="s">
        <v>26</v>
      </c>
      <c r="F3706"/>
      <c r="M3706"/>
    </row>
    <row r="3707" spans="1:13" x14ac:dyDescent="0.15">
      <c r="A3707" t="s">
        <v>26</v>
      </c>
      <c r="F3707"/>
      <c r="M3707"/>
    </row>
    <row r="3708" spans="1:13" x14ac:dyDescent="0.15">
      <c r="A3708" t="s">
        <v>26</v>
      </c>
      <c r="F3708"/>
      <c r="M3708"/>
    </row>
    <row r="3709" spans="1:13" x14ac:dyDescent="0.15">
      <c r="A3709" t="s">
        <v>26</v>
      </c>
      <c r="F3709"/>
      <c r="M3709"/>
    </row>
    <row r="3710" spans="1:13" x14ac:dyDescent="0.15">
      <c r="A3710" t="s">
        <v>26</v>
      </c>
      <c r="F3710"/>
      <c r="M3710"/>
    </row>
    <row r="3711" spans="1:13" x14ac:dyDescent="0.15">
      <c r="A3711" t="s">
        <v>26</v>
      </c>
      <c r="F3711"/>
      <c r="M3711"/>
    </row>
    <row r="3712" spans="1:13" x14ac:dyDescent="0.15">
      <c r="A3712" t="s">
        <v>26</v>
      </c>
      <c r="F3712"/>
      <c r="M3712"/>
    </row>
    <row r="3713" spans="1:13" x14ac:dyDescent="0.15">
      <c r="A3713" t="s">
        <v>26</v>
      </c>
      <c r="F3713"/>
      <c r="M3713"/>
    </row>
    <row r="3714" spans="1:13" x14ac:dyDescent="0.15">
      <c r="A3714" t="s">
        <v>26</v>
      </c>
      <c r="F3714"/>
      <c r="M3714"/>
    </row>
    <row r="3715" spans="1:13" x14ac:dyDescent="0.15">
      <c r="A3715" t="s">
        <v>26</v>
      </c>
      <c r="F3715"/>
      <c r="M3715"/>
    </row>
    <row r="3716" spans="1:13" x14ac:dyDescent="0.15">
      <c r="A3716" t="s">
        <v>26</v>
      </c>
      <c r="F3716"/>
      <c r="M3716"/>
    </row>
    <row r="3717" spans="1:13" x14ac:dyDescent="0.15">
      <c r="A3717" t="s">
        <v>26</v>
      </c>
      <c r="F3717"/>
      <c r="M3717"/>
    </row>
    <row r="3718" spans="1:13" x14ac:dyDescent="0.15">
      <c r="A3718" t="s">
        <v>26</v>
      </c>
      <c r="F3718"/>
      <c r="M3718"/>
    </row>
    <row r="3719" spans="1:13" x14ac:dyDescent="0.15">
      <c r="A3719" t="s">
        <v>26</v>
      </c>
      <c r="F3719"/>
      <c r="M3719"/>
    </row>
    <row r="3720" spans="1:13" x14ac:dyDescent="0.15">
      <c r="A3720" t="s">
        <v>26</v>
      </c>
      <c r="F3720"/>
      <c r="M3720"/>
    </row>
    <row r="3721" spans="1:13" x14ac:dyDescent="0.15">
      <c r="A3721" t="s">
        <v>26</v>
      </c>
      <c r="F3721"/>
      <c r="M3721"/>
    </row>
    <row r="3722" spans="1:13" x14ac:dyDescent="0.15">
      <c r="A3722" t="s">
        <v>26</v>
      </c>
      <c r="F3722"/>
      <c r="M3722"/>
    </row>
    <row r="3723" spans="1:13" x14ac:dyDescent="0.15">
      <c r="A3723" t="s">
        <v>26</v>
      </c>
      <c r="F3723"/>
      <c r="M3723"/>
    </row>
    <row r="3724" spans="1:13" x14ac:dyDescent="0.15">
      <c r="A3724" t="s">
        <v>26</v>
      </c>
      <c r="F3724"/>
      <c r="M3724"/>
    </row>
    <row r="3725" spans="1:13" x14ac:dyDescent="0.15">
      <c r="A3725" t="s">
        <v>26</v>
      </c>
      <c r="F3725"/>
      <c r="M3725"/>
    </row>
    <row r="3726" spans="1:13" x14ac:dyDescent="0.15">
      <c r="A3726" t="s">
        <v>26</v>
      </c>
      <c r="F3726"/>
      <c r="M3726"/>
    </row>
    <row r="3727" spans="1:13" x14ac:dyDescent="0.15">
      <c r="A3727" t="s">
        <v>26</v>
      </c>
      <c r="F3727"/>
      <c r="M3727"/>
    </row>
    <row r="3728" spans="1:13" x14ac:dyDescent="0.15">
      <c r="A3728" t="s">
        <v>26</v>
      </c>
      <c r="F3728"/>
      <c r="M3728"/>
    </row>
    <row r="3729" spans="1:13" x14ac:dyDescent="0.15">
      <c r="A3729" t="s">
        <v>26</v>
      </c>
      <c r="F3729"/>
      <c r="M3729"/>
    </row>
    <row r="3730" spans="1:13" x14ac:dyDescent="0.15">
      <c r="A3730" t="s">
        <v>26</v>
      </c>
      <c r="F3730"/>
      <c r="M3730"/>
    </row>
    <row r="3731" spans="1:13" x14ac:dyDescent="0.15">
      <c r="A3731" t="s">
        <v>26</v>
      </c>
      <c r="F3731"/>
      <c r="M3731"/>
    </row>
    <row r="3732" spans="1:13" x14ac:dyDescent="0.15">
      <c r="A3732" t="s">
        <v>26</v>
      </c>
      <c r="F3732"/>
      <c r="M3732"/>
    </row>
    <row r="3733" spans="1:13" x14ac:dyDescent="0.15">
      <c r="A3733" t="s">
        <v>26</v>
      </c>
      <c r="F3733"/>
      <c r="M3733"/>
    </row>
    <row r="3734" spans="1:13" x14ac:dyDescent="0.15">
      <c r="A3734" t="s">
        <v>26</v>
      </c>
      <c r="F3734"/>
      <c r="M3734"/>
    </row>
    <row r="3735" spans="1:13" x14ac:dyDescent="0.15">
      <c r="A3735" t="s">
        <v>26</v>
      </c>
      <c r="F3735"/>
      <c r="M3735"/>
    </row>
    <row r="3736" spans="1:13" x14ac:dyDescent="0.15">
      <c r="A3736" t="s">
        <v>26</v>
      </c>
      <c r="F3736"/>
      <c r="M3736"/>
    </row>
    <row r="3737" spans="1:13" x14ac:dyDescent="0.15">
      <c r="A3737" t="s">
        <v>26</v>
      </c>
      <c r="F3737"/>
      <c r="M3737"/>
    </row>
    <row r="3738" spans="1:13" x14ac:dyDescent="0.15">
      <c r="A3738" t="s">
        <v>26</v>
      </c>
      <c r="F3738"/>
      <c r="M3738"/>
    </row>
    <row r="3739" spans="1:13" x14ac:dyDescent="0.15">
      <c r="A3739" t="s">
        <v>26</v>
      </c>
      <c r="F3739"/>
      <c r="M3739"/>
    </row>
    <row r="3740" spans="1:13" x14ac:dyDescent="0.15">
      <c r="A3740" t="s">
        <v>26</v>
      </c>
      <c r="F3740"/>
      <c r="M3740"/>
    </row>
    <row r="3741" spans="1:13" x14ac:dyDescent="0.15">
      <c r="A3741" t="s">
        <v>26</v>
      </c>
      <c r="F3741"/>
      <c r="M3741"/>
    </row>
    <row r="3742" spans="1:13" x14ac:dyDescent="0.15">
      <c r="A3742" t="s">
        <v>26</v>
      </c>
      <c r="F3742"/>
      <c r="M3742"/>
    </row>
    <row r="3743" spans="1:13" x14ac:dyDescent="0.15">
      <c r="A3743" t="s">
        <v>26</v>
      </c>
      <c r="F3743"/>
      <c r="M3743"/>
    </row>
    <row r="3744" spans="1:13" x14ac:dyDescent="0.15">
      <c r="A3744" t="s">
        <v>26</v>
      </c>
      <c r="F3744"/>
      <c r="M3744"/>
    </row>
    <row r="3745" spans="1:13" x14ac:dyDescent="0.15">
      <c r="A3745" t="s">
        <v>26</v>
      </c>
      <c r="F3745"/>
      <c r="M3745"/>
    </row>
    <row r="3746" spans="1:13" x14ac:dyDescent="0.15">
      <c r="A3746" t="s">
        <v>26</v>
      </c>
      <c r="F3746"/>
      <c r="M3746"/>
    </row>
    <row r="3747" spans="1:13" x14ac:dyDescent="0.15">
      <c r="A3747" t="s">
        <v>26</v>
      </c>
      <c r="F3747"/>
      <c r="M3747"/>
    </row>
    <row r="3748" spans="1:13" x14ac:dyDescent="0.15">
      <c r="A3748" t="s">
        <v>26</v>
      </c>
      <c r="F3748"/>
      <c r="M3748"/>
    </row>
    <row r="3749" spans="1:13" x14ac:dyDescent="0.15">
      <c r="A3749" t="s">
        <v>26</v>
      </c>
      <c r="F3749"/>
      <c r="M3749"/>
    </row>
    <row r="3750" spans="1:13" x14ac:dyDescent="0.15">
      <c r="A3750" t="s">
        <v>26</v>
      </c>
      <c r="F3750"/>
      <c r="M3750"/>
    </row>
    <row r="3751" spans="1:13" x14ac:dyDescent="0.15">
      <c r="A3751" t="s">
        <v>26</v>
      </c>
      <c r="F3751"/>
      <c r="M3751"/>
    </row>
    <row r="3752" spans="1:13" x14ac:dyDescent="0.15">
      <c r="A3752" t="s">
        <v>26</v>
      </c>
      <c r="F3752"/>
      <c r="M3752"/>
    </row>
    <row r="3753" spans="1:13" x14ac:dyDescent="0.15">
      <c r="A3753" t="s">
        <v>26</v>
      </c>
      <c r="F3753"/>
      <c r="M3753"/>
    </row>
    <row r="3754" spans="1:13" x14ac:dyDescent="0.15">
      <c r="A3754" t="s">
        <v>26</v>
      </c>
      <c r="F3754"/>
      <c r="M3754"/>
    </row>
    <row r="3755" spans="1:13" x14ac:dyDescent="0.15">
      <c r="A3755" t="s">
        <v>26</v>
      </c>
      <c r="F3755"/>
      <c r="M3755"/>
    </row>
    <row r="3756" spans="1:13" x14ac:dyDescent="0.15">
      <c r="A3756" t="s">
        <v>26</v>
      </c>
      <c r="F3756"/>
      <c r="M3756"/>
    </row>
    <row r="3757" spans="1:13" x14ac:dyDescent="0.15">
      <c r="A3757" t="s">
        <v>26</v>
      </c>
      <c r="F3757"/>
      <c r="M3757"/>
    </row>
    <row r="3758" spans="1:13" x14ac:dyDescent="0.15">
      <c r="A3758" t="s">
        <v>26</v>
      </c>
      <c r="F3758"/>
      <c r="M3758"/>
    </row>
    <row r="3759" spans="1:13" x14ac:dyDescent="0.15">
      <c r="A3759" t="s">
        <v>26</v>
      </c>
      <c r="F3759"/>
      <c r="M3759"/>
    </row>
    <row r="3760" spans="1:13" x14ac:dyDescent="0.15">
      <c r="A3760" t="s">
        <v>26</v>
      </c>
      <c r="F3760"/>
      <c r="M3760"/>
    </row>
    <row r="3761" spans="1:13" x14ac:dyDescent="0.15">
      <c r="A3761" t="s">
        <v>26</v>
      </c>
      <c r="F3761"/>
      <c r="M3761"/>
    </row>
    <row r="3762" spans="1:13" x14ac:dyDescent="0.15">
      <c r="A3762" t="s">
        <v>26</v>
      </c>
      <c r="F3762"/>
      <c r="M3762"/>
    </row>
    <row r="3763" spans="1:13" x14ac:dyDescent="0.15">
      <c r="A3763" t="s">
        <v>26</v>
      </c>
      <c r="F3763"/>
      <c r="M3763"/>
    </row>
    <row r="3764" spans="1:13" x14ac:dyDescent="0.15">
      <c r="A3764" t="s">
        <v>26</v>
      </c>
      <c r="F3764"/>
      <c r="M3764"/>
    </row>
    <row r="3765" spans="1:13" x14ac:dyDescent="0.15">
      <c r="A3765" t="s">
        <v>26</v>
      </c>
      <c r="F3765"/>
      <c r="M3765"/>
    </row>
    <row r="3766" spans="1:13" x14ac:dyDescent="0.15">
      <c r="A3766" t="s">
        <v>26</v>
      </c>
      <c r="F3766"/>
      <c r="M3766"/>
    </row>
    <row r="3767" spans="1:13" x14ac:dyDescent="0.15">
      <c r="A3767" t="s">
        <v>26</v>
      </c>
      <c r="F3767"/>
      <c r="M3767"/>
    </row>
    <row r="3768" spans="1:13" x14ac:dyDescent="0.15">
      <c r="A3768" t="s">
        <v>26</v>
      </c>
      <c r="F3768"/>
      <c r="M3768"/>
    </row>
    <row r="3769" spans="1:13" x14ac:dyDescent="0.15">
      <c r="A3769" t="s">
        <v>26</v>
      </c>
      <c r="F3769"/>
      <c r="M3769"/>
    </row>
    <row r="3770" spans="1:13" x14ac:dyDescent="0.15">
      <c r="A3770" t="s">
        <v>26</v>
      </c>
      <c r="F3770"/>
      <c r="M3770"/>
    </row>
    <row r="3771" spans="1:13" x14ac:dyDescent="0.15">
      <c r="A3771" t="s">
        <v>26</v>
      </c>
      <c r="F3771"/>
      <c r="M3771"/>
    </row>
    <row r="3772" spans="1:13" x14ac:dyDescent="0.15">
      <c r="A3772" t="s">
        <v>26</v>
      </c>
      <c r="F3772"/>
      <c r="M3772"/>
    </row>
    <row r="3773" spans="1:13" x14ac:dyDescent="0.15">
      <c r="A3773" t="s">
        <v>26</v>
      </c>
      <c r="F3773"/>
      <c r="M3773"/>
    </row>
    <row r="3774" spans="1:13" x14ac:dyDescent="0.15">
      <c r="A3774" t="s">
        <v>26</v>
      </c>
      <c r="F3774"/>
      <c r="M3774"/>
    </row>
    <row r="3775" spans="1:13" x14ac:dyDescent="0.15">
      <c r="A3775" t="s">
        <v>26</v>
      </c>
      <c r="F3775"/>
      <c r="M3775"/>
    </row>
    <row r="3776" spans="1:13" x14ac:dyDescent="0.15">
      <c r="A3776" t="s">
        <v>26</v>
      </c>
      <c r="F3776"/>
      <c r="M3776"/>
    </row>
    <row r="3777" spans="1:13" x14ac:dyDescent="0.15">
      <c r="A3777" t="s">
        <v>26</v>
      </c>
      <c r="F3777"/>
      <c r="M3777"/>
    </row>
    <row r="3778" spans="1:13" x14ac:dyDescent="0.15">
      <c r="A3778" t="s">
        <v>26</v>
      </c>
      <c r="F3778"/>
      <c r="M3778"/>
    </row>
    <row r="3779" spans="1:13" x14ac:dyDescent="0.15">
      <c r="A3779" t="s">
        <v>26</v>
      </c>
      <c r="F3779"/>
      <c r="M3779"/>
    </row>
    <row r="3780" spans="1:13" x14ac:dyDescent="0.15">
      <c r="A3780" t="s">
        <v>26</v>
      </c>
      <c r="F3780"/>
      <c r="M3780"/>
    </row>
    <row r="3781" spans="1:13" x14ac:dyDescent="0.15">
      <c r="A3781" t="s">
        <v>26</v>
      </c>
      <c r="F3781"/>
      <c r="M3781"/>
    </row>
    <row r="3782" spans="1:13" x14ac:dyDescent="0.15">
      <c r="A3782" t="s">
        <v>26</v>
      </c>
      <c r="F3782"/>
      <c r="M3782"/>
    </row>
    <row r="3783" spans="1:13" x14ac:dyDescent="0.15">
      <c r="A3783" t="s">
        <v>26</v>
      </c>
      <c r="F3783"/>
      <c r="M3783"/>
    </row>
    <row r="3784" spans="1:13" x14ac:dyDescent="0.15">
      <c r="A3784" t="s">
        <v>26</v>
      </c>
      <c r="F3784"/>
      <c r="M3784"/>
    </row>
    <row r="3785" spans="1:13" x14ac:dyDescent="0.15">
      <c r="A3785" t="s">
        <v>26</v>
      </c>
      <c r="F3785"/>
      <c r="M3785"/>
    </row>
    <row r="3786" spans="1:13" x14ac:dyDescent="0.15">
      <c r="A3786" t="s">
        <v>26</v>
      </c>
      <c r="F3786"/>
      <c r="M3786"/>
    </row>
    <row r="3787" spans="1:13" x14ac:dyDescent="0.15">
      <c r="A3787" t="s">
        <v>26</v>
      </c>
      <c r="F3787"/>
      <c r="M3787"/>
    </row>
    <row r="3788" spans="1:13" x14ac:dyDescent="0.15">
      <c r="A3788" t="s">
        <v>26</v>
      </c>
      <c r="F3788"/>
      <c r="M3788"/>
    </row>
    <row r="3789" spans="1:13" x14ac:dyDescent="0.15">
      <c r="A3789" t="s">
        <v>26</v>
      </c>
      <c r="F3789"/>
      <c r="M3789"/>
    </row>
    <row r="3790" spans="1:13" x14ac:dyDescent="0.15">
      <c r="A3790" t="s">
        <v>26</v>
      </c>
      <c r="F3790"/>
      <c r="M3790"/>
    </row>
    <row r="3791" spans="1:13" x14ac:dyDescent="0.15">
      <c r="A3791" t="s">
        <v>26</v>
      </c>
      <c r="F3791"/>
      <c r="M3791"/>
    </row>
    <row r="3792" spans="1:13" x14ac:dyDescent="0.15">
      <c r="A3792" t="s">
        <v>26</v>
      </c>
      <c r="F3792"/>
      <c r="M3792"/>
    </row>
    <row r="3793" spans="1:13" x14ac:dyDescent="0.15">
      <c r="A3793" t="s">
        <v>26</v>
      </c>
      <c r="F3793"/>
      <c r="M3793"/>
    </row>
    <row r="3794" spans="1:13" x14ac:dyDescent="0.15">
      <c r="A3794" t="s">
        <v>26</v>
      </c>
      <c r="F3794"/>
      <c r="M3794"/>
    </row>
    <row r="3795" spans="1:13" x14ac:dyDescent="0.15">
      <c r="A3795" t="s">
        <v>26</v>
      </c>
      <c r="F3795"/>
      <c r="M3795"/>
    </row>
    <row r="3796" spans="1:13" x14ac:dyDescent="0.15">
      <c r="A3796" t="s">
        <v>26</v>
      </c>
      <c r="F3796"/>
      <c r="M3796"/>
    </row>
    <row r="3797" spans="1:13" x14ac:dyDescent="0.15">
      <c r="A3797" t="s">
        <v>26</v>
      </c>
      <c r="F3797"/>
      <c r="M3797"/>
    </row>
    <row r="3798" spans="1:13" x14ac:dyDescent="0.15">
      <c r="A3798" t="s">
        <v>26</v>
      </c>
      <c r="F3798"/>
      <c r="M3798"/>
    </row>
    <row r="3799" spans="1:13" x14ac:dyDescent="0.15">
      <c r="A3799" t="s">
        <v>26</v>
      </c>
      <c r="F3799"/>
      <c r="M3799"/>
    </row>
    <row r="3800" spans="1:13" x14ac:dyDescent="0.15">
      <c r="A3800" t="s">
        <v>26</v>
      </c>
      <c r="F3800"/>
      <c r="M3800"/>
    </row>
    <row r="3801" spans="1:13" x14ac:dyDescent="0.15">
      <c r="A3801" t="s">
        <v>26</v>
      </c>
      <c r="F3801"/>
      <c r="M3801"/>
    </row>
    <row r="3802" spans="1:13" x14ac:dyDescent="0.15">
      <c r="A3802" t="s">
        <v>26</v>
      </c>
      <c r="F3802"/>
      <c r="M3802"/>
    </row>
    <row r="3803" spans="1:13" x14ac:dyDescent="0.15">
      <c r="A3803" t="s">
        <v>26</v>
      </c>
      <c r="F3803"/>
      <c r="M3803"/>
    </row>
    <row r="3804" spans="1:13" x14ac:dyDescent="0.15">
      <c r="A3804" t="s">
        <v>26</v>
      </c>
      <c r="F3804"/>
      <c r="M3804"/>
    </row>
    <row r="3805" spans="1:13" x14ac:dyDescent="0.15">
      <c r="A3805" t="s">
        <v>26</v>
      </c>
      <c r="F3805"/>
      <c r="M3805"/>
    </row>
    <row r="3806" spans="1:13" x14ac:dyDescent="0.15">
      <c r="A3806" t="s">
        <v>26</v>
      </c>
      <c r="F3806"/>
      <c r="M3806"/>
    </row>
    <row r="3807" spans="1:13" x14ac:dyDescent="0.15">
      <c r="A3807" t="s">
        <v>26</v>
      </c>
      <c r="F3807"/>
      <c r="M3807"/>
    </row>
    <row r="3808" spans="1:13" x14ac:dyDescent="0.15">
      <c r="A3808" t="s">
        <v>26</v>
      </c>
      <c r="F3808"/>
      <c r="M3808"/>
    </row>
    <row r="3809" spans="1:13" x14ac:dyDescent="0.15">
      <c r="A3809" t="s">
        <v>26</v>
      </c>
      <c r="F3809"/>
      <c r="M3809"/>
    </row>
    <row r="3810" spans="1:13" x14ac:dyDescent="0.15">
      <c r="A3810" t="s">
        <v>26</v>
      </c>
      <c r="F3810"/>
      <c r="M3810"/>
    </row>
    <row r="3811" spans="1:13" x14ac:dyDescent="0.15">
      <c r="A3811" t="s">
        <v>26</v>
      </c>
      <c r="F3811"/>
      <c r="M3811"/>
    </row>
    <row r="3812" spans="1:13" x14ac:dyDescent="0.15">
      <c r="A3812" t="s">
        <v>26</v>
      </c>
      <c r="F3812"/>
      <c r="M3812"/>
    </row>
    <row r="3813" spans="1:13" x14ac:dyDescent="0.15">
      <c r="A3813" t="s">
        <v>26</v>
      </c>
      <c r="F3813"/>
      <c r="M3813"/>
    </row>
    <row r="3814" spans="1:13" x14ac:dyDescent="0.15">
      <c r="A3814" t="s">
        <v>26</v>
      </c>
      <c r="F3814"/>
      <c r="M3814"/>
    </row>
    <row r="3815" spans="1:13" x14ac:dyDescent="0.15">
      <c r="A3815" t="s">
        <v>26</v>
      </c>
      <c r="F3815"/>
      <c r="M3815"/>
    </row>
    <row r="3816" spans="1:13" x14ac:dyDescent="0.15">
      <c r="A3816" t="s">
        <v>26</v>
      </c>
      <c r="F3816"/>
      <c r="M3816"/>
    </row>
    <row r="3817" spans="1:13" x14ac:dyDescent="0.15">
      <c r="A3817" t="s">
        <v>26</v>
      </c>
      <c r="F3817"/>
      <c r="M3817"/>
    </row>
    <row r="3818" spans="1:13" x14ac:dyDescent="0.15">
      <c r="A3818" t="s">
        <v>26</v>
      </c>
      <c r="F3818"/>
      <c r="M3818"/>
    </row>
    <row r="3819" spans="1:13" x14ac:dyDescent="0.15">
      <c r="A3819" t="s">
        <v>26</v>
      </c>
      <c r="F3819"/>
      <c r="M3819"/>
    </row>
    <row r="3820" spans="1:13" x14ac:dyDescent="0.15">
      <c r="A3820" t="s">
        <v>26</v>
      </c>
      <c r="F3820"/>
      <c r="M3820"/>
    </row>
    <row r="3821" spans="1:13" x14ac:dyDescent="0.15">
      <c r="A3821" t="s">
        <v>26</v>
      </c>
      <c r="F3821"/>
      <c r="M3821"/>
    </row>
    <row r="3822" spans="1:13" x14ac:dyDescent="0.15">
      <c r="A3822" t="s">
        <v>26</v>
      </c>
      <c r="F3822"/>
      <c r="M3822"/>
    </row>
    <row r="3823" spans="1:13" x14ac:dyDescent="0.15">
      <c r="A3823" t="s">
        <v>26</v>
      </c>
      <c r="F3823"/>
      <c r="M3823"/>
    </row>
    <row r="3824" spans="1:13" x14ac:dyDescent="0.15">
      <c r="A3824" t="s">
        <v>26</v>
      </c>
      <c r="F3824"/>
      <c r="M3824"/>
    </row>
    <row r="3825" spans="1:13" x14ac:dyDescent="0.15">
      <c r="A3825" t="s">
        <v>26</v>
      </c>
      <c r="F3825"/>
      <c r="M3825"/>
    </row>
    <row r="3826" spans="1:13" x14ac:dyDescent="0.15">
      <c r="A3826" t="s">
        <v>26</v>
      </c>
      <c r="F3826"/>
      <c r="M3826"/>
    </row>
    <row r="3827" spans="1:13" x14ac:dyDescent="0.15">
      <c r="A3827" t="s">
        <v>26</v>
      </c>
      <c r="F3827"/>
      <c r="M3827"/>
    </row>
    <row r="3828" spans="1:13" x14ac:dyDescent="0.15">
      <c r="A3828" t="s">
        <v>26</v>
      </c>
      <c r="F3828"/>
      <c r="M3828"/>
    </row>
    <row r="3829" spans="1:13" x14ac:dyDescent="0.15">
      <c r="A3829" t="s">
        <v>26</v>
      </c>
      <c r="F3829"/>
      <c r="M3829"/>
    </row>
    <row r="3830" spans="1:13" x14ac:dyDescent="0.15">
      <c r="A3830" t="s">
        <v>26</v>
      </c>
      <c r="F3830"/>
      <c r="M3830"/>
    </row>
    <row r="3831" spans="1:13" x14ac:dyDescent="0.15">
      <c r="A3831" t="s">
        <v>26</v>
      </c>
      <c r="F3831"/>
      <c r="M3831"/>
    </row>
    <row r="3832" spans="1:13" x14ac:dyDescent="0.15">
      <c r="A3832" t="s">
        <v>26</v>
      </c>
      <c r="F3832"/>
      <c r="M3832"/>
    </row>
    <row r="3833" spans="1:13" x14ac:dyDescent="0.15">
      <c r="A3833" t="s">
        <v>26</v>
      </c>
      <c r="F3833"/>
      <c r="M3833"/>
    </row>
    <row r="3834" spans="1:13" x14ac:dyDescent="0.15">
      <c r="A3834" t="s">
        <v>26</v>
      </c>
      <c r="F3834"/>
      <c r="M3834"/>
    </row>
    <row r="3835" spans="1:13" x14ac:dyDescent="0.15">
      <c r="A3835" t="s">
        <v>26</v>
      </c>
      <c r="F3835"/>
      <c r="M3835"/>
    </row>
    <row r="3836" spans="1:13" x14ac:dyDescent="0.15">
      <c r="A3836" t="s">
        <v>26</v>
      </c>
      <c r="F3836"/>
      <c r="M3836"/>
    </row>
    <row r="3837" spans="1:13" x14ac:dyDescent="0.15">
      <c r="A3837" t="s">
        <v>26</v>
      </c>
      <c r="F3837"/>
      <c r="M3837"/>
    </row>
    <row r="3838" spans="1:13" x14ac:dyDescent="0.15">
      <c r="A3838" t="s">
        <v>26</v>
      </c>
      <c r="F3838"/>
      <c r="M3838"/>
    </row>
    <row r="3839" spans="1:13" x14ac:dyDescent="0.15">
      <c r="A3839" t="s">
        <v>26</v>
      </c>
      <c r="F3839"/>
      <c r="M3839"/>
    </row>
    <row r="3840" spans="1:13" x14ac:dyDescent="0.15">
      <c r="A3840" t="s">
        <v>26</v>
      </c>
      <c r="F3840"/>
      <c r="M3840"/>
    </row>
    <row r="3841" spans="1:13" x14ac:dyDescent="0.15">
      <c r="A3841" t="s">
        <v>26</v>
      </c>
      <c r="F3841"/>
      <c r="M3841"/>
    </row>
    <row r="3842" spans="1:13" x14ac:dyDescent="0.15">
      <c r="A3842" t="s">
        <v>26</v>
      </c>
      <c r="F3842"/>
      <c r="M3842"/>
    </row>
    <row r="3843" spans="1:13" x14ac:dyDescent="0.15">
      <c r="A3843" t="s">
        <v>26</v>
      </c>
      <c r="F3843"/>
      <c r="M3843"/>
    </row>
    <row r="3844" spans="1:13" x14ac:dyDescent="0.15">
      <c r="A3844" t="s">
        <v>26</v>
      </c>
      <c r="F3844"/>
      <c r="M3844"/>
    </row>
    <row r="3845" spans="1:13" x14ac:dyDescent="0.15">
      <c r="A3845" t="s">
        <v>26</v>
      </c>
      <c r="F3845"/>
      <c r="M3845"/>
    </row>
    <row r="3846" spans="1:13" x14ac:dyDescent="0.15">
      <c r="A3846" t="s">
        <v>26</v>
      </c>
      <c r="F3846"/>
      <c r="M3846"/>
    </row>
    <row r="3847" spans="1:13" x14ac:dyDescent="0.15">
      <c r="A3847" t="s">
        <v>26</v>
      </c>
      <c r="F3847"/>
      <c r="M3847"/>
    </row>
    <row r="3848" spans="1:13" x14ac:dyDescent="0.15">
      <c r="A3848" t="s">
        <v>26</v>
      </c>
      <c r="F3848"/>
      <c r="M3848"/>
    </row>
    <row r="3849" spans="1:13" x14ac:dyDescent="0.15">
      <c r="A3849" t="s">
        <v>26</v>
      </c>
      <c r="F3849"/>
      <c r="M3849"/>
    </row>
    <row r="3850" spans="1:13" x14ac:dyDescent="0.15">
      <c r="A3850" t="s">
        <v>26</v>
      </c>
      <c r="F3850"/>
      <c r="M3850"/>
    </row>
    <row r="3851" spans="1:13" x14ac:dyDescent="0.15">
      <c r="A3851" t="s">
        <v>26</v>
      </c>
      <c r="F3851"/>
      <c r="M3851"/>
    </row>
    <row r="3852" spans="1:13" x14ac:dyDescent="0.15">
      <c r="A3852" t="s">
        <v>26</v>
      </c>
      <c r="F3852"/>
      <c r="M3852"/>
    </row>
    <row r="3853" spans="1:13" x14ac:dyDescent="0.15">
      <c r="A3853" t="s">
        <v>26</v>
      </c>
      <c r="F3853"/>
      <c r="M3853"/>
    </row>
    <row r="3854" spans="1:13" x14ac:dyDescent="0.15">
      <c r="A3854" t="s">
        <v>26</v>
      </c>
      <c r="F3854"/>
      <c r="M3854"/>
    </row>
    <row r="3855" spans="1:13" x14ac:dyDescent="0.15">
      <c r="A3855" t="s">
        <v>26</v>
      </c>
      <c r="F3855"/>
      <c r="M3855"/>
    </row>
    <row r="3856" spans="1:13" x14ac:dyDescent="0.15">
      <c r="A3856" t="s">
        <v>26</v>
      </c>
      <c r="F3856"/>
      <c r="M3856"/>
    </row>
    <row r="3857" spans="1:13" x14ac:dyDescent="0.15">
      <c r="A3857" t="s">
        <v>26</v>
      </c>
      <c r="F3857"/>
      <c r="M3857"/>
    </row>
    <row r="3858" spans="1:13" x14ac:dyDescent="0.15">
      <c r="A3858" t="s">
        <v>26</v>
      </c>
      <c r="F3858"/>
      <c r="M3858"/>
    </row>
    <row r="3859" spans="1:13" x14ac:dyDescent="0.15">
      <c r="A3859" t="s">
        <v>26</v>
      </c>
      <c r="F3859"/>
      <c r="M3859"/>
    </row>
    <row r="3860" spans="1:13" x14ac:dyDescent="0.15">
      <c r="A3860" t="s">
        <v>26</v>
      </c>
      <c r="F3860"/>
      <c r="M3860"/>
    </row>
    <row r="3861" spans="1:13" x14ac:dyDescent="0.15">
      <c r="A3861" t="s">
        <v>26</v>
      </c>
      <c r="F3861"/>
      <c r="M3861"/>
    </row>
    <row r="3862" spans="1:13" x14ac:dyDescent="0.15">
      <c r="A3862" t="s">
        <v>26</v>
      </c>
      <c r="F3862"/>
      <c r="M3862"/>
    </row>
    <row r="3863" spans="1:13" x14ac:dyDescent="0.15">
      <c r="A3863" t="s">
        <v>26</v>
      </c>
      <c r="F3863"/>
      <c r="M3863"/>
    </row>
    <row r="3864" spans="1:13" x14ac:dyDescent="0.15">
      <c r="A3864" t="s">
        <v>26</v>
      </c>
      <c r="F3864"/>
      <c r="M3864"/>
    </row>
    <row r="3865" spans="1:13" x14ac:dyDescent="0.15">
      <c r="A3865" t="s">
        <v>26</v>
      </c>
      <c r="F3865"/>
      <c r="M3865"/>
    </row>
    <row r="3866" spans="1:13" x14ac:dyDescent="0.15">
      <c r="A3866" t="s">
        <v>26</v>
      </c>
      <c r="F3866"/>
      <c r="M3866"/>
    </row>
    <row r="3867" spans="1:13" x14ac:dyDescent="0.15">
      <c r="A3867" t="s">
        <v>26</v>
      </c>
      <c r="F3867"/>
      <c r="M3867"/>
    </row>
    <row r="3868" spans="1:13" x14ac:dyDescent="0.15">
      <c r="A3868" t="s">
        <v>26</v>
      </c>
      <c r="F3868"/>
      <c r="M3868"/>
    </row>
    <row r="3869" spans="1:13" x14ac:dyDescent="0.15">
      <c r="A3869" t="s">
        <v>26</v>
      </c>
      <c r="F3869"/>
      <c r="M3869"/>
    </row>
    <row r="3870" spans="1:13" x14ac:dyDescent="0.15">
      <c r="A3870" t="s">
        <v>26</v>
      </c>
      <c r="F3870"/>
      <c r="M3870"/>
    </row>
    <row r="3871" spans="1:13" x14ac:dyDescent="0.15">
      <c r="A3871" t="s">
        <v>26</v>
      </c>
      <c r="F3871"/>
      <c r="M3871"/>
    </row>
    <row r="3872" spans="1:13" x14ac:dyDescent="0.15">
      <c r="A3872" t="s">
        <v>26</v>
      </c>
      <c r="F3872"/>
      <c r="M3872"/>
    </row>
    <row r="3873" spans="1:13" x14ac:dyDescent="0.15">
      <c r="A3873" t="s">
        <v>26</v>
      </c>
      <c r="F3873"/>
      <c r="M3873"/>
    </row>
    <row r="3874" spans="1:13" x14ac:dyDescent="0.15">
      <c r="A3874" t="s">
        <v>26</v>
      </c>
      <c r="F3874"/>
      <c r="M3874"/>
    </row>
    <row r="3875" spans="1:13" x14ac:dyDescent="0.15">
      <c r="A3875" t="s">
        <v>26</v>
      </c>
      <c r="F3875"/>
      <c r="M3875"/>
    </row>
    <row r="3876" spans="1:13" x14ac:dyDescent="0.15">
      <c r="A3876" t="s">
        <v>26</v>
      </c>
      <c r="F3876"/>
      <c r="M3876"/>
    </row>
    <row r="3877" spans="1:13" x14ac:dyDescent="0.15">
      <c r="A3877" t="s">
        <v>26</v>
      </c>
      <c r="F3877"/>
      <c r="M3877"/>
    </row>
    <row r="3878" spans="1:13" x14ac:dyDescent="0.15">
      <c r="A3878" t="s">
        <v>26</v>
      </c>
      <c r="F3878"/>
      <c r="M3878"/>
    </row>
    <row r="3879" spans="1:13" x14ac:dyDescent="0.15">
      <c r="A3879" t="s">
        <v>26</v>
      </c>
      <c r="F3879"/>
      <c r="M3879"/>
    </row>
    <row r="3880" spans="1:13" x14ac:dyDescent="0.15">
      <c r="A3880" t="s">
        <v>26</v>
      </c>
      <c r="F3880"/>
      <c r="M3880"/>
    </row>
    <row r="3881" spans="1:13" x14ac:dyDescent="0.15">
      <c r="A3881" t="s">
        <v>26</v>
      </c>
      <c r="F3881"/>
      <c r="M3881"/>
    </row>
    <row r="3882" spans="1:13" x14ac:dyDescent="0.15">
      <c r="A3882" t="s">
        <v>26</v>
      </c>
      <c r="F3882"/>
      <c r="M3882"/>
    </row>
    <row r="3883" spans="1:13" x14ac:dyDescent="0.15">
      <c r="A3883" t="s">
        <v>26</v>
      </c>
      <c r="F3883"/>
      <c r="M3883"/>
    </row>
    <row r="3884" spans="1:13" x14ac:dyDescent="0.15">
      <c r="A3884" t="s">
        <v>26</v>
      </c>
      <c r="F3884"/>
      <c r="M3884"/>
    </row>
    <row r="3885" spans="1:13" x14ac:dyDescent="0.15">
      <c r="A3885" t="s">
        <v>26</v>
      </c>
      <c r="F3885"/>
      <c r="M3885"/>
    </row>
    <row r="3886" spans="1:13" x14ac:dyDescent="0.15">
      <c r="A3886" t="s">
        <v>26</v>
      </c>
      <c r="F3886"/>
      <c r="M3886"/>
    </row>
    <row r="3887" spans="1:13" x14ac:dyDescent="0.15">
      <c r="A3887" t="s">
        <v>26</v>
      </c>
      <c r="F3887"/>
      <c r="M3887"/>
    </row>
    <row r="3888" spans="1:13" x14ac:dyDescent="0.15">
      <c r="A3888" t="s">
        <v>26</v>
      </c>
      <c r="F3888"/>
      <c r="M3888"/>
    </row>
    <row r="3889" spans="1:13" x14ac:dyDescent="0.15">
      <c r="A3889" t="s">
        <v>26</v>
      </c>
      <c r="F3889"/>
      <c r="M3889"/>
    </row>
    <row r="3890" spans="1:13" x14ac:dyDescent="0.15">
      <c r="A3890" t="s">
        <v>26</v>
      </c>
      <c r="F3890"/>
      <c r="M3890"/>
    </row>
    <row r="3891" spans="1:13" x14ac:dyDescent="0.15">
      <c r="A3891" t="s">
        <v>26</v>
      </c>
      <c r="F3891"/>
      <c r="M3891"/>
    </row>
    <row r="3892" spans="1:13" x14ac:dyDescent="0.15">
      <c r="A3892" t="s">
        <v>26</v>
      </c>
      <c r="F3892"/>
      <c r="M3892"/>
    </row>
    <row r="3893" spans="1:13" x14ac:dyDescent="0.15">
      <c r="A3893" t="s">
        <v>26</v>
      </c>
      <c r="F3893"/>
      <c r="M3893"/>
    </row>
    <row r="3894" spans="1:13" x14ac:dyDescent="0.15">
      <c r="A3894" t="s">
        <v>26</v>
      </c>
      <c r="F3894"/>
      <c r="M3894"/>
    </row>
    <row r="3895" spans="1:13" x14ac:dyDescent="0.15">
      <c r="A3895" t="s">
        <v>26</v>
      </c>
      <c r="F3895"/>
      <c r="M3895"/>
    </row>
    <row r="3896" spans="1:13" x14ac:dyDescent="0.15">
      <c r="A3896" t="s">
        <v>26</v>
      </c>
      <c r="F3896"/>
      <c r="M3896"/>
    </row>
    <row r="3897" spans="1:13" x14ac:dyDescent="0.15">
      <c r="A3897" t="s">
        <v>26</v>
      </c>
      <c r="F3897"/>
      <c r="M3897"/>
    </row>
    <row r="3898" spans="1:13" x14ac:dyDescent="0.15">
      <c r="A3898" t="s">
        <v>26</v>
      </c>
      <c r="F3898"/>
      <c r="M3898"/>
    </row>
    <row r="3899" spans="1:13" x14ac:dyDescent="0.15">
      <c r="A3899" t="s">
        <v>26</v>
      </c>
      <c r="F3899"/>
      <c r="M3899"/>
    </row>
    <row r="3900" spans="1:13" x14ac:dyDescent="0.15">
      <c r="A3900" t="s">
        <v>26</v>
      </c>
      <c r="F3900"/>
      <c r="M3900"/>
    </row>
    <row r="3901" spans="1:13" x14ac:dyDescent="0.15">
      <c r="A3901" t="s">
        <v>26</v>
      </c>
      <c r="F3901"/>
      <c r="M3901"/>
    </row>
    <row r="3902" spans="1:13" x14ac:dyDescent="0.15">
      <c r="A3902" t="s">
        <v>26</v>
      </c>
      <c r="F3902"/>
      <c r="M3902"/>
    </row>
    <row r="3903" spans="1:13" x14ac:dyDescent="0.15">
      <c r="A3903" t="s">
        <v>26</v>
      </c>
      <c r="F3903"/>
      <c r="M3903"/>
    </row>
    <row r="3904" spans="1:13" x14ac:dyDescent="0.15">
      <c r="A3904" t="s">
        <v>26</v>
      </c>
      <c r="F3904"/>
      <c r="M3904"/>
    </row>
    <row r="3905" spans="1:13" x14ac:dyDescent="0.15">
      <c r="A3905" t="s">
        <v>26</v>
      </c>
      <c r="F3905"/>
      <c r="M3905"/>
    </row>
    <row r="3906" spans="1:13" x14ac:dyDescent="0.15">
      <c r="A3906" t="s">
        <v>26</v>
      </c>
      <c r="F3906"/>
      <c r="M3906"/>
    </row>
    <row r="3907" spans="1:13" x14ac:dyDescent="0.15">
      <c r="A3907" t="s">
        <v>26</v>
      </c>
      <c r="F3907"/>
      <c r="M3907"/>
    </row>
    <row r="3908" spans="1:13" x14ac:dyDescent="0.15">
      <c r="A3908" t="s">
        <v>26</v>
      </c>
      <c r="F3908"/>
      <c r="M3908"/>
    </row>
    <row r="3909" spans="1:13" x14ac:dyDescent="0.15">
      <c r="A3909" t="s">
        <v>26</v>
      </c>
      <c r="F3909"/>
      <c r="M3909"/>
    </row>
    <row r="3910" spans="1:13" x14ac:dyDescent="0.15">
      <c r="A3910" t="s">
        <v>26</v>
      </c>
      <c r="F3910"/>
      <c r="M3910"/>
    </row>
    <row r="3911" spans="1:13" x14ac:dyDescent="0.15">
      <c r="A3911" t="s">
        <v>26</v>
      </c>
      <c r="F3911"/>
      <c r="M3911"/>
    </row>
    <row r="3912" spans="1:13" x14ac:dyDescent="0.15">
      <c r="A3912" t="s">
        <v>26</v>
      </c>
      <c r="F3912"/>
      <c r="M3912"/>
    </row>
    <row r="3913" spans="1:13" x14ac:dyDescent="0.15">
      <c r="A3913" t="s">
        <v>26</v>
      </c>
      <c r="F3913"/>
      <c r="M3913"/>
    </row>
    <row r="3914" spans="1:13" x14ac:dyDescent="0.15">
      <c r="A3914" t="s">
        <v>26</v>
      </c>
      <c r="F3914"/>
      <c r="M3914"/>
    </row>
    <row r="3915" spans="1:13" x14ac:dyDescent="0.15">
      <c r="A3915" t="s">
        <v>26</v>
      </c>
      <c r="F3915"/>
      <c r="M3915"/>
    </row>
    <row r="3916" spans="1:13" x14ac:dyDescent="0.15">
      <c r="A3916" t="s">
        <v>26</v>
      </c>
      <c r="F3916"/>
      <c r="M3916"/>
    </row>
    <row r="3917" spans="1:13" x14ac:dyDescent="0.15">
      <c r="A3917" t="s">
        <v>26</v>
      </c>
      <c r="F3917"/>
      <c r="M3917"/>
    </row>
    <row r="3918" spans="1:13" x14ac:dyDescent="0.15">
      <c r="A3918" t="s">
        <v>26</v>
      </c>
      <c r="F3918"/>
      <c r="M3918"/>
    </row>
    <row r="3919" spans="1:13" x14ac:dyDescent="0.15">
      <c r="A3919" t="s">
        <v>26</v>
      </c>
      <c r="F3919"/>
      <c r="M3919"/>
    </row>
    <row r="3920" spans="1:13" x14ac:dyDescent="0.15">
      <c r="A3920" t="s">
        <v>26</v>
      </c>
      <c r="F3920"/>
      <c r="M3920"/>
    </row>
    <row r="3921" spans="1:13" x14ac:dyDescent="0.15">
      <c r="A3921" t="s">
        <v>26</v>
      </c>
      <c r="F3921"/>
      <c r="M3921"/>
    </row>
    <row r="3922" spans="1:13" x14ac:dyDescent="0.15">
      <c r="A3922" t="s">
        <v>26</v>
      </c>
      <c r="F3922"/>
      <c r="M3922"/>
    </row>
    <row r="3923" spans="1:13" x14ac:dyDescent="0.15">
      <c r="A3923" t="s">
        <v>26</v>
      </c>
      <c r="F3923"/>
      <c r="M3923"/>
    </row>
    <row r="3924" spans="1:13" x14ac:dyDescent="0.15">
      <c r="A3924" t="s">
        <v>26</v>
      </c>
      <c r="F3924"/>
      <c r="M3924"/>
    </row>
    <row r="3925" spans="1:13" x14ac:dyDescent="0.15">
      <c r="A3925" t="s">
        <v>26</v>
      </c>
      <c r="F3925"/>
      <c r="M3925"/>
    </row>
    <row r="3926" spans="1:13" x14ac:dyDescent="0.15">
      <c r="A3926" t="s">
        <v>26</v>
      </c>
      <c r="F3926"/>
      <c r="M3926"/>
    </row>
    <row r="3927" spans="1:13" x14ac:dyDescent="0.15">
      <c r="A3927" t="s">
        <v>26</v>
      </c>
      <c r="F3927"/>
      <c r="M3927"/>
    </row>
    <row r="3928" spans="1:13" x14ac:dyDescent="0.15">
      <c r="A3928" t="s">
        <v>26</v>
      </c>
      <c r="F3928"/>
      <c r="M3928"/>
    </row>
    <row r="3929" spans="1:13" x14ac:dyDescent="0.15">
      <c r="A3929" t="s">
        <v>26</v>
      </c>
      <c r="F3929"/>
      <c r="M3929"/>
    </row>
    <row r="3930" spans="1:13" x14ac:dyDescent="0.15">
      <c r="A3930" t="s">
        <v>26</v>
      </c>
      <c r="F3930"/>
      <c r="M3930"/>
    </row>
    <row r="3931" spans="1:13" x14ac:dyDescent="0.15">
      <c r="A3931" t="s">
        <v>26</v>
      </c>
      <c r="F3931"/>
      <c r="M3931"/>
    </row>
    <row r="3932" spans="1:13" x14ac:dyDescent="0.15">
      <c r="A3932" t="s">
        <v>26</v>
      </c>
      <c r="F3932"/>
      <c r="M3932"/>
    </row>
    <row r="3933" spans="1:13" x14ac:dyDescent="0.15">
      <c r="A3933" t="s">
        <v>26</v>
      </c>
      <c r="F3933"/>
      <c r="M3933"/>
    </row>
    <row r="3934" spans="1:13" x14ac:dyDescent="0.15">
      <c r="A3934" t="s">
        <v>26</v>
      </c>
      <c r="F3934"/>
      <c r="M3934"/>
    </row>
    <row r="3935" spans="1:13" x14ac:dyDescent="0.15">
      <c r="A3935" t="s">
        <v>26</v>
      </c>
      <c r="F3935"/>
      <c r="M3935"/>
    </row>
    <row r="3936" spans="1:13" x14ac:dyDescent="0.15">
      <c r="A3936" t="s">
        <v>26</v>
      </c>
      <c r="F3936"/>
      <c r="M3936"/>
    </row>
    <row r="3937" spans="1:13" x14ac:dyDescent="0.15">
      <c r="A3937" t="s">
        <v>26</v>
      </c>
      <c r="F3937"/>
      <c r="M3937"/>
    </row>
    <row r="3938" spans="1:13" x14ac:dyDescent="0.15">
      <c r="A3938" t="s">
        <v>26</v>
      </c>
      <c r="F3938"/>
      <c r="M3938"/>
    </row>
    <row r="3939" spans="1:13" x14ac:dyDescent="0.15">
      <c r="A3939" t="s">
        <v>26</v>
      </c>
      <c r="F3939"/>
      <c r="M3939"/>
    </row>
    <row r="3940" spans="1:13" x14ac:dyDescent="0.15">
      <c r="A3940" t="s">
        <v>26</v>
      </c>
      <c r="F3940"/>
      <c r="M3940"/>
    </row>
    <row r="3941" spans="1:13" x14ac:dyDescent="0.15">
      <c r="A3941" t="s">
        <v>26</v>
      </c>
      <c r="F3941"/>
      <c r="M3941"/>
    </row>
    <row r="3942" spans="1:13" x14ac:dyDescent="0.15">
      <c r="A3942" t="s">
        <v>26</v>
      </c>
      <c r="F3942"/>
      <c r="M3942"/>
    </row>
    <row r="3943" spans="1:13" x14ac:dyDescent="0.15">
      <c r="A3943" t="s">
        <v>26</v>
      </c>
      <c r="F3943"/>
      <c r="M3943"/>
    </row>
    <row r="3944" spans="1:13" x14ac:dyDescent="0.15">
      <c r="A3944" t="s">
        <v>26</v>
      </c>
      <c r="F3944"/>
      <c r="M3944"/>
    </row>
    <row r="3945" spans="1:13" x14ac:dyDescent="0.15">
      <c r="A3945" t="s">
        <v>26</v>
      </c>
      <c r="F3945"/>
      <c r="M3945"/>
    </row>
    <row r="3946" spans="1:13" x14ac:dyDescent="0.15">
      <c r="A3946" t="s">
        <v>26</v>
      </c>
      <c r="F3946"/>
      <c r="M3946"/>
    </row>
    <row r="3947" spans="1:13" x14ac:dyDescent="0.15">
      <c r="A3947" t="s">
        <v>26</v>
      </c>
      <c r="F3947"/>
      <c r="M3947"/>
    </row>
    <row r="3948" spans="1:13" x14ac:dyDescent="0.15">
      <c r="A3948" t="s">
        <v>26</v>
      </c>
      <c r="F3948"/>
      <c r="M3948"/>
    </row>
    <row r="3949" spans="1:13" x14ac:dyDescent="0.15">
      <c r="A3949" t="s">
        <v>26</v>
      </c>
      <c r="F3949"/>
      <c r="M3949"/>
    </row>
    <row r="3950" spans="1:13" x14ac:dyDescent="0.15">
      <c r="A3950" t="s">
        <v>26</v>
      </c>
      <c r="F3950"/>
      <c r="M3950"/>
    </row>
    <row r="3951" spans="1:13" x14ac:dyDescent="0.15">
      <c r="A3951" t="s">
        <v>26</v>
      </c>
      <c r="F3951"/>
      <c r="M3951"/>
    </row>
    <row r="3952" spans="1:13" x14ac:dyDescent="0.15">
      <c r="A3952" t="s">
        <v>26</v>
      </c>
      <c r="F3952"/>
      <c r="M3952"/>
    </row>
    <row r="3953" spans="1:13" x14ac:dyDescent="0.15">
      <c r="A3953" t="s">
        <v>26</v>
      </c>
      <c r="F3953"/>
      <c r="M3953"/>
    </row>
    <row r="3954" spans="1:13" x14ac:dyDescent="0.15">
      <c r="A3954" t="s">
        <v>26</v>
      </c>
      <c r="F3954"/>
      <c r="M3954"/>
    </row>
    <row r="3955" spans="1:13" x14ac:dyDescent="0.15">
      <c r="A3955" t="s">
        <v>26</v>
      </c>
      <c r="F3955"/>
      <c r="M3955"/>
    </row>
    <row r="3956" spans="1:13" x14ac:dyDescent="0.15">
      <c r="A3956" t="s">
        <v>26</v>
      </c>
      <c r="F3956"/>
      <c r="M3956"/>
    </row>
    <row r="3957" spans="1:13" x14ac:dyDescent="0.15">
      <c r="A3957" t="s">
        <v>26</v>
      </c>
      <c r="F3957"/>
      <c r="M3957"/>
    </row>
    <row r="3958" spans="1:13" x14ac:dyDescent="0.15">
      <c r="A3958" t="s">
        <v>26</v>
      </c>
      <c r="F3958"/>
      <c r="M3958"/>
    </row>
    <row r="3959" spans="1:13" x14ac:dyDescent="0.15">
      <c r="A3959" t="s">
        <v>26</v>
      </c>
      <c r="F3959"/>
      <c r="M3959"/>
    </row>
    <row r="3960" spans="1:13" x14ac:dyDescent="0.15">
      <c r="A3960" t="s">
        <v>26</v>
      </c>
      <c r="F3960"/>
      <c r="M3960"/>
    </row>
    <row r="3961" spans="1:13" x14ac:dyDescent="0.15">
      <c r="A3961" t="s">
        <v>26</v>
      </c>
      <c r="F3961"/>
      <c r="M3961"/>
    </row>
    <row r="3962" spans="1:13" x14ac:dyDescent="0.15">
      <c r="A3962" t="s">
        <v>26</v>
      </c>
      <c r="F3962"/>
      <c r="M3962"/>
    </row>
    <row r="3963" spans="1:13" x14ac:dyDescent="0.15">
      <c r="A3963" t="s">
        <v>26</v>
      </c>
      <c r="F3963"/>
      <c r="M3963"/>
    </row>
    <row r="3964" spans="1:13" x14ac:dyDescent="0.15">
      <c r="A3964" t="s">
        <v>26</v>
      </c>
      <c r="F3964"/>
      <c r="M3964"/>
    </row>
    <row r="3965" spans="1:13" x14ac:dyDescent="0.15">
      <c r="A3965" t="s">
        <v>26</v>
      </c>
      <c r="F3965"/>
      <c r="M3965"/>
    </row>
    <row r="3966" spans="1:13" x14ac:dyDescent="0.15">
      <c r="A3966" t="s">
        <v>26</v>
      </c>
      <c r="F3966"/>
      <c r="M3966"/>
    </row>
    <row r="3967" spans="1:13" x14ac:dyDescent="0.15">
      <c r="A3967" t="s">
        <v>26</v>
      </c>
      <c r="F3967"/>
      <c r="M3967"/>
    </row>
    <row r="3968" spans="1:13" x14ac:dyDescent="0.15">
      <c r="A3968" t="s">
        <v>26</v>
      </c>
      <c r="F3968"/>
      <c r="M3968"/>
    </row>
    <row r="3969" spans="1:13" x14ac:dyDescent="0.15">
      <c r="A3969" t="s">
        <v>26</v>
      </c>
      <c r="F3969"/>
      <c r="M3969"/>
    </row>
    <row r="3970" spans="1:13" x14ac:dyDescent="0.15">
      <c r="A3970" t="s">
        <v>26</v>
      </c>
      <c r="F3970"/>
      <c r="M3970"/>
    </row>
    <row r="3971" spans="1:13" x14ac:dyDescent="0.15">
      <c r="A3971" t="s">
        <v>26</v>
      </c>
      <c r="F3971"/>
      <c r="M3971"/>
    </row>
    <row r="3972" spans="1:13" x14ac:dyDescent="0.15">
      <c r="A3972" t="s">
        <v>26</v>
      </c>
      <c r="F3972"/>
      <c r="M3972"/>
    </row>
    <row r="3973" spans="1:13" x14ac:dyDescent="0.15">
      <c r="A3973" t="s">
        <v>26</v>
      </c>
      <c r="F3973"/>
      <c r="M3973"/>
    </row>
    <row r="3974" spans="1:13" x14ac:dyDescent="0.15">
      <c r="A3974" t="s">
        <v>26</v>
      </c>
      <c r="F3974"/>
      <c r="M3974"/>
    </row>
    <row r="3975" spans="1:13" x14ac:dyDescent="0.15">
      <c r="A3975" t="s">
        <v>26</v>
      </c>
      <c r="F3975"/>
      <c r="M3975"/>
    </row>
    <row r="3976" spans="1:13" x14ac:dyDescent="0.15">
      <c r="A3976" t="s">
        <v>26</v>
      </c>
      <c r="F3976"/>
      <c r="M3976"/>
    </row>
    <row r="3977" spans="1:13" x14ac:dyDescent="0.15">
      <c r="A3977" t="s">
        <v>26</v>
      </c>
      <c r="F3977"/>
      <c r="M3977"/>
    </row>
    <row r="3978" spans="1:13" x14ac:dyDescent="0.15">
      <c r="A3978" t="s">
        <v>26</v>
      </c>
      <c r="F3978"/>
      <c r="M3978"/>
    </row>
    <row r="3979" spans="1:13" x14ac:dyDescent="0.15">
      <c r="A3979" t="s">
        <v>26</v>
      </c>
      <c r="F3979"/>
      <c r="M3979"/>
    </row>
    <row r="3980" spans="1:13" x14ac:dyDescent="0.15">
      <c r="A3980" t="s">
        <v>26</v>
      </c>
      <c r="F3980"/>
      <c r="M3980"/>
    </row>
    <row r="3981" spans="1:13" x14ac:dyDescent="0.15">
      <c r="A3981" t="s">
        <v>26</v>
      </c>
      <c r="F3981"/>
      <c r="M3981"/>
    </row>
    <row r="3982" spans="1:13" x14ac:dyDescent="0.15">
      <c r="A3982" t="s">
        <v>26</v>
      </c>
      <c r="F3982"/>
      <c r="M3982"/>
    </row>
    <row r="3983" spans="1:13" x14ac:dyDescent="0.15">
      <c r="A3983" t="s">
        <v>26</v>
      </c>
      <c r="F3983"/>
      <c r="M3983"/>
    </row>
    <row r="3984" spans="1:13" x14ac:dyDescent="0.15">
      <c r="A3984" t="s">
        <v>26</v>
      </c>
      <c r="F3984"/>
      <c r="M3984"/>
    </row>
    <row r="3985" spans="1:13" x14ac:dyDescent="0.15">
      <c r="A3985" t="s">
        <v>26</v>
      </c>
      <c r="F3985"/>
      <c r="M3985"/>
    </row>
    <row r="3986" spans="1:13" x14ac:dyDescent="0.15">
      <c r="A3986" t="s">
        <v>26</v>
      </c>
      <c r="F3986"/>
      <c r="M3986"/>
    </row>
    <row r="3987" spans="1:13" x14ac:dyDescent="0.15">
      <c r="A3987" t="s">
        <v>26</v>
      </c>
      <c r="F3987"/>
      <c r="M3987"/>
    </row>
    <row r="3988" spans="1:13" x14ac:dyDescent="0.15">
      <c r="A3988" t="s">
        <v>26</v>
      </c>
      <c r="F3988"/>
      <c r="M3988"/>
    </row>
    <row r="3989" spans="1:13" x14ac:dyDescent="0.15">
      <c r="A3989" t="s">
        <v>26</v>
      </c>
      <c r="F3989"/>
      <c r="M3989"/>
    </row>
    <row r="3990" spans="1:13" x14ac:dyDescent="0.15">
      <c r="A3990" t="s">
        <v>26</v>
      </c>
      <c r="F3990"/>
      <c r="M3990"/>
    </row>
    <row r="3991" spans="1:13" x14ac:dyDescent="0.15">
      <c r="A3991" t="s">
        <v>26</v>
      </c>
      <c r="F3991"/>
      <c r="M3991"/>
    </row>
    <row r="3992" spans="1:13" x14ac:dyDescent="0.15">
      <c r="A3992" t="s">
        <v>26</v>
      </c>
      <c r="F3992"/>
      <c r="M3992"/>
    </row>
    <row r="3993" spans="1:13" x14ac:dyDescent="0.15">
      <c r="A3993" t="s">
        <v>26</v>
      </c>
      <c r="F3993"/>
      <c r="M3993"/>
    </row>
    <row r="3994" spans="1:13" x14ac:dyDescent="0.15">
      <c r="A3994" t="s">
        <v>26</v>
      </c>
      <c r="F3994"/>
      <c r="M3994"/>
    </row>
    <row r="3995" spans="1:13" x14ac:dyDescent="0.15">
      <c r="A3995" t="s">
        <v>26</v>
      </c>
      <c r="F3995"/>
      <c r="M3995"/>
    </row>
    <row r="3996" spans="1:13" x14ac:dyDescent="0.15">
      <c r="A3996" t="s">
        <v>26</v>
      </c>
      <c r="F3996"/>
      <c r="M3996"/>
    </row>
    <row r="3997" spans="1:13" x14ac:dyDescent="0.15">
      <c r="A3997" t="s">
        <v>26</v>
      </c>
      <c r="F3997"/>
      <c r="M3997"/>
    </row>
    <row r="3998" spans="1:13" x14ac:dyDescent="0.15">
      <c r="A3998" t="s">
        <v>26</v>
      </c>
      <c r="F3998"/>
      <c r="M3998"/>
    </row>
    <row r="3999" spans="1:13" x14ac:dyDescent="0.15">
      <c r="A3999" t="s">
        <v>26</v>
      </c>
      <c r="F3999"/>
      <c r="M3999"/>
    </row>
    <row r="4000" spans="1:13" x14ac:dyDescent="0.15">
      <c r="A4000" t="s">
        <v>26</v>
      </c>
      <c r="F4000"/>
      <c r="M4000"/>
    </row>
    <row r="4001" spans="1:13" x14ac:dyDescent="0.15">
      <c r="A4001" t="s">
        <v>26</v>
      </c>
      <c r="F4001"/>
      <c r="M4001"/>
    </row>
    <row r="4002" spans="1:13" x14ac:dyDescent="0.15">
      <c r="A4002" t="s">
        <v>26</v>
      </c>
      <c r="F4002"/>
      <c r="M4002"/>
    </row>
    <row r="4003" spans="1:13" x14ac:dyDescent="0.15">
      <c r="A4003" t="s">
        <v>26</v>
      </c>
      <c r="F4003"/>
      <c r="M4003"/>
    </row>
    <row r="4004" spans="1:13" x14ac:dyDescent="0.15">
      <c r="A4004" t="s">
        <v>26</v>
      </c>
      <c r="F4004"/>
      <c r="M4004"/>
    </row>
    <row r="4005" spans="1:13" x14ac:dyDescent="0.15">
      <c r="A4005" t="s">
        <v>26</v>
      </c>
      <c r="F4005"/>
      <c r="M4005"/>
    </row>
    <row r="4006" spans="1:13" x14ac:dyDescent="0.15">
      <c r="A4006" t="s">
        <v>26</v>
      </c>
      <c r="F4006"/>
      <c r="M4006"/>
    </row>
    <row r="4007" spans="1:13" x14ac:dyDescent="0.15">
      <c r="A4007" t="s">
        <v>26</v>
      </c>
      <c r="F4007"/>
      <c r="M4007"/>
    </row>
    <row r="4008" spans="1:13" x14ac:dyDescent="0.15">
      <c r="A4008" t="s">
        <v>26</v>
      </c>
      <c r="F4008"/>
      <c r="M4008"/>
    </row>
    <row r="4009" spans="1:13" x14ac:dyDescent="0.15">
      <c r="A4009" t="s">
        <v>26</v>
      </c>
      <c r="F4009"/>
      <c r="M4009"/>
    </row>
    <row r="4010" spans="1:13" x14ac:dyDescent="0.15">
      <c r="A4010" t="s">
        <v>26</v>
      </c>
      <c r="F4010"/>
      <c r="M4010"/>
    </row>
    <row r="4011" spans="1:13" x14ac:dyDescent="0.15">
      <c r="A4011" t="s">
        <v>26</v>
      </c>
      <c r="F4011"/>
      <c r="M4011"/>
    </row>
    <row r="4012" spans="1:13" x14ac:dyDescent="0.15">
      <c r="A4012" t="s">
        <v>26</v>
      </c>
      <c r="F4012"/>
      <c r="M4012"/>
    </row>
    <row r="4013" spans="1:13" x14ac:dyDescent="0.15">
      <c r="A4013" t="s">
        <v>26</v>
      </c>
      <c r="F4013"/>
      <c r="M4013"/>
    </row>
    <row r="4014" spans="1:13" x14ac:dyDescent="0.15">
      <c r="A4014" t="s">
        <v>26</v>
      </c>
      <c r="F4014"/>
      <c r="M4014"/>
    </row>
    <row r="4015" spans="1:13" x14ac:dyDescent="0.15">
      <c r="A4015" t="s">
        <v>26</v>
      </c>
      <c r="F4015"/>
      <c r="M4015"/>
    </row>
    <row r="4016" spans="1:13" x14ac:dyDescent="0.15">
      <c r="A4016" t="s">
        <v>26</v>
      </c>
      <c r="F4016"/>
      <c r="M4016"/>
    </row>
    <row r="4017" spans="1:13" x14ac:dyDescent="0.15">
      <c r="A4017" t="s">
        <v>26</v>
      </c>
      <c r="F4017"/>
      <c r="M4017"/>
    </row>
    <row r="4018" spans="1:13" x14ac:dyDescent="0.15">
      <c r="A4018" t="s">
        <v>26</v>
      </c>
      <c r="F4018"/>
      <c r="M4018"/>
    </row>
    <row r="4019" spans="1:13" x14ac:dyDescent="0.15">
      <c r="A4019" t="s">
        <v>26</v>
      </c>
      <c r="F4019"/>
      <c r="M4019"/>
    </row>
    <row r="4020" spans="1:13" x14ac:dyDescent="0.15">
      <c r="A4020" t="s">
        <v>26</v>
      </c>
      <c r="F4020"/>
      <c r="M4020"/>
    </row>
    <row r="4021" spans="1:13" x14ac:dyDescent="0.15">
      <c r="A4021" t="s">
        <v>26</v>
      </c>
      <c r="F4021"/>
      <c r="M4021"/>
    </row>
    <row r="4022" spans="1:13" x14ac:dyDescent="0.15">
      <c r="A4022" t="s">
        <v>26</v>
      </c>
      <c r="F4022"/>
      <c r="M4022"/>
    </row>
    <row r="4023" spans="1:13" x14ac:dyDescent="0.15">
      <c r="A4023" t="s">
        <v>26</v>
      </c>
      <c r="F4023"/>
      <c r="M4023"/>
    </row>
    <row r="4024" spans="1:13" x14ac:dyDescent="0.15">
      <c r="A4024" t="s">
        <v>26</v>
      </c>
      <c r="F4024"/>
      <c r="M4024"/>
    </row>
    <row r="4025" spans="1:13" x14ac:dyDescent="0.15">
      <c r="A4025" t="s">
        <v>26</v>
      </c>
      <c r="F4025"/>
      <c r="M4025"/>
    </row>
    <row r="4026" spans="1:13" x14ac:dyDescent="0.15">
      <c r="A4026" t="s">
        <v>26</v>
      </c>
      <c r="F4026"/>
      <c r="M4026"/>
    </row>
    <row r="4027" spans="1:13" x14ac:dyDescent="0.15">
      <c r="A4027" t="s">
        <v>26</v>
      </c>
      <c r="F4027"/>
      <c r="M4027"/>
    </row>
    <row r="4028" spans="1:13" x14ac:dyDescent="0.15">
      <c r="A4028" t="s">
        <v>26</v>
      </c>
      <c r="F4028"/>
      <c r="M4028"/>
    </row>
    <row r="4029" spans="1:13" x14ac:dyDescent="0.15">
      <c r="A4029" t="s">
        <v>26</v>
      </c>
      <c r="F4029"/>
      <c r="M4029"/>
    </row>
    <row r="4030" spans="1:13" x14ac:dyDescent="0.15">
      <c r="A4030" t="s">
        <v>26</v>
      </c>
      <c r="F4030"/>
      <c r="M4030"/>
    </row>
    <row r="4031" spans="1:13" x14ac:dyDescent="0.15">
      <c r="A4031" t="s">
        <v>26</v>
      </c>
      <c r="F4031"/>
      <c r="M4031"/>
    </row>
    <row r="4032" spans="1:13" x14ac:dyDescent="0.15">
      <c r="A4032" t="s">
        <v>26</v>
      </c>
      <c r="F4032"/>
      <c r="M4032"/>
    </row>
    <row r="4033" spans="1:13" x14ac:dyDescent="0.15">
      <c r="A4033" t="s">
        <v>26</v>
      </c>
      <c r="F4033"/>
      <c r="M4033"/>
    </row>
    <row r="4034" spans="1:13" x14ac:dyDescent="0.15">
      <c r="A4034" t="s">
        <v>26</v>
      </c>
      <c r="F4034"/>
      <c r="M4034"/>
    </row>
    <row r="4035" spans="1:13" x14ac:dyDescent="0.15">
      <c r="A4035" t="s">
        <v>26</v>
      </c>
      <c r="F4035"/>
      <c r="M4035"/>
    </row>
    <row r="4036" spans="1:13" x14ac:dyDescent="0.15">
      <c r="A4036" t="s">
        <v>26</v>
      </c>
      <c r="F4036"/>
      <c r="M4036"/>
    </row>
    <row r="4037" spans="1:13" x14ac:dyDescent="0.15">
      <c r="A4037" t="s">
        <v>26</v>
      </c>
      <c r="F4037"/>
      <c r="M4037"/>
    </row>
    <row r="4038" spans="1:13" x14ac:dyDescent="0.15">
      <c r="A4038" t="s">
        <v>26</v>
      </c>
      <c r="F4038"/>
      <c r="M4038"/>
    </row>
    <row r="4039" spans="1:13" x14ac:dyDescent="0.15">
      <c r="A4039" t="s">
        <v>26</v>
      </c>
      <c r="F4039"/>
      <c r="M4039"/>
    </row>
    <row r="4040" spans="1:13" x14ac:dyDescent="0.15">
      <c r="A4040" t="s">
        <v>26</v>
      </c>
      <c r="F4040"/>
      <c r="M4040"/>
    </row>
    <row r="4041" spans="1:13" x14ac:dyDescent="0.15">
      <c r="A4041" t="s">
        <v>26</v>
      </c>
      <c r="F4041"/>
      <c r="M4041"/>
    </row>
    <row r="4042" spans="1:13" x14ac:dyDescent="0.15">
      <c r="A4042" t="s">
        <v>26</v>
      </c>
      <c r="F4042"/>
      <c r="M4042"/>
    </row>
    <row r="4043" spans="1:13" x14ac:dyDescent="0.15">
      <c r="A4043" t="s">
        <v>26</v>
      </c>
      <c r="F4043"/>
      <c r="M4043"/>
    </row>
    <row r="4044" spans="1:13" x14ac:dyDescent="0.15">
      <c r="A4044" t="s">
        <v>26</v>
      </c>
      <c r="F4044"/>
      <c r="M4044"/>
    </row>
    <row r="4045" spans="1:13" x14ac:dyDescent="0.15">
      <c r="A4045" t="s">
        <v>26</v>
      </c>
      <c r="F4045"/>
      <c r="M4045"/>
    </row>
    <row r="4046" spans="1:13" x14ac:dyDescent="0.15">
      <c r="A4046" t="s">
        <v>26</v>
      </c>
      <c r="F4046"/>
      <c r="M4046"/>
    </row>
    <row r="4047" spans="1:13" x14ac:dyDescent="0.15">
      <c r="A4047" t="s">
        <v>26</v>
      </c>
      <c r="F4047"/>
      <c r="M4047"/>
    </row>
    <row r="4048" spans="1:13" x14ac:dyDescent="0.15">
      <c r="A4048" t="s">
        <v>26</v>
      </c>
      <c r="F4048"/>
      <c r="M4048"/>
    </row>
    <row r="4049" spans="1:13" x14ac:dyDescent="0.15">
      <c r="A4049" t="s">
        <v>26</v>
      </c>
      <c r="F4049"/>
      <c r="M4049"/>
    </row>
    <row r="4050" spans="1:13" x14ac:dyDescent="0.15">
      <c r="A4050" t="s">
        <v>26</v>
      </c>
      <c r="F4050"/>
      <c r="M4050"/>
    </row>
    <row r="4051" spans="1:13" x14ac:dyDescent="0.15">
      <c r="A4051" t="s">
        <v>26</v>
      </c>
      <c r="F4051"/>
      <c r="M4051"/>
    </row>
    <row r="4052" spans="1:13" x14ac:dyDescent="0.15">
      <c r="A4052" t="s">
        <v>26</v>
      </c>
      <c r="F4052"/>
      <c r="M4052"/>
    </row>
    <row r="4053" spans="1:13" x14ac:dyDescent="0.15">
      <c r="A4053" t="s">
        <v>26</v>
      </c>
      <c r="F4053"/>
      <c r="M4053"/>
    </row>
    <row r="4054" spans="1:13" x14ac:dyDescent="0.15">
      <c r="A4054" t="s">
        <v>26</v>
      </c>
      <c r="F4054"/>
      <c r="M4054"/>
    </row>
    <row r="4055" spans="1:13" x14ac:dyDescent="0.15">
      <c r="A4055" t="s">
        <v>26</v>
      </c>
      <c r="F4055"/>
      <c r="M4055"/>
    </row>
    <row r="4056" spans="1:13" x14ac:dyDescent="0.15">
      <c r="A4056" t="s">
        <v>26</v>
      </c>
      <c r="F4056"/>
      <c r="M4056"/>
    </row>
    <row r="4057" spans="1:13" x14ac:dyDescent="0.15">
      <c r="A4057" t="s">
        <v>26</v>
      </c>
      <c r="F4057"/>
      <c r="M4057"/>
    </row>
    <row r="4058" spans="1:13" x14ac:dyDescent="0.15">
      <c r="A4058" t="s">
        <v>26</v>
      </c>
      <c r="F4058"/>
      <c r="M4058"/>
    </row>
    <row r="4059" spans="1:13" x14ac:dyDescent="0.15">
      <c r="A4059" t="s">
        <v>26</v>
      </c>
      <c r="F4059"/>
      <c r="M4059"/>
    </row>
    <row r="4060" spans="1:13" x14ac:dyDescent="0.15">
      <c r="A4060" t="s">
        <v>26</v>
      </c>
      <c r="F4060"/>
      <c r="M4060"/>
    </row>
    <row r="4061" spans="1:13" x14ac:dyDescent="0.15">
      <c r="A4061" t="s">
        <v>26</v>
      </c>
      <c r="F4061"/>
      <c r="M4061"/>
    </row>
    <row r="4062" spans="1:13" x14ac:dyDescent="0.15">
      <c r="A4062" t="s">
        <v>26</v>
      </c>
      <c r="F4062"/>
      <c r="M4062"/>
    </row>
    <row r="4063" spans="1:13" x14ac:dyDescent="0.15">
      <c r="A4063" t="s">
        <v>26</v>
      </c>
      <c r="F4063"/>
      <c r="M4063"/>
    </row>
    <row r="4064" spans="1:13" x14ac:dyDescent="0.15">
      <c r="A4064" t="s">
        <v>26</v>
      </c>
      <c r="F4064"/>
      <c r="M4064"/>
    </row>
    <row r="4065" spans="1:13" x14ac:dyDescent="0.15">
      <c r="A4065" t="s">
        <v>26</v>
      </c>
      <c r="F4065"/>
      <c r="M4065"/>
    </row>
    <row r="4066" spans="1:13" x14ac:dyDescent="0.15">
      <c r="A4066" t="s">
        <v>26</v>
      </c>
      <c r="F4066"/>
      <c r="M4066"/>
    </row>
    <row r="4067" spans="1:13" x14ac:dyDescent="0.15">
      <c r="A4067" t="s">
        <v>26</v>
      </c>
      <c r="F4067"/>
      <c r="M4067"/>
    </row>
    <row r="4068" spans="1:13" x14ac:dyDescent="0.15">
      <c r="A4068" t="s">
        <v>26</v>
      </c>
      <c r="F4068"/>
      <c r="M4068"/>
    </row>
    <row r="4069" spans="1:13" x14ac:dyDescent="0.15">
      <c r="A4069" t="s">
        <v>26</v>
      </c>
      <c r="F4069"/>
      <c r="M4069"/>
    </row>
    <row r="4070" spans="1:13" x14ac:dyDescent="0.15">
      <c r="A4070" t="s">
        <v>26</v>
      </c>
      <c r="F4070"/>
      <c r="M4070"/>
    </row>
    <row r="4071" spans="1:13" x14ac:dyDescent="0.15">
      <c r="A4071" t="s">
        <v>26</v>
      </c>
      <c r="F4071"/>
      <c r="M4071"/>
    </row>
    <row r="4072" spans="1:13" x14ac:dyDescent="0.15">
      <c r="A4072" t="s">
        <v>26</v>
      </c>
      <c r="F4072"/>
      <c r="M4072"/>
    </row>
    <row r="4073" spans="1:13" x14ac:dyDescent="0.15">
      <c r="A4073" t="s">
        <v>26</v>
      </c>
      <c r="F4073"/>
      <c r="M4073"/>
    </row>
    <row r="4074" spans="1:13" x14ac:dyDescent="0.15">
      <c r="A4074" t="s">
        <v>26</v>
      </c>
      <c r="F4074"/>
      <c r="M4074"/>
    </row>
    <row r="4075" spans="1:13" x14ac:dyDescent="0.15">
      <c r="A4075" t="s">
        <v>26</v>
      </c>
      <c r="F4075"/>
      <c r="M4075"/>
    </row>
    <row r="4076" spans="1:13" x14ac:dyDescent="0.15">
      <c r="A4076" t="s">
        <v>26</v>
      </c>
      <c r="F4076"/>
      <c r="M4076"/>
    </row>
    <row r="4077" spans="1:13" x14ac:dyDescent="0.15">
      <c r="A4077" t="s">
        <v>26</v>
      </c>
      <c r="F4077"/>
      <c r="M4077"/>
    </row>
    <row r="4078" spans="1:13" x14ac:dyDescent="0.15">
      <c r="A4078" t="s">
        <v>26</v>
      </c>
      <c r="F4078"/>
      <c r="M4078"/>
    </row>
    <row r="4079" spans="1:13" x14ac:dyDescent="0.15">
      <c r="A4079" t="s">
        <v>26</v>
      </c>
      <c r="F4079"/>
      <c r="M4079"/>
    </row>
    <row r="4080" spans="1:13" x14ac:dyDescent="0.15">
      <c r="A4080" t="s">
        <v>26</v>
      </c>
      <c r="F4080"/>
      <c r="M4080"/>
    </row>
    <row r="4081" spans="1:13" x14ac:dyDescent="0.15">
      <c r="A4081" t="s">
        <v>26</v>
      </c>
      <c r="F4081"/>
      <c r="M4081"/>
    </row>
    <row r="4082" spans="1:13" x14ac:dyDescent="0.15">
      <c r="A4082" t="s">
        <v>26</v>
      </c>
      <c r="F4082"/>
      <c r="M4082"/>
    </row>
    <row r="4083" spans="1:13" x14ac:dyDescent="0.15">
      <c r="A4083" t="s">
        <v>26</v>
      </c>
      <c r="F4083"/>
      <c r="M4083"/>
    </row>
    <row r="4084" spans="1:13" x14ac:dyDescent="0.15">
      <c r="A4084" t="s">
        <v>26</v>
      </c>
      <c r="F4084"/>
      <c r="M4084"/>
    </row>
    <row r="4085" spans="1:13" x14ac:dyDescent="0.15">
      <c r="A4085" t="s">
        <v>26</v>
      </c>
      <c r="F4085"/>
      <c r="M4085"/>
    </row>
    <row r="4086" spans="1:13" x14ac:dyDescent="0.15">
      <c r="A4086" t="s">
        <v>26</v>
      </c>
      <c r="F4086"/>
      <c r="M4086"/>
    </row>
    <row r="4087" spans="1:13" x14ac:dyDescent="0.15">
      <c r="A4087" t="s">
        <v>26</v>
      </c>
      <c r="F4087"/>
      <c r="M4087"/>
    </row>
    <row r="4088" spans="1:13" x14ac:dyDescent="0.15">
      <c r="A4088" t="s">
        <v>26</v>
      </c>
      <c r="F4088"/>
      <c r="M4088"/>
    </row>
    <row r="4089" spans="1:13" x14ac:dyDescent="0.15">
      <c r="A4089" t="s">
        <v>26</v>
      </c>
      <c r="F4089"/>
      <c r="M4089"/>
    </row>
    <row r="4090" spans="1:13" x14ac:dyDescent="0.15">
      <c r="A4090" t="s">
        <v>26</v>
      </c>
      <c r="F4090"/>
      <c r="M4090"/>
    </row>
    <row r="4091" spans="1:13" x14ac:dyDescent="0.15">
      <c r="A4091" t="s">
        <v>26</v>
      </c>
      <c r="F4091"/>
      <c r="M4091"/>
    </row>
    <row r="4092" spans="1:13" x14ac:dyDescent="0.15">
      <c r="A4092" t="s">
        <v>26</v>
      </c>
      <c r="F4092"/>
      <c r="M4092"/>
    </row>
    <row r="4093" spans="1:13" x14ac:dyDescent="0.15">
      <c r="A4093" t="s">
        <v>26</v>
      </c>
      <c r="F4093"/>
      <c r="M4093"/>
    </row>
    <row r="4094" spans="1:13" x14ac:dyDescent="0.15">
      <c r="A4094" t="s">
        <v>26</v>
      </c>
      <c r="F4094"/>
      <c r="M4094"/>
    </row>
    <row r="4095" spans="1:13" x14ac:dyDescent="0.15">
      <c r="A4095" t="s">
        <v>26</v>
      </c>
      <c r="F4095"/>
      <c r="M4095"/>
    </row>
    <row r="4096" spans="1:13" x14ac:dyDescent="0.15">
      <c r="A4096" t="s">
        <v>26</v>
      </c>
      <c r="F4096"/>
      <c r="M4096"/>
    </row>
    <row r="4097" spans="1:13" x14ac:dyDescent="0.15">
      <c r="A4097" t="s">
        <v>26</v>
      </c>
      <c r="F4097"/>
      <c r="M4097"/>
    </row>
    <row r="4098" spans="1:13" x14ac:dyDescent="0.15">
      <c r="A4098" t="s">
        <v>26</v>
      </c>
      <c r="F4098"/>
      <c r="M4098"/>
    </row>
    <row r="4099" spans="1:13" x14ac:dyDescent="0.15">
      <c r="A4099" t="s">
        <v>26</v>
      </c>
      <c r="F4099"/>
      <c r="M4099"/>
    </row>
    <row r="4100" spans="1:13" x14ac:dyDescent="0.15">
      <c r="A4100" t="s">
        <v>26</v>
      </c>
      <c r="F4100"/>
      <c r="M4100"/>
    </row>
    <row r="4101" spans="1:13" x14ac:dyDescent="0.15">
      <c r="A4101" t="s">
        <v>26</v>
      </c>
      <c r="F4101"/>
      <c r="M4101"/>
    </row>
    <row r="4102" spans="1:13" x14ac:dyDescent="0.15">
      <c r="A4102" t="s">
        <v>26</v>
      </c>
      <c r="F4102"/>
      <c r="M4102"/>
    </row>
    <row r="4103" spans="1:13" x14ac:dyDescent="0.15">
      <c r="A4103" t="s">
        <v>26</v>
      </c>
      <c r="F4103"/>
      <c r="M4103"/>
    </row>
    <row r="4104" spans="1:13" x14ac:dyDescent="0.15">
      <c r="A4104" t="s">
        <v>26</v>
      </c>
      <c r="F4104"/>
      <c r="M4104"/>
    </row>
    <row r="4105" spans="1:13" x14ac:dyDescent="0.15">
      <c r="A4105" t="s">
        <v>26</v>
      </c>
      <c r="F4105"/>
      <c r="M4105"/>
    </row>
    <row r="4106" spans="1:13" x14ac:dyDescent="0.15">
      <c r="A4106" t="s">
        <v>26</v>
      </c>
      <c r="F4106"/>
      <c r="M4106"/>
    </row>
    <row r="4107" spans="1:13" x14ac:dyDescent="0.15">
      <c r="A4107" t="s">
        <v>26</v>
      </c>
      <c r="F4107"/>
      <c r="M4107"/>
    </row>
    <row r="4108" spans="1:13" x14ac:dyDescent="0.15">
      <c r="A4108" t="s">
        <v>26</v>
      </c>
      <c r="F4108"/>
      <c r="M4108"/>
    </row>
    <row r="4109" spans="1:13" x14ac:dyDescent="0.15">
      <c r="A4109" t="s">
        <v>26</v>
      </c>
      <c r="F4109"/>
      <c r="M4109"/>
    </row>
    <row r="4110" spans="1:13" x14ac:dyDescent="0.15">
      <c r="A4110" t="s">
        <v>26</v>
      </c>
      <c r="F4110"/>
      <c r="M4110"/>
    </row>
    <row r="4111" spans="1:13" x14ac:dyDescent="0.15">
      <c r="A4111" t="s">
        <v>26</v>
      </c>
      <c r="F4111"/>
      <c r="M4111"/>
    </row>
    <row r="4112" spans="1:13" x14ac:dyDescent="0.15">
      <c r="A4112" t="s">
        <v>26</v>
      </c>
      <c r="F4112"/>
      <c r="M4112"/>
    </row>
    <row r="4113" spans="1:13" x14ac:dyDescent="0.15">
      <c r="A4113" t="s">
        <v>26</v>
      </c>
      <c r="F4113"/>
      <c r="M4113"/>
    </row>
    <row r="4114" spans="1:13" x14ac:dyDescent="0.15">
      <c r="A4114" t="s">
        <v>26</v>
      </c>
      <c r="F4114"/>
      <c r="M4114"/>
    </row>
    <row r="4115" spans="1:13" x14ac:dyDescent="0.15">
      <c r="A4115" t="s">
        <v>26</v>
      </c>
      <c r="F4115"/>
      <c r="M4115"/>
    </row>
    <row r="4116" spans="1:13" x14ac:dyDescent="0.15">
      <c r="A4116" t="s">
        <v>26</v>
      </c>
      <c r="F4116"/>
      <c r="M4116"/>
    </row>
    <row r="4117" spans="1:13" x14ac:dyDescent="0.15">
      <c r="A4117" t="s">
        <v>26</v>
      </c>
      <c r="F4117"/>
      <c r="M4117"/>
    </row>
    <row r="4118" spans="1:13" x14ac:dyDescent="0.15">
      <c r="A4118" t="s">
        <v>26</v>
      </c>
      <c r="F4118"/>
      <c r="M4118"/>
    </row>
    <row r="4119" spans="1:13" x14ac:dyDescent="0.15">
      <c r="A4119" t="s">
        <v>26</v>
      </c>
      <c r="F4119"/>
      <c r="M4119"/>
    </row>
    <row r="4120" spans="1:13" x14ac:dyDescent="0.15">
      <c r="A4120" t="s">
        <v>26</v>
      </c>
      <c r="F4120"/>
      <c r="M4120"/>
    </row>
    <row r="4121" spans="1:13" x14ac:dyDescent="0.15">
      <c r="A4121" t="s">
        <v>26</v>
      </c>
      <c r="F4121"/>
      <c r="M4121"/>
    </row>
    <row r="4122" spans="1:13" x14ac:dyDescent="0.15">
      <c r="A4122" t="s">
        <v>26</v>
      </c>
      <c r="F4122"/>
      <c r="M4122"/>
    </row>
    <row r="4123" spans="1:13" x14ac:dyDescent="0.15">
      <c r="A4123" t="s">
        <v>26</v>
      </c>
      <c r="F4123"/>
      <c r="M4123"/>
    </row>
    <row r="4124" spans="1:13" x14ac:dyDescent="0.15">
      <c r="A4124" t="s">
        <v>26</v>
      </c>
      <c r="F4124"/>
      <c r="M4124"/>
    </row>
    <row r="4125" spans="1:13" x14ac:dyDescent="0.15">
      <c r="A4125" t="s">
        <v>26</v>
      </c>
      <c r="F4125"/>
      <c r="M4125"/>
    </row>
    <row r="4126" spans="1:13" x14ac:dyDescent="0.15">
      <c r="A4126" t="s">
        <v>26</v>
      </c>
      <c r="F4126"/>
      <c r="M4126"/>
    </row>
    <row r="4127" spans="1:13" x14ac:dyDescent="0.15">
      <c r="A4127" t="s">
        <v>26</v>
      </c>
      <c r="F4127"/>
      <c r="M4127"/>
    </row>
    <row r="4128" spans="1:13" x14ac:dyDescent="0.15">
      <c r="A4128" t="s">
        <v>26</v>
      </c>
      <c r="F4128"/>
      <c r="M4128"/>
    </row>
    <row r="4129" spans="1:13" x14ac:dyDescent="0.15">
      <c r="A4129" t="s">
        <v>26</v>
      </c>
      <c r="F4129"/>
      <c r="M4129"/>
    </row>
    <row r="4130" spans="1:13" x14ac:dyDescent="0.15">
      <c r="A4130" t="s">
        <v>26</v>
      </c>
      <c r="F4130"/>
      <c r="M4130"/>
    </row>
    <row r="4131" spans="1:13" x14ac:dyDescent="0.15">
      <c r="A4131" t="s">
        <v>26</v>
      </c>
      <c r="F4131"/>
      <c r="M4131"/>
    </row>
    <row r="4132" spans="1:13" x14ac:dyDescent="0.15">
      <c r="A4132" t="s">
        <v>26</v>
      </c>
      <c r="F4132"/>
      <c r="M4132"/>
    </row>
    <row r="4133" spans="1:13" x14ac:dyDescent="0.15">
      <c r="A4133" t="s">
        <v>26</v>
      </c>
      <c r="F4133"/>
      <c r="M4133"/>
    </row>
    <row r="4134" spans="1:13" x14ac:dyDescent="0.15">
      <c r="A4134" t="s">
        <v>26</v>
      </c>
      <c r="F4134"/>
      <c r="M4134"/>
    </row>
    <row r="4135" spans="1:13" x14ac:dyDescent="0.15">
      <c r="A4135" t="s">
        <v>26</v>
      </c>
      <c r="F4135"/>
      <c r="M4135"/>
    </row>
    <row r="4136" spans="1:13" x14ac:dyDescent="0.15">
      <c r="A4136" t="s">
        <v>26</v>
      </c>
      <c r="F4136"/>
      <c r="M4136"/>
    </row>
    <row r="4137" spans="1:13" x14ac:dyDescent="0.15">
      <c r="A4137" t="s">
        <v>26</v>
      </c>
      <c r="F4137"/>
      <c r="M4137"/>
    </row>
    <row r="4138" spans="1:13" x14ac:dyDescent="0.15">
      <c r="A4138" t="s">
        <v>26</v>
      </c>
      <c r="F4138"/>
      <c r="M4138"/>
    </row>
    <row r="4139" spans="1:13" x14ac:dyDescent="0.15">
      <c r="A4139" t="s">
        <v>26</v>
      </c>
      <c r="F4139"/>
      <c r="M4139"/>
    </row>
    <row r="4140" spans="1:13" x14ac:dyDescent="0.15">
      <c r="A4140" t="s">
        <v>26</v>
      </c>
      <c r="F4140"/>
      <c r="M4140"/>
    </row>
    <row r="4141" spans="1:13" x14ac:dyDescent="0.15">
      <c r="A4141" t="s">
        <v>26</v>
      </c>
      <c r="F4141"/>
      <c r="M4141"/>
    </row>
    <row r="4142" spans="1:13" x14ac:dyDescent="0.15">
      <c r="A4142" t="s">
        <v>26</v>
      </c>
      <c r="F4142"/>
      <c r="M4142"/>
    </row>
    <row r="4143" spans="1:13" x14ac:dyDescent="0.15">
      <c r="A4143" t="s">
        <v>26</v>
      </c>
      <c r="F4143"/>
      <c r="M4143"/>
    </row>
    <row r="4144" spans="1:13" x14ac:dyDescent="0.15">
      <c r="A4144" t="s">
        <v>26</v>
      </c>
      <c r="F4144"/>
      <c r="M4144"/>
    </row>
    <row r="4145" spans="1:13" x14ac:dyDescent="0.15">
      <c r="A4145" t="s">
        <v>26</v>
      </c>
      <c r="F4145"/>
      <c r="M4145"/>
    </row>
    <row r="4146" spans="1:13" x14ac:dyDescent="0.15">
      <c r="A4146" t="s">
        <v>26</v>
      </c>
      <c r="F4146"/>
      <c r="M4146"/>
    </row>
    <row r="4147" spans="1:13" x14ac:dyDescent="0.15">
      <c r="A4147" t="s">
        <v>26</v>
      </c>
      <c r="F4147"/>
      <c r="M4147"/>
    </row>
    <row r="4148" spans="1:13" x14ac:dyDescent="0.15">
      <c r="A4148" t="s">
        <v>26</v>
      </c>
      <c r="F4148"/>
      <c r="M4148"/>
    </row>
    <row r="4149" spans="1:13" x14ac:dyDescent="0.15">
      <c r="A4149" t="s">
        <v>26</v>
      </c>
      <c r="F4149"/>
      <c r="M4149"/>
    </row>
    <row r="4150" spans="1:13" x14ac:dyDescent="0.15">
      <c r="A4150" t="s">
        <v>26</v>
      </c>
      <c r="F4150"/>
      <c r="M4150"/>
    </row>
    <row r="4151" spans="1:13" x14ac:dyDescent="0.15">
      <c r="A4151" t="s">
        <v>26</v>
      </c>
      <c r="F4151"/>
      <c r="M4151"/>
    </row>
    <row r="4152" spans="1:13" x14ac:dyDescent="0.15">
      <c r="A4152" t="s">
        <v>26</v>
      </c>
      <c r="F4152"/>
      <c r="M4152"/>
    </row>
    <row r="4153" spans="1:13" x14ac:dyDescent="0.15">
      <c r="A4153" t="s">
        <v>26</v>
      </c>
      <c r="F4153"/>
      <c r="M4153"/>
    </row>
    <row r="4154" spans="1:13" x14ac:dyDescent="0.15">
      <c r="A4154" t="s">
        <v>26</v>
      </c>
      <c r="F4154"/>
      <c r="M4154"/>
    </row>
    <row r="4155" spans="1:13" x14ac:dyDescent="0.15">
      <c r="A4155" t="s">
        <v>26</v>
      </c>
      <c r="F4155"/>
      <c r="M4155"/>
    </row>
    <row r="4156" spans="1:13" x14ac:dyDescent="0.15">
      <c r="A4156" t="s">
        <v>26</v>
      </c>
      <c r="F4156"/>
      <c r="M4156"/>
    </row>
    <row r="4157" spans="1:13" x14ac:dyDescent="0.15">
      <c r="A4157" t="s">
        <v>26</v>
      </c>
      <c r="F4157"/>
      <c r="M4157"/>
    </row>
    <row r="4158" spans="1:13" x14ac:dyDescent="0.15">
      <c r="A4158" t="s">
        <v>26</v>
      </c>
      <c r="F4158"/>
      <c r="M4158"/>
    </row>
    <row r="4159" spans="1:13" x14ac:dyDescent="0.15">
      <c r="A4159" t="s">
        <v>26</v>
      </c>
      <c r="F4159"/>
      <c r="M4159"/>
    </row>
    <row r="4160" spans="1:13" x14ac:dyDescent="0.15">
      <c r="A4160" t="s">
        <v>26</v>
      </c>
      <c r="F4160"/>
      <c r="M4160"/>
    </row>
    <row r="4161" spans="1:13" x14ac:dyDescent="0.15">
      <c r="A4161" t="s">
        <v>26</v>
      </c>
      <c r="F4161"/>
      <c r="M4161"/>
    </row>
    <row r="4162" spans="1:13" x14ac:dyDescent="0.15">
      <c r="A4162" t="s">
        <v>26</v>
      </c>
      <c r="F4162"/>
      <c r="M4162"/>
    </row>
    <row r="4163" spans="1:13" x14ac:dyDescent="0.15">
      <c r="A4163" t="s">
        <v>26</v>
      </c>
      <c r="F4163"/>
      <c r="M4163"/>
    </row>
    <row r="4164" spans="1:13" x14ac:dyDescent="0.15">
      <c r="A4164" t="s">
        <v>26</v>
      </c>
      <c r="F4164"/>
      <c r="M4164"/>
    </row>
    <row r="4165" spans="1:13" x14ac:dyDescent="0.15">
      <c r="A4165" t="s">
        <v>26</v>
      </c>
      <c r="F4165"/>
      <c r="M4165"/>
    </row>
    <row r="4166" spans="1:13" x14ac:dyDescent="0.15">
      <c r="A4166" t="s">
        <v>26</v>
      </c>
      <c r="F4166"/>
      <c r="M4166"/>
    </row>
    <row r="4167" spans="1:13" x14ac:dyDescent="0.15">
      <c r="A4167" t="s">
        <v>26</v>
      </c>
      <c r="F4167"/>
      <c r="M4167"/>
    </row>
    <row r="4168" spans="1:13" x14ac:dyDescent="0.15">
      <c r="A4168" t="s">
        <v>26</v>
      </c>
      <c r="F4168"/>
      <c r="M4168"/>
    </row>
    <row r="4169" spans="1:13" x14ac:dyDescent="0.15">
      <c r="A4169" t="s">
        <v>26</v>
      </c>
      <c r="F4169"/>
      <c r="M4169"/>
    </row>
    <row r="4170" spans="1:13" x14ac:dyDescent="0.15">
      <c r="A4170" t="s">
        <v>26</v>
      </c>
      <c r="F4170"/>
      <c r="M4170"/>
    </row>
    <row r="4171" spans="1:13" x14ac:dyDescent="0.15">
      <c r="A4171" t="s">
        <v>26</v>
      </c>
      <c r="F4171"/>
      <c r="M4171"/>
    </row>
    <row r="4172" spans="1:13" x14ac:dyDescent="0.15">
      <c r="A4172" t="s">
        <v>26</v>
      </c>
      <c r="F4172"/>
      <c r="M4172"/>
    </row>
    <row r="4173" spans="1:13" x14ac:dyDescent="0.15">
      <c r="A4173" t="s">
        <v>26</v>
      </c>
      <c r="F4173"/>
      <c r="M4173"/>
    </row>
    <row r="4174" spans="1:13" x14ac:dyDescent="0.15">
      <c r="A4174" t="s">
        <v>26</v>
      </c>
      <c r="F4174"/>
      <c r="M4174"/>
    </row>
    <row r="4175" spans="1:13" x14ac:dyDescent="0.15">
      <c r="A4175" t="s">
        <v>26</v>
      </c>
      <c r="F4175"/>
      <c r="M4175"/>
    </row>
    <row r="4176" spans="1:13" x14ac:dyDescent="0.15">
      <c r="A4176" t="s">
        <v>26</v>
      </c>
      <c r="F4176"/>
      <c r="M4176"/>
    </row>
    <row r="4177" spans="1:13" x14ac:dyDescent="0.15">
      <c r="A4177" t="s">
        <v>26</v>
      </c>
      <c r="F4177"/>
      <c r="M4177"/>
    </row>
    <row r="4178" spans="1:13" x14ac:dyDescent="0.15">
      <c r="A4178" t="s">
        <v>26</v>
      </c>
      <c r="F4178"/>
      <c r="M4178"/>
    </row>
    <row r="4179" spans="1:13" x14ac:dyDescent="0.15">
      <c r="A4179" t="s">
        <v>26</v>
      </c>
      <c r="F4179"/>
      <c r="M4179"/>
    </row>
    <row r="4180" spans="1:13" x14ac:dyDescent="0.15">
      <c r="A4180" t="s">
        <v>26</v>
      </c>
      <c r="F4180"/>
      <c r="M4180"/>
    </row>
    <row r="4181" spans="1:13" x14ac:dyDescent="0.15">
      <c r="A4181" t="s">
        <v>26</v>
      </c>
      <c r="F4181"/>
      <c r="M4181"/>
    </row>
    <row r="4182" spans="1:13" x14ac:dyDescent="0.15">
      <c r="A4182" t="s">
        <v>26</v>
      </c>
      <c r="F4182"/>
      <c r="M4182"/>
    </row>
    <row r="4183" spans="1:13" x14ac:dyDescent="0.15">
      <c r="A4183" t="s">
        <v>26</v>
      </c>
      <c r="F4183"/>
      <c r="M4183"/>
    </row>
    <row r="4184" spans="1:13" x14ac:dyDescent="0.15">
      <c r="A4184" t="s">
        <v>26</v>
      </c>
      <c r="F4184"/>
      <c r="M4184"/>
    </row>
    <row r="4185" spans="1:13" x14ac:dyDescent="0.15">
      <c r="A4185" t="s">
        <v>26</v>
      </c>
      <c r="F4185"/>
      <c r="M4185"/>
    </row>
    <row r="4186" spans="1:13" x14ac:dyDescent="0.15">
      <c r="A4186" t="s">
        <v>26</v>
      </c>
      <c r="F4186"/>
      <c r="M4186"/>
    </row>
    <row r="4187" spans="1:13" x14ac:dyDescent="0.15">
      <c r="A4187" t="s">
        <v>26</v>
      </c>
      <c r="F4187"/>
      <c r="M4187"/>
    </row>
    <row r="4188" spans="1:13" x14ac:dyDescent="0.15">
      <c r="A4188" t="s">
        <v>26</v>
      </c>
      <c r="F4188"/>
      <c r="M4188"/>
    </row>
    <row r="4189" spans="1:13" x14ac:dyDescent="0.15">
      <c r="A4189" t="s">
        <v>26</v>
      </c>
      <c r="F4189"/>
      <c r="M4189"/>
    </row>
    <row r="4190" spans="1:13" x14ac:dyDescent="0.15">
      <c r="A4190" t="s">
        <v>26</v>
      </c>
      <c r="F4190"/>
      <c r="M4190"/>
    </row>
    <row r="4191" spans="1:13" x14ac:dyDescent="0.15">
      <c r="A4191" t="s">
        <v>26</v>
      </c>
      <c r="F4191"/>
      <c r="M4191"/>
    </row>
    <row r="4192" spans="1:13" x14ac:dyDescent="0.15">
      <c r="A4192" t="s">
        <v>26</v>
      </c>
      <c r="F4192"/>
      <c r="M4192"/>
    </row>
    <row r="4193" spans="1:13" x14ac:dyDescent="0.15">
      <c r="A4193" t="s">
        <v>26</v>
      </c>
      <c r="F4193"/>
      <c r="M4193"/>
    </row>
    <row r="4194" spans="1:13" x14ac:dyDescent="0.15">
      <c r="A4194" t="s">
        <v>26</v>
      </c>
      <c r="F4194"/>
      <c r="M4194"/>
    </row>
    <row r="4195" spans="1:13" x14ac:dyDescent="0.15">
      <c r="A4195" t="s">
        <v>26</v>
      </c>
      <c r="F4195"/>
      <c r="M4195"/>
    </row>
    <row r="4196" spans="1:13" x14ac:dyDescent="0.15">
      <c r="A4196" t="s">
        <v>26</v>
      </c>
      <c r="F4196"/>
      <c r="M4196"/>
    </row>
    <row r="4197" spans="1:13" x14ac:dyDescent="0.15">
      <c r="A4197" t="s">
        <v>26</v>
      </c>
      <c r="F4197"/>
      <c r="M4197"/>
    </row>
    <row r="4198" spans="1:13" x14ac:dyDescent="0.15">
      <c r="A4198" t="s">
        <v>26</v>
      </c>
      <c r="F4198"/>
      <c r="M4198"/>
    </row>
    <row r="4199" spans="1:13" x14ac:dyDescent="0.15">
      <c r="A4199" t="s">
        <v>26</v>
      </c>
      <c r="F4199"/>
      <c r="M4199"/>
    </row>
    <row r="4200" spans="1:13" x14ac:dyDescent="0.15">
      <c r="A4200" t="s">
        <v>26</v>
      </c>
      <c r="F4200"/>
      <c r="M4200"/>
    </row>
    <row r="4201" spans="1:13" x14ac:dyDescent="0.15">
      <c r="A4201" t="s">
        <v>26</v>
      </c>
      <c r="F4201"/>
      <c r="M4201"/>
    </row>
    <row r="4202" spans="1:13" x14ac:dyDescent="0.15">
      <c r="A4202" t="s">
        <v>26</v>
      </c>
      <c r="F4202"/>
      <c r="M4202"/>
    </row>
    <row r="4203" spans="1:13" x14ac:dyDescent="0.15">
      <c r="A4203" t="s">
        <v>26</v>
      </c>
      <c r="F4203"/>
      <c r="M4203"/>
    </row>
    <row r="4204" spans="1:13" x14ac:dyDescent="0.15">
      <c r="A4204" t="s">
        <v>26</v>
      </c>
      <c r="F4204"/>
      <c r="M4204"/>
    </row>
    <row r="4205" spans="1:13" x14ac:dyDescent="0.15">
      <c r="A4205" t="s">
        <v>26</v>
      </c>
      <c r="F4205"/>
      <c r="M4205"/>
    </row>
    <row r="4206" spans="1:13" x14ac:dyDescent="0.15">
      <c r="A4206" t="s">
        <v>26</v>
      </c>
      <c r="F4206"/>
      <c r="M4206"/>
    </row>
    <row r="4207" spans="1:13" x14ac:dyDescent="0.15">
      <c r="A4207" t="s">
        <v>26</v>
      </c>
      <c r="F4207"/>
      <c r="M4207"/>
    </row>
    <row r="4208" spans="1:13" x14ac:dyDescent="0.15">
      <c r="A4208" t="s">
        <v>26</v>
      </c>
      <c r="F4208"/>
      <c r="M4208"/>
    </row>
    <row r="4209" spans="1:13" x14ac:dyDescent="0.15">
      <c r="A4209" t="s">
        <v>26</v>
      </c>
      <c r="F4209"/>
      <c r="M4209"/>
    </row>
    <row r="4210" spans="1:13" x14ac:dyDescent="0.15">
      <c r="A4210" t="s">
        <v>26</v>
      </c>
      <c r="F4210"/>
      <c r="M4210"/>
    </row>
    <row r="4211" spans="1:13" x14ac:dyDescent="0.15">
      <c r="A4211" t="s">
        <v>26</v>
      </c>
      <c r="F4211"/>
      <c r="M4211"/>
    </row>
    <row r="4212" spans="1:13" x14ac:dyDescent="0.15">
      <c r="A4212" t="s">
        <v>26</v>
      </c>
      <c r="F4212"/>
      <c r="M4212"/>
    </row>
    <row r="4213" spans="1:13" x14ac:dyDescent="0.15">
      <c r="A4213" t="s">
        <v>26</v>
      </c>
      <c r="F4213"/>
      <c r="M4213"/>
    </row>
    <row r="4214" spans="1:13" x14ac:dyDescent="0.15">
      <c r="A4214" t="s">
        <v>26</v>
      </c>
      <c r="F4214"/>
      <c r="M4214"/>
    </row>
    <row r="4215" spans="1:13" x14ac:dyDescent="0.15">
      <c r="A4215" t="s">
        <v>26</v>
      </c>
      <c r="F4215"/>
      <c r="M4215"/>
    </row>
    <row r="4216" spans="1:13" x14ac:dyDescent="0.15">
      <c r="A4216" t="s">
        <v>26</v>
      </c>
      <c r="F4216"/>
      <c r="M4216"/>
    </row>
    <row r="4217" spans="1:13" x14ac:dyDescent="0.15">
      <c r="A4217" t="s">
        <v>26</v>
      </c>
      <c r="F4217"/>
      <c r="M4217"/>
    </row>
    <row r="4218" spans="1:13" x14ac:dyDescent="0.15">
      <c r="A4218" t="s">
        <v>26</v>
      </c>
      <c r="F4218"/>
      <c r="M4218"/>
    </row>
    <row r="4219" spans="1:13" x14ac:dyDescent="0.15">
      <c r="A4219" t="s">
        <v>26</v>
      </c>
      <c r="F4219"/>
      <c r="M4219"/>
    </row>
    <row r="4220" spans="1:13" x14ac:dyDescent="0.15">
      <c r="A4220" t="s">
        <v>26</v>
      </c>
      <c r="F4220"/>
      <c r="M4220"/>
    </row>
    <row r="4221" spans="1:13" x14ac:dyDescent="0.15">
      <c r="A4221" t="s">
        <v>26</v>
      </c>
      <c r="F4221"/>
      <c r="M4221"/>
    </row>
    <row r="4222" spans="1:13" x14ac:dyDescent="0.15">
      <c r="A4222" t="s">
        <v>26</v>
      </c>
      <c r="F4222"/>
      <c r="M4222"/>
    </row>
    <row r="4223" spans="1:13" x14ac:dyDescent="0.15">
      <c r="A4223" t="s">
        <v>26</v>
      </c>
      <c r="F4223"/>
      <c r="M4223"/>
    </row>
    <row r="4224" spans="1:13" x14ac:dyDescent="0.15">
      <c r="A4224" t="s">
        <v>26</v>
      </c>
      <c r="F4224"/>
      <c r="M4224"/>
    </row>
    <row r="4225" spans="1:15" x14ac:dyDescent="0.15">
      <c r="A4225" t="s">
        <v>26</v>
      </c>
      <c r="F4225"/>
      <c r="M4225"/>
    </row>
    <row r="4226" spans="1:15" x14ac:dyDescent="0.15">
      <c r="A4226" t="s">
        <v>26</v>
      </c>
      <c r="F4226"/>
      <c r="M4226"/>
    </row>
    <row r="4227" spans="1:15" x14ac:dyDescent="0.15">
      <c r="A4227" t="s">
        <v>26</v>
      </c>
      <c r="F4227"/>
      <c r="M4227"/>
    </row>
    <row r="4228" spans="1:15" x14ac:dyDescent="0.15">
      <c r="A4228" t="s">
        <v>26</v>
      </c>
      <c r="F4228"/>
      <c r="M4228"/>
    </row>
    <row r="4229" spans="1:15" x14ac:dyDescent="0.15">
      <c r="A4229" t="s">
        <v>26</v>
      </c>
      <c r="F4229"/>
      <c r="M4229"/>
    </row>
    <row r="4230" spans="1:15" x14ac:dyDescent="0.15">
      <c r="A4230" t="s">
        <v>26</v>
      </c>
      <c r="F4230"/>
      <c r="M4230"/>
      <c r="N4230" s="43"/>
      <c r="O4230" s="43"/>
    </row>
    <row r="4231" spans="1:15" x14ac:dyDescent="0.15">
      <c r="A4231" t="s">
        <v>26</v>
      </c>
      <c r="F4231"/>
      <c r="M4231"/>
    </row>
    <row r="4232" spans="1:15" x14ac:dyDescent="0.15">
      <c r="A4232" t="s">
        <v>26</v>
      </c>
      <c r="F4232"/>
      <c r="M4232"/>
    </row>
    <row r="4233" spans="1:15" x14ac:dyDescent="0.15">
      <c r="A4233" t="s">
        <v>26</v>
      </c>
      <c r="F4233"/>
      <c r="M4233"/>
    </row>
    <row r="4234" spans="1:15" x14ac:dyDescent="0.15">
      <c r="A4234" t="s">
        <v>26</v>
      </c>
      <c r="F4234"/>
      <c r="M4234"/>
    </row>
    <row r="4235" spans="1:15" x14ac:dyDescent="0.15">
      <c r="A4235" t="s">
        <v>26</v>
      </c>
      <c r="F4235"/>
      <c r="M4235"/>
    </row>
    <row r="4236" spans="1:15" x14ac:dyDescent="0.15">
      <c r="A4236" t="s">
        <v>26</v>
      </c>
      <c r="F4236"/>
      <c r="M4236"/>
    </row>
    <row r="4237" spans="1:15" x14ac:dyDescent="0.15">
      <c r="A4237" t="s">
        <v>26</v>
      </c>
      <c r="F4237"/>
      <c r="M4237"/>
    </row>
    <row r="4238" spans="1:15" x14ac:dyDescent="0.15">
      <c r="A4238" t="s">
        <v>26</v>
      </c>
      <c r="F4238"/>
      <c r="M4238"/>
    </row>
    <row r="4239" spans="1:15" x14ac:dyDescent="0.15">
      <c r="A4239" t="s">
        <v>26</v>
      </c>
      <c r="F4239"/>
      <c r="M4239"/>
    </row>
    <row r="4240" spans="1:15" x14ac:dyDescent="0.15">
      <c r="A4240" t="s">
        <v>26</v>
      </c>
      <c r="F4240"/>
      <c r="M4240"/>
    </row>
    <row r="4241" spans="1:13" x14ac:dyDescent="0.15">
      <c r="A4241" t="s">
        <v>26</v>
      </c>
      <c r="F4241"/>
      <c r="M4241"/>
    </row>
    <row r="4242" spans="1:13" x14ac:dyDescent="0.15">
      <c r="A4242" t="s">
        <v>26</v>
      </c>
      <c r="F4242"/>
      <c r="M4242"/>
    </row>
    <row r="4243" spans="1:13" x14ac:dyDescent="0.15">
      <c r="A4243" t="s">
        <v>26</v>
      </c>
      <c r="F4243"/>
      <c r="M4243"/>
    </row>
    <row r="4244" spans="1:13" x14ac:dyDescent="0.15">
      <c r="A4244" t="s">
        <v>26</v>
      </c>
      <c r="F4244"/>
      <c r="M4244"/>
    </row>
    <row r="4245" spans="1:13" x14ac:dyDescent="0.15">
      <c r="A4245" t="s">
        <v>26</v>
      </c>
      <c r="F4245"/>
      <c r="M4245"/>
    </row>
    <row r="4246" spans="1:13" x14ac:dyDescent="0.15">
      <c r="A4246" t="s">
        <v>26</v>
      </c>
      <c r="F4246"/>
      <c r="M4246"/>
    </row>
    <row r="4247" spans="1:13" x14ac:dyDescent="0.15">
      <c r="A4247" t="s">
        <v>26</v>
      </c>
      <c r="F4247"/>
      <c r="M4247"/>
    </row>
    <row r="4248" spans="1:13" x14ac:dyDescent="0.15">
      <c r="A4248" t="s">
        <v>26</v>
      </c>
      <c r="F4248"/>
      <c r="M4248"/>
    </row>
    <row r="4249" spans="1:13" x14ac:dyDescent="0.15">
      <c r="A4249" t="s">
        <v>26</v>
      </c>
      <c r="F4249"/>
      <c r="M4249"/>
    </row>
    <row r="4250" spans="1:13" x14ac:dyDescent="0.15">
      <c r="A4250" t="s">
        <v>26</v>
      </c>
      <c r="F4250"/>
      <c r="M4250"/>
    </row>
    <row r="4251" spans="1:13" x14ac:dyDescent="0.15">
      <c r="A4251" t="s">
        <v>26</v>
      </c>
      <c r="F4251"/>
      <c r="M4251"/>
    </row>
    <row r="4252" spans="1:13" x14ac:dyDescent="0.15">
      <c r="A4252" t="s">
        <v>26</v>
      </c>
      <c r="F4252"/>
      <c r="M4252"/>
    </row>
    <row r="4253" spans="1:13" x14ac:dyDescent="0.15">
      <c r="A4253" t="s">
        <v>26</v>
      </c>
      <c r="F4253"/>
      <c r="M4253"/>
    </row>
    <row r="4254" spans="1:13" x14ac:dyDescent="0.15">
      <c r="A4254" t="s">
        <v>26</v>
      </c>
      <c r="F4254"/>
      <c r="M4254"/>
    </row>
    <row r="4255" spans="1:13" x14ac:dyDescent="0.15">
      <c r="A4255" t="s">
        <v>26</v>
      </c>
      <c r="F4255"/>
      <c r="M4255"/>
    </row>
    <row r="4256" spans="1:13" x14ac:dyDescent="0.15">
      <c r="A4256" t="s">
        <v>26</v>
      </c>
      <c r="F4256"/>
      <c r="M4256"/>
    </row>
    <row r="4257" spans="1:13" x14ac:dyDescent="0.15">
      <c r="A4257" t="s">
        <v>26</v>
      </c>
      <c r="F4257"/>
      <c r="M4257"/>
    </row>
    <row r="4258" spans="1:13" x14ac:dyDescent="0.15">
      <c r="A4258" t="s">
        <v>26</v>
      </c>
      <c r="F4258"/>
      <c r="M4258"/>
    </row>
    <row r="4259" spans="1:13" x14ac:dyDescent="0.15">
      <c r="A4259" t="s">
        <v>26</v>
      </c>
      <c r="F4259"/>
      <c r="M4259"/>
    </row>
    <row r="4260" spans="1:13" x14ac:dyDescent="0.15">
      <c r="A4260" t="s">
        <v>26</v>
      </c>
      <c r="F4260"/>
      <c r="M4260"/>
    </row>
    <row r="4261" spans="1:13" x14ac:dyDescent="0.15">
      <c r="A4261" t="s">
        <v>26</v>
      </c>
      <c r="F4261"/>
      <c r="M4261"/>
    </row>
    <row r="4262" spans="1:13" x14ac:dyDescent="0.15">
      <c r="A4262" t="s">
        <v>26</v>
      </c>
      <c r="F4262"/>
      <c r="M4262"/>
    </row>
    <row r="4263" spans="1:13" x14ac:dyDescent="0.15">
      <c r="A4263" t="s">
        <v>26</v>
      </c>
      <c r="F4263"/>
      <c r="M4263"/>
    </row>
    <row r="4264" spans="1:13" x14ac:dyDescent="0.15">
      <c r="A4264" t="s">
        <v>26</v>
      </c>
      <c r="F4264"/>
      <c r="M4264"/>
    </row>
    <row r="4265" spans="1:13" x14ac:dyDescent="0.15">
      <c r="A4265" t="s">
        <v>26</v>
      </c>
      <c r="F4265"/>
      <c r="M4265"/>
    </row>
    <row r="4266" spans="1:13" x14ac:dyDescent="0.15">
      <c r="A4266" t="s">
        <v>26</v>
      </c>
      <c r="F4266"/>
      <c r="M4266"/>
    </row>
    <row r="4267" spans="1:13" x14ac:dyDescent="0.15">
      <c r="A4267" t="s">
        <v>26</v>
      </c>
      <c r="F4267"/>
      <c r="M4267"/>
    </row>
    <row r="4268" spans="1:13" x14ac:dyDescent="0.15">
      <c r="A4268" t="s">
        <v>26</v>
      </c>
      <c r="F4268"/>
      <c r="M4268"/>
    </row>
    <row r="4269" spans="1:13" x14ac:dyDescent="0.15">
      <c r="A4269" t="s">
        <v>26</v>
      </c>
      <c r="F4269"/>
      <c r="M4269"/>
    </row>
    <row r="4270" spans="1:13" x14ac:dyDescent="0.15">
      <c r="A4270" t="s">
        <v>26</v>
      </c>
      <c r="F4270"/>
      <c r="M4270"/>
    </row>
    <row r="4271" spans="1:13" x14ac:dyDescent="0.15">
      <c r="A4271" t="s">
        <v>26</v>
      </c>
      <c r="F4271"/>
      <c r="M4271"/>
    </row>
    <row r="4272" spans="1:13" x14ac:dyDescent="0.15">
      <c r="A4272" t="s">
        <v>26</v>
      </c>
      <c r="F4272"/>
      <c r="M4272"/>
    </row>
    <row r="4273" spans="1:13" x14ac:dyDescent="0.15">
      <c r="A4273" t="s">
        <v>26</v>
      </c>
      <c r="F4273"/>
      <c r="M4273"/>
    </row>
    <row r="4274" spans="1:13" x14ac:dyDescent="0.15">
      <c r="A4274" t="s">
        <v>26</v>
      </c>
      <c r="F4274"/>
      <c r="M4274"/>
    </row>
    <row r="4275" spans="1:13" x14ac:dyDescent="0.15">
      <c r="A4275" t="s">
        <v>26</v>
      </c>
      <c r="F4275"/>
      <c r="M4275"/>
    </row>
    <row r="4276" spans="1:13" x14ac:dyDescent="0.15">
      <c r="A4276" t="s">
        <v>26</v>
      </c>
      <c r="F4276"/>
      <c r="M4276"/>
    </row>
    <row r="4277" spans="1:13" x14ac:dyDescent="0.15">
      <c r="A4277" t="s">
        <v>26</v>
      </c>
      <c r="F4277"/>
      <c r="M4277"/>
    </row>
    <row r="4278" spans="1:13" x14ac:dyDescent="0.15">
      <c r="A4278" t="s">
        <v>26</v>
      </c>
      <c r="F4278"/>
      <c r="M4278"/>
    </row>
    <row r="4279" spans="1:13" x14ac:dyDescent="0.15">
      <c r="A4279" t="s">
        <v>26</v>
      </c>
      <c r="F4279"/>
      <c r="M4279"/>
    </row>
    <row r="4280" spans="1:13" x14ac:dyDescent="0.15">
      <c r="A4280" t="s">
        <v>26</v>
      </c>
      <c r="F4280"/>
      <c r="M4280"/>
    </row>
    <row r="4281" spans="1:13" x14ac:dyDescent="0.15">
      <c r="A4281" t="s">
        <v>26</v>
      </c>
      <c r="F4281"/>
      <c r="M4281"/>
    </row>
    <row r="4282" spans="1:13" x14ac:dyDescent="0.15">
      <c r="A4282" t="s">
        <v>26</v>
      </c>
      <c r="F4282"/>
      <c r="M4282"/>
    </row>
    <row r="4283" spans="1:13" x14ac:dyDescent="0.15">
      <c r="A4283" t="s">
        <v>26</v>
      </c>
      <c r="F4283"/>
      <c r="M4283"/>
    </row>
    <row r="4284" spans="1:13" x14ac:dyDescent="0.15">
      <c r="A4284" t="s">
        <v>26</v>
      </c>
      <c r="F4284"/>
      <c r="M4284"/>
    </row>
    <row r="4285" spans="1:13" x14ac:dyDescent="0.15">
      <c r="A4285" t="s">
        <v>26</v>
      </c>
      <c r="F4285"/>
      <c r="M4285"/>
    </row>
    <row r="4286" spans="1:13" x14ac:dyDescent="0.15">
      <c r="A4286" t="s">
        <v>26</v>
      </c>
      <c r="F4286"/>
      <c r="M4286"/>
    </row>
    <row r="4287" spans="1:13" x14ac:dyDescent="0.15">
      <c r="A4287" t="s">
        <v>26</v>
      </c>
      <c r="F4287"/>
      <c r="M4287"/>
    </row>
    <row r="4288" spans="1:13" x14ac:dyDescent="0.15">
      <c r="A4288" t="s">
        <v>26</v>
      </c>
      <c r="F4288"/>
      <c r="M4288"/>
    </row>
    <row r="4289" spans="1:13" x14ac:dyDescent="0.15">
      <c r="A4289" t="s">
        <v>26</v>
      </c>
      <c r="F4289"/>
      <c r="M4289"/>
    </row>
    <row r="4290" spans="1:13" x14ac:dyDescent="0.15">
      <c r="A4290" t="s">
        <v>26</v>
      </c>
      <c r="F4290"/>
      <c r="M4290"/>
    </row>
    <row r="4291" spans="1:13" x14ac:dyDescent="0.15">
      <c r="A4291" t="s">
        <v>26</v>
      </c>
      <c r="F4291"/>
      <c r="M4291"/>
    </row>
    <row r="4292" spans="1:13" x14ac:dyDescent="0.15">
      <c r="A4292" t="s">
        <v>26</v>
      </c>
      <c r="F4292"/>
      <c r="M4292"/>
    </row>
    <row r="4293" spans="1:13" x14ac:dyDescent="0.15">
      <c r="A4293" t="s">
        <v>26</v>
      </c>
      <c r="F4293"/>
      <c r="M4293"/>
    </row>
    <row r="4294" spans="1:13" x14ac:dyDescent="0.15">
      <c r="A4294" t="s">
        <v>26</v>
      </c>
      <c r="F4294"/>
      <c r="M4294"/>
    </row>
    <row r="4295" spans="1:13" x14ac:dyDescent="0.15">
      <c r="A4295" t="s">
        <v>26</v>
      </c>
      <c r="F4295"/>
      <c r="M4295"/>
    </row>
    <row r="4296" spans="1:13" x14ac:dyDescent="0.15">
      <c r="A4296" t="s">
        <v>26</v>
      </c>
      <c r="F4296"/>
      <c r="M4296"/>
    </row>
    <row r="4297" spans="1:13" x14ac:dyDescent="0.15">
      <c r="A4297" t="s">
        <v>26</v>
      </c>
      <c r="F4297"/>
      <c r="M4297"/>
    </row>
    <row r="4298" spans="1:13" x14ac:dyDescent="0.15">
      <c r="A4298" t="s">
        <v>26</v>
      </c>
      <c r="F4298"/>
      <c r="M4298"/>
    </row>
    <row r="4299" spans="1:13" x14ac:dyDescent="0.15">
      <c r="A4299" t="s">
        <v>26</v>
      </c>
      <c r="F4299"/>
      <c r="M4299"/>
    </row>
    <row r="4300" spans="1:13" x14ac:dyDescent="0.15">
      <c r="A4300" t="s">
        <v>26</v>
      </c>
      <c r="F4300"/>
      <c r="M4300"/>
    </row>
    <row r="4301" spans="1:13" x14ac:dyDescent="0.15">
      <c r="A4301" t="s">
        <v>26</v>
      </c>
      <c r="F4301"/>
      <c r="M4301"/>
    </row>
    <row r="4302" spans="1:13" x14ac:dyDescent="0.15">
      <c r="A4302" t="s">
        <v>26</v>
      </c>
      <c r="F4302"/>
      <c r="M4302"/>
    </row>
    <row r="4303" spans="1:13" x14ac:dyDescent="0.15">
      <c r="A4303" t="s">
        <v>26</v>
      </c>
      <c r="F4303"/>
      <c r="M4303"/>
    </row>
    <row r="4304" spans="1:13" x14ac:dyDescent="0.15">
      <c r="A4304" t="s">
        <v>26</v>
      </c>
      <c r="F4304"/>
      <c r="M4304"/>
    </row>
    <row r="4305" spans="1:13" x14ac:dyDescent="0.15">
      <c r="A4305" t="s">
        <v>26</v>
      </c>
      <c r="F4305"/>
      <c r="M4305"/>
    </row>
    <row r="4306" spans="1:13" x14ac:dyDescent="0.15">
      <c r="A4306" t="s">
        <v>26</v>
      </c>
      <c r="F4306"/>
      <c r="M4306"/>
    </row>
    <row r="4307" spans="1:13" x14ac:dyDescent="0.15">
      <c r="A4307" t="s">
        <v>26</v>
      </c>
      <c r="F4307"/>
      <c r="M4307"/>
    </row>
    <row r="4308" spans="1:13" x14ac:dyDescent="0.15">
      <c r="A4308" t="s">
        <v>26</v>
      </c>
      <c r="F4308"/>
      <c r="M4308"/>
    </row>
    <row r="4309" spans="1:13" x14ac:dyDescent="0.15">
      <c r="A4309" t="s">
        <v>26</v>
      </c>
      <c r="F4309"/>
      <c r="M4309"/>
    </row>
    <row r="4310" spans="1:13" x14ac:dyDescent="0.15">
      <c r="A4310" t="s">
        <v>26</v>
      </c>
      <c r="F4310"/>
      <c r="M4310"/>
    </row>
    <row r="4311" spans="1:13" x14ac:dyDescent="0.15">
      <c r="A4311" t="s">
        <v>26</v>
      </c>
      <c r="F4311"/>
      <c r="M4311"/>
    </row>
    <row r="4312" spans="1:13" x14ac:dyDescent="0.15">
      <c r="A4312" t="s">
        <v>26</v>
      </c>
      <c r="F4312"/>
      <c r="M4312"/>
    </row>
    <row r="4313" spans="1:13" x14ac:dyDescent="0.15">
      <c r="A4313" t="s">
        <v>26</v>
      </c>
      <c r="F4313"/>
      <c r="M4313"/>
    </row>
    <row r="4314" spans="1:13" x14ac:dyDescent="0.15">
      <c r="A4314" t="s">
        <v>26</v>
      </c>
      <c r="F4314"/>
      <c r="M4314"/>
    </row>
    <row r="4315" spans="1:13" x14ac:dyDescent="0.15">
      <c r="A4315" t="s">
        <v>26</v>
      </c>
      <c r="F4315"/>
      <c r="M4315"/>
    </row>
    <row r="4316" spans="1:13" x14ac:dyDescent="0.15">
      <c r="A4316" t="s">
        <v>26</v>
      </c>
      <c r="F4316"/>
      <c r="M4316"/>
    </row>
    <row r="4317" spans="1:13" x14ac:dyDescent="0.15">
      <c r="A4317" t="s">
        <v>26</v>
      </c>
      <c r="F4317"/>
      <c r="M4317"/>
    </row>
    <row r="4318" spans="1:13" x14ac:dyDescent="0.15">
      <c r="A4318" t="s">
        <v>26</v>
      </c>
      <c r="F4318"/>
      <c r="M4318"/>
    </row>
    <row r="4319" spans="1:13" x14ac:dyDescent="0.15">
      <c r="A4319" t="s">
        <v>26</v>
      </c>
      <c r="F4319"/>
      <c r="M4319"/>
    </row>
    <row r="4320" spans="1:13" x14ac:dyDescent="0.15">
      <c r="A4320" t="s">
        <v>26</v>
      </c>
      <c r="F4320"/>
      <c r="M4320"/>
    </row>
    <row r="4321" spans="1:13" x14ac:dyDescent="0.15">
      <c r="A4321" t="s">
        <v>26</v>
      </c>
      <c r="F4321"/>
      <c r="M4321"/>
    </row>
    <row r="4322" spans="1:13" x14ac:dyDescent="0.15">
      <c r="A4322" t="s">
        <v>26</v>
      </c>
      <c r="F4322"/>
      <c r="M4322"/>
    </row>
    <row r="4323" spans="1:13" x14ac:dyDescent="0.15">
      <c r="A4323" t="s">
        <v>26</v>
      </c>
      <c r="F4323"/>
      <c r="M4323"/>
    </row>
    <row r="4324" spans="1:13" x14ac:dyDescent="0.15">
      <c r="A4324" t="s">
        <v>26</v>
      </c>
      <c r="F4324"/>
      <c r="M4324"/>
    </row>
    <row r="4325" spans="1:13" x14ac:dyDescent="0.15">
      <c r="A4325" t="s">
        <v>26</v>
      </c>
      <c r="F4325"/>
      <c r="M4325"/>
    </row>
    <row r="4326" spans="1:13" x14ac:dyDescent="0.15">
      <c r="A4326" t="s">
        <v>26</v>
      </c>
      <c r="F4326"/>
      <c r="M4326"/>
    </row>
    <row r="4327" spans="1:13" x14ac:dyDescent="0.15">
      <c r="A4327" t="s">
        <v>26</v>
      </c>
      <c r="F4327"/>
      <c r="M4327"/>
    </row>
    <row r="4328" spans="1:13" x14ac:dyDescent="0.15">
      <c r="A4328" t="s">
        <v>26</v>
      </c>
      <c r="F4328"/>
      <c r="M4328"/>
    </row>
    <row r="4329" spans="1:13" x14ac:dyDescent="0.15">
      <c r="A4329" t="s">
        <v>26</v>
      </c>
      <c r="F4329"/>
      <c r="M4329"/>
    </row>
    <row r="4330" spans="1:13" x14ac:dyDescent="0.15">
      <c r="A4330" t="s">
        <v>26</v>
      </c>
      <c r="F4330"/>
      <c r="M4330"/>
    </row>
    <row r="4331" spans="1:13" x14ac:dyDescent="0.15">
      <c r="A4331" t="s">
        <v>26</v>
      </c>
      <c r="F4331"/>
      <c r="M4331"/>
    </row>
    <row r="4332" spans="1:13" x14ac:dyDescent="0.15">
      <c r="A4332" t="s">
        <v>26</v>
      </c>
      <c r="F4332"/>
      <c r="M4332"/>
    </row>
    <row r="4333" spans="1:13" x14ac:dyDescent="0.15">
      <c r="A4333" t="s">
        <v>26</v>
      </c>
      <c r="F4333"/>
      <c r="M4333"/>
    </row>
    <row r="4334" spans="1:13" x14ac:dyDescent="0.15">
      <c r="A4334" t="s">
        <v>26</v>
      </c>
      <c r="F4334"/>
      <c r="M4334"/>
    </row>
    <row r="4335" spans="1:13" x14ac:dyDescent="0.15">
      <c r="A4335" t="s">
        <v>26</v>
      </c>
      <c r="F4335"/>
      <c r="M4335"/>
    </row>
    <row r="4336" spans="1:13" x14ac:dyDescent="0.15">
      <c r="A4336" t="s">
        <v>26</v>
      </c>
      <c r="F4336"/>
      <c r="M4336"/>
    </row>
    <row r="4337" spans="1:15" x14ac:dyDescent="0.15">
      <c r="A4337" t="s">
        <v>26</v>
      </c>
      <c r="F4337"/>
      <c r="M4337"/>
    </row>
    <row r="4338" spans="1:15" x14ac:dyDescent="0.15">
      <c r="A4338" t="s">
        <v>26</v>
      </c>
      <c r="F4338"/>
      <c r="M4338"/>
    </row>
    <row r="4339" spans="1:15" x14ac:dyDescent="0.15">
      <c r="A4339" t="s">
        <v>26</v>
      </c>
      <c r="F4339"/>
      <c r="M4339"/>
    </row>
    <row r="4340" spans="1:15" x14ac:dyDescent="0.15">
      <c r="A4340" t="s">
        <v>26</v>
      </c>
      <c r="F4340"/>
      <c r="M4340"/>
    </row>
    <row r="4341" spans="1:15" x14ac:dyDescent="0.15">
      <c r="A4341" t="s">
        <v>26</v>
      </c>
      <c r="F4341"/>
      <c r="M4341"/>
    </row>
    <row r="4342" spans="1:15" x14ac:dyDescent="0.15">
      <c r="A4342" t="s">
        <v>26</v>
      </c>
      <c r="F4342"/>
      <c r="M4342"/>
    </row>
    <row r="4343" spans="1:15" x14ac:dyDescent="0.15">
      <c r="A4343" t="s">
        <v>26</v>
      </c>
      <c r="F4343"/>
      <c r="M4343"/>
    </row>
    <row r="4344" spans="1:15" x14ac:dyDescent="0.15">
      <c r="A4344" t="s">
        <v>26</v>
      </c>
      <c r="F4344"/>
      <c r="M4344"/>
    </row>
    <row r="4345" spans="1:15" x14ac:dyDescent="0.15">
      <c r="A4345" t="s">
        <v>26</v>
      </c>
      <c r="F4345"/>
      <c r="M4345"/>
    </row>
    <row r="4346" spans="1:15" x14ac:dyDescent="0.15">
      <c r="A4346" t="s">
        <v>26</v>
      </c>
      <c r="F4346"/>
      <c r="M4346"/>
    </row>
    <row r="4347" spans="1:15" x14ac:dyDescent="0.15">
      <c r="A4347" t="s">
        <v>26</v>
      </c>
      <c r="F4347"/>
      <c r="M4347"/>
    </row>
    <row r="4348" spans="1:15" x14ac:dyDescent="0.15">
      <c r="A4348" t="s">
        <v>26</v>
      </c>
      <c r="F4348"/>
      <c r="M4348"/>
    </row>
    <row r="4349" spans="1:15" x14ac:dyDescent="0.15">
      <c r="A4349" t="s">
        <v>26</v>
      </c>
      <c r="F4349"/>
      <c r="M4349"/>
    </row>
    <row r="4350" spans="1:15" x14ac:dyDescent="0.15">
      <c r="A4350" t="s">
        <v>26</v>
      </c>
      <c r="F4350"/>
      <c r="M4350"/>
    </row>
    <row r="4351" spans="1:15" x14ac:dyDescent="0.15">
      <c r="A4351" t="s">
        <v>26</v>
      </c>
      <c r="F4351"/>
      <c r="M4351"/>
    </row>
    <row r="4352" spans="1:15" x14ac:dyDescent="0.15">
      <c r="A4352" t="s">
        <v>26</v>
      </c>
      <c r="F4352"/>
      <c r="M4352"/>
      <c r="N4352" s="43"/>
      <c r="O4352" s="43"/>
    </row>
    <row r="4353" spans="1:13" x14ac:dyDescent="0.15">
      <c r="A4353" t="s">
        <v>26</v>
      </c>
      <c r="F4353"/>
      <c r="M4353"/>
    </row>
    <row r="4354" spans="1:13" x14ac:dyDescent="0.15">
      <c r="A4354" t="s">
        <v>26</v>
      </c>
      <c r="F4354"/>
      <c r="M4354"/>
    </row>
    <row r="4355" spans="1:13" x14ac:dyDescent="0.15">
      <c r="A4355" t="s">
        <v>26</v>
      </c>
      <c r="F4355"/>
      <c r="M4355"/>
    </row>
    <row r="4356" spans="1:13" x14ac:dyDescent="0.15">
      <c r="A4356" t="s">
        <v>26</v>
      </c>
      <c r="F4356"/>
      <c r="M4356"/>
    </row>
    <row r="4357" spans="1:13" x14ac:dyDescent="0.15">
      <c r="A4357" t="s">
        <v>26</v>
      </c>
      <c r="F4357"/>
      <c r="M4357"/>
    </row>
    <row r="4358" spans="1:13" x14ac:dyDescent="0.15">
      <c r="A4358" t="s">
        <v>26</v>
      </c>
      <c r="F4358"/>
      <c r="M4358"/>
    </row>
    <row r="4359" spans="1:13" x14ac:dyDescent="0.15">
      <c r="A4359" t="s">
        <v>26</v>
      </c>
      <c r="F4359"/>
      <c r="M4359"/>
    </row>
    <row r="4360" spans="1:13" x14ac:dyDescent="0.15">
      <c r="A4360" t="s">
        <v>26</v>
      </c>
      <c r="F4360"/>
      <c r="M4360"/>
    </row>
    <row r="4361" spans="1:13" x14ac:dyDescent="0.15">
      <c r="A4361" t="s">
        <v>26</v>
      </c>
      <c r="F4361"/>
      <c r="M4361"/>
    </row>
    <row r="4362" spans="1:13" x14ac:dyDescent="0.15">
      <c r="A4362" t="s">
        <v>26</v>
      </c>
      <c r="F4362"/>
      <c r="M4362"/>
    </row>
    <row r="4363" spans="1:13" x14ac:dyDescent="0.15">
      <c r="A4363" t="s">
        <v>26</v>
      </c>
      <c r="F4363"/>
      <c r="M4363"/>
    </row>
    <row r="4364" spans="1:13" x14ac:dyDescent="0.15">
      <c r="A4364" t="s">
        <v>26</v>
      </c>
      <c r="F4364"/>
      <c r="M4364"/>
    </row>
    <row r="4365" spans="1:13" x14ac:dyDescent="0.15">
      <c r="A4365" t="s">
        <v>26</v>
      </c>
      <c r="F4365"/>
      <c r="M4365"/>
    </row>
    <row r="4366" spans="1:13" x14ac:dyDescent="0.15">
      <c r="A4366" t="s">
        <v>26</v>
      </c>
      <c r="F4366"/>
      <c r="M4366"/>
    </row>
    <row r="4367" spans="1:13" x14ac:dyDescent="0.15">
      <c r="A4367" t="s">
        <v>26</v>
      </c>
      <c r="F4367"/>
      <c r="M4367"/>
    </row>
    <row r="4368" spans="1:13" x14ac:dyDescent="0.15">
      <c r="A4368" t="s">
        <v>26</v>
      </c>
      <c r="F4368"/>
      <c r="M4368"/>
    </row>
    <row r="4369" spans="1:13" x14ac:dyDescent="0.15">
      <c r="A4369" t="s">
        <v>26</v>
      </c>
      <c r="F4369"/>
      <c r="M4369"/>
    </row>
    <row r="4370" spans="1:13" x14ac:dyDescent="0.15">
      <c r="A4370" t="s">
        <v>26</v>
      </c>
      <c r="F4370"/>
      <c r="M4370"/>
    </row>
    <row r="4371" spans="1:13" x14ac:dyDescent="0.15">
      <c r="A4371" t="s">
        <v>26</v>
      </c>
      <c r="F4371"/>
      <c r="M4371"/>
    </row>
    <row r="4372" spans="1:13" x14ac:dyDescent="0.15">
      <c r="A4372" t="s">
        <v>26</v>
      </c>
      <c r="F4372"/>
      <c r="M4372"/>
    </row>
    <row r="4373" spans="1:13" x14ac:dyDescent="0.15">
      <c r="A4373" t="s">
        <v>26</v>
      </c>
      <c r="F4373"/>
      <c r="M4373"/>
    </row>
    <row r="4374" spans="1:13" x14ac:dyDescent="0.15">
      <c r="A4374" t="s">
        <v>26</v>
      </c>
      <c r="F4374"/>
      <c r="M4374"/>
    </row>
    <row r="4375" spans="1:13" x14ac:dyDescent="0.15">
      <c r="A4375" t="s">
        <v>26</v>
      </c>
      <c r="F4375"/>
      <c r="M4375"/>
    </row>
    <row r="4376" spans="1:13" x14ac:dyDescent="0.15">
      <c r="A4376" t="s">
        <v>26</v>
      </c>
      <c r="F4376"/>
      <c r="M4376"/>
    </row>
    <row r="4377" spans="1:13" x14ac:dyDescent="0.15">
      <c r="A4377" t="s">
        <v>26</v>
      </c>
      <c r="F4377"/>
      <c r="M4377"/>
    </row>
    <row r="4378" spans="1:13" x14ac:dyDescent="0.15">
      <c r="A4378" t="s">
        <v>26</v>
      </c>
      <c r="F4378"/>
      <c r="M4378"/>
    </row>
    <row r="4379" spans="1:13" x14ac:dyDescent="0.15">
      <c r="A4379" t="s">
        <v>26</v>
      </c>
      <c r="F4379"/>
      <c r="M4379"/>
    </row>
    <row r="4380" spans="1:13" x14ac:dyDescent="0.15">
      <c r="A4380" t="s">
        <v>26</v>
      </c>
      <c r="F4380"/>
      <c r="M4380"/>
    </row>
    <row r="4381" spans="1:13" x14ac:dyDescent="0.15">
      <c r="A4381" t="s">
        <v>26</v>
      </c>
      <c r="F4381"/>
      <c r="M4381"/>
    </row>
    <row r="4382" spans="1:13" x14ac:dyDescent="0.15">
      <c r="A4382" t="s">
        <v>26</v>
      </c>
      <c r="F4382"/>
      <c r="M4382"/>
    </row>
    <row r="4383" spans="1:13" x14ac:dyDescent="0.15">
      <c r="A4383" t="s">
        <v>26</v>
      </c>
      <c r="F4383"/>
      <c r="M4383"/>
    </row>
    <row r="4384" spans="1:13" x14ac:dyDescent="0.15">
      <c r="A4384" t="s">
        <v>26</v>
      </c>
      <c r="F4384"/>
      <c r="M4384"/>
    </row>
    <row r="4385" spans="1:13" x14ac:dyDescent="0.15">
      <c r="A4385" t="s">
        <v>26</v>
      </c>
      <c r="F4385"/>
      <c r="M4385"/>
    </row>
    <row r="4386" spans="1:13" x14ac:dyDescent="0.15">
      <c r="A4386" t="s">
        <v>26</v>
      </c>
      <c r="F4386"/>
      <c r="M4386"/>
    </row>
    <row r="4387" spans="1:13" x14ac:dyDescent="0.15">
      <c r="A4387" t="s">
        <v>26</v>
      </c>
      <c r="F4387"/>
      <c r="M4387"/>
    </row>
    <row r="4388" spans="1:13" x14ac:dyDescent="0.15">
      <c r="A4388" t="s">
        <v>26</v>
      </c>
      <c r="F4388"/>
      <c r="M4388"/>
    </row>
    <row r="4389" spans="1:13" x14ac:dyDescent="0.15">
      <c r="A4389" t="s">
        <v>26</v>
      </c>
      <c r="F4389"/>
      <c r="M4389"/>
    </row>
    <row r="4390" spans="1:13" x14ac:dyDescent="0.15">
      <c r="A4390" t="s">
        <v>26</v>
      </c>
      <c r="F4390"/>
      <c r="M4390"/>
    </row>
    <row r="4391" spans="1:13" x14ac:dyDescent="0.15">
      <c r="A4391" t="s">
        <v>26</v>
      </c>
      <c r="F4391"/>
      <c r="M4391"/>
    </row>
    <row r="4392" spans="1:13" x14ac:dyDescent="0.15">
      <c r="A4392" t="s">
        <v>27</v>
      </c>
      <c r="F4392"/>
      <c r="M4392"/>
    </row>
    <row r="4393" spans="1:13" x14ac:dyDescent="0.15">
      <c r="A4393" t="s">
        <v>27</v>
      </c>
      <c r="F4393"/>
      <c r="M4393"/>
    </row>
    <row r="4394" spans="1:13" x14ac:dyDescent="0.15">
      <c r="A4394" t="s">
        <v>27</v>
      </c>
      <c r="F4394"/>
      <c r="M4394"/>
    </row>
    <row r="4395" spans="1:13" x14ac:dyDescent="0.15">
      <c r="A4395" t="s">
        <v>27</v>
      </c>
      <c r="F4395"/>
      <c r="M4395"/>
    </row>
    <row r="4396" spans="1:13" x14ac:dyDescent="0.15">
      <c r="A4396" t="s">
        <v>27</v>
      </c>
      <c r="F4396"/>
      <c r="M4396"/>
    </row>
    <row r="4397" spans="1:13" x14ac:dyDescent="0.15">
      <c r="A4397" t="s">
        <v>27</v>
      </c>
      <c r="F4397"/>
      <c r="M4397"/>
    </row>
    <row r="4398" spans="1:13" x14ac:dyDescent="0.15">
      <c r="A4398" t="s">
        <v>27</v>
      </c>
      <c r="F4398"/>
      <c r="M4398"/>
    </row>
    <row r="4399" spans="1:13" x14ac:dyDescent="0.15">
      <c r="A4399" t="s">
        <v>27</v>
      </c>
      <c r="F4399"/>
      <c r="M4399"/>
    </row>
    <row r="4400" spans="1:13" x14ac:dyDescent="0.15">
      <c r="A4400" t="s">
        <v>27</v>
      </c>
      <c r="F4400"/>
      <c r="M4400"/>
    </row>
    <row r="4401" spans="1:13" x14ac:dyDescent="0.15">
      <c r="A4401" t="s">
        <v>27</v>
      </c>
      <c r="F4401"/>
      <c r="M4401"/>
    </row>
    <row r="4402" spans="1:13" x14ac:dyDescent="0.15">
      <c r="A4402" t="s">
        <v>27</v>
      </c>
      <c r="F4402"/>
      <c r="M4402"/>
    </row>
    <row r="4403" spans="1:13" x14ac:dyDescent="0.15">
      <c r="A4403" t="s">
        <v>27</v>
      </c>
      <c r="F4403"/>
      <c r="M4403"/>
    </row>
    <row r="4404" spans="1:13" x14ac:dyDescent="0.15">
      <c r="A4404" t="s">
        <v>27</v>
      </c>
      <c r="F4404"/>
      <c r="M4404"/>
    </row>
    <row r="4405" spans="1:13" x14ac:dyDescent="0.15">
      <c r="A4405" t="s">
        <v>27</v>
      </c>
      <c r="F4405"/>
      <c r="M4405"/>
    </row>
    <row r="4406" spans="1:13" x14ac:dyDescent="0.15">
      <c r="A4406" t="s">
        <v>27</v>
      </c>
      <c r="F4406"/>
      <c r="M4406"/>
    </row>
    <row r="4407" spans="1:13" x14ac:dyDescent="0.15">
      <c r="A4407" t="s">
        <v>27</v>
      </c>
      <c r="F4407"/>
      <c r="M4407"/>
    </row>
    <row r="4408" spans="1:13" x14ac:dyDescent="0.15">
      <c r="A4408" t="s">
        <v>27</v>
      </c>
      <c r="F4408"/>
      <c r="M4408"/>
    </row>
    <row r="4409" spans="1:13" x14ac:dyDescent="0.15">
      <c r="A4409" t="s">
        <v>27</v>
      </c>
      <c r="F4409"/>
      <c r="M4409"/>
    </row>
    <row r="4410" spans="1:13" x14ac:dyDescent="0.15">
      <c r="A4410" t="s">
        <v>27</v>
      </c>
      <c r="F4410"/>
      <c r="M4410"/>
    </row>
    <row r="4411" spans="1:13" x14ac:dyDescent="0.15">
      <c r="A4411" t="s">
        <v>27</v>
      </c>
      <c r="F4411"/>
      <c r="M4411"/>
    </row>
    <row r="4412" spans="1:13" x14ac:dyDescent="0.15">
      <c r="A4412" t="s">
        <v>27</v>
      </c>
      <c r="F4412"/>
      <c r="M4412"/>
    </row>
    <row r="4413" spans="1:13" x14ac:dyDescent="0.15">
      <c r="A4413" t="s">
        <v>27</v>
      </c>
      <c r="F4413"/>
      <c r="M4413"/>
    </row>
    <row r="4414" spans="1:13" x14ac:dyDescent="0.15">
      <c r="A4414" t="s">
        <v>27</v>
      </c>
      <c r="F4414"/>
      <c r="M4414"/>
    </row>
    <row r="4415" spans="1:13" x14ac:dyDescent="0.15">
      <c r="A4415" t="s">
        <v>27</v>
      </c>
      <c r="F4415"/>
      <c r="M4415"/>
    </row>
    <row r="4416" spans="1:13" x14ac:dyDescent="0.15">
      <c r="A4416" t="s">
        <v>27</v>
      </c>
      <c r="F4416"/>
      <c r="M4416"/>
    </row>
    <row r="4417" spans="1:13" x14ac:dyDescent="0.15">
      <c r="A4417" t="s">
        <v>27</v>
      </c>
      <c r="F4417"/>
      <c r="M4417"/>
    </row>
    <row r="4418" spans="1:13" x14ac:dyDescent="0.15">
      <c r="A4418" t="s">
        <v>27</v>
      </c>
      <c r="F4418"/>
      <c r="M4418"/>
    </row>
    <row r="4419" spans="1:13" x14ac:dyDescent="0.15">
      <c r="A4419" t="s">
        <v>27</v>
      </c>
      <c r="F4419"/>
      <c r="M4419"/>
    </row>
    <row r="4420" spans="1:13" x14ac:dyDescent="0.15">
      <c r="A4420" t="s">
        <v>27</v>
      </c>
      <c r="F4420"/>
      <c r="M4420"/>
    </row>
    <row r="4421" spans="1:13" x14ac:dyDescent="0.15">
      <c r="A4421" t="s">
        <v>27</v>
      </c>
      <c r="F4421"/>
      <c r="M4421"/>
    </row>
    <row r="4422" spans="1:13" x14ac:dyDescent="0.15">
      <c r="A4422" t="s">
        <v>27</v>
      </c>
      <c r="F4422"/>
      <c r="M4422"/>
    </row>
    <row r="4423" spans="1:13" x14ac:dyDescent="0.15">
      <c r="A4423" t="s">
        <v>27</v>
      </c>
      <c r="F4423"/>
      <c r="M4423"/>
    </row>
    <row r="4424" spans="1:13" x14ac:dyDescent="0.15">
      <c r="A4424" t="s">
        <v>27</v>
      </c>
      <c r="F4424"/>
      <c r="M4424"/>
    </row>
    <row r="4425" spans="1:13" x14ac:dyDescent="0.15">
      <c r="A4425" t="s">
        <v>27</v>
      </c>
      <c r="F4425"/>
      <c r="M4425"/>
    </row>
    <row r="4426" spans="1:13" x14ac:dyDescent="0.15">
      <c r="A4426" t="s">
        <v>27</v>
      </c>
      <c r="F4426"/>
      <c r="M4426"/>
    </row>
    <row r="4427" spans="1:13" x14ac:dyDescent="0.15">
      <c r="A4427" t="s">
        <v>27</v>
      </c>
      <c r="F4427"/>
      <c r="M4427"/>
    </row>
    <row r="4428" spans="1:13" x14ac:dyDescent="0.15">
      <c r="A4428" t="s">
        <v>27</v>
      </c>
      <c r="F4428"/>
      <c r="M4428"/>
    </row>
    <row r="4429" spans="1:13" x14ac:dyDescent="0.15">
      <c r="A4429" t="s">
        <v>27</v>
      </c>
      <c r="F4429"/>
      <c r="M4429"/>
    </row>
    <row r="4430" spans="1:13" x14ac:dyDescent="0.15">
      <c r="A4430" t="s">
        <v>27</v>
      </c>
      <c r="F4430"/>
      <c r="M4430"/>
    </row>
    <row r="4431" spans="1:13" x14ac:dyDescent="0.15">
      <c r="A4431" t="s">
        <v>27</v>
      </c>
      <c r="F4431"/>
      <c r="M4431"/>
    </row>
    <row r="4432" spans="1:13" x14ac:dyDescent="0.15">
      <c r="A4432" t="s">
        <v>27</v>
      </c>
      <c r="F4432"/>
      <c r="M4432"/>
    </row>
    <row r="4433" spans="1:13" x14ac:dyDescent="0.15">
      <c r="A4433" t="s">
        <v>27</v>
      </c>
      <c r="F4433"/>
      <c r="M4433"/>
    </row>
    <row r="4434" spans="1:13" x14ac:dyDescent="0.15">
      <c r="A4434" t="s">
        <v>27</v>
      </c>
      <c r="F4434"/>
      <c r="M4434"/>
    </row>
    <row r="4435" spans="1:13" x14ac:dyDescent="0.15">
      <c r="A4435" t="s">
        <v>27</v>
      </c>
      <c r="F4435"/>
      <c r="M4435"/>
    </row>
    <row r="4436" spans="1:13" x14ac:dyDescent="0.15">
      <c r="A4436" t="s">
        <v>27</v>
      </c>
      <c r="F4436"/>
      <c r="M4436"/>
    </row>
    <row r="4437" spans="1:13" x14ac:dyDescent="0.15">
      <c r="A4437" t="s">
        <v>27</v>
      </c>
      <c r="F4437"/>
      <c r="M4437"/>
    </row>
    <row r="4438" spans="1:13" x14ac:dyDescent="0.15">
      <c r="A4438" t="s">
        <v>27</v>
      </c>
      <c r="F4438"/>
      <c r="M4438"/>
    </row>
    <row r="4439" spans="1:13" x14ac:dyDescent="0.15">
      <c r="A4439" t="s">
        <v>27</v>
      </c>
      <c r="F4439"/>
      <c r="M4439"/>
    </row>
    <row r="4440" spans="1:13" x14ac:dyDescent="0.15">
      <c r="A4440" t="s">
        <v>27</v>
      </c>
      <c r="F4440"/>
      <c r="M4440"/>
    </row>
    <row r="4441" spans="1:13" x14ac:dyDescent="0.15">
      <c r="A4441" t="s">
        <v>27</v>
      </c>
      <c r="F4441"/>
      <c r="M4441"/>
    </row>
    <row r="4442" spans="1:13" x14ac:dyDescent="0.15">
      <c r="A4442" t="s">
        <v>27</v>
      </c>
      <c r="F4442"/>
      <c r="M4442"/>
    </row>
    <row r="4443" spans="1:13" x14ac:dyDescent="0.15">
      <c r="A4443" t="s">
        <v>27</v>
      </c>
      <c r="F4443"/>
      <c r="M4443"/>
    </row>
    <row r="4444" spans="1:13" x14ac:dyDescent="0.15">
      <c r="A4444" t="s">
        <v>27</v>
      </c>
      <c r="F4444"/>
      <c r="M4444"/>
    </row>
    <row r="4445" spans="1:13" x14ac:dyDescent="0.15">
      <c r="A4445" t="s">
        <v>27</v>
      </c>
      <c r="F4445"/>
      <c r="M4445"/>
    </row>
    <row r="4446" spans="1:13" x14ac:dyDescent="0.15">
      <c r="A4446" t="s">
        <v>27</v>
      </c>
      <c r="F4446"/>
      <c r="M4446"/>
    </row>
    <row r="4447" spans="1:13" x14ac:dyDescent="0.15">
      <c r="A4447" t="s">
        <v>27</v>
      </c>
      <c r="F4447"/>
      <c r="M4447"/>
    </row>
    <row r="4448" spans="1:13" x14ac:dyDescent="0.15">
      <c r="A4448" t="s">
        <v>27</v>
      </c>
      <c r="F4448"/>
      <c r="M4448"/>
    </row>
    <row r="4449" spans="1:13" x14ac:dyDescent="0.15">
      <c r="A4449" t="s">
        <v>27</v>
      </c>
      <c r="F4449"/>
      <c r="M4449"/>
    </row>
    <row r="4450" spans="1:13" x14ac:dyDescent="0.15">
      <c r="A4450" t="s">
        <v>27</v>
      </c>
      <c r="F4450"/>
      <c r="M4450"/>
    </row>
    <row r="4451" spans="1:13" x14ac:dyDescent="0.15">
      <c r="A4451" t="s">
        <v>27</v>
      </c>
      <c r="F4451"/>
      <c r="M4451"/>
    </row>
    <row r="4452" spans="1:13" x14ac:dyDescent="0.15">
      <c r="A4452" t="s">
        <v>27</v>
      </c>
      <c r="F4452"/>
      <c r="M4452"/>
    </row>
    <row r="4453" spans="1:13" x14ac:dyDescent="0.15">
      <c r="A4453" t="s">
        <v>27</v>
      </c>
      <c r="F4453"/>
      <c r="M4453"/>
    </row>
    <row r="4454" spans="1:13" x14ac:dyDescent="0.15">
      <c r="A4454" t="s">
        <v>27</v>
      </c>
      <c r="F4454"/>
      <c r="M4454"/>
    </row>
    <row r="4455" spans="1:13" x14ac:dyDescent="0.15">
      <c r="A4455" t="s">
        <v>27</v>
      </c>
      <c r="F4455"/>
      <c r="M4455"/>
    </row>
    <row r="4456" spans="1:13" x14ac:dyDescent="0.15">
      <c r="A4456" t="s">
        <v>27</v>
      </c>
      <c r="F4456"/>
      <c r="M4456"/>
    </row>
    <row r="4457" spans="1:13" x14ac:dyDescent="0.15">
      <c r="A4457" t="s">
        <v>27</v>
      </c>
      <c r="F4457"/>
      <c r="M4457"/>
    </row>
    <row r="4458" spans="1:13" x14ac:dyDescent="0.15">
      <c r="A4458" t="s">
        <v>27</v>
      </c>
      <c r="F4458"/>
      <c r="M4458"/>
    </row>
    <row r="4459" spans="1:13" x14ac:dyDescent="0.15">
      <c r="A4459" t="s">
        <v>27</v>
      </c>
      <c r="F4459"/>
      <c r="M4459"/>
    </row>
    <row r="4460" spans="1:13" x14ac:dyDescent="0.15">
      <c r="A4460" t="s">
        <v>27</v>
      </c>
      <c r="F4460"/>
      <c r="M4460"/>
    </row>
    <row r="4461" spans="1:13" x14ac:dyDescent="0.15">
      <c r="A4461" t="s">
        <v>27</v>
      </c>
      <c r="F4461"/>
      <c r="M4461"/>
    </row>
    <row r="4462" spans="1:13" x14ac:dyDescent="0.15">
      <c r="A4462" t="s">
        <v>27</v>
      </c>
      <c r="F4462"/>
      <c r="M4462"/>
    </row>
    <row r="4463" spans="1:13" x14ac:dyDescent="0.15">
      <c r="A4463" t="s">
        <v>27</v>
      </c>
      <c r="F4463"/>
      <c r="M4463"/>
    </row>
    <row r="4464" spans="1:13" x14ac:dyDescent="0.15">
      <c r="A4464" t="s">
        <v>27</v>
      </c>
      <c r="F4464"/>
      <c r="M4464"/>
    </row>
    <row r="4465" spans="1:13" x14ac:dyDescent="0.15">
      <c r="A4465" t="s">
        <v>27</v>
      </c>
      <c r="F4465"/>
      <c r="M4465"/>
    </row>
    <row r="4466" spans="1:13" x14ac:dyDescent="0.15">
      <c r="A4466" t="s">
        <v>27</v>
      </c>
      <c r="F4466"/>
      <c r="M4466"/>
    </row>
    <row r="4467" spans="1:13" x14ac:dyDescent="0.15">
      <c r="A4467" t="s">
        <v>27</v>
      </c>
      <c r="F4467"/>
      <c r="M4467"/>
    </row>
    <row r="4468" spans="1:13" x14ac:dyDescent="0.15">
      <c r="A4468" t="s">
        <v>27</v>
      </c>
      <c r="F4468"/>
      <c r="M4468"/>
    </row>
    <row r="4469" spans="1:13" x14ac:dyDescent="0.15">
      <c r="A4469" t="s">
        <v>27</v>
      </c>
      <c r="F4469"/>
      <c r="M4469"/>
    </row>
    <row r="4470" spans="1:13" x14ac:dyDescent="0.15">
      <c r="A4470" t="s">
        <v>27</v>
      </c>
      <c r="F4470"/>
      <c r="M4470"/>
    </row>
    <row r="4471" spans="1:13" x14ac:dyDescent="0.15">
      <c r="A4471" t="s">
        <v>27</v>
      </c>
      <c r="F4471"/>
      <c r="M4471"/>
    </row>
    <row r="4472" spans="1:13" x14ac:dyDescent="0.15">
      <c r="A4472" t="s">
        <v>27</v>
      </c>
      <c r="F4472"/>
      <c r="M4472"/>
    </row>
    <row r="4473" spans="1:13" x14ac:dyDescent="0.15">
      <c r="A4473" t="s">
        <v>27</v>
      </c>
      <c r="F4473"/>
      <c r="M4473"/>
    </row>
    <row r="4474" spans="1:13" x14ac:dyDescent="0.15">
      <c r="A4474" t="s">
        <v>27</v>
      </c>
      <c r="F4474"/>
      <c r="M4474"/>
    </row>
    <row r="4475" spans="1:13" x14ac:dyDescent="0.15">
      <c r="A4475" t="s">
        <v>27</v>
      </c>
      <c r="F4475"/>
      <c r="M4475"/>
    </row>
    <row r="4476" spans="1:13" x14ac:dyDescent="0.15">
      <c r="A4476" t="s">
        <v>27</v>
      </c>
      <c r="F4476"/>
      <c r="M4476"/>
    </row>
    <row r="4477" spans="1:13" x14ac:dyDescent="0.15">
      <c r="A4477" t="s">
        <v>27</v>
      </c>
      <c r="F4477"/>
      <c r="M4477"/>
    </row>
    <row r="4478" spans="1:13" x14ac:dyDescent="0.15">
      <c r="A4478" t="s">
        <v>27</v>
      </c>
      <c r="F4478"/>
      <c r="M4478"/>
    </row>
    <row r="4479" spans="1:13" x14ac:dyDescent="0.15">
      <c r="A4479" t="s">
        <v>27</v>
      </c>
      <c r="F4479"/>
      <c r="M4479"/>
    </row>
    <row r="4480" spans="1:13" x14ac:dyDescent="0.15">
      <c r="A4480" t="s">
        <v>27</v>
      </c>
      <c r="F4480"/>
      <c r="M4480"/>
    </row>
    <row r="4481" spans="1:13" x14ac:dyDescent="0.15">
      <c r="A4481" t="s">
        <v>27</v>
      </c>
      <c r="F4481"/>
      <c r="M4481"/>
    </row>
    <row r="4482" spans="1:13" x14ac:dyDescent="0.15">
      <c r="A4482" t="s">
        <v>27</v>
      </c>
      <c r="F4482"/>
      <c r="M4482"/>
    </row>
    <row r="4483" spans="1:13" x14ac:dyDescent="0.15">
      <c r="A4483" t="s">
        <v>27</v>
      </c>
      <c r="F4483"/>
      <c r="M4483"/>
    </row>
    <row r="4484" spans="1:13" x14ac:dyDescent="0.15">
      <c r="A4484" t="s">
        <v>27</v>
      </c>
      <c r="F4484"/>
      <c r="M4484"/>
    </row>
    <row r="4485" spans="1:13" x14ac:dyDescent="0.15">
      <c r="A4485" t="s">
        <v>27</v>
      </c>
      <c r="F4485"/>
      <c r="M4485"/>
    </row>
    <row r="4486" spans="1:13" x14ac:dyDescent="0.15">
      <c r="A4486" t="s">
        <v>27</v>
      </c>
      <c r="F4486"/>
      <c r="M4486"/>
    </row>
    <row r="4487" spans="1:13" x14ac:dyDescent="0.15">
      <c r="A4487" t="s">
        <v>27</v>
      </c>
      <c r="F4487"/>
      <c r="M4487"/>
    </row>
    <row r="4488" spans="1:13" x14ac:dyDescent="0.15">
      <c r="A4488" t="s">
        <v>27</v>
      </c>
      <c r="F4488"/>
      <c r="M4488"/>
    </row>
    <row r="4489" spans="1:13" x14ac:dyDescent="0.15">
      <c r="A4489" t="s">
        <v>27</v>
      </c>
      <c r="F4489"/>
      <c r="M4489"/>
    </row>
    <row r="4490" spans="1:13" x14ac:dyDescent="0.15">
      <c r="A4490" t="s">
        <v>27</v>
      </c>
      <c r="F4490"/>
      <c r="M4490"/>
    </row>
    <row r="4491" spans="1:13" x14ac:dyDescent="0.15">
      <c r="A4491" t="s">
        <v>27</v>
      </c>
      <c r="F4491"/>
      <c r="M4491"/>
    </row>
    <row r="4492" spans="1:13" x14ac:dyDescent="0.15">
      <c r="A4492" t="s">
        <v>27</v>
      </c>
      <c r="F4492"/>
      <c r="M4492"/>
    </row>
    <row r="4493" spans="1:13" x14ac:dyDescent="0.15">
      <c r="A4493" t="s">
        <v>27</v>
      </c>
      <c r="F4493"/>
      <c r="M4493"/>
    </row>
    <row r="4494" spans="1:13" x14ac:dyDescent="0.15">
      <c r="A4494" t="s">
        <v>27</v>
      </c>
      <c r="F4494"/>
      <c r="M4494"/>
    </row>
    <row r="4495" spans="1:13" x14ac:dyDescent="0.15">
      <c r="A4495" t="s">
        <v>27</v>
      </c>
      <c r="F4495"/>
      <c r="M4495"/>
    </row>
    <row r="4496" spans="1:13" x14ac:dyDescent="0.15">
      <c r="A4496" t="s">
        <v>27</v>
      </c>
      <c r="F4496"/>
      <c r="M4496"/>
    </row>
    <row r="4497" spans="1:13" x14ac:dyDescent="0.15">
      <c r="A4497" t="s">
        <v>27</v>
      </c>
      <c r="F4497"/>
      <c r="M4497"/>
    </row>
    <row r="4498" spans="1:13" x14ac:dyDescent="0.15">
      <c r="A4498" t="s">
        <v>27</v>
      </c>
      <c r="F4498"/>
      <c r="M4498"/>
    </row>
    <row r="4499" spans="1:13" x14ac:dyDescent="0.15">
      <c r="A4499" t="s">
        <v>27</v>
      </c>
      <c r="F4499"/>
      <c r="M4499"/>
    </row>
    <row r="4500" spans="1:13" x14ac:dyDescent="0.15">
      <c r="A4500" t="s">
        <v>27</v>
      </c>
      <c r="F4500"/>
      <c r="M4500"/>
    </row>
    <row r="4501" spans="1:13" x14ac:dyDescent="0.15">
      <c r="A4501" t="s">
        <v>27</v>
      </c>
      <c r="F4501"/>
      <c r="M4501"/>
    </row>
    <row r="4502" spans="1:13" x14ac:dyDescent="0.15">
      <c r="A4502" t="s">
        <v>27</v>
      </c>
      <c r="F4502"/>
      <c r="M4502"/>
    </row>
    <row r="4503" spans="1:13" x14ac:dyDescent="0.15">
      <c r="A4503" t="s">
        <v>27</v>
      </c>
      <c r="F4503"/>
      <c r="M4503"/>
    </row>
    <row r="4504" spans="1:13" x14ac:dyDescent="0.15">
      <c r="A4504" t="s">
        <v>27</v>
      </c>
      <c r="F4504"/>
      <c r="M4504"/>
    </row>
    <row r="4505" spans="1:13" x14ac:dyDescent="0.15">
      <c r="A4505" t="s">
        <v>27</v>
      </c>
      <c r="F4505"/>
      <c r="M4505"/>
    </row>
    <row r="4506" spans="1:13" x14ac:dyDescent="0.15">
      <c r="A4506" t="s">
        <v>27</v>
      </c>
      <c r="F4506"/>
      <c r="M4506"/>
    </row>
    <row r="4507" spans="1:13" x14ac:dyDescent="0.15">
      <c r="A4507" t="s">
        <v>27</v>
      </c>
      <c r="F4507"/>
      <c r="M4507"/>
    </row>
    <row r="4508" spans="1:13" x14ac:dyDescent="0.15">
      <c r="A4508" t="s">
        <v>27</v>
      </c>
      <c r="F4508"/>
      <c r="M4508"/>
    </row>
    <row r="4509" spans="1:13" x14ac:dyDescent="0.15">
      <c r="A4509" t="s">
        <v>27</v>
      </c>
      <c r="F4509"/>
      <c r="M4509"/>
    </row>
    <row r="4510" spans="1:13" x14ac:dyDescent="0.15">
      <c r="A4510" t="s">
        <v>27</v>
      </c>
      <c r="F4510"/>
      <c r="M4510"/>
    </row>
    <row r="4511" spans="1:13" x14ac:dyDescent="0.15">
      <c r="A4511" t="s">
        <v>27</v>
      </c>
      <c r="F4511"/>
      <c r="M4511"/>
    </row>
    <row r="4512" spans="1:13" x14ac:dyDescent="0.15">
      <c r="A4512" t="s">
        <v>27</v>
      </c>
      <c r="F4512"/>
      <c r="M4512"/>
    </row>
    <row r="4513" spans="1:13" x14ac:dyDescent="0.15">
      <c r="A4513" t="s">
        <v>27</v>
      </c>
      <c r="F4513"/>
      <c r="M4513"/>
    </row>
    <row r="4514" spans="1:13" x14ac:dyDescent="0.15">
      <c r="A4514" t="s">
        <v>27</v>
      </c>
      <c r="F4514"/>
      <c r="M4514"/>
    </row>
    <row r="4515" spans="1:13" x14ac:dyDescent="0.15">
      <c r="A4515" t="s">
        <v>27</v>
      </c>
      <c r="F4515"/>
      <c r="M4515"/>
    </row>
    <row r="4516" spans="1:13" x14ac:dyDescent="0.15">
      <c r="A4516" t="s">
        <v>27</v>
      </c>
      <c r="F4516"/>
      <c r="M4516"/>
    </row>
    <row r="4517" spans="1:13" x14ac:dyDescent="0.15">
      <c r="A4517" t="s">
        <v>27</v>
      </c>
      <c r="F4517"/>
      <c r="M4517"/>
    </row>
    <row r="4518" spans="1:13" x14ac:dyDescent="0.15">
      <c r="A4518" t="s">
        <v>27</v>
      </c>
      <c r="F4518"/>
      <c r="M4518"/>
    </row>
    <row r="4519" spans="1:13" x14ac:dyDescent="0.15">
      <c r="A4519" t="s">
        <v>27</v>
      </c>
      <c r="F4519"/>
      <c r="M4519"/>
    </row>
    <row r="4520" spans="1:13" x14ac:dyDescent="0.15">
      <c r="A4520" t="s">
        <v>27</v>
      </c>
      <c r="F4520"/>
      <c r="M4520"/>
    </row>
    <row r="4521" spans="1:13" x14ac:dyDescent="0.15">
      <c r="A4521" t="s">
        <v>27</v>
      </c>
      <c r="F4521"/>
      <c r="M4521"/>
    </row>
    <row r="4522" spans="1:13" x14ac:dyDescent="0.15">
      <c r="A4522" t="s">
        <v>27</v>
      </c>
      <c r="F4522"/>
      <c r="M4522"/>
    </row>
    <row r="4523" spans="1:13" x14ac:dyDescent="0.15">
      <c r="A4523" t="s">
        <v>27</v>
      </c>
      <c r="F4523"/>
      <c r="M4523"/>
    </row>
    <row r="4524" spans="1:13" x14ac:dyDescent="0.15">
      <c r="A4524" t="s">
        <v>27</v>
      </c>
      <c r="F4524"/>
      <c r="M4524"/>
    </row>
    <row r="4525" spans="1:13" x14ac:dyDescent="0.15">
      <c r="A4525" t="s">
        <v>27</v>
      </c>
      <c r="F4525"/>
      <c r="M4525"/>
    </row>
    <row r="4526" spans="1:13" x14ac:dyDescent="0.15">
      <c r="A4526" t="s">
        <v>27</v>
      </c>
      <c r="F4526"/>
      <c r="M4526"/>
    </row>
    <row r="4527" spans="1:13" x14ac:dyDescent="0.15">
      <c r="A4527" t="s">
        <v>27</v>
      </c>
      <c r="F4527"/>
      <c r="M4527"/>
    </row>
    <row r="4528" spans="1:13" x14ac:dyDescent="0.15">
      <c r="A4528" t="s">
        <v>27</v>
      </c>
      <c r="F4528"/>
      <c r="M4528"/>
    </row>
    <row r="4529" spans="1:13" x14ac:dyDescent="0.15">
      <c r="A4529" t="s">
        <v>27</v>
      </c>
      <c r="F4529"/>
      <c r="M4529"/>
    </row>
    <row r="4530" spans="1:13" x14ac:dyDescent="0.15">
      <c r="A4530" t="s">
        <v>27</v>
      </c>
      <c r="F4530"/>
      <c r="M4530"/>
    </row>
    <row r="4531" spans="1:13" x14ac:dyDescent="0.15">
      <c r="A4531" t="s">
        <v>27</v>
      </c>
      <c r="F4531"/>
      <c r="M4531"/>
    </row>
    <row r="4532" spans="1:13" x14ac:dyDescent="0.15">
      <c r="A4532" t="s">
        <v>27</v>
      </c>
      <c r="F4532"/>
      <c r="M4532"/>
    </row>
    <row r="4533" spans="1:13" x14ac:dyDescent="0.15">
      <c r="A4533" t="s">
        <v>27</v>
      </c>
      <c r="F4533"/>
      <c r="M4533"/>
    </row>
    <row r="4534" spans="1:13" x14ac:dyDescent="0.15">
      <c r="A4534" t="s">
        <v>27</v>
      </c>
      <c r="F4534"/>
      <c r="M4534"/>
    </row>
    <row r="4535" spans="1:13" x14ac:dyDescent="0.15">
      <c r="A4535" t="s">
        <v>27</v>
      </c>
      <c r="F4535"/>
      <c r="M4535"/>
    </row>
    <row r="4536" spans="1:13" x14ac:dyDescent="0.15">
      <c r="A4536" t="s">
        <v>27</v>
      </c>
      <c r="F4536"/>
      <c r="M4536"/>
    </row>
    <row r="4537" spans="1:13" x14ac:dyDescent="0.15">
      <c r="A4537" t="s">
        <v>27</v>
      </c>
      <c r="F4537"/>
      <c r="M4537"/>
    </row>
    <row r="4538" spans="1:13" x14ac:dyDescent="0.15">
      <c r="A4538" t="s">
        <v>27</v>
      </c>
      <c r="F4538"/>
      <c r="M4538"/>
    </row>
    <row r="4539" spans="1:13" x14ac:dyDescent="0.15">
      <c r="A4539" t="s">
        <v>27</v>
      </c>
      <c r="F4539"/>
      <c r="M4539"/>
    </row>
    <row r="4540" spans="1:13" x14ac:dyDescent="0.15">
      <c r="A4540" t="s">
        <v>27</v>
      </c>
      <c r="F4540"/>
      <c r="M4540"/>
    </row>
    <row r="4541" spans="1:13" x14ac:dyDescent="0.15">
      <c r="A4541" t="s">
        <v>27</v>
      </c>
      <c r="F4541"/>
      <c r="M4541"/>
    </row>
    <row r="4542" spans="1:13" x14ac:dyDescent="0.15">
      <c r="A4542" t="s">
        <v>27</v>
      </c>
      <c r="F4542"/>
      <c r="M4542"/>
    </row>
    <row r="4543" spans="1:13" x14ac:dyDescent="0.15">
      <c r="A4543" t="s">
        <v>27</v>
      </c>
      <c r="F4543"/>
      <c r="M4543"/>
    </row>
    <row r="4544" spans="1:13" x14ac:dyDescent="0.15">
      <c r="A4544" t="s">
        <v>27</v>
      </c>
      <c r="F4544"/>
      <c r="M4544"/>
    </row>
    <row r="4545" spans="1:13" x14ac:dyDescent="0.15">
      <c r="A4545" t="s">
        <v>27</v>
      </c>
      <c r="F4545"/>
      <c r="M4545"/>
    </row>
    <row r="4546" spans="1:13" x14ac:dyDescent="0.15">
      <c r="A4546" t="s">
        <v>27</v>
      </c>
      <c r="F4546"/>
      <c r="M4546"/>
    </row>
    <row r="4547" spans="1:13" x14ac:dyDescent="0.15">
      <c r="A4547" t="s">
        <v>27</v>
      </c>
      <c r="F4547"/>
      <c r="M4547"/>
    </row>
    <row r="4548" spans="1:13" x14ac:dyDescent="0.15">
      <c r="A4548" t="s">
        <v>27</v>
      </c>
      <c r="F4548"/>
      <c r="M4548"/>
    </row>
    <row r="4549" spans="1:13" x14ac:dyDescent="0.15">
      <c r="A4549" t="s">
        <v>27</v>
      </c>
      <c r="F4549"/>
      <c r="M4549"/>
    </row>
    <row r="4550" spans="1:13" x14ac:dyDescent="0.15">
      <c r="A4550" t="s">
        <v>27</v>
      </c>
      <c r="F4550"/>
      <c r="M4550"/>
    </row>
    <row r="4551" spans="1:13" x14ac:dyDescent="0.15">
      <c r="A4551" t="s">
        <v>27</v>
      </c>
      <c r="F4551"/>
      <c r="M4551"/>
    </row>
    <row r="4552" spans="1:13" x14ac:dyDescent="0.15">
      <c r="A4552" t="s">
        <v>27</v>
      </c>
      <c r="F4552"/>
      <c r="M4552"/>
    </row>
    <row r="4553" spans="1:13" x14ac:dyDescent="0.15">
      <c r="A4553" t="s">
        <v>27</v>
      </c>
      <c r="F4553"/>
      <c r="M4553"/>
    </row>
    <row r="4554" spans="1:13" x14ac:dyDescent="0.15">
      <c r="A4554" t="s">
        <v>27</v>
      </c>
      <c r="F4554"/>
      <c r="M4554"/>
    </row>
    <row r="4555" spans="1:13" x14ac:dyDescent="0.15">
      <c r="A4555" t="s">
        <v>27</v>
      </c>
      <c r="F4555"/>
      <c r="M4555"/>
    </row>
    <row r="4556" spans="1:13" x14ac:dyDescent="0.15">
      <c r="A4556" t="s">
        <v>27</v>
      </c>
      <c r="F4556"/>
      <c r="M4556"/>
    </row>
    <row r="4557" spans="1:13" x14ac:dyDescent="0.15">
      <c r="A4557" t="s">
        <v>27</v>
      </c>
      <c r="F4557"/>
      <c r="M4557"/>
    </row>
    <row r="4558" spans="1:13" x14ac:dyDescent="0.15">
      <c r="A4558" t="s">
        <v>27</v>
      </c>
      <c r="F4558"/>
      <c r="M4558"/>
    </row>
    <row r="4559" spans="1:13" x14ac:dyDescent="0.15">
      <c r="A4559" t="s">
        <v>27</v>
      </c>
      <c r="F4559"/>
      <c r="M4559"/>
    </row>
    <row r="4560" spans="1:13" x14ac:dyDescent="0.15">
      <c r="A4560" t="s">
        <v>27</v>
      </c>
      <c r="F4560"/>
      <c r="M4560"/>
    </row>
    <row r="4561" spans="1:13" x14ac:dyDescent="0.15">
      <c r="A4561" t="s">
        <v>27</v>
      </c>
      <c r="F4561"/>
      <c r="M4561"/>
    </row>
    <row r="4562" spans="1:13" x14ac:dyDescent="0.15">
      <c r="A4562" t="s">
        <v>27</v>
      </c>
      <c r="F4562"/>
      <c r="M4562"/>
    </row>
    <row r="4563" spans="1:13" x14ac:dyDescent="0.15">
      <c r="A4563" t="s">
        <v>27</v>
      </c>
      <c r="F4563"/>
      <c r="M4563"/>
    </row>
    <row r="4564" spans="1:13" x14ac:dyDescent="0.15">
      <c r="A4564" t="s">
        <v>27</v>
      </c>
      <c r="F4564"/>
      <c r="M4564"/>
    </row>
    <row r="4565" spans="1:13" x14ac:dyDescent="0.15">
      <c r="A4565" t="s">
        <v>27</v>
      </c>
      <c r="F4565"/>
      <c r="M4565"/>
    </row>
    <row r="4566" spans="1:13" x14ac:dyDescent="0.15">
      <c r="A4566" t="s">
        <v>27</v>
      </c>
      <c r="F4566"/>
      <c r="M4566"/>
    </row>
    <row r="4567" spans="1:13" x14ac:dyDescent="0.15">
      <c r="A4567" t="s">
        <v>27</v>
      </c>
      <c r="F4567"/>
      <c r="M4567"/>
    </row>
    <row r="4568" spans="1:13" x14ac:dyDescent="0.15">
      <c r="A4568" t="s">
        <v>27</v>
      </c>
      <c r="F4568"/>
      <c r="M4568"/>
    </row>
    <row r="4569" spans="1:13" x14ac:dyDescent="0.15">
      <c r="A4569" t="s">
        <v>27</v>
      </c>
      <c r="F4569"/>
      <c r="M4569"/>
    </row>
    <row r="4570" spans="1:13" x14ac:dyDescent="0.15">
      <c r="A4570" t="s">
        <v>27</v>
      </c>
      <c r="F4570"/>
      <c r="M4570"/>
    </row>
    <row r="4571" spans="1:13" x14ac:dyDescent="0.15">
      <c r="A4571" t="s">
        <v>27</v>
      </c>
      <c r="F4571"/>
      <c r="M4571"/>
    </row>
    <row r="4572" spans="1:13" x14ac:dyDescent="0.15">
      <c r="A4572" t="s">
        <v>27</v>
      </c>
      <c r="F4572"/>
      <c r="M4572"/>
    </row>
    <row r="4573" spans="1:13" x14ac:dyDescent="0.15">
      <c r="A4573" t="s">
        <v>27</v>
      </c>
      <c r="F4573"/>
      <c r="M4573"/>
    </row>
    <row r="4574" spans="1:13" x14ac:dyDescent="0.15">
      <c r="A4574" t="s">
        <v>27</v>
      </c>
      <c r="F4574"/>
      <c r="M4574"/>
    </row>
    <row r="4575" spans="1:13" x14ac:dyDescent="0.15">
      <c r="A4575" t="s">
        <v>27</v>
      </c>
      <c r="F4575"/>
      <c r="M4575"/>
    </row>
    <row r="4576" spans="1:13" x14ac:dyDescent="0.15">
      <c r="A4576" t="s">
        <v>27</v>
      </c>
      <c r="F4576"/>
      <c r="M4576"/>
    </row>
    <row r="4577" spans="1:13" x14ac:dyDescent="0.15">
      <c r="A4577" t="s">
        <v>27</v>
      </c>
      <c r="F4577"/>
      <c r="M4577"/>
    </row>
    <row r="4578" spans="1:13" x14ac:dyDescent="0.15">
      <c r="A4578" t="s">
        <v>27</v>
      </c>
      <c r="F4578"/>
      <c r="M4578"/>
    </row>
    <row r="4579" spans="1:13" x14ac:dyDescent="0.15">
      <c r="A4579" t="s">
        <v>27</v>
      </c>
      <c r="F4579"/>
      <c r="M4579"/>
    </row>
    <row r="4580" spans="1:13" x14ac:dyDescent="0.15">
      <c r="A4580" t="s">
        <v>27</v>
      </c>
      <c r="F4580"/>
      <c r="M4580"/>
    </row>
    <row r="4581" spans="1:13" x14ac:dyDescent="0.15">
      <c r="A4581" t="s">
        <v>27</v>
      </c>
      <c r="F4581"/>
      <c r="M4581"/>
    </row>
    <row r="4582" spans="1:13" x14ac:dyDescent="0.15">
      <c r="A4582" t="s">
        <v>27</v>
      </c>
      <c r="F4582"/>
      <c r="M4582"/>
    </row>
    <row r="4583" spans="1:13" x14ac:dyDescent="0.15">
      <c r="A4583" t="s">
        <v>27</v>
      </c>
      <c r="F4583"/>
      <c r="M4583"/>
    </row>
    <row r="4584" spans="1:13" x14ac:dyDescent="0.15">
      <c r="A4584" t="s">
        <v>27</v>
      </c>
      <c r="F4584"/>
      <c r="M4584"/>
    </row>
    <row r="4585" spans="1:13" x14ac:dyDescent="0.15">
      <c r="A4585" t="s">
        <v>27</v>
      </c>
      <c r="F4585"/>
      <c r="M4585"/>
    </row>
    <row r="4586" spans="1:13" x14ac:dyDescent="0.15">
      <c r="A4586" t="s">
        <v>27</v>
      </c>
      <c r="F4586"/>
      <c r="M4586"/>
    </row>
    <row r="4587" spans="1:13" x14ac:dyDescent="0.15">
      <c r="A4587" t="s">
        <v>27</v>
      </c>
      <c r="F4587"/>
      <c r="M4587"/>
    </row>
    <row r="4588" spans="1:13" x14ac:dyDescent="0.15">
      <c r="A4588" t="s">
        <v>27</v>
      </c>
      <c r="F4588"/>
      <c r="M4588"/>
    </row>
    <row r="4589" spans="1:13" x14ac:dyDescent="0.15">
      <c r="A4589" t="s">
        <v>27</v>
      </c>
      <c r="F4589"/>
      <c r="M4589"/>
    </row>
    <row r="4590" spans="1:13" x14ac:dyDescent="0.15">
      <c r="A4590" t="s">
        <v>27</v>
      </c>
      <c r="F4590"/>
      <c r="M4590"/>
    </row>
    <row r="4591" spans="1:13" x14ac:dyDescent="0.15">
      <c r="A4591" t="s">
        <v>27</v>
      </c>
      <c r="F4591"/>
      <c r="M4591"/>
    </row>
    <row r="4592" spans="1:13" x14ac:dyDescent="0.15">
      <c r="A4592" t="s">
        <v>27</v>
      </c>
      <c r="F4592"/>
      <c r="M4592"/>
    </row>
    <row r="4593" spans="1:13" x14ac:dyDescent="0.15">
      <c r="A4593" t="s">
        <v>27</v>
      </c>
      <c r="F4593"/>
      <c r="M4593"/>
    </row>
    <row r="4594" spans="1:13" x14ac:dyDescent="0.15">
      <c r="A4594" t="s">
        <v>27</v>
      </c>
      <c r="F4594"/>
      <c r="M4594"/>
    </row>
    <row r="4595" spans="1:13" x14ac:dyDescent="0.15">
      <c r="A4595" t="s">
        <v>27</v>
      </c>
      <c r="F4595"/>
      <c r="M4595"/>
    </row>
    <row r="4596" spans="1:13" x14ac:dyDescent="0.15">
      <c r="A4596" t="s">
        <v>27</v>
      </c>
      <c r="F4596"/>
      <c r="M4596"/>
    </row>
    <row r="4597" spans="1:13" x14ac:dyDescent="0.15">
      <c r="A4597" t="s">
        <v>27</v>
      </c>
      <c r="F4597"/>
      <c r="M4597"/>
    </row>
    <row r="4598" spans="1:13" x14ac:dyDescent="0.15">
      <c r="A4598" t="s">
        <v>27</v>
      </c>
      <c r="F4598"/>
      <c r="M4598"/>
    </row>
    <row r="4599" spans="1:13" x14ac:dyDescent="0.15">
      <c r="A4599" t="s">
        <v>27</v>
      </c>
      <c r="F4599"/>
      <c r="M4599"/>
    </row>
    <row r="4600" spans="1:13" x14ac:dyDescent="0.15">
      <c r="A4600" t="s">
        <v>27</v>
      </c>
      <c r="F4600"/>
      <c r="M4600"/>
    </row>
    <row r="4601" spans="1:13" x14ac:dyDescent="0.15">
      <c r="A4601" t="s">
        <v>27</v>
      </c>
      <c r="F4601"/>
      <c r="M4601"/>
    </row>
    <row r="4602" spans="1:13" x14ac:dyDescent="0.15">
      <c r="A4602" t="s">
        <v>27</v>
      </c>
      <c r="F4602"/>
      <c r="M4602"/>
    </row>
    <row r="4603" spans="1:13" x14ac:dyDescent="0.15">
      <c r="A4603" t="s">
        <v>27</v>
      </c>
      <c r="F4603"/>
      <c r="M4603"/>
    </row>
    <row r="4604" spans="1:13" x14ac:dyDescent="0.15">
      <c r="A4604" t="s">
        <v>27</v>
      </c>
      <c r="F4604"/>
      <c r="M4604"/>
    </row>
    <row r="4605" spans="1:13" x14ac:dyDescent="0.15">
      <c r="A4605" t="s">
        <v>27</v>
      </c>
      <c r="F4605"/>
      <c r="M4605"/>
    </row>
    <row r="4606" spans="1:13" x14ac:dyDescent="0.15">
      <c r="A4606" t="s">
        <v>27</v>
      </c>
      <c r="F4606"/>
      <c r="M4606"/>
    </row>
    <row r="4607" spans="1:13" x14ac:dyDescent="0.15">
      <c r="A4607" t="s">
        <v>27</v>
      </c>
      <c r="F4607"/>
      <c r="M4607"/>
    </row>
    <row r="4608" spans="1:13" x14ac:dyDescent="0.15">
      <c r="A4608" t="s">
        <v>27</v>
      </c>
      <c r="F4608"/>
      <c r="M4608"/>
    </row>
    <row r="4609" spans="1:13" x14ac:dyDescent="0.15">
      <c r="A4609" t="s">
        <v>27</v>
      </c>
      <c r="F4609"/>
      <c r="M4609"/>
    </row>
    <row r="4610" spans="1:13" x14ac:dyDescent="0.15">
      <c r="A4610" t="s">
        <v>27</v>
      </c>
      <c r="F4610"/>
      <c r="M4610"/>
    </row>
    <row r="4611" spans="1:13" x14ac:dyDescent="0.15">
      <c r="A4611" t="s">
        <v>27</v>
      </c>
      <c r="F4611"/>
      <c r="M4611"/>
    </row>
    <row r="4612" spans="1:13" x14ac:dyDescent="0.15">
      <c r="A4612" t="s">
        <v>27</v>
      </c>
      <c r="F4612"/>
      <c r="M4612"/>
    </row>
    <row r="4613" spans="1:13" x14ac:dyDescent="0.15">
      <c r="A4613" t="s">
        <v>27</v>
      </c>
      <c r="F4613"/>
      <c r="M4613"/>
    </row>
    <row r="4614" spans="1:13" x14ac:dyDescent="0.15">
      <c r="A4614" t="s">
        <v>27</v>
      </c>
      <c r="F4614"/>
      <c r="M4614"/>
    </row>
    <row r="4615" spans="1:13" x14ac:dyDescent="0.15">
      <c r="A4615" t="s">
        <v>27</v>
      </c>
      <c r="F4615"/>
      <c r="M4615"/>
    </row>
    <row r="4616" spans="1:13" x14ac:dyDescent="0.15">
      <c r="A4616" t="s">
        <v>27</v>
      </c>
      <c r="F4616"/>
      <c r="M4616"/>
    </row>
    <row r="4617" spans="1:13" x14ac:dyDescent="0.15">
      <c r="A4617" t="s">
        <v>27</v>
      </c>
      <c r="F4617"/>
      <c r="M4617"/>
    </row>
    <row r="4618" spans="1:13" x14ac:dyDescent="0.15">
      <c r="A4618" t="s">
        <v>27</v>
      </c>
      <c r="F4618"/>
      <c r="M4618"/>
    </row>
    <row r="4619" spans="1:13" x14ac:dyDescent="0.15">
      <c r="A4619" t="s">
        <v>27</v>
      </c>
      <c r="F4619"/>
      <c r="M4619"/>
    </row>
    <row r="4620" spans="1:13" x14ac:dyDescent="0.15">
      <c r="A4620" t="s">
        <v>27</v>
      </c>
      <c r="F4620"/>
      <c r="M4620"/>
    </row>
    <row r="4621" spans="1:13" x14ac:dyDescent="0.15">
      <c r="A4621" t="s">
        <v>27</v>
      </c>
      <c r="F4621"/>
      <c r="M4621"/>
    </row>
    <row r="4622" spans="1:13" x14ac:dyDescent="0.15">
      <c r="A4622" t="s">
        <v>27</v>
      </c>
      <c r="F4622"/>
      <c r="M4622"/>
    </row>
    <row r="4623" spans="1:13" x14ac:dyDescent="0.15">
      <c r="A4623" t="s">
        <v>27</v>
      </c>
      <c r="F4623"/>
      <c r="M4623"/>
    </row>
    <row r="4624" spans="1:13" x14ac:dyDescent="0.15">
      <c r="A4624" t="s">
        <v>27</v>
      </c>
      <c r="F4624"/>
      <c r="M4624"/>
    </row>
    <row r="4625" spans="1:13" x14ac:dyDescent="0.15">
      <c r="A4625" t="s">
        <v>27</v>
      </c>
      <c r="F4625"/>
      <c r="M4625"/>
    </row>
    <row r="4626" spans="1:13" x14ac:dyDescent="0.15">
      <c r="A4626" t="s">
        <v>27</v>
      </c>
      <c r="F4626"/>
      <c r="M4626"/>
    </row>
    <row r="4627" spans="1:13" x14ac:dyDescent="0.15">
      <c r="A4627" t="s">
        <v>27</v>
      </c>
      <c r="F4627"/>
      <c r="M4627"/>
    </row>
    <row r="4628" spans="1:13" x14ac:dyDescent="0.15">
      <c r="A4628" t="s">
        <v>27</v>
      </c>
      <c r="F4628"/>
      <c r="M4628"/>
    </row>
    <row r="4629" spans="1:13" x14ac:dyDescent="0.15">
      <c r="A4629" t="s">
        <v>27</v>
      </c>
      <c r="F4629"/>
      <c r="M4629"/>
    </row>
    <row r="4630" spans="1:13" x14ac:dyDescent="0.15">
      <c r="A4630" t="s">
        <v>27</v>
      </c>
      <c r="F4630"/>
      <c r="M4630"/>
    </row>
    <row r="4631" spans="1:13" x14ac:dyDescent="0.15">
      <c r="A4631" t="s">
        <v>27</v>
      </c>
      <c r="F4631"/>
      <c r="M4631"/>
    </row>
    <row r="4632" spans="1:13" x14ac:dyDescent="0.15">
      <c r="A4632" t="s">
        <v>27</v>
      </c>
      <c r="F4632"/>
      <c r="M4632"/>
    </row>
    <row r="4633" spans="1:13" x14ac:dyDescent="0.15">
      <c r="A4633" t="s">
        <v>27</v>
      </c>
      <c r="F4633"/>
      <c r="M4633"/>
    </row>
    <row r="4634" spans="1:13" x14ac:dyDescent="0.15">
      <c r="A4634" t="s">
        <v>27</v>
      </c>
      <c r="F4634"/>
      <c r="M4634"/>
    </row>
    <row r="4635" spans="1:13" x14ac:dyDescent="0.15">
      <c r="A4635" t="s">
        <v>27</v>
      </c>
      <c r="F4635"/>
      <c r="M4635"/>
    </row>
    <row r="4636" spans="1:13" x14ac:dyDescent="0.15">
      <c r="A4636" t="s">
        <v>27</v>
      </c>
      <c r="F4636"/>
      <c r="M4636"/>
    </row>
    <row r="4637" spans="1:13" x14ac:dyDescent="0.15">
      <c r="A4637" t="s">
        <v>27</v>
      </c>
      <c r="F4637"/>
      <c r="M4637"/>
    </row>
    <row r="4638" spans="1:13" x14ac:dyDescent="0.15">
      <c r="A4638" t="s">
        <v>27</v>
      </c>
      <c r="F4638"/>
      <c r="M4638"/>
    </row>
    <row r="4639" spans="1:13" x14ac:dyDescent="0.15">
      <c r="A4639" t="s">
        <v>27</v>
      </c>
      <c r="F4639"/>
      <c r="M4639"/>
    </row>
    <row r="4640" spans="1:13" x14ac:dyDescent="0.15">
      <c r="A4640" t="s">
        <v>27</v>
      </c>
      <c r="F4640"/>
      <c r="M4640"/>
    </row>
    <row r="4641" spans="1:13" x14ac:dyDescent="0.15">
      <c r="A4641" t="s">
        <v>27</v>
      </c>
      <c r="F4641"/>
      <c r="M4641"/>
    </row>
    <row r="4642" spans="1:13" x14ac:dyDescent="0.15">
      <c r="A4642" t="s">
        <v>27</v>
      </c>
      <c r="F4642"/>
      <c r="M4642"/>
    </row>
    <row r="4643" spans="1:13" x14ac:dyDescent="0.15">
      <c r="A4643" t="s">
        <v>27</v>
      </c>
      <c r="F4643"/>
      <c r="M4643"/>
    </row>
    <row r="4644" spans="1:13" x14ac:dyDescent="0.15">
      <c r="A4644" t="s">
        <v>27</v>
      </c>
      <c r="F4644"/>
      <c r="M4644"/>
    </row>
    <row r="4645" spans="1:13" x14ac:dyDescent="0.15">
      <c r="A4645" t="s">
        <v>27</v>
      </c>
      <c r="F4645"/>
      <c r="M4645"/>
    </row>
    <row r="4646" spans="1:13" x14ac:dyDescent="0.15">
      <c r="A4646" t="s">
        <v>27</v>
      </c>
      <c r="F4646"/>
      <c r="M4646"/>
    </row>
    <row r="4647" spans="1:13" x14ac:dyDescent="0.15">
      <c r="A4647" t="s">
        <v>27</v>
      </c>
      <c r="F4647"/>
      <c r="M4647"/>
    </row>
    <row r="4648" spans="1:13" x14ac:dyDescent="0.15">
      <c r="A4648" t="s">
        <v>27</v>
      </c>
      <c r="F4648"/>
      <c r="M4648"/>
    </row>
    <row r="4649" spans="1:13" x14ac:dyDescent="0.15">
      <c r="A4649" t="s">
        <v>27</v>
      </c>
      <c r="F4649"/>
      <c r="M4649"/>
    </row>
    <row r="4650" spans="1:13" x14ac:dyDescent="0.15">
      <c r="A4650" t="s">
        <v>27</v>
      </c>
      <c r="F4650"/>
      <c r="M4650"/>
    </row>
    <row r="4651" spans="1:13" x14ac:dyDescent="0.15">
      <c r="A4651" t="s">
        <v>27</v>
      </c>
      <c r="F4651"/>
      <c r="M4651"/>
    </row>
    <row r="4652" spans="1:13" x14ac:dyDescent="0.15">
      <c r="A4652" t="s">
        <v>27</v>
      </c>
      <c r="F4652"/>
      <c r="M4652"/>
    </row>
    <row r="4653" spans="1:13" x14ac:dyDescent="0.15">
      <c r="A4653" t="s">
        <v>27</v>
      </c>
      <c r="F4653"/>
      <c r="M4653"/>
    </row>
    <row r="4654" spans="1:13" x14ac:dyDescent="0.15">
      <c r="A4654" t="s">
        <v>27</v>
      </c>
      <c r="F4654"/>
      <c r="M4654"/>
    </row>
    <row r="4655" spans="1:13" x14ac:dyDescent="0.15">
      <c r="A4655" t="s">
        <v>27</v>
      </c>
      <c r="F4655"/>
      <c r="M4655"/>
    </row>
    <row r="4656" spans="1:13" x14ac:dyDescent="0.15">
      <c r="A4656" t="s">
        <v>27</v>
      </c>
      <c r="F4656"/>
      <c r="M4656"/>
    </row>
    <row r="4657" spans="1:13" x14ac:dyDescent="0.15">
      <c r="A4657" t="s">
        <v>27</v>
      </c>
      <c r="F4657"/>
      <c r="M4657"/>
    </row>
    <row r="4658" spans="1:13" x14ac:dyDescent="0.15">
      <c r="A4658" t="s">
        <v>27</v>
      </c>
      <c r="F4658"/>
      <c r="M4658"/>
    </row>
    <row r="4659" spans="1:13" x14ac:dyDescent="0.15">
      <c r="A4659" t="s">
        <v>27</v>
      </c>
      <c r="F4659"/>
      <c r="M4659"/>
    </row>
    <row r="4660" spans="1:13" x14ac:dyDescent="0.15">
      <c r="A4660" t="s">
        <v>27</v>
      </c>
      <c r="F4660"/>
      <c r="M4660"/>
    </row>
    <row r="4661" spans="1:13" x14ac:dyDescent="0.15">
      <c r="A4661" t="s">
        <v>27</v>
      </c>
      <c r="F4661"/>
      <c r="M4661"/>
    </row>
    <row r="4662" spans="1:13" x14ac:dyDescent="0.15">
      <c r="A4662" t="s">
        <v>27</v>
      </c>
      <c r="F4662"/>
      <c r="M4662"/>
    </row>
    <row r="4663" spans="1:13" x14ac:dyDescent="0.15">
      <c r="A4663" t="s">
        <v>27</v>
      </c>
      <c r="F4663"/>
      <c r="M4663"/>
    </row>
    <row r="4664" spans="1:13" x14ac:dyDescent="0.15">
      <c r="A4664" t="s">
        <v>27</v>
      </c>
      <c r="F4664"/>
      <c r="M4664"/>
    </row>
    <row r="4665" spans="1:13" x14ac:dyDescent="0.15">
      <c r="A4665" t="s">
        <v>27</v>
      </c>
      <c r="F4665"/>
      <c r="M4665"/>
    </row>
    <row r="4666" spans="1:13" x14ac:dyDescent="0.15">
      <c r="A4666" t="s">
        <v>27</v>
      </c>
      <c r="F4666"/>
      <c r="M4666"/>
    </row>
    <row r="4667" spans="1:13" x14ac:dyDescent="0.15">
      <c r="A4667" t="s">
        <v>27</v>
      </c>
      <c r="F4667"/>
      <c r="M4667"/>
    </row>
    <row r="4668" spans="1:13" x14ac:dyDescent="0.15">
      <c r="A4668" t="s">
        <v>27</v>
      </c>
      <c r="F4668"/>
      <c r="M4668"/>
    </row>
    <row r="4669" spans="1:13" x14ac:dyDescent="0.15">
      <c r="A4669" t="s">
        <v>27</v>
      </c>
      <c r="F4669"/>
      <c r="M4669"/>
    </row>
    <row r="4670" spans="1:13" x14ac:dyDescent="0.15">
      <c r="A4670" t="s">
        <v>27</v>
      </c>
      <c r="F4670"/>
      <c r="M4670"/>
    </row>
    <row r="4671" spans="1:13" x14ac:dyDescent="0.15">
      <c r="A4671" t="s">
        <v>27</v>
      </c>
      <c r="F4671"/>
      <c r="M4671"/>
    </row>
    <row r="4672" spans="1:13" x14ac:dyDescent="0.15">
      <c r="A4672" t="s">
        <v>27</v>
      </c>
      <c r="F4672"/>
      <c r="M4672"/>
    </row>
    <row r="4673" spans="1:13" x14ac:dyDescent="0.15">
      <c r="A4673" t="s">
        <v>27</v>
      </c>
      <c r="F4673"/>
      <c r="M4673"/>
    </row>
    <row r="4674" spans="1:13" x14ac:dyDescent="0.15">
      <c r="A4674" t="s">
        <v>27</v>
      </c>
      <c r="F4674"/>
      <c r="M4674"/>
    </row>
    <row r="4675" spans="1:13" x14ac:dyDescent="0.15">
      <c r="A4675" t="s">
        <v>27</v>
      </c>
      <c r="F4675"/>
      <c r="M4675"/>
    </row>
    <row r="4676" spans="1:13" x14ac:dyDescent="0.15">
      <c r="A4676" t="s">
        <v>27</v>
      </c>
      <c r="F4676"/>
      <c r="M4676"/>
    </row>
    <row r="4677" spans="1:13" x14ac:dyDescent="0.15">
      <c r="A4677" t="s">
        <v>27</v>
      </c>
      <c r="F4677"/>
      <c r="M4677"/>
    </row>
    <row r="4678" spans="1:13" x14ac:dyDescent="0.15">
      <c r="A4678" t="s">
        <v>27</v>
      </c>
      <c r="F4678"/>
      <c r="M4678"/>
    </row>
    <row r="4679" spans="1:13" x14ac:dyDescent="0.15">
      <c r="A4679" t="s">
        <v>27</v>
      </c>
      <c r="F4679"/>
      <c r="M4679"/>
    </row>
    <row r="4680" spans="1:13" x14ac:dyDescent="0.15">
      <c r="A4680" t="s">
        <v>27</v>
      </c>
      <c r="F4680"/>
      <c r="M4680"/>
    </row>
    <row r="4681" spans="1:13" x14ac:dyDescent="0.15">
      <c r="A4681" t="s">
        <v>27</v>
      </c>
      <c r="F4681"/>
      <c r="M4681"/>
    </row>
    <row r="4682" spans="1:13" x14ac:dyDescent="0.15">
      <c r="A4682" t="s">
        <v>27</v>
      </c>
      <c r="F4682"/>
      <c r="M4682"/>
    </row>
    <row r="4683" spans="1:13" x14ac:dyDescent="0.15">
      <c r="A4683" t="s">
        <v>27</v>
      </c>
      <c r="F4683"/>
      <c r="M4683"/>
    </row>
    <row r="4684" spans="1:13" x14ac:dyDescent="0.15">
      <c r="A4684" t="s">
        <v>27</v>
      </c>
      <c r="F4684"/>
      <c r="M4684"/>
    </row>
    <row r="4685" spans="1:13" x14ac:dyDescent="0.15">
      <c r="A4685" t="s">
        <v>27</v>
      </c>
      <c r="F4685"/>
      <c r="M4685"/>
    </row>
    <row r="4686" spans="1:13" x14ac:dyDescent="0.15">
      <c r="A4686" t="s">
        <v>27</v>
      </c>
      <c r="F4686"/>
      <c r="M4686"/>
    </row>
    <row r="4687" spans="1:13" x14ac:dyDescent="0.15">
      <c r="A4687" t="s">
        <v>27</v>
      </c>
      <c r="F4687"/>
      <c r="M4687"/>
    </row>
    <row r="4688" spans="1:13" x14ac:dyDescent="0.15">
      <c r="A4688" t="s">
        <v>27</v>
      </c>
      <c r="F4688"/>
      <c r="M4688"/>
    </row>
    <row r="4689" spans="1:13" x14ac:dyDescent="0.15">
      <c r="A4689" t="s">
        <v>27</v>
      </c>
      <c r="F4689"/>
      <c r="M4689"/>
    </row>
    <row r="4690" spans="1:13" x14ac:dyDescent="0.15">
      <c r="A4690" t="s">
        <v>27</v>
      </c>
      <c r="F4690"/>
      <c r="M4690"/>
    </row>
    <row r="4691" spans="1:13" x14ac:dyDescent="0.15">
      <c r="A4691" t="s">
        <v>27</v>
      </c>
      <c r="F4691"/>
      <c r="M4691"/>
    </row>
    <row r="4692" spans="1:13" x14ac:dyDescent="0.15">
      <c r="A4692" t="s">
        <v>27</v>
      </c>
      <c r="F4692"/>
      <c r="M4692"/>
    </row>
    <row r="4693" spans="1:13" x14ac:dyDescent="0.15">
      <c r="A4693" t="s">
        <v>27</v>
      </c>
      <c r="F4693"/>
      <c r="M4693"/>
    </row>
    <row r="4694" spans="1:13" x14ac:dyDescent="0.15">
      <c r="A4694" t="s">
        <v>27</v>
      </c>
      <c r="F4694"/>
      <c r="M4694"/>
    </row>
    <row r="4695" spans="1:13" x14ac:dyDescent="0.15">
      <c r="A4695" t="s">
        <v>27</v>
      </c>
      <c r="F4695"/>
      <c r="M4695"/>
    </row>
    <row r="4696" spans="1:13" x14ac:dyDescent="0.15">
      <c r="A4696" t="s">
        <v>27</v>
      </c>
      <c r="F4696"/>
      <c r="M4696"/>
    </row>
    <row r="4697" spans="1:13" x14ac:dyDescent="0.15">
      <c r="A4697" t="s">
        <v>27</v>
      </c>
      <c r="F4697"/>
      <c r="M4697"/>
    </row>
    <row r="4698" spans="1:13" x14ac:dyDescent="0.15">
      <c r="A4698" t="s">
        <v>27</v>
      </c>
      <c r="F4698"/>
      <c r="M4698"/>
    </row>
    <row r="4699" spans="1:13" x14ac:dyDescent="0.15">
      <c r="A4699" t="s">
        <v>27</v>
      </c>
      <c r="F4699"/>
      <c r="M4699"/>
    </row>
    <row r="4700" spans="1:13" x14ac:dyDescent="0.15">
      <c r="A4700" t="s">
        <v>27</v>
      </c>
      <c r="F4700"/>
      <c r="M4700"/>
    </row>
    <row r="4701" spans="1:13" x14ac:dyDescent="0.15">
      <c r="A4701" t="s">
        <v>27</v>
      </c>
      <c r="F4701"/>
      <c r="M4701"/>
    </row>
    <row r="4702" spans="1:13" x14ac:dyDescent="0.15">
      <c r="A4702" t="s">
        <v>27</v>
      </c>
      <c r="F4702"/>
      <c r="M4702"/>
    </row>
    <row r="4703" spans="1:13" x14ac:dyDescent="0.15">
      <c r="A4703" t="s">
        <v>27</v>
      </c>
      <c r="F4703"/>
      <c r="M4703"/>
    </row>
    <row r="4704" spans="1:13" x14ac:dyDescent="0.15">
      <c r="A4704" t="s">
        <v>27</v>
      </c>
      <c r="F4704"/>
      <c r="M4704"/>
    </row>
    <row r="4705" spans="1:13" x14ac:dyDescent="0.15">
      <c r="A4705" t="s">
        <v>27</v>
      </c>
      <c r="F4705"/>
      <c r="M4705"/>
    </row>
    <row r="4706" spans="1:13" x14ac:dyDescent="0.15">
      <c r="A4706" t="s">
        <v>27</v>
      </c>
      <c r="F4706"/>
      <c r="M4706"/>
    </row>
    <row r="4707" spans="1:13" x14ac:dyDescent="0.15">
      <c r="A4707" t="s">
        <v>27</v>
      </c>
      <c r="F4707"/>
      <c r="M4707"/>
    </row>
    <row r="4708" spans="1:13" x14ac:dyDescent="0.15">
      <c r="A4708" t="s">
        <v>27</v>
      </c>
      <c r="F4708"/>
      <c r="M4708"/>
    </row>
    <row r="4709" spans="1:13" x14ac:dyDescent="0.15">
      <c r="A4709" t="s">
        <v>27</v>
      </c>
      <c r="F4709"/>
      <c r="M4709"/>
    </row>
    <row r="4710" spans="1:13" x14ac:dyDescent="0.15">
      <c r="A4710" t="s">
        <v>27</v>
      </c>
      <c r="F4710"/>
      <c r="M4710"/>
    </row>
    <row r="4711" spans="1:13" x14ac:dyDescent="0.15">
      <c r="A4711" t="s">
        <v>27</v>
      </c>
      <c r="F4711"/>
      <c r="M4711"/>
    </row>
    <row r="4712" spans="1:13" x14ac:dyDescent="0.15">
      <c r="A4712" t="s">
        <v>27</v>
      </c>
      <c r="F4712"/>
      <c r="M4712"/>
    </row>
    <row r="4713" spans="1:13" x14ac:dyDescent="0.15">
      <c r="A4713" t="s">
        <v>27</v>
      </c>
      <c r="F4713"/>
      <c r="M4713"/>
    </row>
    <row r="4714" spans="1:13" x14ac:dyDescent="0.15">
      <c r="A4714" t="s">
        <v>27</v>
      </c>
      <c r="F4714"/>
      <c r="M4714"/>
    </row>
    <row r="4715" spans="1:13" x14ac:dyDescent="0.15">
      <c r="A4715" t="s">
        <v>27</v>
      </c>
      <c r="F4715"/>
      <c r="M4715"/>
    </row>
    <row r="4716" spans="1:13" x14ac:dyDescent="0.15">
      <c r="A4716" t="s">
        <v>27</v>
      </c>
      <c r="F4716"/>
      <c r="M4716"/>
    </row>
    <row r="4717" spans="1:13" x14ac:dyDescent="0.15">
      <c r="A4717" t="s">
        <v>27</v>
      </c>
      <c r="F4717"/>
      <c r="M4717"/>
    </row>
    <row r="4718" spans="1:13" x14ac:dyDescent="0.15">
      <c r="A4718" t="s">
        <v>27</v>
      </c>
      <c r="F4718"/>
      <c r="M4718"/>
    </row>
    <row r="4719" spans="1:13" x14ac:dyDescent="0.15">
      <c r="A4719" t="s">
        <v>27</v>
      </c>
      <c r="F4719"/>
      <c r="M4719"/>
    </row>
    <row r="4720" spans="1:13" x14ac:dyDescent="0.15">
      <c r="A4720" t="s">
        <v>27</v>
      </c>
      <c r="F4720"/>
      <c r="M4720"/>
    </row>
    <row r="4721" spans="1:13" x14ac:dyDescent="0.15">
      <c r="A4721" t="s">
        <v>27</v>
      </c>
      <c r="F4721"/>
      <c r="M4721"/>
    </row>
    <row r="4722" spans="1:13" x14ac:dyDescent="0.15">
      <c r="A4722" t="s">
        <v>27</v>
      </c>
      <c r="F4722"/>
      <c r="M4722"/>
    </row>
    <row r="4723" spans="1:13" x14ac:dyDescent="0.15">
      <c r="A4723" t="s">
        <v>27</v>
      </c>
      <c r="F4723"/>
      <c r="M4723"/>
    </row>
    <row r="4724" spans="1:13" x14ac:dyDescent="0.15">
      <c r="A4724" t="s">
        <v>27</v>
      </c>
      <c r="F4724"/>
      <c r="M4724"/>
    </row>
    <row r="4725" spans="1:13" x14ac:dyDescent="0.15">
      <c r="A4725" t="s">
        <v>27</v>
      </c>
      <c r="F4725"/>
      <c r="M4725"/>
    </row>
    <row r="4726" spans="1:13" x14ac:dyDescent="0.15">
      <c r="A4726" t="s">
        <v>27</v>
      </c>
      <c r="F4726"/>
      <c r="M4726"/>
    </row>
    <row r="4727" spans="1:13" x14ac:dyDescent="0.15">
      <c r="A4727" t="s">
        <v>27</v>
      </c>
      <c r="F4727"/>
      <c r="M4727"/>
    </row>
    <row r="4728" spans="1:13" x14ac:dyDescent="0.15">
      <c r="A4728" t="s">
        <v>27</v>
      </c>
      <c r="F4728"/>
      <c r="M4728"/>
    </row>
    <row r="4729" spans="1:13" x14ac:dyDescent="0.15">
      <c r="A4729" t="s">
        <v>27</v>
      </c>
      <c r="F4729"/>
      <c r="M4729"/>
    </row>
    <row r="4730" spans="1:13" x14ac:dyDescent="0.15">
      <c r="A4730" t="s">
        <v>27</v>
      </c>
      <c r="F4730"/>
      <c r="M4730"/>
    </row>
    <row r="4731" spans="1:13" x14ac:dyDescent="0.15">
      <c r="A4731" t="s">
        <v>27</v>
      </c>
      <c r="F4731"/>
      <c r="M4731"/>
    </row>
    <row r="4732" spans="1:13" x14ac:dyDescent="0.15">
      <c r="A4732" t="s">
        <v>27</v>
      </c>
      <c r="F4732"/>
      <c r="M4732"/>
    </row>
    <row r="4733" spans="1:13" x14ac:dyDescent="0.15">
      <c r="A4733" t="s">
        <v>27</v>
      </c>
      <c r="F4733"/>
      <c r="M4733"/>
    </row>
    <row r="4734" spans="1:13" x14ac:dyDescent="0.15">
      <c r="A4734" t="s">
        <v>27</v>
      </c>
      <c r="F4734"/>
      <c r="M4734"/>
    </row>
    <row r="4735" spans="1:13" x14ac:dyDescent="0.15">
      <c r="A4735" t="s">
        <v>27</v>
      </c>
      <c r="F4735"/>
      <c r="M4735"/>
    </row>
    <row r="4736" spans="1:13" x14ac:dyDescent="0.15">
      <c r="A4736" t="s">
        <v>27</v>
      </c>
      <c r="F4736"/>
      <c r="M4736"/>
    </row>
    <row r="4737" spans="1:13" x14ac:dyDescent="0.15">
      <c r="A4737" t="s">
        <v>27</v>
      </c>
      <c r="F4737"/>
      <c r="M4737"/>
    </row>
    <row r="4738" spans="1:13" x14ac:dyDescent="0.15">
      <c r="A4738" t="s">
        <v>27</v>
      </c>
      <c r="F4738"/>
      <c r="M4738"/>
    </row>
    <row r="4739" spans="1:13" x14ac:dyDescent="0.15">
      <c r="A4739" t="s">
        <v>27</v>
      </c>
      <c r="F4739"/>
      <c r="M4739"/>
    </row>
    <row r="4740" spans="1:13" x14ac:dyDescent="0.15">
      <c r="A4740" t="s">
        <v>27</v>
      </c>
      <c r="F4740"/>
      <c r="M4740"/>
    </row>
    <row r="4741" spans="1:13" x14ac:dyDescent="0.15">
      <c r="A4741" t="s">
        <v>27</v>
      </c>
      <c r="F4741"/>
      <c r="M4741"/>
    </row>
    <row r="4742" spans="1:13" x14ac:dyDescent="0.15">
      <c r="A4742" t="s">
        <v>27</v>
      </c>
      <c r="F4742"/>
      <c r="M4742"/>
    </row>
    <row r="4743" spans="1:13" x14ac:dyDescent="0.15">
      <c r="A4743" t="s">
        <v>27</v>
      </c>
      <c r="F4743"/>
      <c r="M4743"/>
    </row>
    <row r="4744" spans="1:13" x14ac:dyDescent="0.15">
      <c r="A4744" t="s">
        <v>27</v>
      </c>
      <c r="F4744"/>
      <c r="M4744"/>
    </row>
    <row r="4745" spans="1:13" x14ac:dyDescent="0.15">
      <c r="A4745" t="s">
        <v>27</v>
      </c>
      <c r="F4745"/>
      <c r="M4745"/>
    </row>
    <row r="4746" spans="1:13" x14ac:dyDescent="0.15">
      <c r="A4746" t="s">
        <v>27</v>
      </c>
      <c r="F4746"/>
      <c r="M4746"/>
    </row>
    <row r="4747" spans="1:13" x14ac:dyDescent="0.15">
      <c r="A4747" t="s">
        <v>27</v>
      </c>
      <c r="F4747"/>
      <c r="M4747"/>
    </row>
    <row r="4748" spans="1:13" x14ac:dyDescent="0.15">
      <c r="A4748" t="s">
        <v>27</v>
      </c>
      <c r="F4748"/>
      <c r="M4748"/>
    </row>
    <row r="4749" spans="1:13" x14ac:dyDescent="0.15">
      <c r="A4749" t="s">
        <v>27</v>
      </c>
      <c r="F4749"/>
      <c r="M4749"/>
    </row>
    <row r="4750" spans="1:13" x14ac:dyDescent="0.15">
      <c r="A4750" t="s">
        <v>27</v>
      </c>
      <c r="F4750"/>
      <c r="M4750"/>
    </row>
    <row r="4751" spans="1:13" x14ac:dyDescent="0.15">
      <c r="A4751" t="s">
        <v>27</v>
      </c>
      <c r="F4751"/>
      <c r="M4751"/>
    </row>
    <row r="4752" spans="1:13" x14ac:dyDescent="0.15">
      <c r="A4752" t="s">
        <v>27</v>
      </c>
      <c r="F4752"/>
      <c r="M4752"/>
    </row>
    <row r="4753" spans="1:13" x14ac:dyDescent="0.15">
      <c r="A4753" t="s">
        <v>27</v>
      </c>
      <c r="F4753"/>
      <c r="M4753"/>
    </row>
    <row r="4754" spans="1:13" x14ac:dyDescent="0.15">
      <c r="A4754" t="s">
        <v>27</v>
      </c>
      <c r="F4754"/>
      <c r="M4754"/>
    </row>
    <row r="4755" spans="1:13" x14ac:dyDescent="0.15">
      <c r="A4755" t="s">
        <v>27</v>
      </c>
      <c r="F4755"/>
      <c r="M4755"/>
    </row>
    <row r="4756" spans="1:13" x14ac:dyDescent="0.15">
      <c r="A4756" t="s">
        <v>27</v>
      </c>
      <c r="F4756"/>
      <c r="M4756"/>
    </row>
    <row r="4757" spans="1:13" x14ac:dyDescent="0.15">
      <c r="A4757" t="s">
        <v>27</v>
      </c>
      <c r="F4757"/>
      <c r="M4757"/>
    </row>
    <row r="4758" spans="1:13" x14ac:dyDescent="0.15">
      <c r="A4758" t="s">
        <v>27</v>
      </c>
      <c r="F4758"/>
      <c r="M4758"/>
    </row>
    <row r="4759" spans="1:13" x14ac:dyDescent="0.15">
      <c r="A4759" t="s">
        <v>27</v>
      </c>
      <c r="F4759"/>
      <c r="M4759"/>
    </row>
    <row r="4760" spans="1:13" x14ac:dyDescent="0.15">
      <c r="A4760" t="s">
        <v>27</v>
      </c>
      <c r="F4760"/>
      <c r="M4760"/>
    </row>
    <row r="4761" spans="1:13" x14ac:dyDescent="0.15">
      <c r="A4761" t="s">
        <v>27</v>
      </c>
      <c r="F4761"/>
      <c r="M4761"/>
    </row>
    <row r="4762" spans="1:13" x14ac:dyDescent="0.15">
      <c r="A4762" t="s">
        <v>27</v>
      </c>
      <c r="F4762"/>
      <c r="M4762"/>
    </row>
    <row r="4763" spans="1:13" x14ac:dyDescent="0.15">
      <c r="A4763" t="s">
        <v>27</v>
      </c>
      <c r="F4763"/>
      <c r="M4763"/>
    </row>
    <row r="4764" spans="1:13" x14ac:dyDescent="0.15">
      <c r="A4764" t="s">
        <v>27</v>
      </c>
      <c r="F4764"/>
      <c r="M4764"/>
    </row>
    <row r="4765" spans="1:13" x14ac:dyDescent="0.15">
      <c r="A4765" t="s">
        <v>27</v>
      </c>
      <c r="F4765"/>
      <c r="M4765"/>
    </row>
    <row r="4766" spans="1:13" x14ac:dyDescent="0.15">
      <c r="A4766" t="s">
        <v>27</v>
      </c>
      <c r="F4766"/>
      <c r="M4766"/>
    </row>
    <row r="4767" spans="1:13" x14ac:dyDescent="0.15">
      <c r="A4767" t="s">
        <v>27</v>
      </c>
      <c r="F4767"/>
      <c r="M4767"/>
    </row>
    <row r="4768" spans="1:13" x14ac:dyDescent="0.15">
      <c r="A4768" t="s">
        <v>27</v>
      </c>
      <c r="F4768"/>
      <c r="M4768"/>
    </row>
    <row r="4769" spans="1:13" x14ac:dyDescent="0.15">
      <c r="A4769" t="s">
        <v>27</v>
      </c>
      <c r="F4769"/>
      <c r="M4769"/>
    </row>
    <row r="4770" spans="1:13" x14ac:dyDescent="0.15">
      <c r="A4770" t="s">
        <v>27</v>
      </c>
      <c r="F4770"/>
      <c r="M4770"/>
    </row>
    <row r="4771" spans="1:13" x14ac:dyDescent="0.15">
      <c r="A4771" t="s">
        <v>27</v>
      </c>
      <c r="F4771"/>
      <c r="M4771"/>
    </row>
    <row r="4772" spans="1:13" x14ac:dyDescent="0.15">
      <c r="A4772" t="s">
        <v>27</v>
      </c>
      <c r="F4772"/>
      <c r="M4772"/>
    </row>
    <row r="4773" spans="1:13" x14ac:dyDescent="0.15">
      <c r="A4773" t="s">
        <v>27</v>
      </c>
      <c r="F4773"/>
      <c r="M4773"/>
    </row>
    <row r="4774" spans="1:13" x14ac:dyDescent="0.15">
      <c r="A4774" t="s">
        <v>27</v>
      </c>
      <c r="F4774"/>
      <c r="M4774"/>
    </row>
    <row r="4775" spans="1:13" x14ac:dyDescent="0.15">
      <c r="A4775" t="s">
        <v>27</v>
      </c>
      <c r="F4775"/>
      <c r="M4775"/>
    </row>
    <row r="4776" spans="1:13" x14ac:dyDescent="0.15">
      <c r="A4776" t="s">
        <v>27</v>
      </c>
      <c r="F4776"/>
      <c r="M4776"/>
    </row>
    <row r="4777" spans="1:13" x14ac:dyDescent="0.15">
      <c r="A4777" t="s">
        <v>27</v>
      </c>
      <c r="F4777"/>
      <c r="M4777"/>
    </row>
    <row r="4778" spans="1:13" x14ac:dyDescent="0.15">
      <c r="A4778" t="s">
        <v>27</v>
      </c>
      <c r="F4778"/>
      <c r="M4778"/>
    </row>
    <row r="4779" spans="1:13" x14ac:dyDescent="0.15">
      <c r="A4779" t="s">
        <v>27</v>
      </c>
      <c r="F4779"/>
      <c r="M4779"/>
    </row>
    <row r="4780" spans="1:13" x14ac:dyDescent="0.15">
      <c r="A4780" t="s">
        <v>27</v>
      </c>
      <c r="F4780"/>
      <c r="M4780"/>
    </row>
    <row r="4781" spans="1:13" x14ac:dyDescent="0.15">
      <c r="A4781" t="s">
        <v>27</v>
      </c>
      <c r="F4781"/>
      <c r="M4781"/>
    </row>
    <row r="4782" spans="1:13" x14ac:dyDescent="0.15">
      <c r="A4782" t="s">
        <v>27</v>
      </c>
      <c r="F4782"/>
      <c r="M4782"/>
    </row>
    <row r="4783" spans="1:13" x14ac:dyDescent="0.15">
      <c r="A4783" t="s">
        <v>27</v>
      </c>
      <c r="F4783"/>
      <c r="M4783"/>
    </row>
    <row r="4784" spans="1:13" x14ac:dyDescent="0.15">
      <c r="A4784" t="s">
        <v>27</v>
      </c>
      <c r="F4784"/>
      <c r="M4784"/>
    </row>
    <row r="4785" spans="1:13" x14ac:dyDescent="0.15">
      <c r="A4785" t="s">
        <v>27</v>
      </c>
      <c r="F4785"/>
      <c r="M4785"/>
    </row>
    <row r="4786" spans="1:13" x14ac:dyDescent="0.15">
      <c r="A4786" t="s">
        <v>27</v>
      </c>
      <c r="F4786"/>
      <c r="M4786"/>
    </row>
    <row r="4787" spans="1:13" x14ac:dyDescent="0.15">
      <c r="A4787" t="s">
        <v>27</v>
      </c>
      <c r="F4787"/>
      <c r="M4787"/>
    </row>
    <row r="4788" spans="1:13" x14ac:dyDescent="0.15">
      <c r="A4788" t="s">
        <v>27</v>
      </c>
      <c r="F4788"/>
      <c r="M4788"/>
    </row>
    <row r="4789" spans="1:13" x14ac:dyDescent="0.15">
      <c r="A4789" t="s">
        <v>27</v>
      </c>
      <c r="F4789"/>
      <c r="M4789"/>
    </row>
    <row r="4790" spans="1:13" x14ac:dyDescent="0.15">
      <c r="A4790" t="s">
        <v>27</v>
      </c>
      <c r="F4790"/>
      <c r="M4790"/>
    </row>
    <row r="4791" spans="1:13" x14ac:dyDescent="0.15">
      <c r="A4791" t="s">
        <v>27</v>
      </c>
      <c r="F4791"/>
      <c r="M4791"/>
    </row>
    <row r="4792" spans="1:13" x14ac:dyDescent="0.15">
      <c r="A4792" t="s">
        <v>27</v>
      </c>
      <c r="F4792"/>
      <c r="M4792"/>
    </row>
    <row r="4793" spans="1:13" x14ac:dyDescent="0.15">
      <c r="A4793" t="s">
        <v>27</v>
      </c>
      <c r="F4793"/>
      <c r="M4793"/>
    </row>
    <row r="4794" spans="1:13" x14ac:dyDescent="0.15">
      <c r="A4794" t="s">
        <v>27</v>
      </c>
      <c r="F4794"/>
      <c r="M4794"/>
    </row>
    <row r="4795" spans="1:13" x14ac:dyDescent="0.15">
      <c r="A4795" t="s">
        <v>27</v>
      </c>
      <c r="F4795"/>
      <c r="M4795"/>
    </row>
    <row r="4796" spans="1:13" x14ac:dyDescent="0.15">
      <c r="A4796" t="s">
        <v>27</v>
      </c>
      <c r="F4796"/>
      <c r="M4796"/>
    </row>
    <row r="4797" spans="1:13" x14ac:dyDescent="0.15">
      <c r="A4797" t="s">
        <v>27</v>
      </c>
      <c r="F4797"/>
      <c r="M4797"/>
    </row>
    <row r="4798" spans="1:13" x14ac:dyDescent="0.15">
      <c r="A4798" t="s">
        <v>27</v>
      </c>
      <c r="F4798"/>
      <c r="M4798"/>
    </row>
    <row r="4799" spans="1:13" x14ac:dyDescent="0.15">
      <c r="A4799" t="s">
        <v>27</v>
      </c>
      <c r="F4799"/>
      <c r="M4799"/>
    </row>
    <row r="4800" spans="1:13" x14ac:dyDescent="0.15">
      <c r="A4800" t="s">
        <v>27</v>
      </c>
      <c r="F4800"/>
      <c r="M4800"/>
    </row>
    <row r="4801" spans="1:13" x14ac:dyDescent="0.15">
      <c r="A4801" t="s">
        <v>27</v>
      </c>
      <c r="F4801"/>
      <c r="M4801"/>
    </row>
    <row r="4802" spans="1:13" x14ac:dyDescent="0.15">
      <c r="A4802" t="s">
        <v>27</v>
      </c>
      <c r="F4802"/>
      <c r="M4802"/>
    </row>
    <row r="4803" spans="1:13" x14ac:dyDescent="0.15">
      <c r="A4803" t="s">
        <v>27</v>
      </c>
      <c r="F4803"/>
      <c r="M4803"/>
    </row>
    <row r="4804" spans="1:13" x14ac:dyDescent="0.15">
      <c r="A4804" t="s">
        <v>27</v>
      </c>
      <c r="F4804"/>
      <c r="M4804"/>
    </row>
    <row r="4805" spans="1:13" x14ac:dyDescent="0.15">
      <c r="A4805" t="s">
        <v>27</v>
      </c>
      <c r="F4805"/>
      <c r="M4805"/>
    </row>
    <row r="4806" spans="1:13" x14ac:dyDescent="0.15">
      <c r="A4806" t="s">
        <v>27</v>
      </c>
      <c r="F4806"/>
      <c r="M4806"/>
    </row>
    <row r="4807" spans="1:13" x14ac:dyDescent="0.15">
      <c r="A4807" t="s">
        <v>27</v>
      </c>
      <c r="F4807"/>
      <c r="M4807"/>
    </row>
    <row r="4808" spans="1:13" x14ac:dyDescent="0.15">
      <c r="A4808" t="s">
        <v>27</v>
      </c>
      <c r="F4808"/>
      <c r="M4808"/>
    </row>
    <row r="4809" spans="1:13" x14ac:dyDescent="0.15">
      <c r="A4809" t="s">
        <v>27</v>
      </c>
      <c r="F4809"/>
      <c r="M4809"/>
    </row>
    <row r="4810" spans="1:13" x14ac:dyDescent="0.15">
      <c r="A4810" t="s">
        <v>27</v>
      </c>
      <c r="F4810"/>
      <c r="M4810"/>
    </row>
    <row r="4811" spans="1:13" x14ac:dyDescent="0.15">
      <c r="A4811" t="s">
        <v>27</v>
      </c>
      <c r="F4811"/>
      <c r="M4811"/>
    </row>
    <row r="4812" spans="1:13" x14ac:dyDescent="0.15">
      <c r="A4812" t="s">
        <v>27</v>
      </c>
      <c r="F4812"/>
      <c r="M4812"/>
    </row>
    <row r="4813" spans="1:13" x14ac:dyDescent="0.15">
      <c r="A4813" t="s">
        <v>27</v>
      </c>
      <c r="F4813"/>
      <c r="M4813"/>
    </row>
    <row r="4814" spans="1:13" x14ac:dyDescent="0.15">
      <c r="A4814" t="s">
        <v>27</v>
      </c>
      <c r="F4814"/>
      <c r="M4814"/>
    </row>
    <row r="4815" spans="1:13" x14ac:dyDescent="0.15">
      <c r="A4815" t="s">
        <v>27</v>
      </c>
      <c r="F4815"/>
      <c r="M4815"/>
    </row>
    <row r="4816" spans="1:13" x14ac:dyDescent="0.15">
      <c r="A4816" t="s">
        <v>27</v>
      </c>
      <c r="F4816"/>
      <c r="M4816"/>
    </row>
    <row r="4817" spans="1:13" x14ac:dyDescent="0.15">
      <c r="A4817" t="s">
        <v>27</v>
      </c>
      <c r="F4817"/>
      <c r="M4817"/>
    </row>
    <row r="4818" spans="1:13" x14ac:dyDescent="0.15">
      <c r="A4818" t="s">
        <v>27</v>
      </c>
      <c r="F4818"/>
      <c r="M4818"/>
    </row>
    <row r="4819" spans="1:13" x14ac:dyDescent="0.15">
      <c r="A4819" t="s">
        <v>28</v>
      </c>
      <c r="F4819"/>
      <c r="M4819"/>
    </row>
    <row r="4820" spans="1:13" x14ac:dyDescent="0.15">
      <c r="A4820" t="s">
        <v>28</v>
      </c>
      <c r="F4820"/>
      <c r="M4820"/>
    </row>
    <row r="4821" spans="1:13" x14ac:dyDescent="0.15">
      <c r="A4821" t="s">
        <v>28</v>
      </c>
      <c r="F4821"/>
      <c r="M4821"/>
    </row>
    <row r="4822" spans="1:13" x14ac:dyDescent="0.15">
      <c r="A4822" t="s">
        <v>28</v>
      </c>
      <c r="F4822"/>
      <c r="M4822"/>
    </row>
    <row r="4823" spans="1:13" x14ac:dyDescent="0.15">
      <c r="A4823" t="s">
        <v>28</v>
      </c>
      <c r="F4823"/>
      <c r="M4823"/>
    </row>
    <row r="4824" spans="1:13" x14ac:dyDescent="0.15">
      <c r="A4824" t="s">
        <v>28</v>
      </c>
      <c r="F4824"/>
      <c r="M4824"/>
    </row>
    <row r="4825" spans="1:13" x14ac:dyDescent="0.15">
      <c r="A4825" t="s">
        <v>28</v>
      </c>
      <c r="F4825"/>
      <c r="M4825"/>
    </row>
    <row r="4826" spans="1:13" x14ac:dyDescent="0.15">
      <c r="A4826" t="s">
        <v>28</v>
      </c>
      <c r="F4826"/>
      <c r="M4826"/>
    </row>
    <row r="4827" spans="1:13" x14ac:dyDescent="0.15">
      <c r="A4827" t="s">
        <v>28</v>
      </c>
      <c r="F4827"/>
      <c r="M4827"/>
    </row>
    <row r="4828" spans="1:13" x14ac:dyDescent="0.15">
      <c r="A4828" t="s">
        <v>28</v>
      </c>
      <c r="F4828"/>
      <c r="M4828"/>
    </row>
    <row r="4829" spans="1:13" x14ac:dyDescent="0.15">
      <c r="A4829" t="s">
        <v>28</v>
      </c>
      <c r="F4829"/>
      <c r="M4829"/>
    </row>
    <row r="4830" spans="1:13" x14ac:dyDescent="0.15">
      <c r="A4830" t="s">
        <v>28</v>
      </c>
      <c r="F4830"/>
      <c r="M4830"/>
    </row>
    <row r="4831" spans="1:13" x14ac:dyDescent="0.15">
      <c r="A4831" t="s">
        <v>28</v>
      </c>
      <c r="F4831"/>
      <c r="M4831"/>
    </row>
    <row r="4832" spans="1:13" x14ac:dyDescent="0.15">
      <c r="A4832" t="s">
        <v>28</v>
      </c>
      <c r="F4832"/>
      <c r="M4832"/>
    </row>
    <row r="4833" spans="1:13" x14ac:dyDescent="0.15">
      <c r="A4833" t="s">
        <v>28</v>
      </c>
      <c r="F4833"/>
      <c r="M4833"/>
    </row>
    <row r="4834" spans="1:13" x14ac:dyDescent="0.15">
      <c r="A4834" t="s">
        <v>28</v>
      </c>
      <c r="F4834"/>
      <c r="M4834"/>
    </row>
    <row r="4835" spans="1:13" x14ac:dyDescent="0.15">
      <c r="A4835" t="s">
        <v>28</v>
      </c>
      <c r="F4835"/>
      <c r="M4835"/>
    </row>
    <row r="4836" spans="1:13" x14ac:dyDescent="0.15">
      <c r="A4836" t="s">
        <v>28</v>
      </c>
      <c r="F4836"/>
      <c r="M4836"/>
    </row>
    <row r="4837" spans="1:13" x14ac:dyDescent="0.15">
      <c r="A4837" t="s">
        <v>28</v>
      </c>
      <c r="F4837"/>
      <c r="M4837"/>
    </row>
    <row r="4838" spans="1:13" x14ac:dyDescent="0.15">
      <c r="A4838" t="s">
        <v>28</v>
      </c>
      <c r="F4838"/>
      <c r="M4838"/>
    </row>
    <row r="4839" spans="1:13" x14ac:dyDescent="0.15">
      <c r="A4839" t="s">
        <v>28</v>
      </c>
      <c r="F4839"/>
      <c r="M4839"/>
    </row>
    <row r="4840" spans="1:13" x14ac:dyDescent="0.15">
      <c r="A4840" t="s">
        <v>28</v>
      </c>
      <c r="F4840"/>
      <c r="M4840"/>
    </row>
    <row r="4841" spans="1:13" x14ac:dyDescent="0.15">
      <c r="A4841" t="s">
        <v>28</v>
      </c>
      <c r="F4841"/>
      <c r="M4841"/>
    </row>
    <row r="4842" spans="1:13" x14ac:dyDescent="0.15">
      <c r="A4842" t="s">
        <v>28</v>
      </c>
      <c r="F4842"/>
      <c r="M4842"/>
    </row>
    <row r="4843" spans="1:13" x14ac:dyDescent="0.15">
      <c r="A4843" t="s">
        <v>28</v>
      </c>
      <c r="F4843"/>
      <c r="M4843"/>
    </row>
    <row r="4844" spans="1:13" x14ac:dyDescent="0.15">
      <c r="A4844" t="s">
        <v>28</v>
      </c>
      <c r="F4844"/>
      <c r="M4844"/>
    </row>
    <row r="4845" spans="1:13" x14ac:dyDescent="0.15">
      <c r="A4845" t="s">
        <v>28</v>
      </c>
      <c r="F4845"/>
      <c r="M4845"/>
    </row>
    <row r="4846" spans="1:13" x14ac:dyDescent="0.15">
      <c r="A4846" t="s">
        <v>28</v>
      </c>
      <c r="F4846"/>
      <c r="M4846"/>
    </row>
    <row r="4847" spans="1:13" x14ac:dyDescent="0.15">
      <c r="A4847" t="s">
        <v>28</v>
      </c>
      <c r="F4847"/>
      <c r="M4847"/>
    </row>
    <row r="4848" spans="1:13" x14ac:dyDescent="0.15">
      <c r="A4848" t="s">
        <v>28</v>
      </c>
      <c r="F4848"/>
      <c r="M4848"/>
    </row>
    <row r="4849" spans="1:13" x14ac:dyDescent="0.15">
      <c r="A4849" t="s">
        <v>28</v>
      </c>
      <c r="F4849"/>
      <c r="M4849"/>
    </row>
    <row r="4850" spans="1:13" x14ac:dyDescent="0.15">
      <c r="A4850" t="s">
        <v>28</v>
      </c>
      <c r="F4850"/>
      <c r="M4850"/>
    </row>
    <row r="4851" spans="1:13" x14ac:dyDescent="0.15">
      <c r="A4851" t="s">
        <v>28</v>
      </c>
      <c r="F4851"/>
      <c r="M4851"/>
    </row>
    <row r="4852" spans="1:13" x14ac:dyDescent="0.15">
      <c r="A4852" t="s">
        <v>28</v>
      </c>
      <c r="F4852"/>
      <c r="M4852"/>
    </row>
    <row r="4853" spans="1:13" x14ac:dyDescent="0.15">
      <c r="A4853" t="s">
        <v>28</v>
      </c>
      <c r="F4853"/>
      <c r="M4853"/>
    </row>
    <row r="4854" spans="1:13" x14ac:dyDescent="0.15">
      <c r="A4854" t="s">
        <v>28</v>
      </c>
      <c r="F4854"/>
      <c r="M4854"/>
    </row>
    <row r="4855" spans="1:13" x14ac:dyDescent="0.15">
      <c r="A4855" t="s">
        <v>28</v>
      </c>
      <c r="F4855"/>
      <c r="M4855"/>
    </row>
    <row r="4856" spans="1:13" x14ac:dyDescent="0.15">
      <c r="A4856" t="s">
        <v>28</v>
      </c>
      <c r="F4856"/>
      <c r="M4856"/>
    </row>
    <row r="4857" spans="1:13" x14ac:dyDescent="0.15">
      <c r="A4857" t="s">
        <v>28</v>
      </c>
      <c r="F4857"/>
      <c r="M4857"/>
    </row>
    <row r="4858" spans="1:13" x14ac:dyDescent="0.15">
      <c r="A4858" t="s">
        <v>28</v>
      </c>
      <c r="F4858"/>
      <c r="M4858"/>
    </row>
    <row r="4859" spans="1:13" x14ac:dyDescent="0.15">
      <c r="A4859" t="s">
        <v>28</v>
      </c>
      <c r="F4859"/>
      <c r="M4859"/>
    </row>
    <row r="4860" spans="1:13" x14ac:dyDescent="0.15">
      <c r="A4860" t="s">
        <v>28</v>
      </c>
      <c r="F4860"/>
      <c r="M4860"/>
    </row>
    <row r="4861" spans="1:13" x14ac:dyDescent="0.15">
      <c r="A4861" t="s">
        <v>28</v>
      </c>
      <c r="F4861"/>
      <c r="M4861"/>
    </row>
    <row r="4862" spans="1:13" x14ac:dyDescent="0.15">
      <c r="A4862" t="s">
        <v>28</v>
      </c>
      <c r="F4862"/>
      <c r="M4862"/>
    </row>
    <row r="4863" spans="1:13" x14ac:dyDescent="0.15">
      <c r="A4863" t="s">
        <v>28</v>
      </c>
      <c r="F4863"/>
      <c r="M4863"/>
    </row>
    <row r="4864" spans="1:13" x14ac:dyDescent="0.15">
      <c r="A4864" t="s">
        <v>28</v>
      </c>
      <c r="F4864"/>
      <c r="M4864"/>
    </row>
    <row r="4865" spans="1:13" x14ac:dyDescent="0.15">
      <c r="A4865" t="s">
        <v>28</v>
      </c>
      <c r="F4865"/>
      <c r="M4865"/>
    </row>
    <row r="4866" spans="1:13" x14ac:dyDescent="0.15">
      <c r="A4866" t="s">
        <v>28</v>
      </c>
      <c r="F4866"/>
      <c r="M4866"/>
    </row>
    <row r="4867" spans="1:13" x14ac:dyDescent="0.15">
      <c r="A4867" t="s">
        <v>28</v>
      </c>
      <c r="F4867"/>
      <c r="M4867"/>
    </row>
    <row r="4868" spans="1:13" x14ac:dyDescent="0.15">
      <c r="A4868" t="s">
        <v>28</v>
      </c>
      <c r="F4868"/>
      <c r="M4868"/>
    </row>
    <row r="4869" spans="1:13" x14ac:dyDescent="0.15">
      <c r="A4869" t="s">
        <v>28</v>
      </c>
      <c r="F4869"/>
      <c r="M4869"/>
    </row>
    <row r="4870" spans="1:13" x14ac:dyDescent="0.15">
      <c r="A4870" t="s">
        <v>28</v>
      </c>
      <c r="F4870"/>
      <c r="M4870"/>
    </row>
    <row r="4871" spans="1:13" x14ac:dyDescent="0.15">
      <c r="A4871" t="s">
        <v>28</v>
      </c>
      <c r="F4871"/>
      <c r="M4871"/>
    </row>
    <row r="4872" spans="1:13" x14ac:dyDescent="0.15">
      <c r="A4872" t="s">
        <v>28</v>
      </c>
      <c r="F4872"/>
      <c r="M4872"/>
    </row>
    <row r="4873" spans="1:13" x14ac:dyDescent="0.15">
      <c r="A4873" t="s">
        <v>28</v>
      </c>
      <c r="F4873"/>
      <c r="M4873"/>
    </row>
    <row r="4874" spans="1:13" x14ac:dyDescent="0.15">
      <c r="A4874" t="s">
        <v>28</v>
      </c>
      <c r="F4874"/>
      <c r="M4874"/>
    </row>
    <row r="4875" spans="1:13" x14ac:dyDescent="0.15">
      <c r="A4875" t="s">
        <v>28</v>
      </c>
      <c r="F4875"/>
      <c r="M4875"/>
    </row>
    <row r="4876" spans="1:13" x14ac:dyDescent="0.15">
      <c r="A4876" t="s">
        <v>28</v>
      </c>
      <c r="F4876"/>
      <c r="M4876"/>
    </row>
    <row r="4877" spans="1:13" x14ac:dyDescent="0.15">
      <c r="A4877" t="s">
        <v>28</v>
      </c>
      <c r="F4877"/>
      <c r="M4877"/>
    </row>
    <row r="4878" spans="1:13" x14ac:dyDescent="0.15">
      <c r="A4878" t="s">
        <v>28</v>
      </c>
      <c r="F4878"/>
      <c r="M4878"/>
    </row>
    <row r="4879" spans="1:13" x14ac:dyDescent="0.15">
      <c r="A4879" t="s">
        <v>28</v>
      </c>
      <c r="F4879"/>
      <c r="M4879"/>
    </row>
    <row r="4880" spans="1:13" x14ac:dyDescent="0.15">
      <c r="A4880" t="s">
        <v>28</v>
      </c>
      <c r="F4880"/>
      <c r="M4880"/>
    </row>
    <row r="4881" spans="1:13" x14ac:dyDescent="0.15">
      <c r="A4881" t="s">
        <v>28</v>
      </c>
      <c r="F4881"/>
      <c r="M4881"/>
    </row>
    <row r="4882" spans="1:13" x14ac:dyDescent="0.15">
      <c r="A4882" t="s">
        <v>28</v>
      </c>
      <c r="F4882"/>
      <c r="M4882"/>
    </row>
    <row r="4883" spans="1:13" x14ac:dyDescent="0.15">
      <c r="A4883" t="s">
        <v>28</v>
      </c>
      <c r="F4883"/>
      <c r="M4883"/>
    </row>
    <row r="4884" spans="1:13" x14ac:dyDescent="0.15">
      <c r="A4884" t="s">
        <v>28</v>
      </c>
      <c r="F4884"/>
      <c r="M4884"/>
    </row>
    <row r="4885" spans="1:13" x14ac:dyDescent="0.15">
      <c r="A4885" t="s">
        <v>28</v>
      </c>
      <c r="F4885"/>
      <c r="M4885"/>
    </row>
    <row r="4886" spans="1:13" x14ac:dyDescent="0.15">
      <c r="A4886" t="s">
        <v>28</v>
      </c>
      <c r="F4886"/>
      <c r="M4886"/>
    </row>
    <row r="4887" spans="1:13" x14ac:dyDescent="0.15">
      <c r="A4887" t="s">
        <v>28</v>
      </c>
      <c r="F4887"/>
      <c r="M4887"/>
    </row>
    <row r="4888" spans="1:13" x14ac:dyDescent="0.15">
      <c r="A4888" t="s">
        <v>28</v>
      </c>
      <c r="F4888"/>
      <c r="M4888"/>
    </row>
    <row r="4889" spans="1:13" x14ac:dyDescent="0.15">
      <c r="A4889" t="s">
        <v>28</v>
      </c>
      <c r="F4889"/>
      <c r="M4889"/>
    </row>
    <row r="4890" spans="1:13" x14ac:dyDescent="0.15">
      <c r="A4890" t="s">
        <v>28</v>
      </c>
      <c r="F4890"/>
      <c r="M4890"/>
    </row>
    <row r="4891" spans="1:13" x14ac:dyDescent="0.15">
      <c r="A4891" t="s">
        <v>28</v>
      </c>
      <c r="F4891"/>
      <c r="M4891"/>
    </row>
    <row r="4892" spans="1:13" x14ac:dyDescent="0.15">
      <c r="A4892" t="s">
        <v>28</v>
      </c>
      <c r="F4892"/>
      <c r="M4892"/>
    </row>
    <row r="4893" spans="1:13" x14ac:dyDescent="0.15">
      <c r="A4893" t="s">
        <v>28</v>
      </c>
      <c r="F4893"/>
      <c r="M4893"/>
    </row>
    <row r="4894" spans="1:13" x14ac:dyDescent="0.15">
      <c r="A4894" t="s">
        <v>28</v>
      </c>
      <c r="F4894"/>
      <c r="M4894"/>
    </row>
    <row r="4895" spans="1:13" x14ac:dyDescent="0.15">
      <c r="A4895" t="s">
        <v>28</v>
      </c>
      <c r="F4895"/>
      <c r="M4895"/>
    </row>
    <row r="4896" spans="1:13" x14ac:dyDescent="0.15">
      <c r="A4896" t="s">
        <v>28</v>
      </c>
      <c r="F4896"/>
      <c r="M4896"/>
    </row>
    <row r="4897" spans="1:13" x14ac:dyDescent="0.15">
      <c r="A4897" t="s">
        <v>28</v>
      </c>
      <c r="F4897"/>
      <c r="M4897"/>
    </row>
    <row r="4898" spans="1:13" x14ac:dyDescent="0.15">
      <c r="A4898" t="s">
        <v>28</v>
      </c>
      <c r="F4898"/>
      <c r="M4898"/>
    </row>
    <row r="4899" spans="1:13" x14ac:dyDescent="0.15">
      <c r="A4899" t="s">
        <v>28</v>
      </c>
      <c r="F4899"/>
      <c r="M4899"/>
    </row>
    <row r="4900" spans="1:13" x14ac:dyDescent="0.15">
      <c r="A4900" t="s">
        <v>28</v>
      </c>
      <c r="F4900"/>
      <c r="M4900"/>
    </row>
    <row r="4901" spans="1:13" x14ac:dyDescent="0.15">
      <c r="A4901" t="s">
        <v>28</v>
      </c>
      <c r="F4901"/>
      <c r="M4901"/>
    </row>
    <row r="4902" spans="1:13" x14ac:dyDescent="0.15">
      <c r="A4902" t="s">
        <v>28</v>
      </c>
      <c r="F4902"/>
      <c r="M4902"/>
    </row>
    <row r="4903" spans="1:13" x14ac:dyDescent="0.15">
      <c r="A4903" t="s">
        <v>28</v>
      </c>
      <c r="F4903"/>
      <c r="M4903"/>
    </row>
    <row r="4904" spans="1:13" x14ac:dyDescent="0.15">
      <c r="A4904" t="s">
        <v>28</v>
      </c>
      <c r="F4904"/>
      <c r="M4904"/>
    </row>
    <row r="4905" spans="1:13" x14ac:dyDescent="0.15">
      <c r="A4905" t="s">
        <v>28</v>
      </c>
      <c r="F4905"/>
      <c r="M4905"/>
    </row>
    <row r="4906" spans="1:13" x14ac:dyDescent="0.15">
      <c r="A4906" t="s">
        <v>28</v>
      </c>
      <c r="F4906"/>
      <c r="M4906"/>
    </row>
    <row r="4907" spans="1:13" x14ac:dyDescent="0.15">
      <c r="A4907" t="s">
        <v>28</v>
      </c>
      <c r="F4907"/>
      <c r="M4907"/>
    </row>
    <row r="4908" spans="1:13" x14ac:dyDescent="0.15">
      <c r="A4908" t="s">
        <v>28</v>
      </c>
      <c r="F4908"/>
      <c r="M4908"/>
    </row>
    <row r="4909" spans="1:13" x14ac:dyDescent="0.15">
      <c r="A4909" t="s">
        <v>28</v>
      </c>
      <c r="F4909"/>
      <c r="M4909"/>
    </row>
    <row r="4910" spans="1:13" x14ac:dyDescent="0.15">
      <c r="A4910" t="s">
        <v>28</v>
      </c>
      <c r="F4910"/>
      <c r="M4910"/>
    </row>
    <row r="4911" spans="1:13" x14ac:dyDescent="0.15">
      <c r="A4911" t="s">
        <v>28</v>
      </c>
      <c r="F4911"/>
      <c r="M4911"/>
    </row>
    <row r="4912" spans="1:13" x14ac:dyDescent="0.15">
      <c r="A4912" t="s">
        <v>28</v>
      </c>
      <c r="F4912"/>
      <c r="M4912"/>
    </row>
    <row r="4913" spans="1:13" x14ac:dyDescent="0.15">
      <c r="A4913" t="s">
        <v>28</v>
      </c>
      <c r="F4913"/>
      <c r="M4913"/>
    </row>
    <row r="4914" spans="1:13" x14ac:dyDescent="0.15">
      <c r="A4914" t="s">
        <v>28</v>
      </c>
      <c r="F4914"/>
      <c r="M4914"/>
    </row>
    <row r="4915" spans="1:13" x14ac:dyDescent="0.15">
      <c r="A4915" t="s">
        <v>28</v>
      </c>
      <c r="F4915"/>
      <c r="M4915"/>
    </row>
    <row r="4916" spans="1:13" x14ac:dyDescent="0.15">
      <c r="A4916" t="s">
        <v>28</v>
      </c>
      <c r="F4916"/>
      <c r="M4916"/>
    </row>
    <row r="4917" spans="1:13" x14ac:dyDescent="0.15">
      <c r="A4917" t="s">
        <v>28</v>
      </c>
      <c r="F4917"/>
      <c r="M4917"/>
    </row>
    <row r="4918" spans="1:13" x14ac:dyDescent="0.15">
      <c r="A4918" t="s">
        <v>28</v>
      </c>
      <c r="F4918"/>
      <c r="M4918"/>
    </row>
    <row r="4919" spans="1:13" x14ac:dyDescent="0.15">
      <c r="A4919" t="s">
        <v>28</v>
      </c>
      <c r="F4919"/>
      <c r="M4919"/>
    </row>
    <row r="4920" spans="1:13" x14ac:dyDescent="0.15">
      <c r="A4920" t="s">
        <v>28</v>
      </c>
      <c r="F4920"/>
      <c r="M4920"/>
    </row>
    <row r="4921" spans="1:13" x14ac:dyDescent="0.15">
      <c r="A4921" t="s">
        <v>28</v>
      </c>
      <c r="F4921"/>
      <c r="M4921"/>
    </row>
    <row r="4922" spans="1:13" x14ac:dyDescent="0.15">
      <c r="A4922" t="s">
        <v>28</v>
      </c>
      <c r="F4922"/>
      <c r="M4922"/>
    </row>
    <row r="4923" spans="1:13" x14ac:dyDescent="0.15">
      <c r="A4923" t="s">
        <v>28</v>
      </c>
      <c r="F4923"/>
      <c r="M4923"/>
    </row>
    <row r="4924" spans="1:13" x14ac:dyDescent="0.15">
      <c r="A4924" t="s">
        <v>28</v>
      </c>
      <c r="F4924"/>
      <c r="M4924"/>
    </row>
    <row r="4925" spans="1:13" x14ac:dyDescent="0.15">
      <c r="A4925" t="s">
        <v>28</v>
      </c>
      <c r="F4925"/>
      <c r="M4925"/>
    </row>
    <row r="4926" spans="1:13" x14ac:dyDescent="0.15">
      <c r="A4926" t="s">
        <v>28</v>
      </c>
      <c r="F4926"/>
      <c r="M4926"/>
    </row>
    <row r="4927" spans="1:13" x14ac:dyDescent="0.15">
      <c r="A4927" t="s">
        <v>28</v>
      </c>
      <c r="F4927"/>
      <c r="M4927"/>
    </row>
    <row r="4928" spans="1:13" x14ac:dyDescent="0.15">
      <c r="A4928" t="s">
        <v>28</v>
      </c>
      <c r="F4928"/>
      <c r="M4928"/>
    </row>
    <row r="4929" spans="1:13" x14ac:dyDescent="0.15">
      <c r="A4929" t="s">
        <v>28</v>
      </c>
      <c r="F4929"/>
      <c r="M4929"/>
    </row>
    <row r="4930" spans="1:13" x14ac:dyDescent="0.15">
      <c r="A4930" t="s">
        <v>28</v>
      </c>
      <c r="F4930"/>
      <c r="M4930"/>
    </row>
    <row r="4931" spans="1:13" x14ac:dyDescent="0.15">
      <c r="A4931" t="s">
        <v>28</v>
      </c>
      <c r="F4931"/>
      <c r="M4931"/>
    </row>
    <row r="4932" spans="1:13" x14ac:dyDescent="0.15">
      <c r="A4932" t="s">
        <v>28</v>
      </c>
      <c r="F4932"/>
      <c r="M4932"/>
    </row>
    <row r="4933" spans="1:13" x14ac:dyDescent="0.15">
      <c r="A4933" t="s">
        <v>28</v>
      </c>
      <c r="F4933"/>
      <c r="M4933"/>
    </row>
    <row r="4934" spans="1:13" x14ac:dyDescent="0.15">
      <c r="A4934" t="s">
        <v>28</v>
      </c>
      <c r="F4934"/>
      <c r="M4934"/>
    </row>
    <row r="4935" spans="1:13" x14ac:dyDescent="0.15">
      <c r="A4935" t="s">
        <v>28</v>
      </c>
      <c r="F4935"/>
      <c r="M4935"/>
    </row>
    <row r="4936" spans="1:13" x14ac:dyDescent="0.15">
      <c r="A4936" t="s">
        <v>28</v>
      </c>
      <c r="F4936"/>
      <c r="M4936"/>
    </row>
    <row r="4937" spans="1:13" x14ac:dyDescent="0.15">
      <c r="A4937" t="s">
        <v>28</v>
      </c>
      <c r="F4937"/>
      <c r="M4937"/>
    </row>
    <row r="4938" spans="1:13" x14ac:dyDescent="0.15">
      <c r="A4938" t="s">
        <v>28</v>
      </c>
      <c r="F4938"/>
      <c r="M4938"/>
    </row>
    <row r="4939" spans="1:13" x14ac:dyDescent="0.15">
      <c r="A4939" t="s">
        <v>28</v>
      </c>
      <c r="F4939"/>
      <c r="M4939"/>
    </row>
    <row r="4940" spans="1:13" x14ac:dyDescent="0.15">
      <c r="A4940" t="s">
        <v>28</v>
      </c>
      <c r="F4940"/>
      <c r="M4940"/>
    </row>
    <row r="4941" spans="1:13" x14ac:dyDescent="0.15">
      <c r="A4941" t="s">
        <v>28</v>
      </c>
      <c r="F4941"/>
      <c r="M4941"/>
    </row>
    <row r="4942" spans="1:13" x14ac:dyDescent="0.15">
      <c r="A4942" t="s">
        <v>28</v>
      </c>
      <c r="F4942"/>
      <c r="M4942"/>
    </row>
    <row r="4943" spans="1:13" x14ac:dyDescent="0.15">
      <c r="A4943" t="s">
        <v>28</v>
      </c>
      <c r="F4943"/>
      <c r="M4943"/>
    </row>
    <row r="4944" spans="1:13" x14ac:dyDescent="0.15">
      <c r="A4944" t="s">
        <v>28</v>
      </c>
      <c r="F4944"/>
      <c r="M4944"/>
    </row>
    <row r="4945" spans="1:13" x14ac:dyDescent="0.15">
      <c r="A4945" t="s">
        <v>28</v>
      </c>
      <c r="F4945"/>
      <c r="M4945"/>
    </row>
    <row r="4946" spans="1:13" x14ac:dyDescent="0.15">
      <c r="A4946" t="s">
        <v>28</v>
      </c>
      <c r="F4946"/>
      <c r="M4946"/>
    </row>
    <row r="4947" spans="1:13" x14ac:dyDescent="0.15">
      <c r="A4947" t="s">
        <v>28</v>
      </c>
      <c r="F4947"/>
      <c r="M4947"/>
    </row>
    <row r="4948" spans="1:13" x14ac:dyDescent="0.15">
      <c r="A4948" t="s">
        <v>28</v>
      </c>
      <c r="F4948"/>
      <c r="M4948"/>
    </row>
    <row r="4949" spans="1:13" x14ac:dyDescent="0.15">
      <c r="A4949" t="s">
        <v>28</v>
      </c>
      <c r="F4949"/>
      <c r="M4949"/>
    </row>
    <row r="4950" spans="1:13" x14ac:dyDescent="0.15">
      <c r="A4950" t="s">
        <v>28</v>
      </c>
      <c r="F4950"/>
      <c r="M4950"/>
    </row>
    <row r="4951" spans="1:13" x14ac:dyDescent="0.15">
      <c r="A4951" t="s">
        <v>28</v>
      </c>
      <c r="F4951"/>
      <c r="M4951"/>
    </row>
    <row r="4952" spans="1:13" x14ac:dyDescent="0.15">
      <c r="A4952" t="s">
        <v>28</v>
      </c>
      <c r="F4952"/>
      <c r="M4952"/>
    </row>
    <row r="4953" spans="1:13" x14ac:dyDescent="0.15">
      <c r="A4953" t="s">
        <v>28</v>
      </c>
      <c r="F4953"/>
      <c r="M4953"/>
    </row>
    <row r="4954" spans="1:13" x14ac:dyDescent="0.15">
      <c r="A4954" t="s">
        <v>28</v>
      </c>
      <c r="F4954"/>
      <c r="M4954"/>
    </row>
    <row r="4955" spans="1:13" x14ac:dyDescent="0.15">
      <c r="A4955" t="s">
        <v>28</v>
      </c>
      <c r="F4955"/>
      <c r="M4955"/>
    </row>
    <row r="4956" spans="1:13" x14ac:dyDescent="0.15">
      <c r="A4956" t="s">
        <v>28</v>
      </c>
      <c r="F4956"/>
      <c r="M4956"/>
    </row>
    <row r="4957" spans="1:13" x14ac:dyDescent="0.15">
      <c r="A4957" t="s">
        <v>28</v>
      </c>
      <c r="F4957"/>
      <c r="M4957"/>
    </row>
    <row r="4958" spans="1:13" x14ac:dyDescent="0.15">
      <c r="A4958" t="s">
        <v>28</v>
      </c>
      <c r="F4958"/>
      <c r="M4958"/>
    </row>
    <row r="4959" spans="1:13" x14ac:dyDescent="0.15">
      <c r="A4959" t="s">
        <v>28</v>
      </c>
      <c r="F4959"/>
      <c r="M4959"/>
    </row>
    <row r="4960" spans="1:13" x14ac:dyDescent="0.15">
      <c r="A4960" t="s">
        <v>28</v>
      </c>
      <c r="F4960"/>
      <c r="M4960"/>
    </row>
    <row r="4961" spans="1:13" x14ac:dyDescent="0.15">
      <c r="A4961" t="s">
        <v>28</v>
      </c>
      <c r="F4961"/>
      <c r="M4961"/>
    </row>
    <row r="4962" spans="1:13" x14ac:dyDescent="0.15">
      <c r="A4962" t="s">
        <v>28</v>
      </c>
      <c r="F4962"/>
      <c r="M4962"/>
    </row>
    <row r="4963" spans="1:13" x14ac:dyDescent="0.15">
      <c r="A4963" t="s">
        <v>28</v>
      </c>
      <c r="F4963"/>
      <c r="M4963"/>
    </row>
    <row r="4964" spans="1:13" x14ac:dyDescent="0.15">
      <c r="A4964" t="s">
        <v>28</v>
      </c>
      <c r="F4964"/>
      <c r="M4964"/>
    </row>
    <row r="4965" spans="1:13" x14ac:dyDescent="0.15">
      <c r="A4965" t="s">
        <v>28</v>
      </c>
      <c r="F4965"/>
      <c r="M4965"/>
    </row>
    <row r="4966" spans="1:13" x14ac:dyDescent="0.15">
      <c r="A4966" t="s">
        <v>28</v>
      </c>
      <c r="F4966"/>
      <c r="M4966"/>
    </row>
    <row r="4967" spans="1:13" x14ac:dyDescent="0.15">
      <c r="A4967" t="s">
        <v>28</v>
      </c>
      <c r="F4967"/>
      <c r="M4967"/>
    </row>
    <row r="4968" spans="1:13" x14ac:dyDescent="0.15">
      <c r="A4968" t="s">
        <v>28</v>
      </c>
      <c r="F4968"/>
      <c r="M4968"/>
    </row>
    <row r="4969" spans="1:13" x14ac:dyDescent="0.15">
      <c r="A4969" t="s">
        <v>28</v>
      </c>
      <c r="F4969"/>
      <c r="M4969"/>
    </row>
    <row r="4970" spans="1:13" x14ac:dyDescent="0.15">
      <c r="A4970" t="s">
        <v>28</v>
      </c>
      <c r="F4970"/>
      <c r="M4970"/>
    </row>
    <row r="4971" spans="1:13" x14ac:dyDescent="0.15">
      <c r="A4971" t="s">
        <v>28</v>
      </c>
      <c r="F4971"/>
      <c r="M4971"/>
    </row>
    <row r="4972" spans="1:13" x14ac:dyDescent="0.15">
      <c r="A4972" t="s">
        <v>28</v>
      </c>
      <c r="F4972"/>
      <c r="M4972"/>
    </row>
    <row r="4973" spans="1:13" x14ac:dyDescent="0.15">
      <c r="A4973" t="s">
        <v>28</v>
      </c>
      <c r="F4973"/>
      <c r="M4973"/>
    </row>
    <row r="4974" spans="1:13" x14ac:dyDescent="0.15">
      <c r="A4974" t="s">
        <v>28</v>
      </c>
      <c r="F4974"/>
      <c r="M4974"/>
    </row>
    <row r="4975" spans="1:13" x14ac:dyDescent="0.15">
      <c r="A4975" t="s">
        <v>28</v>
      </c>
      <c r="F4975"/>
      <c r="M4975"/>
    </row>
    <row r="4976" spans="1:13" x14ac:dyDescent="0.15">
      <c r="A4976" t="s">
        <v>28</v>
      </c>
      <c r="F4976"/>
      <c r="M4976"/>
    </row>
    <row r="4977" spans="1:13" x14ac:dyDescent="0.15">
      <c r="A4977" t="s">
        <v>28</v>
      </c>
      <c r="F4977"/>
      <c r="M4977"/>
    </row>
    <row r="4978" spans="1:13" x14ac:dyDescent="0.15">
      <c r="A4978" t="s">
        <v>28</v>
      </c>
      <c r="F4978"/>
      <c r="M4978"/>
    </row>
    <row r="4979" spans="1:13" x14ac:dyDescent="0.15">
      <c r="A4979" t="s">
        <v>28</v>
      </c>
      <c r="F4979"/>
      <c r="M4979"/>
    </row>
    <row r="4980" spans="1:13" x14ac:dyDescent="0.15">
      <c r="A4980" t="s">
        <v>28</v>
      </c>
      <c r="F4980"/>
      <c r="M4980"/>
    </row>
    <row r="4981" spans="1:13" x14ac:dyDescent="0.15">
      <c r="A4981" t="s">
        <v>28</v>
      </c>
      <c r="F4981"/>
      <c r="M4981"/>
    </row>
    <row r="4982" spans="1:13" x14ac:dyDescent="0.15">
      <c r="A4982" t="s">
        <v>28</v>
      </c>
      <c r="F4982"/>
      <c r="M4982"/>
    </row>
    <row r="4983" spans="1:13" x14ac:dyDescent="0.15">
      <c r="A4983" t="s">
        <v>28</v>
      </c>
      <c r="F4983"/>
      <c r="M4983"/>
    </row>
    <row r="4984" spans="1:13" x14ac:dyDescent="0.15">
      <c r="A4984" t="s">
        <v>28</v>
      </c>
      <c r="F4984"/>
      <c r="M4984"/>
    </row>
    <row r="4985" spans="1:13" x14ac:dyDescent="0.15">
      <c r="A4985" t="s">
        <v>28</v>
      </c>
      <c r="F4985"/>
      <c r="M4985"/>
    </row>
    <row r="4986" spans="1:13" x14ac:dyDescent="0.15">
      <c r="A4986" t="s">
        <v>28</v>
      </c>
      <c r="F4986"/>
      <c r="M4986"/>
    </row>
    <row r="4987" spans="1:13" x14ac:dyDescent="0.15">
      <c r="A4987" t="s">
        <v>28</v>
      </c>
      <c r="F4987"/>
      <c r="M4987"/>
    </row>
    <row r="4988" spans="1:13" x14ac:dyDescent="0.15">
      <c r="A4988" t="s">
        <v>28</v>
      </c>
      <c r="F4988"/>
      <c r="M4988"/>
    </row>
    <row r="4989" spans="1:13" x14ac:dyDescent="0.15">
      <c r="A4989" t="s">
        <v>28</v>
      </c>
      <c r="F4989"/>
      <c r="M4989"/>
    </row>
    <row r="4990" spans="1:13" x14ac:dyDescent="0.15">
      <c r="A4990" t="s">
        <v>28</v>
      </c>
      <c r="F4990"/>
      <c r="M4990"/>
    </row>
    <row r="4991" spans="1:13" x14ac:dyDescent="0.15">
      <c r="A4991" t="s">
        <v>28</v>
      </c>
      <c r="F4991"/>
      <c r="M4991"/>
    </row>
    <row r="4992" spans="1:13" x14ac:dyDescent="0.15">
      <c r="A4992" t="s">
        <v>28</v>
      </c>
      <c r="F4992"/>
      <c r="M4992"/>
    </row>
    <row r="4993" spans="1:13" x14ac:dyDescent="0.15">
      <c r="A4993" t="s">
        <v>28</v>
      </c>
      <c r="F4993"/>
      <c r="M4993"/>
    </row>
    <row r="4994" spans="1:13" x14ac:dyDescent="0.15">
      <c r="A4994" t="s">
        <v>28</v>
      </c>
      <c r="F4994"/>
      <c r="M4994"/>
    </row>
    <row r="4995" spans="1:13" x14ac:dyDescent="0.15">
      <c r="A4995" t="s">
        <v>28</v>
      </c>
      <c r="F4995"/>
      <c r="M4995"/>
    </row>
    <row r="4996" spans="1:13" x14ac:dyDescent="0.15">
      <c r="A4996" t="s">
        <v>28</v>
      </c>
      <c r="F4996"/>
      <c r="M4996"/>
    </row>
    <row r="4997" spans="1:13" x14ac:dyDescent="0.15">
      <c r="A4997" t="s">
        <v>28</v>
      </c>
      <c r="F4997"/>
      <c r="M4997"/>
    </row>
    <row r="4998" spans="1:13" x14ac:dyDescent="0.15">
      <c r="A4998" t="s">
        <v>28</v>
      </c>
      <c r="F4998"/>
      <c r="M4998"/>
    </row>
    <row r="4999" spans="1:13" x14ac:dyDescent="0.15">
      <c r="A4999" t="s">
        <v>28</v>
      </c>
      <c r="F4999"/>
      <c r="M4999"/>
    </row>
    <row r="5000" spans="1:13" x14ac:dyDescent="0.15">
      <c r="A5000" t="s">
        <v>28</v>
      </c>
      <c r="F5000"/>
      <c r="M5000"/>
    </row>
    <row r="5001" spans="1:13" x14ac:dyDescent="0.15">
      <c r="A5001" t="s">
        <v>28</v>
      </c>
      <c r="F5001"/>
      <c r="M5001"/>
    </row>
    <row r="5002" spans="1:13" x14ac:dyDescent="0.15">
      <c r="A5002" t="s">
        <v>28</v>
      </c>
      <c r="F5002"/>
      <c r="M5002"/>
    </row>
    <row r="5003" spans="1:13" x14ac:dyDescent="0.15">
      <c r="A5003" t="s">
        <v>28</v>
      </c>
      <c r="F5003"/>
      <c r="M5003"/>
    </row>
    <row r="5004" spans="1:13" x14ac:dyDescent="0.15">
      <c r="A5004" t="s">
        <v>28</v>
      </c>
      <c r="F5004"/>
      <c r="M5004"/>
    </row>
    <row r="5005" spans="1:13" x14ac:dyDescent="0.15">
      <c r="A5005" t="s">
        <v>28</v>
      </c>
      <c r="F5005"/>
      <c r="M5005"/>
    </row>
    <row r="5006" spans="1:13" x14ac:dyDescent="0.15">
      <c r="A5006" t="s">
        <v>28</v>
      </c>
      <c r="F5006"/>
      <c r="M5006"/>
    </row>
    <row r="5007" spans="1:13" x14ac:dyDescent="0.15">
      <c r="A5007" t="s">
        <v>28</v>
      </c>
      <c r="F5007"/>
      <c r="M5007"/>
    </row>
    <row r="5008" spans="1:13" x14ac:dyDescent="0.15">
      <c r="A5008" t="s">
        <v>28</v>
      </c>
      <c r="F5008"/>
      <c r="M5008"/>
    </row>
    <row r="5009" spans="1:13" x14ac:dyDescent="0.15">
      <c r="A5009" t="s">
        <v>28</v>
      </c>
      <c r="F5009"/>
      <c r="M5009"/>
    </row>
    <row r="5010" spans="1:13" x14ac:dyDescent="0.15">
      <c r="A5010" t="s">
        <v>28</v>
      </c>
      <c r="F5010"/>
      <c r="M5010"/>
    </row>
    <row r="5011" spans="1:13" x14ac:dyDescent="0.15">
      <c r="A5011" t="s">
        <v>28</v>
      </c>
      <c r="F5011"/>
      <c r="M5011"/>
    </row>
    <row r="5012" spans="1:13" x14ac:dyDescent="0.15">
      <c r="A5012" t="s">
        <v>28</v>
      </c>
      <c r="F5012"/>
      <c r="M5012"/>
    </row>
    <row r="5013" spans="1:13" x14ac:dyDescent="0.15">
      <c r="A5013" t="s">
        <v>28</v>
      </c>
      <c r="F5013"/>
      <c r="M5013"/>
    </row>
    <row r="5014" spans="1:13" x14ac:dyDescent="0.15">
      <c r="A5014" t="s">
        <v>28</v>
      </c>
      <c r="F5014"/>
      <c r="M5014"/>
    </row>
    <row r="5015" spans="1:13" x14ac:dyDescent="0.15">
      <c r="A5015" t="s">
        <v>28</v>
      </c>
      <c r="F5015"/>
      <c r="M5015"/>
    </row>
    <row r="5016" spans="1:13" x14ac:dyDescent="0.15">
      <c r="A5016" t="s">
        <v>28</v>
      </c>
      <c r="F5016"/>
      <c r="M5016"/>
    </row>
    <row r="5017" spans="1:13" x14ac:dyDescent="0.15">
      <c r="A5017" t="s">
        <v>28</v>
      </c>
      <c r="F5017"/>
      <c r="M5017"/>
    </row>
    <row r="5018" spans="1:13" x14ac:dyDescent="0.15">
      <c r="A5018" t="s">
        <v>28</v>
      </c>
      <c r="F5018"/>
      <c r="M5018"/>
    </row>
    <row r="5019" spans="1:13" x14ac:dyDescent="0.15">
      <c r="A5019" t="s">
        <v>28</v>
      </c>
      <c r="F5019"/>
      <c r="M5019"/>
    </row>
    <row r="5020" spans="1:13" x14ac:dyDescent="0.15">
      <c r="A5020" t="s">
        <v>28</v>
      </c>
      <c r="F5020"/>
      <c r="M5020"/>
    </row>
    <row r="5021" spans="1:13" x14ac:dyDescent="0.15">
      <c r="A5021" t="s">
        <v>28</v>
      </c>
      <c r="F5021"/>
      <c r="M5021"/>
    </row>
    <row r="5022" spans="1:13" x14ac:dyDescent="0.15">
      <c r="A5022" t="s">
        <v>28</v>
      </c>
      <c r="F5022"/>
      <c r="M5022"/>
    </row>
    <row r="5023" spans="1:13" x14ac:dyDescent="0.15">
      <c r="A5023" t="s">
        <v>28</v>
      </c>
      <c r="F5023"/>
      <c r="M5023"/>
    </row>
    <row r="5024" spans="1:13" x14ac:dyDescent="0.15">
      <c r="A5024" t="s">
        <v>28</v>
      </c>
      <c r="F5024"/>
      <c r="M5024"/>
    </row>
    <row r="5025" spans="1:13" x14ac:dyDescent="0.15">
      <c r="A5025" t="s">
        <v>28</v>
      </c>
      <c r="F5025"/>
      <c r="M5025"/>
    </row>
    <row r="5026" spans="1:13" x14ac:dyDescent="0.15">
      <c r="A5026" t="s">
        <v>28</v>
      </c>
      <c r="F5026"/>
      <c r="M5026"/>
    </row>
    <row r="5027" spans="1:13" x14ac:dyDescent="0.15">
      <c r="A5027" t="s">
        <v>28</v>
      </c>
      <c r="F5027"/>
      <c r="M5027"/>
    </row>
    <row r="5028" spans="1:13" x14ac:dyDescent="0.15">
      <c r="A5028" t="s">
        <v>28</v>
      </c>
      <c r="F5028"/>
      <c r="M5028"/>
    </row>
    <row r="5029" spans="1:13" x14ac:dyDescent="0.15">
      <c r="A5029" t="s">
        <v>28</v>
      </c>
      <c r="F5029"/>
      <c r="M5029"/>
    </row>
    <row r="5030" spans="1:13" x14ac:dyDescent="0.15">
      <c r="A5030" t="s">
        <v>28</v>
      </c>
      <c r="F5030"/>
      <c r="M5030"/>
    </row>
    <row r="5031" spans="1:13" x14ac:dyDescent="0.15">
      <c r="A5031" t="s">
        <v>28</v>
      </c>
      <c r="F5031"/>
      <c r="M5031"/>
    </row>
    <row r="5032" spans="1:13" x14ac:dyDescent="0.15">
      <c r="A5032" t="s">
        <v>28</v>
      </c>
      <c r="F5032"/>
      <c r="M5032"/>
    </row>
    <row r="5033" spans="1:13" x14ac:dyDescent="0.15">
      <c r="A5033" t="s">
        <v>28</v>
      </c>
      <c r="F5033"/>
      <c r="M5033"/>
    </row>
    <row r="5034" spans="1:13" x14ac:dyDescent="0.15">
      <c r="A5034" t="s">
        <v>28</v>
      </c>
      <c r="F5034"/>
      <c r="M5034"/>
    </row>
    <row r="5035" spans="1:13" x14ac:dyDescent="0.15">
      <c r="A5035" t="s">
        <v>28</v>
      </c>
      <c r="F5035"/>
      <c r="M5035"/>
    </row>
    <row r="5036" spans="1:13" x14ac:dyDescent="0.15">
      <c r="A5036" t="s">
        <v>28</v>
      </c>
      <c r="F5036"/>
      <c r="M5036"/>
    </row>
    <row r="5037" spans="1:13" x14ac:dyDescent="0.15">
      <c r="A5037" t="s">
        <v>28</v>
      </c>
      <c r="F5037"/>
      <c r="M5037"/>
    </row>
    <row r="5038" spans="1:13" x14ac:dyDescent="0.15">
      <c r="A5038" t="s">
        <v>28</v>
      </c>
      <c r="F5038"/>
      <c r="M5038"/>
    </row>
    <row r="5039" spans="1:13" x14ac:dyDescent="0.15">
      <c r="A5039" t="s">
        <v>28</v>
      </c>
      <c r="F5039"/>
      <c r="M5039"/>
    </row>
    <row r="5040" spans="1:13" x14ac:dyDescent="0.15">
      <c r="A5040" t="s">
        <v>28</v>
      </c>
      <c r="F5040"/>
      <c r="M5040"/>
    </row>
    <row r="5041" spans="1:13" x14ac:dyDescent="0.15">
      <c r="A5041" t="s">
        <v>28</v>
      </c>
      <c r="F5041"/>
      <c r="M5041"/>
    </row>
    <row r="5042" spans="1:13" x14ac:dyDescent="0.15">
      <c r="A5042" t="s">
        <v>28</v>
      </c>
      <c r="F5042"/>
      <c r="M5042"/>
    </row>
    <row r="5043" spans="1:13" x14ac:dyDescent="0.15">
      <c r="A5043" t="s">
        <v>28</v>
      </c>
      <c r="F5043"/>
      <c r="M5043"/>
    </row>
    <row r="5044" spans="1:13" x14ac:dyDescent="0.15">
      <c r="A5044" t="s">
        <v>28</v>
      </c>
      <c r="F5044"/>
      <c r="M5044"/>
    </row>
    <row r="5045" spans="1:13" x14ac:dyDescent="0.15">
      <c r="A5045" t="s">
        <v>28</v>
      </c>
      <c r="F5045"/>
      <c r="M5045"/>
    </row>
    <row r="5046" spans="1:13" x14ac:dyDescent="0.15">
      <c r="A5046" t="s">
        <v>28</v>
      </c>
      <c r="F5046"/>
      <c r="M5046"/>
    </row>
    <row r="5047" spans="1:13" x14ac:dyDescent="0.15">
      <c r="A5047" t="s">
        <v>28</v>
      </c>
      <c r="F5047"/>
      <c r="M5047"/>
    </row>
    <row r="5048" spans="1:13" x14ac:dyDescent="0.15">
      <c r="A5048" t="s">
        <v>28</v>
      </c>
      <c r="F5048"/>
      <c r="M5048"/>
    </row>
    <row r="5049" spans="1:13" x14ac:dyDescent="0.15">
      <c r="A5049" t="s">
        <v>28</v>
      </c>
      <c r="F5049"/>
      <c r="M5049"/>
    </row>
    <row r="5050" spans="1:13" x14ac:dyDescent="0.15">
      <c r="A5050" t="s">
        <v>28</v>
      </c>
      <c r="F5050"/>
      <c r="M5050"/>
    </row>
    <row r="5051" spans="1:13" x14ac:dyDescent="0.15">
      <c r="A5051" t="s">
        <v>28</v>
      </c>
      <c r="F5051"/>
      <c r="M5051"/>
    </row>
    <row r="5052" spans="1:13" x14ac:dyDescent="0.15">
      <c r="A5052" t="s">
        <v>28</v>
      </c>
      <c r="F5052"/>
      <c r="M5052"/>
    </row>
    <row r="5053" spans="1:13" x14ac:dyDescent="0.15">
      <c r="A5053" t="s">
        <v>28</v>
      </c>
      <c r="F5053"/>
      <c r="M5053"/>
    </row>
    <row r="5054" spans="1:13" x14ac:dyDescent="0.15">
      <c r="A5054" t="s">
        <v>28</v>
      </c>
      <c r="F5054"/>
      <c r="M5054"/>
    </row>
    <row r="5055" spans="1:13" x14ac:dyDescent="0.15">
      <c r="A5055" t="s">
        <v>28</v>
      </c>
      <c r="F5055"/>
      <c r="M5055"/>
    </row>
    <row r="5056" spans="1:13" x14ac:dyDescent="0.15">
      <c r="A5056" t="s">
        <v>28</v>
      </c>
      <c r="F5056"/>
      <c r="M5056"/>
    </row>
    <row r="5057" spans="1:13" x14ac:dyDescent="0.15">
      <c r="A5057" t="s">
        <v>28</v>
      </c>
      <c r="F5057"/>
      <c r="M5057"/>
    </row>
    <row r="5058" spans="1:13" x14ac:dyDescent="0.15">
      <c r="A5058" t="s">
        <v>28</v>
      </c>
      <c r="F5058"/>
      <c r="M5058"/>
    </row>
    <row r="5059" spans="1:13" x14ac:dyDescent="0.15">
      <c r="A5059" t="s">
        <v>28</v>
      </c>
      <c r="F5059"/>
      <c r="M5059"/>
    </row>
    <row r="5060" spans="1:13" x14ac:dyDescent="0.15">
      <c r="A5060" t="s">
        <v>28</v>
      </c>
      <c r="F5060"/>
      <c r="M5060"/>
    </row>
    <row r="5061" spans="1:13" x14ac:dyDescent="0.15">
      <c r="A5061" t="s">
        <v>28</v>
      </c>
      <c r="F5061"/>
      <c r="M5061"/>
    </row>
    <row r="5062" spans="1:13" x14ac:dyDescent="0.15">
      <c r="A5062" t="s">
        <v>28</v>
      </c>
      <c r="F5062"/>
      <c r="M5062"/>
    </row>
    <row r="5063" spans="1:13" x14ac:dyDescent="0.15">
      <c r="A5063" t="s">
        <v>28</v>
      </c>
      <c r="F5063"/>
      <c r="M5063"/>
    </row>
    <row r="5064" spans="1:13" x14ac:dyDescent="0.15">
      <c r="A5064" t="s">
        <v>28</v>
      </c>
      <c r="F5064"/>
      <c r="M5064"/>
    </row>
    <row r="5065" spans="1:13" x14ac:dyDescent="0.15">
      <c r="A5065" t="s">
        <v>28</v>
      </c>
      <c r="F5065"/>
      <c r="M5065"/>
    </row>
    <row r="5066" spans="1:13" x14ac:dyDescent="0.15">
      <c r="A5066" t="s">
        <v>28</v>
      </c>
      <c r="F5066"/>
      <c r="M5066"/>
    </row>
    <row r="5067" spans="1:13" x14ac:dyDescent="0.15">
      <c r="A5067" t="s">
        <v>28</v>
      </c>
      <c r="F5067"/>
      <c r="M5067"/>
    </row>
    <row r="5068" spans="1:13" x14ac:dyDescent="0.15">
      <c r="A5068" t="s">
        <v>28</v>
      </c>
      <c r="F5068"/>
      <c r="M5068"/>
    </row>
    <row r="5069" spans="1:13" x14ac:dyDescent="0.15">
      <c r="A5069" t="s">
        <v>28</v>
      </c>
      <c r="F5069"/>
      <c r="M5069"/>
    </row>
    <row r="5070" spans="1:13" x14ac:dyDescent="0.15">
      <c r="A5070" t="s">
        <v>28</v>
      </c>
      <c r="F5070"/>
      <c r="M5070"/>
    </row>
    <row r="5071" spans="1:13" x14ac:dyDescent="0.15">
      <c r="A5071" t="s">
        <v>28</v>
      </c>
      <c r="F5071"/>
      <c r="M5071"/>
    </row>
    <row r="5072" spans="1:13" x14ac:dyDescent="0.15">
      <c r="A5072" t="s">
        <v>28</v>
      </c>
      <c r="F5072"/>
      <c r="M5072"/>
    </row>
    <row r="5073" spans="1:13" x14ac:dyDescent="0.15">
      <c r="A5073" t="s">
        <v>28</v>
      </c>
      <c r="F5073"/>
      <c r="M5073"/>
    </row>
    <row r="5074" spans="1:13" x14ac:dyDescent="0.15">
      <c r="A5074" t="s">
        <v>28</v>
      </c>
      <c r="F5074"/>
      <c r="M5074"/>
    </row>
    <row r="5075" spans="1:13" x14ac:dyDescent="0.15">
      <c r="A5075" t="s">
        <v>28</v>
      </c>
      <c r="F5075"/>
      <c r="M5075"/>
    </row>
    <row r="5076" spans="1:13" x14ac:dyDescent="0.15">
      <c r="A5076" t="s">
        <v>28</v>
      </c>
      <c r="F5076"/>
      <c r="M5076"/>
    </row>
    <row r="5077" spans="1:13" x14ac:dyDescent="0.15">
      <c r="A5077" t="s">
        <v>28</v>
      </c>
      <c r="F5077"/>
      <c r="M5077"/>
    </row>
    <row r="5078" spans="1:13" x14ac:dyDescent="0.15">
      <c r="A5078" t="s">
        <v>28</v>
      </c>
      <c r="F5078"/>
      <c r="M5078"/>
    </row>
    <row r="5079" spans="1:13" x14ac:dyDescent="0.15">
      <c r="A5079" t="s">
        <v>28</v>
      </c>
      <c r="F5079"/>
      <c r="M5079"/>
    </row>
    <row r="5080" spans="1:13" x14ac:dyDescent="0.15">
      <c r="A5080" t="s">
        <v>28</v>
      </c>
      <c r="F5080"/>
      <c r="M5080"/>
    </row>
    <row r="5081" spans="1:13" x14ac:dyDescent="0.15">
      <c r="A5081" t="s">
        <v>28</v>
      </c>
      <c r="F5081"/>
      <c r="M5081"/>
    </row>
    <row r="5082" spans="1:13" x14ac:dyDescent="0.15">
      <c r="A5082" t="s">
        <v>28</v>
      </c>
      <c r="F5082"/>
      <c r="M5082"/>
    </row>
    <row r="5083" spans="1:13" x14ac:dyDescent="0.15">
      <c r="A5083" t="s">
        <v>28</v>
      </c>
      <c r="F5083"/>
      <c r="M5083"/>
    </row>
    <row r="5084" spans="1:13" x14ac:dyDescent="0.15">
      <c r="A5084" t="s">
        <v>28</v>
      </c>
      <c r="F5084"/>
      <c r="M5084"/>
    </row>
    <row r="5085" spans="1:13" x14ac:dyDescent="0.15">
      <c r="A5085" t="s">
        <v>28</v>
      </c>
      <c r="F5085"/>
      <c r="M5085"/>
    </row>
    <row r="5086" spans="1:13" x14ac:dyDescent="0.15">
      <c r="A5086" t="s">
        <v>28</v>
      </c>
      <c r="F5086"/>
      <c r="M5086"/>
    </row>
    <row r="5087" spans="1:13" x14ac:dyDescent="0.15">
      <c r="A5087" t="s">
        <v>28</v>
      </c>
      <c r="F5087"/>
      <c r="M5087"/>
    </row>
    <row r="5088" spans="1:13" x14ac:dyDescent="0.15">
      <c r="A5088" t="s">
        <v>28</v>
      </c>
      <c r="F5088"/>
      <c r="M5088"/>
    </row>
    <row r="5089" spans="1:13" x14ac:dyDescent="0.15">
      <c r="A5089" t="s">
        <v>28</v>
      </c>
      <c r="F5089"/>
      <c r="M5089"/>
    </row>
    <row r="5090" spans="1:13" x14ac:dyDescent="0.15">
      <c r="A5090" t="s">
        <v>28</v>
      </c>
      <c r="F5090"/>
      <c r="M5090"/>
    </row>
    <row r="5091" spans="1:13" x14ac:dyDescent="0.15">
      <c r="A5091" t="s">
        <v>28</v>
      </c>
      <c r="F5091"/>
      <c r="M5091"/>
    </row>
    <row r="5092" spans="1:13" x14ac:dyDescent="0.15">
      <c r="A5092" t="s">
        <v>28</v>
      </c>
      <c r="F5092"/>
      <c r="M5092"/>
    </row>
    <row r="5093" spans="1:13" x14ac:dyDescent="0.15">
      <c r="A5093" t="s">
        <v>28</v>
      </c>
      <c r="F5093"/>
      <c r="M5093"/>
    </row>
    <row r="5094" spans="1:13" x14ac:dyDescent="0.15">
      <c r="A5094" t="s">
        <v>28</v>
      </c>
      <c r="F5094"/>
      <c r="M5094"/>
    </row>
    <row r="5095" spans="1:13" x14ac:dyDescent="0.15">
      <c r="A5095" t="s">
        <v>28</v>
      </c>
      <c r="F5095"/>
      <c r="M5095"/>
    </row>
    <row r="5096" spans="1:13" x14ac:dyDescent="0.15">
      <c r="A5096" t="s">
        <v>28</v>
      </c>
      <c r="F5096"/>
      <c r="M5096"/>
    </row>
    <row r="5097" spans="1:13" x14ac:dyDescent="0.15">
      <c r="A5097" t="s">
        <v>28</v>
      </c>
      <c r="F5097"/>
      <c r="M5097"/>
    </row>
    <row r="5098" spans="1:13" x14ac:dyDescent="0.15">
      <c r="A5098" t="s">
        <v>28</v>
      </c>
      <c r="F5098"/>
      <c r="M5098"/>
    </row>
    <row r="5099" spans="1:13" x14ac:dyDescent="0.15">
      <c r="A5099" t="s">
        <v>28</v>
      </c>
      <c r="F5099"/>
      <c r="M5099"/>
    </row>
    <row r="5100" spans="1:13" x14ac:dyDescent="0.15">
      <c r="A5100" t="s">
        <v>28</v>
      </c>
      <c r="F5100"/>
      <c r="M5100"/>
    </row>
    <row r="5101" spans="1:13" x14ac:dyDescent="0.15">
      <c r="A5101" t="s">
        <v>28</v>
      </c>
      <c r="F5101"/>
      <c r="M5101"/>
    </row>
    <row r="5102" spans="1:13" x14ac:dyDescent="0.15">
      <c r="A5102" t="s">
        <v>28</v>
      </c>
      <c r="F5102"/>
      <c r="M5102"/>
    </row>
    <row r="5103" spans="1:13" x14ac:dyDescent="0.15">
      <c r="A5103" t="s">
        <v>28</v>
      </c>
      <c r="F5103"/>
      <c r="M5103"/>
    </row>
    <row r="5104" spans="1:13" x14ac:dyDescent="0.15">
      <c r="A5104" t="s">
        <v>28</v>
      </c>
      <c r="F5104"/>
      <c r="M5104"/>
    </row>
    <row r="5105" spans="1:13" x14ac:dyDescent="0.15">
      <c r="A5105" t="s">
        <v>28</v>
      </c>
      <c r="F5105"/>
      <c r="M5105"/>
    </row>
    <row r="5106" spans="1:13" x14ac:dyDescent="0.15">
      <c r="A5106" t="s">
        <v>28</v>
      </c>
      <c r="F5106"/>
      <c r="M5106"/>
    </row>
    <row r="5107" spans="1:13" x14ac:dyDescent="0.15">
      <c r="A5107" t="s">
        <v>28</v>
      </c>
      <c r="F5107"/>
      <c r="M5107"/>
    </row>
    <row r="5108" spans="1:13" x14ac:dyDescent="0.15">
      <c r="A5108" t="s">
        <v>28</v>
      </c>
      <c r="F5108"/>
      <c r="M5108"/>
    </row>
    <row r="5109" spans="1:13" x14ac:dyDescent="0.15">
      <c r="A5109" t="s">
        <v>28</v>
      </c>
      <c r="F5109"/>
      <c r="M5109"/>
    </row>
    <row r="5110" spans="1:13" x14ac:dyDescent="0.15">
      <c r="A5110" t="s">
        <v>28</v>
      </c>
      <c r="F5110"/>
      <c r="M5110"/>
    </row>
    <row r="5111" spans="1:13" x14ac:dyDescent="0.15">
      <c r="A5111" t="s">
        <v>28</v>
      </c>
      <c r="F5111"/>
      <c r="M5111"/>
    </row>
    <row r="5112" spans="1:13" x14ac:dyDescent="0.15">
      <c r="A5112" t="s">
        <v>28</v>
      </c>
      <c r="F5112"/>
      <c r="M5112"/>
    </row>
    <row r="5113" spans="1:13" x14ac:dyDescent="0.15">
      <c r="A5113" t="s">
        <v>28</v>
      </c>
      <c r="F5113"/>
      <c r="M5113"/>
    </row>
    <row r="5114" spans="1:13" x14ac:dyDescent="0.15">
      <c r="A5114" t="s">
        <v>28</v>
      </c>
      <c r="F5114"/>
      <c r="M5114"/>
    </row>
    <row r="5115" spans="1:13" x14ac:dyDescent="0.15">
      <c r="A5115" t="s">
        <v>28</v>
      </c>
      <c r="F5115"/>
      <c r="M5115"/>
    </row>
    <row r="5116" spans="1:13" x14ac:dyDescent="0.15">
      <c r="A5116" t="s">
        <v>28</v>
      </c>
      <c r="F5116"/>
      <c r="M5116"/>
    </row>
    <row r="5117" spans="1:13" x14ac:dyDescent="0.15">
      <c r="A5117" t="s">
        <v>28</v>
      </c>
      <c r="F5117"/>
      <c r="M5117"/>
    </row>
    <row r="5118" spans="1:13" x14ac:dyDescent="0.15">
      <c r="A5118" t="s">
        <v>28</v>
      </c>
      <c r="F5118"/>
      <c r="M5118"/>
    </row>
    <row r="5119" spans="1:13" x14ac:dyDescent="0.15">
      <c r="A5119" t="s">
        <v>28</v>
      </c>
      <c r="F5119"/>
      <c r="M5119"/>
    </row>
    <row r="5120" spans="1:13" x14ac:dyDescent="0.15">
      <c r="A5120" t="s">
        <v>28</v>
      </c>
      <c r="F5120"/>
      <c r="M5120"/>
    </row>
    <row r="5121" spans="1:13" x14ac:dyDescent="0.15">
      <c r="A5121" t="s">
        <v>28</v>
      </c>
      <c r="F5121"/>
      <c r="M5121"/>
    </row>
    <row r="5122" spans="1:13" x14ac:dyDescent="0.15">
      <c r="A5122" t="s">
        <v>28</v>
      </c>
      <c r="F5122"/>
      <c r="M5122"/>
    </row>
    <row r="5123" spans="1:13" x14ac:dyDescent="0.15">
      <c r="A5123" t="s">
        <v>28</v>
      </c>
      <c r="F5123"/>
      <c r="M5123"/>
    </row>
    <row r="5124" spans="1:13" x14ac:dyDescent="0.15">
      <c r="A5124" t="s">
        <v>28</v>
      </c>
      <c r="F5124"/>
      <c r="M5124"/>
    </row>
    <row r="5125" spans="1:13" x14ac:dyDescent="0.15">
      <c r="A5125" t="s">
        <v>28</v>
      </c>
      <c r="F5125"/>
      <c r="M5125"/>
    </row>
    <row r="5126" spans="1:13" x14ac:dyDescent="0.15">
      <c r="A5126" t="s">
        <v>28</v>
      </c>
      <c r="F5126"/>
      <c r="M5126"/>
    </row>
    <row r="5127" spans="1:13" x14ac:dyDescent="0.15">
      <c r="A5127" t="s">
        <v>28</v>
      </c>
      <c r="F5127"/>
      <c r="M5127"/>
    </row>
    <row r="5128" spans="1:13" x14ac:dyDescent="0.15">
      <c r="A5128" t="s">
        <v>28</v>
      </c>
      <c r="F5128"/>
      <c r="M5128"/>
    </row>
    <row r="5129" spans="1:13" x14ac:dyDescent="0.15">
      <c r="A5129" t="s">
        <v>28</v>
      </c>
      <c r="F5129"/>
      <c r="M5129"/>
    </row>
    <row r="5130" spans="1:13" x14ac:dyDescent="0.15">
      <c r="A5130" t="s">
        <v>28</v>
      </c>
      <c r="F5130"/>
      <c r="M5130"/>
    </row>
    <row r="5131" spans="1:13" x14ac:dyDescent="0.15">
      <c r="A5131" t="s">
        <v>28</v>
      </c>
      <c r="F5131"/>
      <c r="M5131"/>
    </row>
    <row r="5132" spans="1:13" x14ac:dyDescent="0.15">
      <c r="A5132" t="s">
        <v>28</v>
      </c>
      <c r="F5132"/>
      <c r="M5132"/>
    </row>
    <row r="5133" spans="1:13" x14ac:dyDescent="0.15">
      <c r="A5133" t="s">
        <v>28</v>
      </c>
      <c r="F5133"/>
      <c r="M5133"/>
    </row>
    <row r="5134" spans="1:13" x14ac:dyDescent="0.15">
      <c r="A5134" t="s">
        <v>28</v>
      </c>
      <c r="F5134"/>
      <c r="M5134"/>
    </row>
    <row r="5135" spans="1:13" x14ac:dyDescent="0.15">
      <c r="A5135" t="s">
        <v>28</v>
      </c>
      <c r="F5135"/>
      <c r="M5135"/>
    </row>
    <row r="5136" spans="1:13" x14ac:dyDescent="0.15">
      <c r="A5136" t="s">
        <v>28</v>
      </c>
      <c r="F5136"/>
      <c r="M5136"/>
    </row>
    <row r="5137" spans="1:13" x14ac:dyDescent="0.15">
      <c r="A5137" t="s">
        <v>28</v>
      </c>
      <c r="F5137"/>
      <c r="M5137"/>
    </row>
    <row r="5138" spans="1:13" x14ac:dyDescent="0.15">
      <c r="A5138" t="s">
        <v>28</v>
      </c>
      <c r="F5138"/>
      <c r="M5138"/>
    </row>
    <row r="5139" spans="1:13" x14ac:dyDescent="0.15">
      <c r="A5139" t="s">
        <v>28</v>
      </c>
      <c r="F5139"/>
      <c r="M5139"/>
    </row>
    <row r="5140" spans="1:13" x14ac:dyDescent="0.15">
      <c r="A5140" t="s">
        <v>28</v>
      </c>
      <c r="F5140"/>
      <c r="M5140"/>
    </row>
    <row r="5141" spans="1:13" x14ac:dyDescent="0.15">
      <c r="A5141" t="s">
        <v>28</v>
      </c>
      <c r="F5141"/>
      <c r="M5141"/>
    </row>
    <row r="5142" spans="1:13" x14ac:dyDescent="0.15">
      <c r="A5142" t="s">
        <v>28</v>
      </c>
      <c r="F5142"/>
      <c r="M5142"/>
    </row>
    <row r="5143" spans="1:13" x14ac:dyDescent="0.15">
      <c r="A5143" t="s">
        <v>28</v>
      </c>
      <c r="F5143"/>
      <c r="M5143"/>
    </row>
    <row r="5144" spans="1:13" x14ac:dyDescent="0.15">
      <c r="A5144" t="s">
        <v>28</v>
      </c>
      <c r="F5144"/>
      <c r="M5144"/>
    </row>
    <row r="5145" spans="1:13" x14ac:dyDescent="0.15">
      <c r="A5145" t="s">
        <v>28</v>
      </c>
      <c r="F5145"/>
      <c r="M5145"/>
    </row>
    <row r="5146" spans="1:13" x14ac:dyDescent="0.15">
      <c r="A5146" t="s">
        <v>28</v>
      </c>
      <c r="F5146"/>
      <c r="M5146"/>
    </row>
    <row r="5147" spans="1:13" x14ac:dyDescent="0.15">
      <c r="A5147" t="s">
        <v>28</v>
      </c>
      <c r="F5147"/>
      <c r="M5147"/>
    </row>
    <row r="5148" spans="1:13" x14ac:dyDescent="0.15">
      <c r="A5148" t="s">
        <v>28</v>
      </c>
      <c r="F5148"/>
      <c r="M5148"/>
    </row>
    <row r="5149" spans="1:13" x14ac:dyDescent="0.15">
      <c r="A5149" t="s">
        <v>28</v>
      </c>
      <c r="F5149"/>
      <c r="M5149"/>
    </row>
    <row r="5150" spans="1:13" x14ac:dyDescent="0.15">
      <c r="A5150" t="s">
        <v>28</v>
      </c>
      <c r="F5150"/>
      <c r="M5150"/>
    </row>
    <row r="5151" spans="1:13" x14ac:dyDescent="0.15">
      <c r="A5151" t="s">
        <v>28</v>
      </c>
      <c r="F5151"/>
      <c r="M5151"/>
    </row>
    <row r="5152" spans="1:13" x14ac:dyDescent="0.15">
      <c r="A5152" t="s">
        <v>28</v>
      </c>
      <c r="F5152"/>
      <c r="M5152"/>
    </row>
    <row r="5153" spans="1:13" x14ac:dyDescent="0.15">
      <c r="A5153" t="s">
        <v>28</v>
      </c>
      <c r="F5153"/>
      <c r="M5153"/>
    </row>
    <row r="5154" spans="1:13" x14ac:dyDescent="0.15">
      <c r="A5154" t="s">
        <v>28</v>
      </c>
      <c r="F5154"/>
      <c r="M5154"/>
    </row>
    <row r="5155" spans="1:13" x14ac:dyDescent="0.15">
      <c r="A5155" t="s">
        <v>28</v>
      </c>
      <c r="F5155"/>
      <c r="M5155"/>
    </row>
    <row r="5156" spans="1:13" x14ac:dyDescent="0.15">
      <c r="A5156" t="s">
        <v>28</v>
      </c>
      <c r="F5156"/>
      <c r="M5156"/>
    </row>
    <row r="5157" spans="1:13" x14ac:dyDescent="0.15">
      <c r="A5157" t="s">
        <v>28</v>
      </c>
      <c r="F5157"/>
      <c r="M5157"/>
    </row>
    <row r="5158" spans="1:13" x14ac:dyDescent="0.15">
      <c r="A5158" t="s">
        <v>28</v>
      </c>
      <c r="F5158"/>
      <c r="M5158"/>
    </row>
    <row r="5159" spans="1:13" x14ac:dyDescent="0.15">
      <c r="A5159" t="s">
        <v>28</v>
      </c>
      <c r="F5159"/>
      <c r="M5159"/>
    </row>
    <row r="5160" spans="1:13" x14ac:dyDescent="0.15">
      <c r="A5160" t="s">
        <v>28</v>
      </c>
      <c r="F5160"/>
      <c r="M5160"/>
    </row>
    <row r="5161" spans="1:13" x14ac:dyDescent="0.15">
      <c r="A5161" t="s">
        <v>28</v>
      </c>
      <c r="F5161"/>
      <c r="M5161"/>
    </row>
    <row r="5162" spans="1:13" x14ac:dyDescent="0.15">
      <c r="A5162" t="s">
        <v>28</v>
      </c>
      <c r="F5162"/>
      <c r="M5162"/>
    </row>
    <row r="5163" spans="1:13" x14ac:dyDescent="0.15">
      <c r="A5163" t="s">
        <v>28</v>
      </c>
      <c r="F5163"/>
      <c r="M5163"/>
    </row>
    <row r="5164" spans="1:13" x14ac:dyDescent="0.15">
      <c r="A5164" t="s">
        <v>28</v>
      </c>
      <c r="F5164"/>
      <c r="M5164"/>
    </row>
    <row r="5165" spans="1:13" x14ac:dyDescent="0.15">
      <c r="A5165" t="s">
        <v>28</v>
      </c>
      <c r="F5165"/>
      <c r="M5165"/>
    </row>
    <row r="5166" spans="1:13" x14ac:dyDescent="0.15">
      <c r="A5166" t="s">
        <v>28</v>
      </c>
      <c r="F5166"/>
      <c r="M5166"/>
    </row>
    <row r="5167" spans="1:13" x14ac:dyDescent="0.15">
      <c r="A5167" t="s">
        <v>28</v>
      </c>
      <c r="F5167"/>
      <c r="M5167"/>
    </row>
    <row r="5168" spans="1:13" x14ac:dyDescent="0.15">
      <c r="A5168" t="s">
        <v>28</v>
      </c>
      <c r="F5168"/>
      <c r="M5168"/>
    </row>
    <row r="5169" spans="1:13" x14ac:dyDescent="0.15">
      <c r="A5169" t="s">
        <v>28</v>
      </c>
      <c r="F5169"/>
      <c r="M5169"/>
    </row>
    <row r="5170" spans="1:13" x14ac:dyDescent="0.15">
      <c r="A5170" t="s">
        <v>28</v>
      </c>
      <c r="F5170"/>
      <c r="M5170"/>
    </row>
    <row r="5171" spans="1:13" x14ac:dyDescent="0.15">
      <c r="A5171" t="s">
        <v>28</v>
      </c>
      <c r="F5171"/>
      <c r="M5171"/>
    </row>
    <row r="5172" spans="1:13" x14ac:dyDescent="0.15">
      <c r="A5172" t="s">
        <v>28</v>
      </c>
      <c r="F5172"/>
      <c r="M5172"/>
    </row>
    <row r="5173" spans="1:13" x14ac:dyDescent="0.15">
      <c r="A5173" t="s">
        <v>28</v>
      </c>
      <c r="F5173"/>
      <c r="M5173"/>
    </row>
    <row r="5174" spans="1:13" x14ac:dyDescent="0.15">
      <c r="A5174" t="s">
        <v>28</v>
      </c>
      <c r="F5174"/>
      <c r="M5174"/>
    </row>
    <row r="5175" spans="1:13" x14ac:dyDescent="0.15">
      <c r="A5175" t="s">
        <v>28</v>
      </c>
      <c r="F5175"/>
      <c r="M5175"/>
    </row>
    <row r="5176" spans="1:13" x14ac:dyDescent="0.15">
      <c r="A5176" t="s">
        <v>28</v>
      </c>
      <c r="F5176"/>
      <c r="M5176"/>
    </row>
    <row r="5177" spans="1:13" x14ac:dyDescent="0.15">
      <c r="A5177" t="s">
        <v>28</v>
      </c>
      <c r="F5177"/>
      <c r="M5177"/>
    </row>
    <row r="5178" spans="1:13" x14ac:dyDescent="0.15">
      <c r="A5178" t="s">
        <v>28</v>
      </c>
      <c r="F5178"/>
      <c r="M5178"/>
    </row>
    <row r="5179" spans="1:13" x14ac:dyDescent="0.15">
      <c r="A5179" t="s">
        <v>28</v>
      </c>
      <c r="F5179"/>
      <c r="M5179"/>
    </row>
    <row r="5180" spans="1:13" x14ac:dyDescent="0.15">
      <c r="A5180" t="s">
        <v>28</v>
      </c>
      <c r="F5180"/>
      <c r="M5180"/>
    </row>
    <row r="5181" spans="1:13" x14ac:dyDescent="0.15">
      <c r="A5181" t="s">
        <v>28</v>
      </c>
      <c r="F5181"/>
      <c r="M5181"/>
    </row>
    <row r="5182" spans="1:13" x14ac:dyDescent="0.15">
      <c r="A5182" t="s">
        <v>28</v>
      </c>
      <c r="F5182"/>
      <c r="M5182"/>
    </row>
    <row r="5183" spans="1:13" x14ac:dyDescent="0.15">
      <c r="A5183" t="s">
        <v>28</v>
      </c>
      <c r="F5183"/>
      <c r="M5183"/>
    </row>
    <row r="5184" spans="1:13" x14ac:dyDescent="0.15">
      <c r="A5184" t="s">
        <v>28</v>
      </c>
      <c r="F5184"/>
      <c r="M5184"/>
    </row>
    <row r="5185" spans="1:13" x14ac:dyDescent="0.15">
      <c r="A5185" t="s">
        <v>28</v>
      </c>
      <c r="F5185"/>
      <c r="M5185"/>
    </row>
    <row r="5186" spans="1:13" x14ac:dyDescent="0.15">
      <c r="A5186" t="s">
        <v>28</v>
      </c>
      <c r="F5186"/>
      <c r="M5186"/>
    </row>
    <row r="5187" spans="1:13" x14ac:dyDescent="0.15">
      <c r="A5187" t="s">
        <v>28</v>
      </c>
      <c r="F5187"/>
      <c r="M5187"/>
    </row>
    <row r="5188" spans="1:13" x14ac:dyDescent="0.15">
      <c r="A5188" t="s">
        <v>28</v>
      </c>
      <c r="F5188"/>
      <c r="M5188"/>
    </row>
    <row r="5189" spans="1:13" x14ac:dyDescent="0.15">
      <c r="A5189" t="s">
        <v>28</v>
      </c>
      <c r="F5189"/>
      <c r="M5189"/>
    </row>
    <row r="5190" spans="1:13" x14ac:dyDescent="0.15">
      <c r="A5190" t="s">
        <v>28</v>
      </c>
      <c r="F5190"/>
      <c r="M5190"/>
    </row>
    <row r="5191" spans="1:13" x14ac:dyDescent="0.15">
      <c r="A5191" t="s">
        <v>28</v>
      </c>
      <c r="F5191"/>
      <c r="M5191"/>
    </row>
    <row r="5192" spans="1:13" x14ac:dyDescent="0.15">
      <c r="A5192" t="s">
        <v>28</v>
      </c>
      <c r="F5192"/>
      <c r="M5192"/>
    </row>
    <row r="5193" spans="1:13" x14ac:dyDescent="0.15">
      <c r="A5193" t="s">
        <v>28</v>
      </c>
      <c r="F5193"/>
      <c r="M5193"/>
    </row>
    <row r="5194" spans="1:13" x14ac:dyDescent="0.15">
      <c r="A5194" t="s">
        <v>28</v>
      </c>
      <c r="F5194"/>
      <c r="M5194"/>
    </row>
    <row r="5195" spans="1:13" x14ac:dyDescent="0.15">
      <c r="A5195" t="s">
        <v>28</v>
      </c>
      <c r="F5195"/>
      <c r="M5195"/>
    </row>
    <row r="5196" spans="1:13" x14ac:dyDescent="0.15">
      <c r="A5196" t="s">
        <v>28</v>
      </c>
      <c r="F5196"/>
      <c r="M5196"/>
    </row>
    <row r="5197" spans="1:13" x14ac:dyDescent="0.15">
      <c r="A5197" t="s">
        <v>28</v>
      </c>
      <c r="F5197"/>
      <c r="M5197"/>
    </row>
    <row r="5198" spans="1:13" x14ac:dyDescent="0.15">
      <c r="A5198" t="s">
        <v>28</v>
      </c>
      <c r="F5198"/>
      <c r="M5198"/>
    </row>
    <row r="5199" spans="1:13" x14ac:dyDescent="0.15">
      <c r="A5199" t="s">
        <v>28</v>
      </c>
      <c r="F5199"/>
      <c r="M5199"/>
    </row>
    <row r="5200" spans="1:13" x14ac:dyDescent="0.15">
      <c r="A5200" t="s">
        <v>28</v>
      </c>
      <c r="F5200"/>
      <c r="M5200"/>
    </row>
    <row r="5201" spans="1:13" x14ac:dyDescent="0.15">
      <c r="A5201" t="s">
        <v>28</v>
      </c>
      <c r="F5201"/>
      <c r="M5201"/>
    </row>
    <row r="5202" spans="1:13" x14ac:dyDescent="0.15">
      <c r="A5202" t="s">
        <v>28</v>
      </c>
      <c r="F5202"/>
      <c r="M5202"/>
    </row>
    <row r="5203" spans="1:13" x14ac:dyDescent="0.15">
      <c r="A5203" t="s">
        <v>28</v>
      </c>
      <c r="F5203"/>
      <c r="M5203"/>
    </row>
    <row r="5204" spans="1:13" x14ac:dyDescent="0.15">
      <c r="A5204" t="s">
        <v>28</v>
      </c>
      <c r="F5204"/>
      <c r="M5204"/>
    </row>
    <row r="5205" spans="1:13" x14ac:dyDescent="0.15">
      <c r="A5205" t="s">
        <v>28</v>
      </c>
      <c r="F5205"/>
      <c r="M5205"/>
    </row>
    <row r="5206" spans="1:13" x14ac:dyDescent="0.15">
      <c r="A5206" t="s">
        <v>28</v>
      </c>
      <c r="F5206"/>
      <c r="M5206"/>
    </row>
    <row r="5207" spans="1:13" x14ac:dyDescent="0.15">
      <c r="A5207" t="s">
        <v>28</v>
      </c>
      <c r="F5207"/>
      <c r="M5207"/>
    </row>
    <row r="5208" spans="1:13" x14ac:dyDescent="0.15">
      <c r="A5208" t="s">
        <v>28</v>
      </c>
      <c r="F5208"/>
      <c r="M5208"/>
    </row>
    <row r="5209" spans="1:13" x14ac:dyDescent="0.15">
      <c r="A5209" t="s">
        <v>28</v>
      </c>
      <c r="F5209"/>
      <c r="M5209"/>
    </row>
    <row r="5210" spans="1:13" x14ac:dyDescent="0.15">
      <c r="A5210" t="s">
        <v>28</v>
      </c>
      <c r="F5210"/>
      <c r="M5210"/>
    </row>
    <row r="5211" spans="1:13" x14ac:dyDescent="0.15">
      <c r="A5211" t="s">
        <v>28</v>
      </c>
      <c r="F5211"/>
      <c r="M5211"/>
    </row>
    <row r="5212" spans="1:13" x14ac:dyDescent="0.15">
      <c r="A5212" t="s">
        <v>28</v>
      </c>
      <c r="F5212"/>
      <c r="M5212"/>
    </row>
    <row r="5213" spans="1:13" x14ac:dyDescent="0.15">
      <c r="A5213" t="s">
        <v>28</v>
      </c>
      <c r="F5213"/>
      <c r="M5213"/>
    </row>
    <row r="5214" spans="1:13" x14ac:dyDescent="0.15">
      <c r="A5214" t="s">
        <v>28</v>
      </c>
      <c r="F5214"/>
      <c r="M5214"/>
    </row>
    <row r="5215" spans="1:13" x14ac:dyDescent="0.15">
      <c r="A5215" t="s">
        <v>28</v>
      </c>
      <c r="F5215"/>
      <c r="M5215"/>
    </row>
    <row r="5216" spans="1:13" x14ac:dyDescent="0.15">
      <c r="A5216" t="s">
        <v>28</v>
      </c>
      <c r="F5216"/>
      <c r="M5216"/>
    </row>
    <row r="5217" spans="1:13" x14ac:dyDescent="0.15">
      <c r="A5217" t="s">
        <v>28</v>
      </c>
      <c r="F5217"/>
      <c r="M5217"/>
    </row>
    <row r="5218" spans="1:13" x14ac:dyDescent="0.15">
      <c r="A5218" t="s">
        <v>28</v>
      </c>
      <c r="F5218"/>
      <c r="M5218"/>
    </row>
    <row r="5219" spans="1:13" x14ac:dyDescent="0.15">
      <c r="A5219" t="s">
        <v>28</v>
      </c>
      <c r="F5219"/>
      <c r="M5219"/>
    </row>
    <row r="5220" spans="1:13" x14ac:dyDescent="0.15">
      <c r="A5220" t="s">
        <v>28</v>
      </c>
      <c r="F5220"/>
      <c r="M5220"/>
    </row>
    <row r="5221" spans="1:13" x14ac:dyDescent="0.15">
      <c r="A5221" t="s">
        <v>28</v>
      </c>
      <c r="F5221"/>
      <c r="M5221"/>
    </row>
    <row r="5222" spans="1:13" x14ac:dyDescent="0.15">
      <c r="A5222" t="s">
        <v>28</v>
      </c>
      <c r="F5222"/>
      <c r="M5222"/>
    </row>
    <row r="5223" spans="1:13" x14ac:dyDescent="0.15">
      <c r="A5223" t="s">
        <v>28</v>
      </c>
      <c r="F5223"/>
      <c r="M5223"/>
    </row>
    <row r="5224" spans="1:13" x14ac:dyDescent="0.15">
      <c r="A5224" t="s">
        <v>28</v>
      </c>
      <c r="F5224"/>
      <c r="M5224"/>
    </row>
    <row r="5225" spans="1:13" x14ac:dyDescent="0.15">
      <c r="A5225" t="s">
        <v>28</v>
      </c>
      <c r="F5225"/>
      <c r="M5225"/>
    </row>
    <row r="5226" spans="1:13" x14ac:dyDescent="0.15">
      <c r="A5226" t="s">
        <v>28</v>
      </c>
      <c r="F5226"/>
      <c r="M5226"/>
    </row>
    <row r="5227" spans="1:13" x14ac:dyDescent="0.15">
      <c r="A5227" t="s">
        <v>28</v>
      </c>
      <c r="F5227"/>
      <c r="M5227"/>
    </row>
    <row r="5228" spans="1:13" x14ac:dyDescent="0.15">
      <c r="A5228" t="s">
        <v>28</v>
      </c>
      <c r="F5228"/>
      <c r="M5228"/>
    </row>
    <row r="5229" spans="1:13" x14ac:dyDescent="0.15">
      <c r="A5229" t="s">
        <v>28</v>
      </c>
      <c r="F5229"/>
      <c r="M5229"/>
    </row>
    <row r="5230" spans="1:13" x14ac:dyDescent="0.15">
      <c r="A5230" t="s">
        <v>28</v>
      </c>
      <c r="F5230"/>
      <c r="M5230"/>
    </row>
    <row r="5231" spans="1:13" x14ac:dyDescent="0.15">
      <c r="A5231" t="s">
        <v>28</v>
      </c>
      <c r="F5231"/>
      <c r="M5231"/>
    </row>
    <row r="5232" spans="1:13" x14ac:dyDescent="0.15">
      <c r="A5232" t="s">
        <v>28</v>
      </c>
      <c r="F5232"/>
      <c r="M5232"/>
    </row>
    <row r="5233" spans="1:13" x14ac:dyDescent="0.15">
      <c r="A5233" t="s">
        <v>28</v>
      </c>
      <c r="F5233"/>
      <c r="M5233"/>
    </row>
    <row r="5234" spans="1:13" x14ac:dyDescent="0.15">
      <c r="A5234" t="s">
        <v>28</v>
      </c>
      <c r="F5234"/>
      <c r="M5234"/>
    </row>
    <row r="5235" spans="1:13" x14ac:dyDescent="0.15">
      <c r="A5235" t="s">
        <v>28</v>
      </c>
      <c r="F5235"/>
      <c r="M5235"/>
    </row>
    <row r="5236" spans="1:13" x14ac:dyDescent="0.15">
      <c r="A5236" t="s">
        <v>28</v>
      </c>
      <c r="F5236"/>
      <c r="M5236"/>
    </row>
    <row r="5237" spans="1:13" x14ac:dyDescent="0.15">
      <c r="A5237" t="s">
        <v>28</v>
      </c>
      <c r="F5237"/>
      <c r="M5237"/>
    </row>
    <row r="5238" spans="1:13" x14ac:dyDescent="0.15">
      <c r="A5238" t="s">
        <v>28</v>
      </c>
      <c r="F5238"/>
      <c r="M5238"/>
    </row>
    <row r="5239" spans="1:13" x14ac:dyDescent="0.15">
      <c r="A5239" t="s">
        <v>28</v>
      </c>
      <c r="F5239"/>
      <c r="M5239"/>
    </row>
    <row r="5240" spans="1:13" x14ac:dyDescent="0.15">
      <c r="A5240" t="s">
        <v>28</v>
      </c>
      <c r="F5240"/>
      <c r="M5240"/>
    </row>
    <row r="5241" spans="1:13" x14ac:dyDescent="0.15">
      <c r="A5241" t="s">
        <v>28</v>
      </c>
      <c r="F5241"/>
      <c r="M5241"/>
    </row>
    <row r="5242" spans="1:13" x14ac:dyDescent="0.15">
      <c r="A5242" t="s">
        <v>28</v>
      </c>
      <c r="F5242"/>
      <c r="M5242"/>
    </row>
    <row r="5243" spans="1:13" x14ac:dyDescent="0.15">
      <c r="A5243" t="s">
        <v>28</v>
      </c>
      <c r="F5243"/>
      <c r="M5243"/>
    </row>
    <row r="5244" spans="1:13" x14ac:dyDescent="0.15">
      <c r="A5244" t="s">
        <v>28</v>
      </c>
      <c r="F5244"/>
      <c r="M5244"/>
    </row>
    <row r="5245" spans="1:13" x14ac:dyDescent="0.15">
      <c r="A5245" t="s">
        <v>28</v>
      </c>
      <c r="F5245"/>
      <c r="M5245"/>
    </row>
    <row r="5246" spans="1:13" x14ac:dyDescent="0.15">
      <c r="A5246" t="s">
        <v>28</v>
      </c>
      <c r="F5246"/>
      <c r="M5246"/>
    </row>
    <row r="5247" spans="1:13" x14ac:dyDescent="0.15">
      <c r="A5247" t="s">
        <v>28</v>
      </c>
      <c r="F5247"/>
      <c r="M5247"/>
    </row>
    <row r="5248" spans="1:13" x14ac:dyDescent="0.15">
      <c r="A5248" t="s">
        <v>28</v>
      </c>
      <c r="F5248"/>
      <c r="M5248"/>
    </row>
    <row r="5249" spans="1:13" x14ac:dyDescent="0.15">
      <c r="A5249" t="s">
        <v>28</v>
      </c>
      <c r="F5249"/>
      <c r="M5249"/>
    </row>
    <row r="5250" spans="1:13" x14ac:dyDescent="0.15">
      <c r="A5250" t="s">
        <v>28</v>
      </c>
      <c r="F5250"/>
      <c r="M5250"/>
    </row>
    <row r="5251" spans="1:13" x14ac:dyDescent="0.15">
      <c r="A5251" t="s">
        <v>28</v>
      </c>
      <c r="F5251"/>
      <c r="M5251"/>
    </row>
    <row r="5252" spans="1:13" x14ac:dyDescent="0.15">
      <c r="A5252" t="s">
        <v>28</v>
      </c>
      <c r="F5252"/>
      <c r="M5252"/>
    </row>
    <row r="5253" spans="1:13" x14ac:dyDescent="0.15">
      <c r="A5253" t="s">
        <v>28</v>
      </c>
      <c r="F5253"/>
      <c r="M5253"/>
    </row>
    <row r="5254" spans="1:13" x14ac:dyDescent="0.15">
      <c r="A5254" t="s">
        <v>28</v>
      </c>
      <c r="F5254"/>
      <c r="M5254"/>
    </row>
    <row r="5255" spans="1:13" x14ac:dyDescent="0.15">
      <c r="A5255" t="s">
        <v>28</v>
      </c>
      <c r="F5255"/>
      <c r="M5255"/>
    </row>
    <row r="5256" spans="1:13" x14ac:dyDescent="0.15">
      <c r="A5256" t="s">
        <v>28</v>
      </c>
      <c r="F5256"/>
      <c r="M5256"/>
    </row>
    <row r="5257" spans="1:13" x14ac:dyDescent="0.15">
      <c r="A5257" t="s">
        <v>28</v>
      </c>
      <c r="F5257"/>
      <c r="M5257"/>
    </row>
    <row r="5258" spans="1:13" x14ac:dyDescent="0.15">
      <c r="A5258" t="s">
        <v>28</v>
      </c>
      <c r="F5258"/>
      <c r="M5258"/>
    </row>
    <row r="5259" spans="1:13" x14ac:dyDescent="0.15">
      <c r="A5259" t="s">
        <v>28</v>
      </c>
      <c r="F5259"/>
      <c r="M5259"/>
    </row>
    <row r="5260" spans="1:13" x14ac:dyDescent="0.15">
      <c r="A5260" t="s">
        <v>28</v>
      </c>
      <c r="F5260"/>
      <c r="M5260"/>
    </row>
    <row r="5261" spans="1:13" x14ac:dyDescent="0.15">
      <c r="A5261" t="s">
        <v>28</v>
      </c>
      <c r="F5261"/>
      <c r="M5261"/>
    </row>
    <row r="5262" spans="1:13" x14ac:dyDescent="0.15">
      <c r="A5262" t="s">
        <v>28</v>
      </c>
      <c r="F5262"/>
      <c r="M5262"/>
    </row>
    <row r="5263" spans="1:13" x14ac:dyDescent="0.15">
      <c r="A5263" t="s">
        <v>28</v>
      </c>
      <c r="F5263"/>
      <c r="M5263"/>
    </row>
    <row r="5264" spans="1:13" x14ac:dyDescent="0.15">
      <c r="A5264" t="s">
        <v>28</v>
      </c>
      <c r="F5264"/>
      <c r="M5264"/>
    </row>
    <row r="5265" spans="1:13" x14ac:dyDescent="0.15">
      <c r="A5265" t="s">
        <v>28</v>
      </c>
      <c r="F5265"/>
      <c r="M5265"/>
    </row>
    <row r="5266" spans="1:13" x14ac:dyDescent="0.15">
      <c r="A5266" t="s">
        <v>28</v>
      </c>
      <c r="F5266"/>
      <c r="M5266"/>
    </row>
    <row r="5267" spans="1:13" x14ac:dyDescent="0.15">
      <c r="A5267" t="s">
        <v>28</v>
      </c>
      <c r="F5267"/>
      <c r="M5267"/>
    </row>
    <row r="5268" spans="1:13" x14ac:dyDescent="0.15">
      <c r="A5268" t="s">
        <v>28</v>
      </c>
      <c r="F5268"/>
      <c r="M5268"/>
    </row>
    <row r="5269" spans="1:13" x14ac:dyDescent="0.15">
      <c r="A5269" t="s">
        <v>28</v>
      </c>
      <c r="F5269"/>
      <c r="M5269"/>
    </row>
    <row r="5270" spans="1:13" x14ac:dyDescent="0.15">
      <c r="A5270" t="s">
        <v>28</v>
      </c>
      <c r="F5270"/>
      <c r="M5270"/>
    </row>
    <row r="5271" spans="1:13" x14ac:dyDescent="0.15">
      <c r="A5271" t="s">
        <v>28</v>
      </c>
      <c r="F5271"/>
      <c r="M5271"/>
    </row>
    <row r="5272" spans="1:13" x14ac:dyDescent="0.15">
      <c r="A5272" t="s">
        <v>28</v>
      </c>
      <c r="F5272"/>
      <c r="M5272"/>
    </row>
    <row r="5273" spans="1:13" x14ac:dyDescent="0.15">
      <c r="A5273" t="s">
        <v>28</v>
      </c>
      <c r="F5273"/>
      <c r="M5273"/>
    </row>
    <row r="5274" spans="1:13" x14ac:dyDescent="0.15">
      <c r="A5274" t="s">
        <v>28</v>
      </c>
      <c r="F5274"/>
      <c r="M5274"/>
    </row>
    <row r="5275" spans="1:13" x14ac:dyDescent="0.15">
      <c r="A5275" t="s">
        <v>28</v>
      </c>
      <c r="F5275"/>
      <c r="M5275"/>
    </row>
    <row r="5276" spans="1:13" x14ac:dyDescent="0.15">
      <c r="A5276" t="s">
        <v>28</v>
      </c>
      <c r="F5276"/>
      <c r="M5276"/>
    </row>
    <row r="5277" spans="1:13" x14ac:dyDescent="0.15">
      <c r="A5277" t="s">
        <v>28</v>
      </c>
      <c r="F5277"/>
      <c r="M5277"/>
    </row>
    <row r="5278" spans="1:13" x14ac:dyDescent="0.15">
      <c r="A5278" t="s">
        <v>28</v>
      </c>
      <c r="F5278"/>
      <c r="M5278"/>
    </row>
    <row r="5279" spans="1:13" x14ac:dyDescent="0.15">
      <c r="A5279" t="s">
        <v>28</v>
      </c>
      <c r="F5279"/>
      <c r="M5279"/>
    </row>
    <row r="5280" spans="1:13" x14ac:dyDescent="0.15">
      <c r="A5280" t="s">
        <v>28</v>
      </c>
      <c r="F5280"/>
      <c r="M5280"/>
    </row>
    <row r="5281" spans="1:13" x14ac:dyDescent="0.15">
      <c r="A5281" t="s">
        <v>28</v>
      </c>
      <c r="F5281"/>
      <c r="M5281"/>
    </row>
    <row r="5282" spans="1:13" x14ac:dyDescent="0.15">
      <c r="A5282" t="s">
        <v>28</v>
      </c>
      <c r="F5282"/>
      <c r="M5282"/>
    </row>
    <row r="5283" spans="1:13" x14ac:dyDescent="0.15">
      <c r="A5283" t="s">
        <v>28</v>
      </c>
      <c r="F5283"/>
      <c r="M5283"/>
    </row>
    <row r="5284" spans="1:13" x14ac:dyDescent="0.15">
      <c r="A5284" t="s">
        <v>28</v>
      </c>
      <c r="F5284"/>
      <c r="M5284"/>
    </row>
    <row r="5285" spans="1:13" x14ac:dyDescent="0.15">
      <c r="A5285" t="s">
        <v>28</v>
      </c>
      <c r="F5285"/>
      <c r="M5285"/>
    </row>
    <row r="5286" spans="1:13" x14ac:dyDescent="0.15">
      <c r="A5286" t="s">
        <v>28</v>
      </c>
      <c r="F5286"/>
      <c r="M5286"/>
    </row>
    <row r="5287" spans="1:13" x14ac:dyDescent="0.15">
      <c r="A5287" t="s">
        <v>28</v>
      </c>
      <c r="F5287"/>
      <c r="M5287"/>
    </row>
    <row r="5288" spans="1:13" x14ac:dyDescent="0.15">
      <c r="A5288" t="s">
        <v>28</v>
      </c>
      <c r="F5288"/>
      <c r="M5288"/>
    </row>
    <row r="5289" spans="1:13" x14ac:dyDescent="0.15">
      <c r="A5289" t="s">
        <v>28</v>
      </c>
      <c r="F5289"/>
      <c r="M5289"/>
    </row>
    <row r="5290" spans="1:13" x14ac:dyDescent="0.15">
      <c r="A5290" t="s">
        <v>28</v>
      </c>
      <c r="F5290"/>
      <c r="M5290"/>
    </row>
    <row r="5291" spans="1:13" x14ac:dyDescent="0.15">
      <c r="A5291" t="s">
        <v>28</v>
      </c>
      <c r="F5291"/>
      <c r="M5291"/>
    </row>
    <row r="5292" spans="1:13" x14ac:dyDescent="0.15">
      <c r="A5292" t="s">
        <v>28</v>
      </c>
      <c r="F5292"/>
      <c r="M5292"/>
    </row>
    <row r="5293" spans="1:13" x14ac:dyDescent="0.15">
      <c r="A5293" t="s">
        <v>28</v>
      </c>
      <c r="F5293"/>
      <c r="M5293"/>
    </row>
    <row r="5294" spans="1:13" x14ac:dyDescent="0.15">
      <c r="A5294" t="s">
        <v>28</v>
      </c>
      <c r="F5294"/>
      <c r="M5294"/>
    </row>
    <row r="5295" spans="1:13" x14ac:dyDescent="0.15">
      <c r="A5295" t="s">
        <v>28</v>
      </c>
      <c r="F5295"/>
      <c r="M5295"/>
    </row>
    <row r="5296" spans="1:13" x14ac:dyDescent="0.15">
      <c r="A5296" t="s">
        <v>28</v>
      </c>
      <c r="F5296"/>
      <c r="M5296"/>
    </row>
    <row r="5297" spans="1:13" x14ac:dyDescent="0.15">
      <c r="A5297" t="s">
        <v>28</v>
      </c>
      <c r="F5297"/>
      <c r="M5297"/>
    </row>
    <row r="5298" spans="1:13" x14ac:dyDescent="0.15">
      <c r="A5298" t="s">
        <v>28</v>
      </c>
      <c r="F5298"/>
      <c r="M5298"/>
    </row>
    <row r="5299" spans="1:13" x14ac:dyDescent="0.15">
      <c r="A5299" t="s">
        <v>28</v>
      </c>
      <c r="F5299"/>
      <c r="M5299"/>
    </row>
    <row r="5300" spans="1:13" x14ac:dyDescent="0.15">
      <c r="A5300" t="s">
        <v>28</v>
      </c>
      <c r="F5300"/>
      <c r="M5300"/>
    </row>
    <row r="5301" spans="1:13" x14ac:dyDescent="0.15">
      <c r="A5301" t="s">
        <v>28</v>
      </c>
      <c r="F5301"/>
      <c r="M5301"/>
    </row>
    <row r="5302" spans="1:13" x14ac:dyDescent="0.15">
      <c r="A5302" t="s">
        <v>28</v>
      </c>
      <c r="F5302"/>
      <c r="M5302"/>
    </row>
    <row r="5303" spans="1:13" x14ac:dyDescent="0.15">
      <c r="A5303" t="s">
        <v>28</v>
      </c>
      <c r="F5303"/>
      <c r="M5303"/>
    </row>
    <row r="5304" spans="1:13" x14ac:dyDescent="0.15">
      <c r="A5304" t="s">
        <v>28</v>
      </c>
      <c r="F5304"/>
      <c r="M5304"/>
    </row>
    <row r="5305" spans="1:13" x14ac:dyDescent="0.15">
      <c r="A5305" t="s">
        <v>28</v>
      </c>
      <c r="F5305"/>
      <c r="M5305"/>
    </row>
    <row r="5306" spans="1:13" x14ac:dyDescent="0.15">
      <c r="A5306" t="s">
        <v>28</v>
      </c>
      <c r="F5306"/>
      <c r="M5306"/>
    </row>
    <row r="5307" spans="1:13" x14ac:dyDescent="0.15">
      <c r="A5307" t="s">
        <v>28</v>
      </c>
      <c r="F5307"/>
      <c r="M5307"/>
    </row>
    <row r="5308" spans="1:13" x14ac:dyDescent="0.15">
      <c r="A5308" t="s">
        <v>28</v>
      </c>
      <c r="F5308"/>
      <c r="M5308"/>
    </row>
    <row r="5309" spans="1:13" x14ac:dyDescent="0.15">
      <c r="A5309" t="s">
        <v>28</v>
      </c>
      <c r="F5309"/>
      <c r="M5309"/>
    </row>
    <row r="5310" spans="1:13" x14ac:dyDescent="0.15">
      <c r="A5310" t="s">
        <v>28</v>
      </c>
      <c r="F5310"/>
      <c r="M5310"/>
    </row>
    <row r="5311" spans="1:13" x14ac:dyDescent="0.15">
      <c r="A5311" t="s">
        <v>28</v>
      </c>
      <c r="F5311"/>
      <c r="M5311"/>
    </row>
    <row r="5312" spans="1:13" x14ac:dyDescent="0.15">
      <c r="A5312" t="s">
        <v>28</v>
      </c>
      <c r="F5312"/>
      <c r="M5312"/>
    </row>
    <row r="5313" spans="1:13" x14ac:dyDescent="0.15">
      <c r="A5313" t="s">
        <v>28</v>
      </c>
      <c r="F5313"/>
      <c r="M5313"/>
    </row>
    <row r="5314" spans="1:13" x14ac:dyDescent="0.15">
      <c r="A5314" t="s">
        <v>28</v>
      </c>
      <c r="F5314"/>
      <c r="M5314"/>
    </row>
    <row r="5315" spans="1:13" x14ac:dyDescent="0.15">
      <c r="A5315" t="s">
        <v>28</v>
      </c>
      <c r="F5315"/>
      <c r="M5315"/>
    </row>
    <row r="5316" spans="1:13" x14ac:dyDescent="0.15">
      <c r="A5316" t="s">
        <v>28</v>
      </c>
      <c r="F5316"/>
      <c r="M5316"/>
    </row>
    <row r="5317" spans="1:13" x14ac:dyDescent="0.15">
      <c r="A5317" t="s">
        <v>28</v>
      </c>
      <c r="F5317"/>
      <c r="M5317"/>
    </row>
    <row r="5318" spans="1:13" x14ac:dyDescent="0.15">
      <c r="A5318" t="s">
        <v>28</v>
      </c>
      <c r="F5318"/>
      <c r="M5318"/>
    </row>
    <row r="5319" spans="1:13" x14ac:dyDescent="0.15">
      <c r="A5319" t="s">
        <v>28</v>
      </c>
      <c r="F5319"/>
      <c r="M5319"/>
    </row>
    <row r="5320" spans="1:13" x14ac:dyDescent="0.15">
      <c r="A5320" t="s">
        <v>28</v>
      </c>
      <c r="F5320"/>
      <c r="M5320"/>
    </row>
    <row r="5321" spans="1:13" x14ac:dyDescent="0.15">
      <c r="A5321" t="s">
        <v>28</v>
      </c>
      <c r="F5321"/>
      <c r="M5321"/>
    </row>
    <row r="5322" spans="1:13" x14ac:dyDescent="0.15">
      <c r="A5322" t="s">
        <v>28</v>
      </c>
      <c r="F5322"/>
      <c r="M5322"/>
    </row>
    <row r="5323" spans="1:13" x14ac:dyDescent="0.15">
      <c r="A5323" t="s">
        <v>28</v>
      </c>
      <c r="F5323"/>
      <c r="M5323"/>
    </row>
    <row r="5324" spans="1:13" x14ac:dyDescent="0.15">
      <c r="A5324" t="s">
        <v>28</v>
      </c>
      <c r="F5324"/>
      <c r="M5324"/>
    </row>
    <row r="5325" spans="1:13" x14ac:dyDescent="0.15">
      <c r="A5325" t="s">
        <v>28</v>
      </c>
      <c r="F5325"/>
      <c r="M5325"/>
    </row>
    <row r="5326" spans="1:13" x14ac:dyDescent="0.15">
      <c r="A5326" t="s">
        <v>28</v>
      </c>
      <c r="F5326"/>
      <c r="M5326"/>
    </row>
    <row r="5327" spans="1:13" x14ac:dyDescent="0.15">
      <c r="A5327" t="s">
        <v>28</v>
      </c>
      <c r="F5327"/>
      <c r="M5327"/>
    </row>
    <row r="5328" spans="1:13" x14ac:dyDescent="0.15">
      <c r="A5328" t="s">
        <v>28</v>
      </c>
      <c r="F5328"/>
      <c r="M5328"/>
    </row>
    <row r="5329" spans="1:13" x14ac:dyDescent="0.15">
      <c r="A5329" t="s">
        <v>28</v>
      </c>
      <c r="F5329"/>
      <c r="M5329"/>
    </row>
    <row r="5330" spans="1:13" x14ac:dyDescent="0.15">
      <c r="A5330" t="s">
        <v>28</v>
      </c>
      <c r="F5330"/>
      <c r="M5330"/>
    </row>
    <row r="5331" spans="1:13" x14ac:dyDescent="0.15">
      <c r="A5331" t="s">
        <v>28</v>
      </c>
      <c r="F5331"/>
      <c r="M5331"/>
    </row>
    <row r="5332" spans="1:13" x14ac:dyDescent="0.15">
      <c r="A5332" t="s">
        <v>28</v>
      </c>
      <c r="F5332"/>
      <c r="M5332"/>
    </row>
    <row r="5333" spans="1:13" x14ac:dyDescent="0.15">
      <c r="A5333" t="s">
        <v>28</v>
      </c>
      <c r="F5333"/>
      <c r="M5333"/>
    </row>
    <row r="5334" spans="1:13" x14ac:dyDescent="0.15">
      <c r="A5334" t="s">
        <v>28</v>
      </c>
      <c r="F5334"/>
      <c r="M5334"/>
    </row>
    <row r="5335" spans="1:13" x14ac:dyDescent="0.15">
      <c r="A5335" t="s">
        <v>28</v>
      </c>
      <c r="F5335"/>
      <c r="M5335"/>
    </row>
    <row r="5336" spans="1:13" x14ac:dyDescent="0.15">
      <c r="A5336" t="s">
        <v>28</v>
      </c>
      <c r="F5336"/>
      <c r="M5336"/>
    </row>
    <row r="5337" spans="1:13" x14ac:dyDescent="0.15">
      <c r="A5337" t="s">
        <v>28</v>
      </c>
      <c r="F5337"/>
      <c r="M5337"/>
    </row>
    <row r="5338" spans="1:13" x14ac:dyDescent="0.15">
      <c r="A5338" t="s">
        <v>28</v>
      </c>
      <c r="F5338"/>
      <c r="M5338"/>
    </row>
    <row r="5339" spans="1:13" x14ac:dyDescent="0.15">
      <c r="A5339" t="s">
        <v>28</v>
      </c>
      <c r="F5339"/>
      <c r="M5339"/>
    </row>
    <row r="5340" spans="1:13" x14ac:dyDescent="0.15">
      <c r="A5340" t="s">
        <v>28</v>
      </c>
      <c r="F5340"/>
      <c r="M5340"/>
    </row>
    <row r="5341" spans="1:13" x14ac:dyDescent="0.15">
      <c r="A5341" t="s">
        <v>28</v>
      </c>
      <c r="F5341"/>
      <c r="M5341"/>
    </row>
    <row r="5342" spans="1:13" x14ac:dyDescent="0.15">
      <c r="A5342" t="s">
        <v>28</v>
      </c>
      <c r="F5342"/>
      <c r="M5342"/>
    </row>
    <row r="5343" spans="1:13" x14ac:dyDescent="0.15">
      <c r="A5343" t="s">
        <v>28</v>
      </c>
      <c r="F5343"/>
      <c r="M5343"/>
    </row>
    <row r="5344" spans="1:13" x14ac:dyDescent="0.15">
      <c r="A5344" t="s">
        <v>28</v>
      </c>
      <c r="F5344"/>
      <c r="M5344"/>
    </row>
    <row r="5345" spans="1:13" x14ac:dyDescent="0.15">
      <c r="A5345" t="s">
        <v>28</v>
      </c>
      <c r="F5345"/>
      <c r="M5345"/>
    </row>
    <row r="5346" spans="1:13" x14ac:dyDescent="0.15">
      <c r="A5346" t="s">
        <v>28</v>
      </c>
      <c r="F5346"/>
      <c r="M5346"/>
    </row>
    <row r="5347" spans="1:13" x14ac:dyDescent="0.15">
      <c r="A5347" t="s">
        <v>28</v>
      </c>
      <c r="F5347"/>
      <c r="M5347"/>
    </row>
    <row r="5348" spans="1:13" x14ac:dyDescent="0.15">
      <c r="A5348" t="s">
        <v>28</v>
      </c>
      <c r="F5348"/>
      <c r="M5348"/>
    </row>
    <row r="5349" spans="1:13" x14ac:dyDescent="0.15">
      <c r="A5349" t="s">
        <v>28</v>
      </c>
      <c r="F5349"/>
      <c r="M5349"/>
    </row>
    <row r="5350" spans="1:13" x14ac:dyDescent="0.15">
      <c r="A5350" t="s">
        <v>28</v>
      </c>
      <c r="F5350"/>
      <c r="M5350"/>
    </row>
    <row r="5351" spans="1:13" x14ac:dyDescent="0.15">
      <c r="A5351" t="s">
        <v>28</v>
      </c>
      <c r="F5351"/>
      <c r="M5351"/>
    </row>
    <row r="5352" spans="1:13" x14ac:dyDescent="0.15">
      <c r="A5352" t="s">
        <v>28</v>
      </c>
      <c r="F5352"/>
      <c r="M5352"/>
    </row>
    <row r="5353" spans="1:13" x14ac:dyDescent="0.15">
      <c r="A5353" t="s">
        <v>28</v>
      </c>
      <c r="F5353"/>
      <c r="M5353"/>
    </row>
    <row r="5354" spans="1:13" x14ac:dyDescent="0.15">
      <c r="A5354" t="s">
        <v>28</v>
      </c>
      <c r="F5354"/>
      <c r="M5354"/>
    </row>
    <row r="5355" spans="1:13" x14ac:dyDescent="0.15">
      <c r="A5355" t="s">
        <v>28</v>
      </c>
      <c r="F5355"/>
      <c r="M5355"/>
    </row>
    <row r="5356" spans="1:13" x14ac:dyDescent="0.15">
      <c r="A5356" t="s">
        <v>28</v>
      </c>
      <c r="F5356"/>
      <c r="M5356"/>
    </row>
    <row r="5357" spans="1:13" x14ac:dyDescent="0.15">
      <c r="A5357" t="s">
        <v>28</v>
      </c>
      <c r="F5357"/>
      <c r="M5357"/>
    </row>
    <row r="5358" spans="1:13" x14ac:dyDescent="0.15">
      <c r="A5358" t="s">
        <v>28</v>
      </c>
      <c r="F5358"/>
      <c r="M5358"/>
    </row>
    <row r="5359" spans="1:13" x14ac:dyDescent="0.15">
      <c r="A5359" t="s">
        <v>28</v>
      </c>
      <c r="F5359"/>
      <c r="M5359"/>
    </row>
    <row r="5360" spans="1:13" x14ac:dyDescent="0.15">
      <c r="A5360" t="s">
        <v>28</v>
      </c>
      <c r="F5360"/>
      <c r="M5360"/>
    </row>
    <row r="5361" spans="1:13" x14ac:dyDescent="0.15">
      <c r="A5361" t="s">
        <v>28</v>
      </c>
      <c r="F5361"/>
      <c r="M5361"/>
    </row>
    <row r="5362" spans="1:13" x14ac:dyDescent="0.15">
      <c r="A5362" t="s">
        <v>28</v>
      </c>
      <c r="F5362"/>
      <c r="M5362"/>
    </row>
    <row r="5363" spans="1:13" x14ac:dyDescent="0.15">
      <c r="A5363" t="s">
        <v>28</v>
      </c>
      <c r="F5363"/>
      <c r="M5363"/>
    </row>
    <row r="5364" spans="1:13" x14ac:dyDescent="0.15">
      <c r="A5364" t="s">
        <v>28</v>
      </c>
      <c r="F5364"/>
      <c r="M5364"/>
    </row>
    <row r="5365" spans="1:13" x14ac:dyDescent="0.15">
      <c r="A5365" t="s">
        <v>28</v>
      </c>
      <c r="F5365"/>
      <c r="M5365"/>
    </row>
    <row r="5366" spans="1:13" x14ac:dyDescent="0.15">
      <c r="A5366" t="s">
        <v>28</v>
      </c>
      <c r="F5366"/>
      <c r="M5366"/>
    </row>
    <row r="5367" spans="1:13" x14ac:dyDescent="0.15">
      <c r="A5367" t="s">
        <v>28</v>
      </c>
      <c r="F5367"/>
      <c r="M5367"/>
    </row>
    <row r="5368" spans="1:13" x14ac:dyDescent="0.15">
      <c r="A5368" t="s">
        <v>28</v>
      </c>
      <c r="F5368"/>
      <c r="M5368"/>
    </row>
    <row r="5369" spans="1:13" x14ac:dyDescent="0.15">
      <c r="A5369" t="s">
        <v>28</v>
      </c>
      <c r="F5369"/>
      <c r="M5369"/>
    </row>
    <row r="5370" spans="1:13" x14ac:dyDescent="0.15">
      <c r="A5370" t="s">
        <v>28</v>
      </c>
      <c r="F5370"/>
      <c r="M5370"/>
    </row>
    <row r="5371" spans="1:13" x14ac:dyDescent="0.15">
      <c r="A5371" t="s">
        <v>28</v>
      </c>
      <c r="F5371"/>
      <c r="M5371"/>
    </row>
    <row r="5372" spans="1:13" x14ac:dyDescent="0.15">
      <c r="A5372" t="s">
        <v>28</v>
      </c>
      <c r="F5372"/>
      <c r="M5372"/>
    </row>
    <row r="5373" spans="1:13" x14ac:dyDescent="0.15">
      <c r="A5373" t="s">
        <v>28</v>
      </c>
      <c r="F5373"/>
      <c r="M5373"/>
    </row>
    <row r="5374" spans="1:13" x14ac:dyDescent="0.15">
      <c r="A5374" t="s">
        <v>28</v>
      </c>
      <c r="F5374"/>
      <c r="M5374"/>
    </row>
    <row r="5375" spans="1:13" x14ac:dyDescent="0.15">
      <c r="A5375" t="s">
        <v>28</v>
      </c>
      <c r="F5375"/>
      <c r="M5375"/>
    </row>
    <row r="5376" spans="1:13" x14ac:dyDescent="0.15">
      <c r="A5376" t="s">
        <v>28</v>
      </c>
      <c r="F5376"/>
      <c r="M5376"/>
    </row>
    <row r="5377" spans="1:13" x14ac:dyDescent="0.15">
      <c r="A5377" t="s">
        <v>28</v>
      </c>
      <c r="F5377"/>
      <c r="M5377"/>
    </row>
    <row r="5378" spans="1:13" x14ac:dyDescent="0.15">
      <c r="A5378" t="s">
        <v>28</v>
      </c>
      <c r="F5378"/>
      <c r="M5378"/>
    </row>
    <row r="5379" spans="1:13" x14ac:dyDescent="0.15">
      <c r="A5379" t="s">
        <v>28</v>
      </c>
      <c r="F5379"/>
      <c r="M5379"/>
    </row>
    <row r="5380" spans="1:13" x14ac:dyDescent="0.15">
      <c r="A5380" t="s">
        <v>28</v>
      </c>
      <c r="F5380"/>
      <c r="M5380"/>
    </row>
    <row r="5381" spans="1:13" x14ac:dyDescent="0.15">
      <c r="A5381" t="s">
        <v>29</v>
      </c>
      <c r="F5381"/>
      <c r="M5381"/>
    </row>
    <row r="5382" spans="1:13" x14ac:dyDescent="0.15">
      <c r="A5382" t="s">
        <v>29</v>
      </c>
      <c r="F5382"/>
      <c r="M5382"/>
    </row>
    <row r="5383" spans="1:13" x14ac:dyDescent="0.15">
      <c r="A5383" t="s">
        <v>29</v>
      </c>
      <c r="F5383"/>
      <c r="M5383"/>
    </row>
    <row r="5384" spans="1:13" x14ac:dyDescent="0.15">
      <c r="A5384" t="s">
        <v>29</v>
      </c>
      <c r="F5384"/>
      <c r="M5384"/>
    </row>
    <row r="5385" spans="1:13" x14ac:dyDescent="0.15">
      <c r="A5385" t="s">
        <v>29</v>
      </c>
      <c r="F5385"/>
      <c r="M5385"/>
    </row>
    <row r="5386" spans="1:13" x14ac:dyDescent="0.15">
      <c r="A5386" t="s">
        <v>29</v>
      </c>
      <c r="F5386"/>
      <c r="M5386"/>
    </row>
    <row r="5387" spans="1:13" x14ac:dyDescent="0.15">
      <c r="A5387" t="s">
        <v>29</v>
      </c>
      <c r="F5387"/>
      <c r="M5387"/>
    </row>
    <row r="5388" spans="1:13" x14ac:dyDescent="0.15">
      <c r="A5388" t="s">
        <v>29</v>
      </c>
      <c r="F5388"/>
      <c r="M5388"/>
    </row>
    <row r="5389" spans="1:13" x14ac:dyDescent="0.15">
      <c r="A5389" t="s">
        <v>29</v>
      </c>
      <c r="F5389"/>
      <c r="M5389"/>
    </row>
    <row r="5390" spans="1:13" x14ac:dyDescent="0.15">
      <c r="A5390" t="s">
        <v>29</v>
      </c>
      <c r="F5390"/>
      <c r="M5390"/>
    </row>
    <row r="5391" spans="1:13" x14ac:dyDescent="0.15">
      <c r="A5391" t="s">
        <v>29</v>
      </c>
      <c r="F5391"/>
      <c r="M5391"/>
    </row>
    <row r="5392" spans="1:13" x14ac:dyDescent="0.15">
      <c r="A5392" t="s">
        <v>29</v>
      </c>
      <c r="F5392"/>
      <c r="M5392"/>
    </row>
    <row r="5393" spans="1:13" x14ac:dyDescent="0.15">
      <c r="A5393" t="s">
        <v>29</v>
      </c>
      <c r="F5393"/>
      <c r="M5393"/>
    </row>
    <row r="5394" spans="1:13" x14ac:dyDescent="0.15">
      <c r="A5394" t="s">
        <v>29</v>
      </c>
      <c r="F5394"/>
      <c r="M5394"/>
    </row>
    <row r="5395" spans="1:13" x14ac:dyDescent="0.15">
      <c r="A5395" t="s">
        <v>29</v>
      </c>
      <c r="F5395"/>
      <c r="M5395"/>
    </row>
    <row r="5396" spans="1:13" x14ac:dyDescent="0.15">
      <c r="A5396" t="s">
        <v>29</v>
      </c>
      <c r="F5396"/>
      <c r="M5396"/>
    </row>
    <row r="5397" spans="1:13" x14ac:dyDescent="0.15">
      <c r="A5397" t="s">
        <v>29</v>
      </c>
      <c r="F5397"/>
      <c r="M5397"/>
    </row>
    <row r="5398" spans="1:13" x14ac:dyDescent="0.15">
      <c r="A5398" t="s">
        <v>29</v>
      </c>
      <c r="F5398"/>
      <c r="M5398"/>
    </row>
    <row r="5399" spans="1:13" x14ac:dyDescent="0.15">
      <c r="A5399" t="s">
        <v>29</v>
      </c>
      <c r="F5399"/>
      <c r="M5399"/>
    </row>
    <row r="5400" spans="1:13" x14ac:dyDescent="0.15">
      <c r="A5400" t="s">
        <v>29</v>
      </c>
      <c r="F5400"/>
      <c r="M5400"/>
    </row>
    <row r="5401" spans="1:13" x14ac:dyDescent="0.15">
      <c r="A5401" t="s">
        <v>29</v>
      </c>
      <c r="F5401"/>
      <c r="M5401"/>
    </row>
    <row r="5402" spans="1:13" x14ac:dyDescent="0.15">
      <c r="A5402" t="s">
        <v>29</v>
      </c>
      <c r="F5402"/>
      <c r="M5402"/>
    </row>
    <row r="5403" spans="1:13" x14ac:dyDescent="0.15">
      <c r="A5403" t="s">
        <v>29</v>
      </c>
      <c r="F5403"/>
      <c r="M5403"/>
    </row>
    <row r="5404" spans="1:13" x14ac:dyDescent="0.15">
      <c r="A5404" t="s">
        <v>29</v>
      </c>
      <c r="F5404"/>
      <c r="M5404"/>
    </row>
    <row r="5405" spans="1:13" x14ac:dyDescent="0.15">
      <c r="A5405" t="s">
        <v>29</v>
      </c>
      <c r="F5405"/>
      <c r="M5405"/>
    </row>
    <row r="5406" spans="1:13" x14ac:dyDescent="0.15">
      <c r="A5406" t="s">
        <v>29</v>
      </c>
      <c r="F5406"/>
      <c r="M5406"/>
    </row>
    <row r="5407" spans="1:13" x14ac:dyDescent="0.15">
      <c r="A5407" t="s">
        <v>29</v>
      </c>
      <c r="F5407"/>
      <c r="M5407"/>
    </row>
    <row r="5408" spans="1:13" x14ac:dyDescent="0.15">
      <c r="A5408" t="s">
        <v>29</v>
      </c>
      <c r="F5408"/>
      <c r="M5408"/>
    </row>
    <row r="5409" spans="1:13" x14ac:dyDescent="0.15">
      <c r="A5409" t="s">
        <v>29</v>
      </c>
      <c r="F5409"/>
      <c r="M5409"/>
    </row>
    <row r="5410" spans="1:13" x14ac:dyDescent="0.15">
      <c r="A5410" t="s">
        <v>29</v>
      </c>
      <c r="F5410"/>
      <c r="M5410"/>
    </row>
    <row r="5411" spans="1:13" x14ac:dyDescent="0.15">
      <c r="A5411" t="s">
        <v>29</v>
      </c>
      <c r="F5411"/>
      <c r="M5411"/>
    </row>
    <row r="5412" spans="1:13" x14ac:dyDescent="0.15">
      <c r="A5412" t="s">
        <v>29</v>
      </c>
      <c r="F5412"/>
      <c r="M5412"/>
    </row>
    <row r="5413" spans="1:13" x14ac:dyDescent="0.15">
      <c r="A5413" t="s">
        <v>29</v>
      </c>
      <c r="F5413"/>
      <c r="M5413"/>
    </row>
    <row r="5414" spans="1:13" x14ac:dyDescent="0.15">
      <c r="A5414" t="s">
        <v>29</v>
      </c>
      <c r="F5414"/>
      <c r="M5414"/>
    </row>
    <row r="5415" spans="1:13" x14ac:dyDescent="0.15">
      <c r="A5415" t="s">
        <v>29</v>
      </c>
      <c r="F5415"/>
      <c r="M5415"/>
    </row>
    <row r="5416" spans="1:13" x14ac:dyDescent="0.15">
      <c r="A5416" t="s">
        <v>29</v>
      </c>
      <c r="F5416"/>
      <c r="M5416"/>
    </row>
    <row r="5417" spans="1:13" x14ac:dyDescent="0.15">
      <c r="A5417" t="s">
        <v>29</v>
      </c>
      <c r="F5417"/>
      <c r="M5417"/>
    </row>
    <row r="5418" spans="1:13" x14ac:dyDescent="0.15">
      <c r="A5418" t="s">
        <v>29</v>
      </c>
      <c r="F5418"/>
      <c r="M5418"/>
    </row>
    <row r="5419" spans="1:13" x14ac:dyDescent="0.15">
      <c r="A5419" t="s">
        <v>29</v>
      </c>
      <c r="F5419"/>
      <c r="M5419"/>
    </row>
    <row r="5420" spans="1:13" x14ac:dyDescent="0.15">
      <c r="A5420" t="s">
        <v>29</v>
      </c>
      <c r="F5420"/>
      <c r="M5420"/>
    </row>
    <row r="5421" spans="1:13" x14ac:dyDescent="0.15">
      <c r="A5421" t="s">
        <v>29</v>
      </c>
      <c r="F5421"/>
      <c r="M5421"/>
    </row>
    <row r="5422" spans="1:13" x14ac:dyDescent="0.15">
      <c r="A5422" t="s">
        <v>29</v>
      </c>
      <c r="F5422"/>
      <c r="M5422"/>
    </row>
    <row r="5423" spans="1:13" x14ac:dyDescent="0.15">
      <c r="A5423" t="s">
        <v>29</v>
      </c>
      <c r="F5423"/>
      <c r="M5423"/>
    </row>
    <row r="5424" spans="1:13" x14ac:dyDescent="0.15">
      <c r="A5424" t="s">
        <v>29</v>
      </c>
      <c r="F5424"/>
      <c r="M5424"/>
    </row>
    <row r="5425" spans="1:13" x14ac:dyDescent="0.15">
      <c r="A5425" t="s">
        <v>29</v>
      </c>
      <c r="F5425"/>
      <c r="M5425"/>
    </row>
    <row r="5426" spans="1:13" x14ac:dyDescent="0.15">
      <c r="A5426" t="s">
        <v>29</v>
      </c>
      <c r="F5426"/>
      <c r="M5426"/>
    </row>
    <row r="5427" spans="1:13" x14ac:dyDescent="0.15">
      <c r="A5427" t="s">
        <v>29</v>
      </c>
      <c r="F5427"/>
      <c r="M5427"/>
    </row>
    <row r="5428" spans="1:13" x14ac:dyDescent="0.15">
      <c r="A5428" t="s">
        <v>29</v>
      </c>
      <c r="F5428"/>
      <c r="M5428"/>
    </row>
    <row r="5429" spans="1:13" x14ac:dyDescent="0.15">
      <c r="A5429" t="s">
        <v>29</v>
      </c>
      <c r="F5429"/>
      <c r="M5429"/>
    </row>
    <row r="5430" spans="1:13" x14ac:dyDescent="0.15">
      <c r="A5430" t="s">
        <v>29</v>
      </c>
      <c r="F5430"/>
      <c r="M5430"/>
    </row>
    <row r="5431" spans="1:13" x14ac:dyDescent="0.15">
      <c r="A5431" t="s">
        <v>29</v>
      </c>
      <c r="F5431"/>
      <c r="M5431"/>
    </row>
    <row r="5432" spans="1:13" x14ac:dyDescent="0.15">
      <c r="A5432" t="s">
        <v>29</v>
      </c>
      <c r="F5432"/>
      <c r="M5432"/>
    </row>
    <row r="5433" spans="1:13" x14ac:dyDescent="0.15">
      <c r="A5433" t="s">
        <v>29</v>
      </c>
      <c r="F5433"/>
      <c r="M5433"/>
    </row>
    <row r="5434" spans="1:13" x14ac:dyDescent="0.15">
      <c r="A5434" t="s">
        <v>29</v>
      </c>
      <c r="F5434"/>
      <c r="M5434"/>
    </row>
    <row r="5435" spans="1:13" x14ac:dyDescent="0.15">
      <c r="A5435" t="s">
        <v>29</v>
      </c>
      <c r="F5435"/>
      <c r="M5435"/>
    </row>
    <row r="5436" spans="1:13" x14ac:dyDescent="0.15">
      <c r="A5436" t="s">
        <v>29</v>
      </c>
      <c r="F5436"/>
      <c r="M5436"/>
    </row>
    <row r="5437" spans="1:13" x14ac:dyDescent="0.15">
      <c r="A5437" t="s">
        <v>29</v>
      </c>
      <c r="F5437"/>
      <c r="M5437"/>
    </row>
    <row r="5438" spans="1:13" x14ac:dyDescent="0.15">
      <c r="A5438" t="s">
        <v>29</v>
      </c>
      <c r="F5438"/>
      <c r="M5438"/>
    </row>
    <row r="5439" spans="1:13" x14ac:dyDescent="0.15">
      <c r="A5439" t="s">
        <v>29</v>
      </c>
      <c r="F5439"/>
      <c r="M5439"/>
    </row>
    <row r="5440" spans="1:13" x14ac:dyDescent="0.15">
      <c r="A5440" t="s">
        <v>29</v>
      </c>
      <c r="F5440"/>
      <c r="M5440"/>
    </row>
    <row r="5441" spans="1:13" x14ac:dyDescent="0.15">
      <c r="A5441" t="s">
        <v>29</v>
      </c>
      <c r="F5441"/>
      <c r="M5441"/>
    </row>
    <row r="5442" spans="1:13" x14ac:dyDescent="0.15">
      <c r="A5442" t="s">
        <v>29</v>
      </c>
      <c r="F5442"/>
      <c r="M5442"/>
    </row>
    <row r="5443" spans="1:13" x14ac:dyDescent="0.15">
      <c r="A5443" t="s">
        <v>29</v>
      </c>
      <c r="F5443"/>
      <c r="M5443"/>
    </row>
    <row r="5444" spans="1:13" x14ac:dyDescent="0.15">
      <c r="A5444" t="s">
        <v>29</v>
      </c>
      <c r="F5444"/>
      <c r="M5444"/>
    </row>
    <row r="5445" spans="1:13" x14ac:dyDescent="0.15">
      <c r="A5445" t="s">
        <v>29</v>
      </c>
      <c r="F5445"/>
      <c r="M5445"/>
    </row>
    <row r="5446" spans="1:13" x14ac:dyDescent="0.15">
      <c r="A5446" t="s">
        <v>29</v>
      </c>
      <c r="F5446"/>
      <c r="M5446"/>
    </row>
    <row r="5447" spans="1:13" x14ac:dyDescent="0.15">
      <c r="A5447" t="s">
        <v>29</v>
      </c>
      <c r="F5447"/>
      <c r="M5447"/>
    </row>
    <row r="5448" spans="1:13" x14ac:dyDescent="0.15">
      <c r="A5448" t="s">
        <v>29</v>
      </c>
      <c r="F5448"/>
      <c r="M5448"/>
    </row>
    <row r="5449" spans="1:13" x14ac:dyDescent="0.15">
      <c r="A5449" t="s">
        <v>29</v>
      </c>
      <c r="F5449"/>
      <c r="M5449"/>
    </row>
    <row r="5450" spans="1:13" x14ac:dyDescent="0.15">
      <c r="A5450" t="s">
        <v>29</v>
      </c>
      <c r="F5450"/>
      <c r="M5450"/>
    </row>
    <row r="5451" spans="1:13" x14ac:dyDescent="0.15">
      <c r="A5451" t="s">
        <v>29</v>
      </c>
      <c r="F5451"/>
      <c r="M5451"/>
    </row>
    <row r="5452" spans="1:13" x14ac:dyDescent="0.15">
      <c r="A5452" t="s">
        <v>29</v>
      </c>
      <c r="F5452"/>
      <c r="M5452"/>
    </row>
    <row r="5453" spans="1:13" x14ac:dyDescent="0.15">
      <c r="A5453" t="s">
        <v>29</v>
      </c>
      <c r="F5453"/>
      <c r="M5453"/>
    </row>
    <row r="5454" spans="1:13" x14ac:dyDescent="0.15">
      <c r="A5454" t="s">
        <v>29</v>
      </c>
      <c r="F5454"/>
      <c r="M5454"/>
    </row>
    <row r="5455" spans="1:13" x14ac:dyDescent="0.15">
      <c r="A5455" t="s">
        <v>29</v>
      </c>
      <c r="F5455"/>
      <c r="M5455"/>
    </row>
    <row r="5456" spans="1:13" x14ac:dyDescent="0.15">
      <c r="A5456" t="s">
        <v>29</v>
      </c>
      <c r="F5456"/>
      <c r="M5456"/>
    </row>
    <row r="5457" spans="1:13" x14ac:dyDescent="0.15">
      <c r="A5457" t="s">
        <v>29</v>
      </c>
      <c r="F5457"/>
      <c r="M5457"/>
    </row>
    <row r="5458" spans="1:13" x14ac:dyDescent="0.15">
      <c r="A5458" t="s">
        <v>29</v>
      </c>
      <c r="F5458"/>
      <c r="M5458"/>
    </row>
    <row r="5459" spans="1:13" x14ac:dyDescent="0.15">
      <c r="A5459" t="s">
        <v>29</v>
      </c>
      <c r="F5459"/>
      <c r="M5459"/>
    </row>
    <row r="5460" spans="1:13" x14ac:dyDescent="0.15">
      <c r="A5460" t="s">
        <v>29</v>
      </c>
      <c r="F5460"/>
      <c r="M5460"/>
    </row>
    <row r="5461" spans="1:13" x14ac:dyDescent="0.15">
      <c r="A5461" t="s">
        <v>29</v>
      </c>
      <c r="F5461"/>
      <c r="M5461"/>
    </row>
    <row r="5462" spans="1:13" x14ac:dyDescent="0.15">
      <c r="A5462" t="s">
        <v>29</v>
      </c>
      <c r="F5462"/>
      <c r="M5462"/>
    </row>
    <row r="5463" spans="1:13" x14ac:dyDescent="0.15">
      <c r="A5463" t="s">
        <v>29</v>
      </c>
      <c r="F5463"/>
      <c r="M5463"/>
    </row>
    <row r="5464" spans="1:13" x14ac:dyDescent="0.15">
      <c r="A5464" t="s">
        <v>29</v>
      </c>
      <c r="F5464"/>
      <c r="M5464"/>
    </row>
    <row r="5465" spans="1:13" x14ac:dyDescent="0.15">
      <c r="A5465" t="s">
        <v>29</v>
      </c>
      <c r="F5465"/>
      <c r="M5465"/>
    </row>
    <row r="5466" spans="1:13" x14ac:dyDescent="0.15">
      <c r="A5466" t="s">
        <v>29</v>
      </c>
      <c r="F5466"/>
      <c r="M5466"/>
    </row>
    <row r="5467" spans="1:13" x14ac:dyDescent="0.15">
      <c r="A5467" t="s">
        <v>29</v>
      </c>
      <c r="F5467"/>
      <c r="M5467"/>
    </row>
    <row r="5468" spans="1:13" x14ac:dyDescent="0.15">
      <c r="A5468" t="s">
        <v>29</v>
      </c>
      <c r="F5468"/>
      <c r="M5468"/>
    </row>
    <row r="5469" spans="1:13" x14ac:dyDescent="0.15">
      <c r="A5469" t="s">
        <v>29</v>
      </c>
      <c r="F5469"/>
      <c r="M5469"/>
    </row>
    <row r="5470" spans="1:13" x14ac:dyDescent="0.15">
      <c r="A5470" t="s">
        <v>29</v>
      </c>
      <c r="F5470"/>
      <c r="M5470"/>
    </row>
    <row r="5471" spans="1:13" x14ac:dyDescent="0.15">
      <c r="A5471" t="s">
        <v>29</v>
      </c>
      <c r="F5471"/>
      <c r="M5471"/>
    </row>
    <row r="5472" spans="1:13" x14ac:dyDescent="0.15">
      <c r="A5472" t="s">
        <v>29</v>
      </c>
      <c r="F5472"/>
      <c r="M5472"/>
    </row>
    <row r="5473" spans="1:13" x14ac:dyDescent="0.15">
      <c r="A5473" t="s">
        <v>29</v>
      </c>
      <c r="F5473"/>
      <c r="M5473"/>
    </row>
    <row r="5474" spans="1:13" x14ac:dyDescent="0.15">
      <c r="A5474" t="s">
        <v>29</v>
      </c>
      <c r="F5474"/>
      <c r="M5474"/>
    </row>
    <row r="5475" spans="1:13" x14ac:dyDescent="0.15">
      <c r="A5475" t="s">
        <v>29</v>
      </c>
      <c r="F5475"/>
      <c r="M5475"/>
    </row>
    <row r="5476" spans="1:13" x14ac:dyDescent="0.15">
      <c r="A5476" t="s">
        <v>29</v>
      </c>
      <c r="F5476"/>
      <c r="M5476"/>
    </row>
    <row r="5477" spans="1:13" x14ac:dyDescent="0.15">
      <c r="A5477" t="s">
        <v>29</v>
      </c>
      <c r="F5477"/>
      <c r="M5477"/>
    </row>
    <row r="5478" spans="1:13" x14ac:dyDescent="0.15">
      <c r="A5478" t="s">
        <v>29</v>
      </c>
      <c r="F5478"/>
      <c r="M5478"/>
    </row>
    <row r="5479" spans="1:13" x14ac:dyDescent="0.15">
      <c r="A5479" t="s">
        <v>29</v>
      </c>
      <c r="F5479"/>
      <c r="M5479"/>
    </row>
    <row r="5480" spans="1:13" x14ac:dyDescent="0.15">
      <c r="A5480" t="s">
        <v>29</v>
      </c>
      <c r="F5480"/>
      <c r="M5480"/>
    </row>
    <row r="5481" spans="1:13" x14ac:dyDescent="0.15">
      <c r="A5481" t="s">
        <v>29</v>
      </c>
      <c r="F5481"/>
      <c r="M5481"/>
    </row>
    <row r="5482" spans="1:13" x14ac:dyDescent="0.15">
      <c r="A5482" t="s">
        <v>29</v>
      </c>
      <c r="F5482"/>
      <c r="M5482"/>
    </row>
    <row r="5483" spans="1:13" x14ac:dyDescent="0.15">
      <c r="A5483" t="s">
        <v>29</v>
      </c>
      <c r="F5483"/>
      <c r="M5483"/>
    </row>
    <row r="5484" spans="1:13" x14ac:dyDescent="0.15">
      <c r="A5484" t="s">
        <v>29</v>
      </c>
      <c r="F5484"/>
      <c r="M5484"/>
    </row>
    <row r="5485" spans="1:13" x14ac:dyDescent="0.15">
      <c r="A5485" t="s">
        <v>29</v>
      </c>
      <c r="F5485"/>
      <c r="M5485"/>
    </row>
    <row r="5486" spans="1:13" x14ac:dyDescent="0.15">
      <c r="A5486" t="s">
        <v>29</v>
      </c>
      <c r="F5486"/>
      <c r="M5486"/>
    </row>
    <row r="5487" spans="1:13" x14ac:dyDescent="0.15">
      <c r="A5487" t="s">
        <v>29</v>
      </c>
      <c r="F5487"/>
      <c r="M5487"/>
    </row>
    <row r="5488" spans="1:13" x14ac:dyDescent="0.15">
      <c r="A5488" t="s">
        <v>29</v>
      </c>
      <c r="F5488"/>
      <c r="M5488"/>
    </row>
    <row r="5489" spans="1:13" x14ac:dyDescent="0.15">
      <c r="A5489" t="s">
        <v>29</v>
      </c>
      <c r="F5489"/>
      <c r="M5489"/>
    </row>
    <row r="5490" spans="1:13" x14ac:dyDescent="0.15">
      <c r="A5490" t="s">
        <v>29</v>
      </c>
      <c r="F5490"/>
      <c r="M5490"/>
    </row>
    <row r="5491" spans="1:13" x14ac:dyDescent="0.15">
      <c r="A5491" t="s">
        <v>29</v>
      </c>
      <c r="F5491"/>
      <c r="M5491"/>
    </row>
    <row r="5492" spans="1:13" x14ac:dyDescent="0.15">
      <c r="A5492" t="s">
        <v>29</v>
      </c>
      <c r="F5492"/>
      <c r="M5492"/>
    </row>
    <row r="5493" spans="1:13" x14ac:dyDescent="0.15">
      <c r="A5493" t="s">
        <v>29</v>
      </c>
      <c r="F5493"/>
      <c r="M5493"/>
    </row>
    <row r="5494" spans="1:13" x14ac:dyDescent="0.15">
      <c r="A5494" t="s">
        <v>29</v>
      </c>
      <c r="F5494"/>
      <c r="M5494"/>
    </row>
    <row r="5495" spans="1:13" x14ac:dyDescent="0.15">
      <c r="A5495" t="s">
        <v>29</v>
      </c>
      <c r="F5495"/>
      <c r="M5495"/>
    </row>
    <row r="5496" spans="1:13" x14ac:dyDescent="0.15">
      <c r="A5496" t="s">
        <v>29</v>
      </c>
      <c r="F5496"/>
      <c r="M5496"/>
    </row>
    <row r="5497" spans="1:13" x14ac:dyDescent="0.15">
      <c r="A5497" t="s">
        <v>29</v>
      </c>
      <c r="F5497"/>
      <c r="M5497"/>
    </row>
    <row r="5498" spans="1:13" x14ac:dyDescent="0.15">
      <c r="A5498" t="s">
        <v>29</v>
      </c>
      <c r="F5498"/>
      <c r="M5498"/>
    </row>
    <row r="5499" spans="1:13" x14ac:dyDescent="0.15">
      <c r="A5499" t="s">
        <v>29</v>
      </c>
      <c r="F5499"/>
      <c r="M5499"/>
    </row>
    <row r="5500" spans="1:13" x14ac:dyDescent="0.15">
      <c r="A5500" t="s">
        <v>29</v>
      </c>
      <c r="F5500"/>
      <c r="M5500"/>
    </row>
    <row r="5501" spans="1:13" x14ac:dyDescent="0.15">
      <c r="A5501" t="s">
        <v>29</v>
      </c>
      <c r="F5501"/>
      <c r="M5501"/>
    </row>
    <row r="5502" spans="1:13" x14ac:dyDescent="0.15">
      <c r="A5502" t="s">
        <v>29</v>
      </c>
      <c r="F5502"/>
      <c r="M5502"/>
    </row>
    <row r="5503" spans="1:13" x14ac:dyDescent="0.15">
      <c r="A5503" t="s">
        <v>29</v>
      </c>
      <c r="F5503"/>
      <c r="M5503"/>
    </row>
    <row r="5504" spans="1:13" x14ac:dyDescent="0.15">
      <c r="A5504" t="s">
        <v>29</v>
      </c>
      <c r="F5504"/>
      <c r="M5504"/>
    </row>
    <row r="5505" spans="1:13" x14ac:dyDescent="0.15">
      <c r="A5505" t="s">
        <v>29</v>
      </c>
      <c r="F5505"/>
      <c r="M5505"/>
    </row>
    <row r="5506" spans="1:13" x14ac:dyDescent="0.15">
      <c r="A5506" t="s">
        <v>29</v>
      </c>
      <c r="F5506"/>
      <c r="M5506"/>
    </row>
    <row r="5507" spans="1:13" x14ac:dyDescent="0.15">
      <c r="A5507" t="s">
        <v>29</v>
      </c>
      <c r="F5507"/>
      <c r="M5507"/>
    </row>
    <row r="5508" spans="1:13" x14ac:dyDescent="0.15">
      <c r="A5508" t="s">
        <v>29</v>
      </c>
      <c r="F5508"/>
      <c r="M5508"/>
    </row>
    <row r="5509" spans="1:13" x14ac:dyDescent="0.15">
      <c r="A5509" t="s">
        <v>29</v>
      </c>
      <c r="F5509"/>
      <c r="M5509"/>
    </row>
    <row r="5510" spans="1:13" x14ac:dyDescent="0.15">
      <c r="A5510" t="s">
        <v>29</v>
      </c>
      <c r="F5510"/>
      <c r="M5510"/>
    </row>
    <row r="5511" spans="1:13" x14ac:dyDescent="0.15">
      <c r="A5511" t="s">
        <v>29</v>
      </c>
      <c r="F5511"/>
      <c r="M5511"/>
    </row>
    <row r="5512" spans="1:13" x14ac:dyDescent="0.15">
      <c r="A5512" t="s">
        <v>29</v>
      </c>
      <c r="F5512"/>
      <c r="M5512"/>
    </row>
    <row r="5513" spans="1:13" x14ac:dyDescent="0.15">
      <c r="A5513" t="s">
        <v>29</v>
      </c>
      <c r="F5513"/>
      <c r="M5513"/>
    </row>
    <row r="5514" spans="1:13" x14ac:dyDescent="0.15">
      <c r="A5514" t="s">
        <v>29</v>
      </c>
      <c r="F5514"/>
      <c r="M5514"/>
    </row>
    <row r="5515" spans="1:13" x14ac:dyDescent="0.15">
      <c r="A5515" t="s">
        <v>29</v>
      </c>
      <c r="F5515"/>
      <c r="M5515"/>
    </row>
    <row r="5516" spans="1:13" x14ac:dyDescent="0.15">
      <c r="A5516" t="s">
        <v>29</v>
      </c>
      <c r="F5516"/>
      <c r="M5516"/>
    </row>
    <row r="5517" spans="1:13" x14ac:dyDescent="0.15">
      <c r="A5517" t="s">
        <v>29</v>
      </c>
      <c r="F5517"/>
      <c r="M5517"/>
    </row>
    <row r="5518" spans="1:13" x14ac:dyDescent="0.15">
      <c r="A5518" t="s">
        <v>29</v>
      </c>
      <c r="F5518"/>
      <c r="M5518"/>
    </row>
    <row r="5519" spans="1:13" x14ac:dyDescent="0.15">
      <c r="A5519" t="s">
        <v>29</v>
      </c>
      <c r="F5519"/>
      <c r="M5519"/>
    </row>
    <row r="5520" spans="1:13" x14ac:dyDescent="0.15">
      <c r="A5520" t="s">
        <v>29</v>
      </c>
      <c r="F5520"/>
      <c r="M5520"/>
    </row>
    <row r="5521" spans="1:13" x14ac:dyDescent="0.15">
      <c r="A5521" t="s">
        <v>29</v>
      </c>
      <c r="F5521"/>
      <c r="M5521"/>
    </row>
    <row r="5522" spans="1:13" x14ac:dyDescent="0.15">
      <c r="A5522" t="s">
        <v>29</v>
      </c>
      <c r="F5522"/>
      <c r="M5522"/>
    </row>
    <row r="5523" spans="1:13" x14ac:dyDescent="0.15">
      <c r="A5523" t="s">
        <v>29</v>
      </c>
      <c r="F5523"/>
      <c r="M5523"/>
    </row>
    <row r="5524" spans="1:13" x14ac:dyDescent="0.15">
      <c r="A5524" t="s">
        <v>29</v>
      </c>
      <c r="F5524"/>
      <c r="M5524"/>
    </row>
    <row r="5525" spans="1:13" x14ac:dyDescent="0.15">
      <c r="A5525" t="s">
        <v>29</v>
      </c>
      <c r="F5525"/>
      <c r="M5525"/>
    </row>
    <row r="5526" spans="1:13" x14ac:dyDescent="0.15">
      <c r="A5526" t="s">
        <v>29</v>
      </c>
      <c r="F5526"/>
      <c r="M5526"/>
    </row>
    <row r="5527" spans="1:13" x14ac:dyDescent="0.15">
      <c r="A5527" t="s">
        <v>29</v>
      </c>
      <c r="F5527"/>
      <c r="M5527"/>
    </row>
    <row r="5528" spans="1:13" x14ac:dyDescent="0.15">
      <c r="A5528" t="s">
        <v>29</v>
      </c>
      <c r="F5528"/>
      <c r="M5528"/>
    </row>
    <row r="5529" spans="1:13" x14ac:dyDescent="0.15">
      <c r="A5529" t="s">
        <v>29</v>
      </c>
      <c r="F5529"/>
      <c r="M5529"/>
    </row>
    <row r="5530" spans="1:13" x14ac:dyDescent="0.15">
      <c r="A5530" t="s">
        <v>29</v>
      </c>
      <c r="F5530"/>
      <c r="M5530"/>
    </row>
    <row r="5531" spans="1:13" x14ac:dyDescent="0.15">
      <c r="A5531" t="s">
        <v>29</v>
      </c>
      <c r="F5531"/>
      <c r="M5531"/>
    </row>
    <row r="5532" spans="1:13" x14ac:dyDescent="0.15">
      <c r="A5532" t="s">
        <v>29</v>
      </c>
      <c r="F5532"/>
      <c r="M5532"/>
    </row>
    <row r="5533" spans="1:13" x14ac:dyDescent="0.15">
      <c r="A5533" t="s">
        <v>29</v>
      </c>
      <c r="F5533"/>
      <c r="M5533"/>
    </row>
    <row r="5534" spans="1:13" x14ac:dyDescent="0.15">
      <c r="A5534" t="s">
        <v>29</v>
      </c>
      <c r="F5534"/>
      <c r="M5534"/>
    </row>
    <row r="5535" spans="1:13" x14ac:dyDescent="0.15">
      <c r="A5535" t="s">
        <v>29</v>
      </c>
      <c r="F5535"/>
      <c r="M5535"/>
    </row>
    <row r="5536" spans="1:13" x14ac:dyDescent="0.15">
      <c r="A5536" t="s">
        <v>29</v>
      </c>
      <c r="F5536"/>
      <c r="M5536"/>
    </row>
    <row r="5537" spans="1:13" x14ac:dyDescent="0.15">
      <c r="A5537" t="s">
        <v>29</v>
      </c>
      <c r="F5537"/>
      <c r="M5537"/>
    </row>
    <row r="5538" spans="1:13" x14ac:dyDescent="0.15">
      <c r="A5538" t="s">
        <v>29</v>
      </c>
      <c r="F5538"/>
      <c r="M5538"/>
    </row>
    <row r="5539" spans="1:13" x14ac:dyDescent="0.15">
      <c r="A5539" t="s">
        <v>29</v>
      </c>
      <c r="F5539"/>
      <c r="M5539"/>
    </row>
    <row r="5540" spans="1:13" x14ac:dyDescent="0.15">
      <c r="A5540" t="s">
        <v>29</v>
      </c>
      <c r="F5540"/>
      <c r="M5540"/>
    </row>
    <row r="5541" spans="1:13" x14ac:dyDescent="0.15">
      <c r="A5541" t="s">
        <v>29</v>
      </c>
      <c r="F5541"/>
      <c r="M5541"/>
    </row>
    <row r="5542" spans="1:13" x14ac:dyDescent="0.15">
      <c r="A5542" t="s">
        <v>29</v>
      </c>
      <c r="F5542"/>
      <c r="M5542"/>
    </row>
    <row r="5543" spans="1:13" x14ac:dyDescent="0.15">
      <c r="A5543" t="s">
        <v>29</v>
      </c>
      <c r="F5543"/>
      <c r="M5543"/>
    </row>
    <row r="5544" spans="1:13" x14ac:dyDescent="0.15">
      <c r="A5544" t="s">
        <v>29</v>
      </c>
      <c r="F5544"/>
      <c r="M5544"/>
    </row>
    <row r="5545" spans="1:13" x14ac:dyDescent="0.15">
      <c r="A5545" t="s">
        <v>29</v>
      </c>
      <c r="F5545"/>
      <c r="M5545"/>
    </row>
    <row r="5546" spans="1:13" x14ac:dyDescent="0.15">
      <c r="A5546" t="s">
        <v>29</v>
      </c>
      <c r="F5546"/>
      <c r="M5546"/>
    </row>
    <row r="5547" spans="1:13" x14ac:dyDescent="0.15">
      <c r="A5547" t="s">
        <v>29</v>
      </c>
      <c r="F5547"/>
      <c r="M5547"/>
    </row>
    <row r="5548" spans="1:13" x14ac:dyDescent="0.15">
      <c r="A5548" t="s">
        <v>29</v>
      </c>
      <c r="F5548"/>
      <c r="M5548"/>
    </row>
    <row r="5549" spans="1:13" x14ac:dyDescent="0.15">
      <c r="A5549" t="s">
        <v>29</v>
      </c>
      <c r="F5549"/>
      <c r="M5549"/>
    </row>
    <row r="5550" spans="1:13" x14ac:dyDescent="0.15">
      <c r="A5550" t="s">
        <v>29</v>
      </c>
      <c r="F5550"/>
      <c r="M5550"/>
    </row>
    <row r="5551" spans="1:13" x14ac:dyDescent="0.15">
      <c r="A5551" t="s">
        <v>29</v>
      </c>
      <c r="F5551"/>
      <c r="M5551"/>
    </row>
    <row r="5552" spans="1:13" x14ac:dyDescent="0.15">
      <c r="A5552" t="s">
        <v>29</v>
      </c>
      <c r="F5552"/>
      <c r="M5552"/>
    </row>
    <row r="5553" spans="1:13" x14ac:dyDescent="0.15">
      <c r="A5553" t="s">
        <v>29</v>
      </c>
      <c r="F5553"/>
      <c r="M5553"/>
    </row>
    <row r="5554" spans="1:13" x14ac:dyDescent="0.15">
      <c r="A5554" t="s">
        <v>29</v>
      </c>
      <c r="F5554"/>
      <c r="M5554"/>
    </row>
    <row r="5555" spans="1:13" x14ac:dyDescent="0.15">
      <c r="A5555" t="s">
        <v>29</v>
      </c>
      <c r="F5555"/>
      <c r="M5555"/>
    </row>
    <row r="5556" spans="1:13" x14ac:dyDescent="0.15">
      <c r="A5556" t="s">
        <v>29</v>
      </c>
      <c r="F5556"/>
      <c r="M5556"/>
    </row>
    <row r="5557" spans="1:13" x14ac:dyDescent="0.15">
      <c r="A5557" t="s">
        <v>29</v>
      </c>
      <c r="F5557"/>
      <c r="M5557"/>
    </row>
    <row r="5558" spans="1:13" x14ac:dyDescent="0.15">
      <c r="A5558" t="s">
        <v>29</v>
      </c>
      <c r="F5558"/>
      <c r="M5558"/>
    </row>
    <row r="5559" spans="1:13" x14ac:dyDescent="0.15">
      <c r="A5559" t="s">
        <v>29</v>
      </c>
      <c r="F5559"/>
      <c r="M5559"/>
    </row>
    <row r="5560" spans="1:13" x14ac:dyDescent="0.15">
      <c r="A5560" t="s">
        <v>29</v>
      </c>
      <c r="F5560"/>
      <c r="M5560"/>
    </row>
    <row r="5561" spans="1:13" x14ac:dyDescent="0.15">
      <c r="A5561" t="s">
        <v>29</v>
      </c>
      <c r="F5561"/>
      <c r="M5561"/>
    </row>
    <row r="5562" spans="1:13" x14ac:dyDescent="0.15">
      <c r="A5562" t="s">
        <v>29</v>
      </c>
      <c r="F5562"/>
      <c r="M5562"/>
    </row>
    <row r="5563" spans="1:13" x14ac:dyDescent="0.15">
      <c r="A5563" t="s">
        <v>29</v>
      </c>
      <c r="F5563"/>
      <c r="M5563"/>
    </row>
    <row r="5564" spans="1:13" x14ac:dyDescent="0.15">
      <c r="A5564" t="s">
        <v>29</v>
      </c>
      <c r="F5564"/>
      <c r="M5564"/>
    </row>
    <row r="5565" spans="1:13" x14ac:dyDescent="0.15">
      <c r="A5565" t="s">
        <v>29</v>
      </c>
      <c r="F5565"/>
      <c r="M5565"/>
    </row>
    <row r="5566" spans="1:13" x14ac:dyDescent="0.15">
      <c r="A5566" t="s">
        <v>29</v>
      </c>
      <c r="F5566"/>
      <c r="M5566"/>
    </row>
    <row r="5567" spans="1:13" x14ac:dyDescent="0.15">
      <c r="A5567" t="s">
        <v>29</v>
      </c>
      <c r="F5567"/>
      <c r="M5567"/>
    </row>
    <row r="5568" spans="1:13" x14ac:dyDescent="0.15">
      <c r="A5568" t="s">
        <v>29</v>
      </c>
      <c r="F5568"/>
      <c r="M5568"/>
    </row>
    <row r="5569" spans="1:13" x14ac:dyDescent="0.15">
      <c r="A5569" t="s">
        <v>29</v>
      </c>
      <c r="F5569"/>
      <c r="M5569"/>
    </row>
    <row r="5570" spans="1:13" x14ac:dyDescent="0.15">
      <c r="A5570" t="s">
        <v>29</v>
      </c>
      <c r="F5570"/>
      <c r="M5570"/>
    </row>
    <row r="5571" spans="1:13" x14ac:dyDescent="0.15">
      <c r="A5571" t="s">
        <v>29</v>
      </c>
      <c r="F5571"/>
      <c r="M5571"/>
    </row>
    <row r="5572" spans="1:13" x14ac:dyDescent="0.15">
      <c r="A5572" t="s">
        <v>29</v>
      </c>
      <c r="F5572"/>
      <c r="M5572"/>
    </row>
    <row r="5573" spans="1:13" x14ac:dyDescent="0.15">
      <c r="A5573" t="s">
        <v>29</v>
      </c>
      <c r="F5573"/>
      <c r="M5573"/>
    </row>
    <row r="5574" spans="1:13" x14ac:dyDescent="0.15">
      <c r="A5574" t="s">
        <v>29</v>
      </c>
      <c r="F5574"/>
      <c r="M5574"/>
    </row>
    <row r="5575" spans="1:13" x14ac:dyDescent="0.15">
      <c r="A5575" t="s">
        <v>29</v>
      </c>
      <c r="F5575"/>
      <c r="M5575"/>
    </row>
    <row r="5576" spans="1:13" x14ac:dyDescent="0.15">
      <c r="A5576" t="s">
        <v>29</v>
      </c>
      <c r="F5576"/>
      <c r="M5576"/>
    </row>
    <row r="5577" spans="1:13" x14ac:dyDescent="0.15">
      <c r="A5577" t="s">
        <v>29</v>
      </c>
      <c r="F5577"/>
      <c r="M5577"/>
    </row>
    <row r="5578" spans="1:13" x14ac:dyDescent="0.15">
      <c r="A5578" t="s">
        <v>29</v>
      </c>
      <c r="F5578"/>
      <c r="M5578"/>
    </row>
    <row r="5579" spans="1:13" x14ac:dyDescent="0.15">
      <c r="A5579" t="s">
        <v>29</v>
      </c>
      <c r="F5579"/>
      <c r="M5579"/>
    </row>
    <row r="5580" spans="1:13" x14ac:dyDescent="0.15">
      <c r="A5580" t="s">
        <v>29</v>
      </c>
      <c r="F5580"/>
      <c r="M5580"/>
    </row>
    <row r="5581" spans="1:13" x14ac:dyDescent="0.15">
      <c r="A5581" t="s">
        <v>29</v>
      </c>
      <c r="F5581"/>
      <c r="M5581"/>
    </row>
    <row r="5582" spans="1:13" x14ac:dyDescent="0.15">
      <c r="A5582" t="s">
        <v>29</v>
      </c>
      <c r="F5582"/>
      <c r="M5582"/>
    </row>
    <row r="5583" spans="1:13" x14ac:dyDescent="0.15">
      <c r="A5583" t="s">
        <v>29</v>
      </c>
      <c r="F5583"/>
      <c r="M5583"/>
    </row>
    <row r="5584" spans="1:13" x14ac:dyDescent="0.15">
      <c r="A5584" t="s">
        <v>29</v>
      </c>
      <c r="F5584"/>
      <c r="M5584"/>
    </row>
    <row r="5585" spans="1:13" x14ac:dyDescent="0.15">
      <c r="A5585" t="s">
        <v>29</v>
      </c>
      <c r="F5585"/>
      <c r="M5585"/>
    </row>
    <row r="5586" spans="1:13" x14ac:dyDescent="0.15">
      <c r="A5586" t="s">
        <v>29</v>
      </c>
      <c r="F5586"/>
      <c r="M5586"/>
    </row>
    <row r="5587" spans="1:13" x14ac:dyDescent="0.15">
      <c r="A5587" t="s">
        <v>29</v>
      </c>
      <c r="F5587"/>
      <c r="M5587"/>
    </row>
    <row r="5588" spans="1:13" x14ac:dyDescent="0.15">
      <c r="A5588" t="s">
        <v>29</v>
      </c>
      <c r="F5588"/>
      <c r="M5588"/>
    </row>
    <row r="5589" spans="1:13" x14ac:dyDescent="0.15">
      <c r="A5589" t="s">
        <v>29</v>
      </c>
      <c r="F5589"/>
      <c r="M5589"/>
    </row>
    <row r="5590" spans="1:13" x14ac:dyDescent="0.15">
      <c r="A5590" t="s">
        <v>29</v>
      </c>
      <c r="F5590"/>
      <c r="M5590"/>
    </row>
    <row r="5591" spans="1:13" x14ac:dyDescent="0.15">
      <c r="A5591" t="s">
        <v>29</v>
      </c>
      <c r="F5591"/>
      <c r="M5591"/>
    </row>
    <row r="5592" spans="1:13" x14ac:dyDescent="0.15">
      <c r="A5592" t="s">
        <v>29</v>
      </c>
      <c r="F5592"/>
      <c r="M5592"/>
    </row>
    <row r="5593" spans="1:13" x14ac:dyDescent="0.15">
      <c r="A5593" t="s">
        <v>29</v>
      </c>
      <c r="F5593"/>
      <c r="M5593"/>
    </row>
    <row r="5594" spans="1:13" x14ac:dyDescent="0.15">
      <c r="A5594" t="s">
        <v>29</v>
      </c>
      <c r="F5594"/>
      <c r="M5594"/>
    </row>
    <row r="5595" spans="1:13" x14ac:dyDescent="0.15">
      <c r="A5595" t="s">
        <v>29</v>
      </c>
      <c r="F5595"/>
      <c r="M5595"/>
    </row>
    <row r="5596" spans="1:13" x14ac:dyDescent="0.15">
      <c r="A5596" t="s">
        <v>29</v>
      </c>
      <c r="F5596"/>
      <c r="M5596"/>
    </row>
    <row r="5597" spans="1:13" x14ac:dyDescent="0.15">
      <c r="A5597" t="s">
        <v>29</v>
      </c>
      <c r="F5597"/>
      <c r="M5597"/>
    </row>
    <row r="5598" spans="1:13" x14ac:dyDescent="0.15">
      <c r="A5598" t="s">
        <v>29</v>
      </c>
      <c r="F5598"/>
      <c r="M5598"/>
    </row>
    <row r="5599" spans="1:13" x14ac:dyDescent="0.15">
      <c r="A5599" t="s">
        <v>29</v>
      </c>
      <c r="F5599"/>
      <c r="M5599"/>
    </row>
    <row r="5600" spans="1:13" x14ac:dyDescent="0.15">
      <c r="A5600" t="s">
        <v>29</v>
      </c>
      <c r="F5600"/>
      <c r="M5600"/>
    </row>
    <row r="5601" spans="1:13" x14ac:dyDescent="0.15">
      <c r="A5601" t="s">
        <v>29</v>
      </c>
      <c r="F5601"/>
      <c r="M5601"/>
    </row>
    <row r="5602" spans="1:13" x14ac:dyDescent="0.15">
      <c r="A5602" t="s">
        <v>29</v>
      </c>
      <c r="F5602"/>
      <c r="M5602"/>
    </row>
    <row r="5603" spans="1:13" x14ac:dyDescent="0.15">
      <c r="A5603" t="s">
        <v>29</v>
      </c>
      <c r="F5603"/>
      <c r="M5603"/>
    </row>
    <row r="5604" spans="1:13" x14ac:dyDescent="0.15">
      <c r="A5604" t="s">
        <v>29</v>
      </c>
      <c r="F5604"/>
      <c r="M5604"/>
    </row>
    <row r="5605" spans="1:13" x14ac:dyDescent="0.15">
      <c r="A5605" t="s">
        <v>29</v>
      </c>
      <c r="F5605"/>
      <c r="M5605"/>
    </row>
    <row r="5606" spans="1:13" x14ac:dyDescent="0.15">
      <c r="A5606" t="s">
        <v>29</v>
      </c>
      <c r="F5606"/>
      <c r="M5606"/>
    </row>
    <row r="5607" spans="1:13" x14ac:dyDescent="0.15">
      <c r="A5607" t="s">
        <v>29</v>
      </c>
      <c r="F5607"/>
      <c r="M5607"/>
    </row>
    <row r="5608" spans="1:13" x14ac:dyDescent="0.15">
      <c r="A5608" t="s">
        <v>29</v>
      </c>
      <c r="F5608"/>
      <c r="M5608"/>
    </row>
    <row r="5609" spans="1:13" x14ac:dyDescent="0.15">
      <c r="A5609" t="s">
        <v>29</v>
      </c>
      <c r="F5609"/>
      <c r="M5609"/>
    </row>
    <row r="5610" spans="1:13" x14ac:dyDescent="0.15">
      <c r="A5610" t="s">
        <v>29</v>
      </c>
      <c r="F5610"/>
      <c r="M5610"/>
    </row>
    <row r="5611" spans="1:13" x14ac:dyDescent="0.15">
      <c r="A5611" t="s">
        <v>29</v>
      </c>
      <c r="F5611"/>
      <c r="M5611"/>
    </row>
    <row r="5612" spans="1:13" x14ac:dyDescent="0.15">
      <c r="A5612" t="s">
        <v>29</v>
      </c>
      <c r="F5612"/>
      <c r="M5612"/>
    </row>
    <row r="5613" spans="1:13" x14ac:dyDescent="0.15">
      <c r="A5613" t="s">
        <v>29</v>
      </c>
      <c r="F5613"/>
      <c r="M5613"/>
    </row>
    <row r="5614" spans="1:13" x14ac:dyDescent="0.15">
      <c r="A5614" t="s">
        <v>29</v>
      </c>
      <c r="F5614"/>
      <c r="M5614"/>
    </row>
    <row r="5615" spans="1:13" x14ac:dyDescent="0.15">
      <c r="A5615" t="s">
        <v>29</v>
      </c>
      <c r="F5615"/>
      <c r="M5615"/>
    </row>
    <row r="5616" spans="1:13" x14ac:dyDescent="0.15">
      <c r="A5616" t="s">
        <v>29</v>
      </c>
      <c r="F5616"/>
      <c r="M5616"/>
    </row>
    <row r="5617" spans="1:13" x14ac:dyDescent="0.15">
      <c r="A5617" t="s">
        <v>29</v>
      </c>
      <c r="F5617"/>
      <c r="M5617"/>
    </row>
    <row r="5618" spans="1:13" x14ac:dyDescent="0.15">
      <c r="A5618" t="s">
        <v>29</v>
      </c>
      <c r="F5618"/>
      <c r="M5618"/>
    </row>
    <row r="5619" spans="1:13" x14ac:dyDescent="0.15">
      <c r="A5619" t="s">
        <v>29</v>
      </c>
      <c r="F5619"/>
      <c r="M5619"/>
    </row>
    <row r="5620" spans="1:13" x14ac:dyDescent="0.15">
      <c r="A5620" t="s">
        <v>29</v>
      </c>
      <c r="F5620"/>
      <c r="M5620"/>
    </row>
    <row r="5621" spans="1:13" x14ac:dyDescent="0.15">
      <c r="A5621" t="s">
        <v>29</v>
      </c>
      <c r="F5621"/>
      <c r="M5621"/>
    </row>
    <row r="5622" spans="1:13" x14ac:dyDescent="0.15">
      <c r="A5622" t="s">
        <v>29</v>
      </c>
      <c r="F5622"/>
      <c r="M5622"/>
    </row>
    <row r="5623" spans="1:13" x14ac:dyDescent="0.15">
      <c r="A5623" t="s">
        <v>29</v>
      </c>
      <c r="F5623"/>
      <c r="M5623"/>
    </row>
    <row r="5624" spans="1:13" x14ac:dyDescent="0.15">
      <c r="A5624" t="s">
        <v>29</v>
      </c>
      <c r="F5624"/>
      <c r="M5624"/>
    </row>
    <row r="5625" spans="1:13" x14ac:dyDescent="0.15">
      <c r="A5625" t="s">
        <v>29</v>
      </c>
      <c r="F5625"/>
      <c r="M5625"/>
    </row>
    <row r="5626" spans="1:13" x14ac:dyDescent="0.15">
      <c r="A5626" t="s">
        <v>29</v>
      </c>
      <c r="F5626"/>
      <c r="M5626"/>
    </row>
    <row r="5627" spans="1:13" x14ac:dyDescent="0.15">
      <c r="A5627" t="s">
        <v>29</v>
      </c>
      <c r="F5627"/>
      <c r="M5627"/>
    </row>
    <row r="5628" spans="1:13" x14ac:dyDescent="0.15">
      <c r="A5628" t="s">
        <v>29</v>
      </c>
      <c r="F5628"/>
      <c r="M5628"/>
    </row>
    <row r="5629" spans="1:13" x14ac:dyDescent="0.15">
      <c r="A5629" t="s">
        <v>29</v>
      </c>
      <c r="F5629"/>
      <c r="M5629"/>
    </row>
    <row r="5630" spans="1:13" x14ac:dyDescent="0.15">
      <c r="A5630" t="s">
        <v>29</v>
      </c>
      <c r="F5630"/>
      <c r="M5630"/>
    </row>
    <row r="5631" spans="1:13" x14ac:dyDescent="0.15">
      <c r="A5631" t="s">
        <v>29</v>
      </c>
      <c r="F5631"/>
      <c r="M5631"/>
    </row>
    <row r="5632" spans="1:13" x14ac:dyDescent="0.15">
      <c r="A5632" t="s">
        <v>29</v>
      </c>
      <c r="F5632"/>
      <c r="M5632"/>
    </row>
    <row r="5633" spans="1:13" x14ac:dyDescent="0.15">
      <c r="A5633" t="s">
        <v>29</v>
      </c>
      <c r="F5633"/>
      <c r="M5633"/>
    </row>
    <row r="5634" spans="1:13" x14ac:dyDescent="0.15">
      <c r="A5634" t="s">
        <v>29</v>
      </c>
      <c r="F5634"/>
      <c r="M5634"/>
    </row>
    <row r="5635" spans="1:13" x14ac:dyDescent="0.15">
      <c r="A5635" t="s">
        <v>29</v>
      </c>
      <c r="F5635"/>
      <c r="M5635"/>
    </row>
    <row r="5636" spans="1:13" x14ac:dyDescent="0.15">
      <c r="A5636" t="s">
        <v>29</v>
      </c>
      <c r="F5636"/>
      <c r="M5636"/>
    </row>
    <row r="5637" spans="1:13" x14ac:dyDescent="0.15">
      <c r="A5637" t="s">
        <v>29</v>
      </c>
      <c r="F5637"/>
      <c r="M5637"/>
    </row>
    <row r="5638" spans="1:13" x14ac:dyDescent="0.15">
      <c r="A5638" t="s">
        <v>29</v>
      </c>
      <c r="F5638"/>
      <c r="M5638"/>
    </row>
    <row r="5639" spans="1:13" x14ac:dyDescent="0.15">
      <c r="A5639" t="s">
        <v>29</v>
      </c>
      <c r="F5639"/>
      <c r="M5639"/>
    </row>
    <row r="5640" spans="1:13" x14ac:dyDescent="0.15">
      <c r="A5640" t="s">
        <v>29</v>
      </c>
      <c r="F5640"/>
      <c r="M5640"/>
    </row>
    <row r="5641" spans="1:13" x14ac:dyDescent="0.15">
      <c r="A5641" t="s">
        <v>29</v>
      </c>
      <c r="F5641"/>
      <c r="M5641"/>
    </row>
    <row r="5642" spans="1:13" x14ac:dyDescent="0.15">
      <c r="A5642" t="s">
        <v>29</v>
      </c>
      <c r="F5642"/>
      <c r="M5642"/>
    </row>
    <row r="5643" spans="1:13" x14ac:dyDescent="0.15">
      <c r="A5643" t="s">
        <v>29</v>
      </c>
      <c r="F5643"/>
      <c r="M5643"/>
    </row>
    <row r="5644" spans="1:13" x14ac:dyDescent="0.15">
      <c r="A5644" t="s">
        <v>29</v>
      </c>
      <c r="F5644"/>
      <c r="M5644"/>
    </row>
    <row r="5645" spans="1:13" x14ac:dyDescent="0.15">
      <c r="A5645" t="s">
        <v>29</v>
      </c>
      <c r="F5645"/>
      <c r="M5645"/>
    </row>
    <row r="5646" spans="1:13" x14ac:dyDescent="0.15">
      <c r="A5646" t="s">
        <v>29</v>
      </c>
      <c r="F5646"/>
      <c r="M5646"/>
    </row>
    <row r="5647" spans="1:13" x14ac:dyDescent="0.15">
      <c r="A5647" t="s">
        <v>29</v>
      </c>
      <c r="F5647"/>
      <c r="M5647"/>
    </row>
    <row r="5648" spans="1:13" x14ac:dyDescent="0.15">
      <c r="A5648" t="s">
        <v>29</v>
      </c>
      <c r="F5648"/>
      <c r="M5648"/>
    </row>
    <row r="5649" spans="1:13" x14ac:dyDescent="0.15">
      <c r="A5649" t="s">
        <v>29</v>
      </c>
      <c r="F5649"/>
      <c r="M5649"/>
    </row>
    <row r="5650" spans="1:13" x14ac:dyDescent="0.15">
      <c r="A5650" t="s">
        <v>29</v>
      </c>
      <c r="F5650"/>
      <c r="M5650"/>
    </row>
    <row r="5651" spans="1:13" x14ac:dyDescent="0.15">
      <c r="A5651" t="s">
        <v>29</v>
      </c>
      <c r="F5651"/>
      <c r="M5651"/>
    </row>
    <row r="5652" spans="1:13" x14ac:dyDescent="0.15">
      <c r="A5652" t="s">
        <v>29</v>
      </c>
      <c r="F5652"/>
      <c r="M5652"/>
    </row>
    <row r="5653" spans="1:13" x14ac:dyDescent="0.15">
      <c r="A5653" t="s">
        <v>29</v>
      </c>
      <c r="F5653"/>
      <c r="M5653"/>
    </row>
    <row r="5654" spans="1:13" x14ac:dyDescent="0.15">
      <c r="A5654" t="s">
        <v>29</v>
      </c>
      <c r="F5654"/>
      <c r="M5654"/>
    </row>
    <row r="5655" spans="1:13" x14ac:dyDescent="0.15">
      <c r="A5655" t="s">
        <v>29</v>
      </c>
      <c r="F5655"/>
      <c r="M5655"/>
    </row>
    <row r="5656" spans="1:13" x14ac:dyDescent="0.15">
      <c r="A5656" t="s">
        <v>29</v>
      </c>
      <c r="F5656"/>
      <c r="M5656"/>
    </row>
    <row r="5657" spans="1:13" x14ac:dyDescent="0.15">
      <c r="A5657" t="s">
        <v>29</v>
      </c>
      <c r="F5657"/>
      <c r="M5657"/>
    </row>
    <row r="5658" spans="1:13" x14ac:dyDescent="0.15">
      <c r="A5658" t="s">
        <v>29</v>
      </c>
      <c r="F5658"/>
      <c r="M5658"/>
    </row>
    <row r="5659" spans="1:13" x14ac:dyDescent="0.15">
      <c r="A5659" t="s">
        <v>29</v>
      </c>
      <c r="F5659"/>
      <c r="M5659"/>
    </row>
    <row r="5660" spans="1:13" x14ac:dyDescent="0.15">
      <c r="A5660" t="s">
        <v>29</v>
      </c>
      <c r="F5660"/>
      <c r="M5660"/>
    </row>
    <row r="5661" spans="1:13" x14ac:dyDescent="0.15">
      <c r="A5661" t="s">
        <v>29</v>
      </c>
      <c r="F5661"/>
      <c r="M5661"/>
    </row>
    <row r="5662" spans="1:13" x14ac:dyDescent="0.15">
      <c r="A5662" t="s">
        <v>29</v>
      </c>
      <c r="F5662"/>
      <c r="M5662"/>
    </row>
    <row r="5663" spans="1:13" x14ac:dyDescent="0.15">
      <c r="A5663" t="s">
        <v>29</v>
      </c>
      <c r="F5663"/>
      <c r="M5663"/>
    </row>
    <row r="5664" spans="1:13" x14ac:dyDescent="0.15">
      <c r="A5664" t="s">
        <v>29</v>
      </c>
      <c r="F5664"/>
      <c r="M5664"/>
    </row>
    <row r="5665" spans="1:13" x14ac:dyDescent="0.15">
      <c r="A5665" t="s">
        <v>29</v>
      </c>
      <c r="F5665"/>
      <c r="M5665"/>
    </row>
    <row r="5666" spans="1:13" x14ac:dyDescent="0.15">
      <c r="A5666" t="s">
        <v>29</v>
      </c>
      <c r="F5666"/>
      <c r="M5666"/>
    </row>
    <row r="5667" spans="1:13" x14ac:dyDescent="0.15">
      <c r="A5667" t="s">
        <v>29</v>
      </c>
      <c r="F5667"/>
      <c r="M5667"/>
    </row>
    <row r="5668" spans="1:13" x14ac:dyDescent="0.15">
      <c r="A5668" t="s">
        <v>29</v>
      </c>
      <c r="F5668"/>
      <c r="M5668"/>
    </row>
    <row r="5669" spans="1:13" x14ac:dyDescent="0.15">
      <c r="A5669" t="s">
        <v>29</v>
      </c>
      <c r="F5669"/>
      <c r="M5669"/>
    </row>
    <row r="5670" spans="1:13" x14ac:dyDescent="0.15">
      <c r="A5670" t="s">
        <v>29</v>
      </c>
      <c r="F5670"/>
      <c r="M5670"/>
    </row>
    <row r="5671" spans="1:13" x14ac:dyDescent="0.15">
      <c r="A5671" t="s">
        <v>29</v>
      </c>
      <c r="F5671"/>
      <c r="M5671"/>
    </row>
    <row r="5672" spans="1:13" x14ac:dyDescent="0.15">
      <c r="A5672" t="s">
        <v>29</v>
      </c>
      <c r="F5672"/>
      <c r="M5672"/>
    </row>
    <row r="5673" spans="1:13" x14ac:dyDescent="0.15">
      <c r="A5673" t="s">
        <v>29</v>
      </c>
      <c r="F5673"/>
      <c r="M5673"/>
    </row>
    <row r="5674" spans="1:13" x14ac:dyDescent="0.15">
      <c r="A5674" t="s">
        <v>29</v>
      </c>
      <c r="F5674"/>
      <c r="M5674"/>
    </row>
    <row r="5675" spans="1:13" x14ac:dyDescent="0.15">
      <c r="A5675" t="s">
        <v>29</v>
      </c>
      <c r="F5675"/>
      <c r="M5675"/>
    </row>
    <row r="5676" spans="1:13" x14ac:dyDescent="0.15">
      <c r="A5676" t="s">
        <v>29</v>
      </c>
      <c r="F5676"/>
      <c r="M5676"/>
    </row>
    <row r="5677" spans="1:13" x14ac:dyDescent="0.15">
      <c r="A5677" t="s">
        <v>29</v>
      </c>
      <c r="F5677"/>
      <c r="M5677"/>
    </row>
    <row r="5678" spans="1:13" x14ac:dyDescent="0.15">
      <c r="A5678" t="s">
        <v>29</v>
      </c>
      <c r="F5678"/>
      <c r="M5678"/>
    </row>
    <row r="5679" spans="1:13" x14ac:dyDescent="0.15">
      <c r="A5679" t="s">
        <v>29</v>
      </c>
      <c r="F5679"/>
      <c r="M5679"/>
    </row>
    <row r="5680" spans="1:13" x14ac:dyDescent="0.15">
      <c r="A5680" t="s">
        <v>29</v>
      </c>
      <c r="F5680"/>
      <c r="M5680"/>
    </row>
    <row r="5681" spans="1:13" x14ac:dyDescent="0.15">
      <c r="A5681" t="s">
        <v>29</v>
      </c>
      <c r="F5681"/>
      <c r="M5681"/>
    </row>
    <row r="5682" spans="1:13" x14ac:dyDescent="0.15">
      <c r="A5682" t="s">
        <v>29</v>
      </c>
      <c r="F5682"/>
      <c r="M5682"/>
    </row>
    <row r="5683" spans="1:13" x14ac:dyDescent="0.15">
      <c r="A5683" t="s">
        <v>29</v>
      </c>
      <c r="F5683"/>
      <c r="M5683"/>
    </row>
    <row r="5684" spans="1:13" x14ac:dyDescent="0.15">
      <c r="A5684" t="s">
        <v>29</v>
      </c>
      <c r="F5684"/>
      <c r="M5684"/>
    </row>
    <row r="5685" spans="1:13" x14ac:dyDescent="0.15">
      <c r="A5685" t="s">
        <v>29</v>
      </c>
      <c r="F5685"/>
      <c r="M5685"/>
    </row>
    <row r="5686" spans="1:13" x14ac:dyDescent="0.15">
      <c r="A5686" t="s">
        <v>29</v>
      </c>
      <c r="F5686"/>
      <c r="M5686"/>
    </row>
    <row r="5687" spans="1:13" x14ac:dyDescent="0.15">
      <c r="A5687" t="s">
        <v>29</v>
      </c>
      <c r="F5687"/>
      <c r="M5687"/>
    </row>
    <row r="5688" spans="1:13" x14ac:dyDescent="0.15">
      <c r="A5688" t="s">
        <v>29</v>
      </c>
      <c r="F5688"/>
      <c r="M5688"/>
    </row>
    <row r="5689" spans="1:13" x14ac:dyDescent="0.15">
      <c r="A5689" t="s">
        <v>29</v>
      </c>
      <c r="F5689"/>
      <c r="M5689"/>
    </row>
    <row r="5690" spans="1:13" x14ac:dyDescent="0.15">
      <c r="A5690" t="s">
        <v>29</v>
      </c>
      <c r="F5690"/>
      <c r="M5690"/>
    </row>
    <row r="5691" spans="1:13" x14ac:dyDescent="0.15">
      <c r="A5691" t="s">
        <v>29</v>
      </c>
      <c r="F5691"/>
      <c r="M5691"/>
    </row>
    <row r="5692" spans="1:13" x14ac:dyDescent="0.15">
      <c r="A5692" t="s">
        <v>29</v>
      </c>
      <c r="F5692"/>
      <c r="M5692"/>
    </row>
    <row r="5693" spans="1:13" x14ac:dyDescent="0.15">
      <c r="A5693" t="s">
        <v>29</v>
      </c>
      <c r="F5693"/>
      <c r="M5693"/>
    </row>
    <row r="5694" spans="1:13" x14ac:dyDescent="0.15">
      <c r="A5694" t="s">
        <v>29</v>
      </c>
      <c r="F5694"/>
      <c r="M5694"/>
    </row>
    <row r="5695" spans="1:13" x14ac:dyDescent="0.15">
      <c r="A5695" t="s">
        <v>29</v>
      </c>
      <c r="F5695"/>
      <c r="M5695"/>
    </row>
    <row r="5696" spans="1:13" x14ac:dyDescent="0.15">
      <c r="A5696" t="s">
        <v>29</v>
      </c>
      <c r="F5696"/>
      <c r="M5696"/>
    </row>
    <row r="5697" spans="1:13" x14ac:dyDescent="0.15">
      <c r="A5697" t="s">
        <v>29</v>
      </c>
      <c r="F5697"/>
      <c r="M5697"/>
    </row>
    <row r="5698" spans="1:13" x14ac:dyDescent="0.15">
      <c r="A5698" t="s">
        <v>29</v>
      </c>
      <c r="F5698"/>
      <c r="M5698"/>
    </row>
    <row r="5699" spans="1:13" x14ac:dyDescent="0.15">
      <c r="A5699" t="s">
        <v>29</v>
      </c>
      <c r="F5699"/>
      <c r="M5699"/>
    </row>
    <row r="5700" spans="1:13" x14ac:dyDescent="0.15">
      <c r="A5700" t="s">
        <v>29</v>
      </c>
      <c r="F5700"/>
      <c r="M5700"/>
    </row>
    <row r="5701" spans="1:13" x14ac:dyDescent="0.15">
      <c r="A5701" t="s">
        <v>29</v>
      </c>
      <c r="F5701"/>
      <c r="M5701"/>
    </row>
    <row r="5702" spans="1:13" x14ac:dyDescent="0.15">
      <c r="A5702" t="s">
        <v>29</v>
      </c>
      <c r="F5702"/>
      <c r="M5702"/>
    </row>
    <row r="5703" spans="1:13" x14ac:dyDescent="0.15">
      <c r="A5703" t="s">
        <v>29</v>
      </c>
      <c r="F5703"/>
      <c r="M5703"/>
    </row>
    <row r="5704" spans="1:13" x14ac:dyDescent="0.15">
      <c r="A5704" t="s">
        <v>29</v>
      </c>
      <c r="F5704"/>
      <c r="M5704"/>
    </row>
    <row r="5705" spans="1:13" x14ac:dyDescent="0.15">
      <c r="A5705" t="s">
        <v>29</v>
      </c>
      <c r="F5705"/>
      <c r="M5705"/>
    </row>
    <row r="5706" spans="1:13" x14ac:dyDescent="0.15">
      <c r="A5706" t="s">
        <v>29</v>
      </c>
      <c r="F5706"/>
      <c r="M5706"/>
    </row>
    <row r="5707" spans="1:13" x14ac:dyDescent="0.15">
      <c r="A5707" t="s">
        <v>29</v>
      </c>
      <c r="F5707"/>
      <c r="M5707"/>
    </row>
    <row r="5708" spans="1:13" x14ac:dyDescent="0.15">
      <c r="A5708" t="s">
        <v>29</v>
      </c>
      <c r="F5708"/>
      <c r="M5708"/>
    </row>
    <row r="5709" spans="1:13" x14ac:dyDescent="0.15">
      <c r="A5709" t="s">
        <v>29</v>
      </c>
      <c r="F5709"/>
      <c r="M5709"/>
    </row>
    <row r="5710" spans="1:13" x14ac:dyDescent="0.15">
      <c r="A5710" t="s">
        <v>29</v>
      </c>
      <c r="F5710"/>
      <c r="M5710"/>
    </row>
    <row r="5711" spans="1:13" x14ac:dyDescent="0.15">
      <c r="A5711" t="s">
        <v>29</v>
      </c>
      <c r="F5711"/>
      <c r="M5711"/>
    </row>
    <row r="5712" spans="1:13" x14ac:dyDescent="0.15">
      <c r="A5712" t="s">
        <v>29</v>
      </c>
      <c r="F5712"/>
      <c r="M5712"/>
    </row>
    <row r="5713" spans="1:13" x14ac:dyDescent="0.15">
      <c r="A5713" t="s">
        <v>29</v>
      </c>
      <c r="F5713"/>
      <c r="M5713"/>
    </row>
    <row r="5714" spans="1:13" x14ac:dyDescent="0.15">
      <c r="A5714" t="s">
        <v>29</v>
      </c>
      <c r="F5714"/>
      <c r="M5714"/>
    </row>
    <row r="5715" spans="1:13" x14ac:dyDescent="0.15">
      <c r="A5715" t="s">
        <v>29</v>
      </c>
      <c r="F5715"/>
      <c r="M5715"/>
    </row>
    <row r="5716" spans="1:13" x14ac:dyDescent="0.15">
      <c r="A5716" t="s">
        <v>29</v>
      </c>
      <c r="F5716"/>
      <c r="M5716"/>
    </row>
    <row r="5717" spans="1:13" x14ac:dyDescent="0.15">
      <c r="A5717" t="s">
        <v>29</v>
      </c>
      <c r="F5717"/>
      <c r="M5717"/>
    </row>
    <row r="5718" spans="1:13" x14ac:dyDescent="0.15">
      <c r="A5718" t="s">
        <v>29</v>
      </c>
      <c r="F5718"/>
      <c r="M5718"/>
    </row>
    <row r="5719" spans="1:13" x14ac:dyDescent="0.15">
      <c r="A5719" t="s">
        <v>29</v>
      </c>
      <c r="F5719"/>
      <c r="M5719"/>
    </row>
    <row r="5720" spans="1:13" x14ac:dyDescent="0.15">
      <c r="A5720" t="s">
        <v>29</v>
      </c>
      <c r="F5720"/>
      <c r="M5720"/>
    </row>
    <row r="5721" spans="1:13" x14ac:dyDescent="0.15">
      <c r="A5721" t="s">
        <v>29</v>
      </c>
      <c r="F5721"/>
      <c r="M5721"/>
    </row>
    <row r="5722" spans="1:13" x14ac:dyDescent="0.15">
      <c r="A5722" t="s">
        <v>29</v>
      </c>
      <c r="F5722"/>
      <c r="M5722"/>
    </row>
    <row r="5723" spans="1:13" x14ac:dyDescent="0.15">
      <c r="A5723" t="s">
        <v>29</v>
      </c>
      <c r="F5723"/>
      <c r="M5723"/>
    </row>
    <row r="5724" spans="1:13" x14ac:dyDescent="0.15">
      <c r="A5724" t="s">
        <v>29</v>
      </c>
      <c r="F5724"/>
      <c r="M5724"/>
    </row>
    <row r="5725" spans="1:13" x14ac:dyDescent="0.15">
      <c r="A5725" t="s">
        <v>29</v>
      </c>
      <c r="F5725"/>
      <c r="M5725"/>
    </row>
    <row r="5726" spans="1:13" x14ac:dyDescent="0.15">
      <c r="A5726" t="s">
        <v>29</v>
      </c>
      <c r="F5726"/>
      <c r="M5726"/>
    </row>
    <row r="5727" spans="1:13" x14ac:dyDescent="0.15">
      <c r="A5727" t="s">
        <v>29</v>
      </c>
      <c r="F5727"/>
      <c r="M5727"/>
    </row>
    <row r="5728" spans="1:13" x14ac:dyDescent="0.15">
      <c r="A5728" t="s">
        <v>29</v>
      </c>
      <c r="F5728"/>
      <c r="M5728"/>
    </row>
    <row r="5729" spans="1:13" x14ac:dyDescent="0.15">
      <c r="A5729" t="s">
        <v>29</v>
      </c>
      <c r="F5729"/>
      <c r="M5729"/>
    </row>
    <row r="5730" spans="1:13" x14ac:dyDescent="0.15">
      <c r="A5730" t="s">
        <v>29</v>
      </c>
      <c r="F5730"/>
      <c r="M5730"/>
    </row>
    <row r="5731" spans="1:13" x14ac:dyDescent="0.15">
      <c r="A5731" t="s">
        <v>29</v>
      </c>
      <c r="F5731"/>
      <c r="M5731"/>
    </row>
    <row r="5732" spans="1:13" x14ac:dyDescent="0.15">
      <c r="A5732" t="s">
        <v>29</v>
      </c>
      <c r="F5732"/>
      <c r="M5732"/>
    </row>
    <row r="5733" spans="1:13" x14ac:dyDescent="0.15">
      <c r="A5733" t="s">
        <v>29</v>
      </c>
      <c r="F5733"/>
      <c r="M5733"/>
    </row>
    <row r="5734" spans="1:13" x14ac:dyDescent="0.15">
      <c r="A5734" t="s">
        <v>29</v>
      </c>
      <c r="F5734"/>
      <c r="M5734"/>
    </row>
    <row r="5735" spans="1:13" x14ac:dyDescent="0.15">
      <c r="A5735" t="s">
        <v>29</v>
      </c>
      <c r="F5735"/>
      <c r="M5735"/>
    </row>
    <row r="5736" spans="1:13" x14ac:dyDescent="0.15">
      <c r="A5736" t="s">
        <v>29</v>
      </c>
      <c r="F5736"/>
      <c r="M5736"/>
    </row>
    <row r="5737" spans="1:13" x14ac:dyDescent="0.15">
      <c r="A5737" t="s">
        <v>29</v>
      </c>
      <c r="F5737"/>
      <c r="M5737"/>
    </row>
    <row r="5738" spans="1:13" x14ac:dyDescent="0.15">
      <c r="A5738" t="s">
        <v>29</v>
      </c>
      <c r="F5738"/>
      <c r="M5738"/>
    </row>
    <row r="5739" spans="1:13" x14ac:dyDescent="0.15">
      <c r="A5739" t="s">
        <v>29</v>
      </c>
      <c r="F5739"/>
      <c r="M5739"/>
    </row>
    <row r="5740" spans="1:13" x14ac:dyDescent="0.15">
      <c r="A5740" t="s">
        <v>29</v>
      </c>
      <c r="F5740"/>
      <c r="M5740"/>
    </row>
    <row r="5741" spans="1:13" x14ac:dyDescent="0.15">
      <c r="A5741" t="s">
        <v>29</v>
      </c>
      <c r="F5741"/>
      <c r="M5741"/>
    </row>
    <row r="5742" spans="1:13" x14ac:dyDescent="0.15">
      <c r="A5742" t="s">
        <v>29</v>
      </c>
      <c r="F5742"/>
      <c r="M5742"/>
    </row>
    <row r="5743" spans="1:13" x14ac:dyDescent="0.15">
      <c r="A5743" t="s">
        <v>29</v>
      </c>
      <c r="F5743"/>
      <c r="M5743"/>
    </row>
    <row r="5744" spans="1:13" x14ac:dyDescent="0.15">
      <c r="A5744" t="s">
        <v>29</v>
      </c>
      <c r="F5744"/>
      <c r="M5744"/>
    </row>
    <row r="5745" spans="1:13" x14ac:dyDescent="0.15">
      <c r="A5745" t="s">
        <v>29</v>
      </c>
      <c r="F5745"/>
      <c r="M5745"/>
    </row>
    <row r="5746" spans="1:13" x14ac:dyDescent="0.15">
      <c r="A5746" t="s">
        <v>29</v>
      </c>
      <c r="F5746"/>
      <c r="M5746"/>
    </row>
    <row r="5747" spans="1:13" x14ac:dyDescent="0.15">
      <c r="A5747" t="s">
        <v>29</v>
      </c>
      <c r="F5747"/>
      <c r="M5747"/>
    </row>
    <row r="5748" spans="1:13" x14ac:dyDescent="0.15">
      <c r="A5748" t="s">
        <v>29</v>
      </c>
      <c r="F5748"/>
      <c r="M5748"/>
    </row>
    <row r="5749" spans="1:13" x14ac:dyDescent="0.15">
      <c r="A5749" t="s">
        <v>29</v>
      </c>
      <c r="F5749"/>
      <c r="M5749"/>
    </row>
    <row r="5750" spans="1:13" x14ac:dyDescent="0.15">
      <c r="A5750" t="s">
        <v>29</v>
      </c>
      <c r="F5750"/>
      <c r="M5750"/>
    </row>
    <row r="5751" spans="1:13" x14ac:dyDescent="0.15">
      <c r="A5751" t="s">
        <v>29</v>
      </c>
      <c r="F5751"/>
      <c r="M5751"/>
    </row>
    <row r="5752" spans="1:13" x14ac:dyDescent="0.15">
      <c r="A5752" t="s">
        <v>29</v>
      </c>
      <c r="F5752"/>
      <c r="M5752"/>
    </row>
    <row r="5753" spans="1:13" x14ac:dyDescent="0.15">
      <c r="A5753" t="s">
        <v>29</v>
      </c>
      <c r="F5753"/>
      <c r="M5753"/>
    </row>
    <row r="5754" spans="1:13" x14ac:dyDescent="0.15">
      <c r="A5754" t="s">
        <v>29</v>
      </c>
      <c r="F5754"/>
      <c r="M5754"/>
    </row>
    <row r="5755" spans="1:13" x14ac:dyDescent="0.15">
      <c r="A5755" t="s">
        <v>29</v>
      </c>
      <c r="F5755"/>
      <c r="M5755"/>
    </row>
    <row r="5756" spans="1:13" x14ac:dyDescent="0.15">
      <c r="A5756" t="s">
        <v>29</v>
      </c>
      <c r="F5756"/>
      <c r="M5756"/>
    </row>
    <row r="5757" spans="1:13" x14ac:dyDescent="0.15">
      <c r="A5757" t="s">
        <v>29</v>
      </c>
      <c r="F5757"/>
      <c r="M5757"/>
    </row>
    <row r="5758" spans="1:13" x14ac:dyDescent="0.15">
      <c r="A5758" t="s">
        <v>29</v>
      </c>
      <c r="F5758"/>
      <c r="M5758"/>
    </row>
    <row r="5759" spans="1:13" x14ac:dyDescent="0.15">
      <c r="A5759" t="s">
        <v>29</v>
      </c>
      <c r="F5759"/>
      <c r="M5759"/>
    </row>
    <row r="5760" spans="1:13" x14ac:dyDescent="0.15">
      <c r="A5760" t="s">
        <v>29</v>
      </c>
      <c r="F5760"/>
      <c r="M5760"/>
    </row>
    <row r="5761" spans="1:13" x14ac:dyDescent="0.15">
      <c r="A5761" t="s">
        <v>29</v>
      </c>
      <c r="F5761"/>
      <c r="M5761"/>
    </row>
    <row r="5762" spans="1:13" x14ac:dyDescent="0.15">
      <c r="A5762" t="s">
        <v>29</v>
      </c>
      <c r="F5762"/>
      <c r="M5762"/>
    </row>
    <row r="5763" spans="1:13" x14ac:dyDescent="0.15">
      <c r="A5763" t="s">
        <v>29</v>
      </c>
      <c r="F5763"/>
      <c r="M5763"/>
    </row>
    <row r="5764" spans="1:13" x14ac:dyDescent="0.15">
      <c r="A5764" t="s">
        <v>29</v>
      </c>
      <c r="F5764"/>
      <c r="M5764"/>
    </row>
    <row r="5765" spans="1:13" x14ac:dyDescent="0.15">
      <c r="A5765" t="s">
        <v>29</v>
      </c>
      <c r="F5765"/>
      <c r="M5765"/>
    </row>
    <row r="5766" spans="1:13" x14ac:dyDescent="0.15">
      <c r="A5766" t="s">
        <v>29</v>
      </c>
      <c r="F5766"/>
      <c r="M5766"/>
    </row>
    <row r="5767" spans="1:13" x14ac:dyDescent="0.15">
      <c r="A5767" t="s">
        <v>29</v>
      </c>
      <c r="F5767"/>
      <c r="M5767"/>
    </row>
    <row r="5768" spans="1:13" x14ac:dyDescent="0.15">
      <c r="A5768" t="s">
        <v>29</v>
      </c>
      <c r="F5768"/>
      <c r="M5768"/>
    </row>
    <row r="5769" spans="1:13" x14ac:dyDescent="0.15">
      <c r="A5769" t="s">
        <v>29</v>
      </c>
      <c r="F5769"/>
      <c r="M5769"/>
    </row>
    <row r="5770" spans="1:13" x14ac:dyDescent="0.15">
      <c r="A5770" t="s">
        <v>29</v>
      </c>
      <c r="F5770"/>
      <c r="M5770"/>
    </row>
    <row r="5771" spans="1:13" x14ac:dyDescent="0.15">
      <c r="A5771" t="s">
        <v>29</v>
      </c>
      <c r="F5771"/>
      <c r="M5771"/>
    </row>
    <row r="5772" spans="1:13" x14ac:dyDescent="0.15">
      <c r="A5772" t="s">
        <v>29</v>
      </c>
      <c r="F5772"/>
      <c r="M5772"/>
    </row>
    <row r="5773" spans="1:13" x14ac:dyDescent="0.15">
      <c r="A5773" t="s">
        <v>29</v>
      </c>
      <c r="F5773"/>
      <c r="M5773"/>
    </row>
    <row r="5774" spans="1:13" x14ac:dyDescent="0.15">
      <c r="A5774" t="s">
        <v>29</v>
      </c>
      <c r="F5774"/>
      <c r="M5774"/>
    </row>
    <row r="5775" spans="1:13" x14ac:dyDescent="0.15">
      <c r="A5775" t="s">
        <v>29</v>
      </c>
      <c r="F5775"/>
      <c r="M5775"/>
    </row>
    <row r="5776" spans="1:13" x14ac:dyDescent="0.15">
      <c r="A5776" t="s">
        <v>29</v>
      </c>
      <c r="F5776"/>
      <c r="M5776"/>
    </row>
    <row r="5777" spans="1:13" x14ac:dyDescent="0.15">
      <c r="A5777" t="s">
        <v>29</v>
      </c>
      <c r="F5777"/>
      <c r="M5777"/>
    </row>
    <row r="5778" spans="1:13" x14ac:dyDescent="0.15">
      <c r="A5778" t="s">
        <v>29</v>
      </c>
      <c r="F5778"/>
      <c r="M5778"/>
    </row>
    <row r="5779" spans="1:13" x14ac:dyDescent="0.15">
      <c r="A5779" t="s">
        <v>29</v>
      </c>
      <c r="F5779"/>
      <c r="M5779"/>
    </row>
    <row r="5780" spans="1:13" x14ac:dyDescent="0.15">
      <c r="A5780" t="s">
        <v>29</v>
      </c>
      <c r="F5780"/>
      <c r="M5780"/>
    </row>
    <row r="5781" spans="1:13" x14ac:dyDescent="0.15">
      <c r="A5781" t="s">
        <v>29</v>
      </c>
      <c r="F5781"/>
      <c r="M5781"/>
    </row>
    <row r="5782" spans="1:13" x14ac:dyDescent="0.15">
      <c r="A5782" t="s">
        <v>29</v>
      </c>
      <c r="F5782"/>
      <c r="M5782"/>
    </row>
    <row r="5783" spans="1:13" x14ac:dyDescent="0.15">
      <c r="A5783" t="s">
        <v>29</v>
      </c>
      <c r="F5783"/>
      <c r="M5783"/>
    </row>
    <row r="5784" spans="1:13" x14ac:dyDescent="0.15">
      <c r="A5784" t="s">
        <v>29</v>
      </c>
      <c r="F5784"/>
      <c r="M5784"/>
    </row>
    <row r="5785" spans="1:13" x14ac:dyDescent="0.15">
      <c r="A5785" t="s">
        <v>29</v>
      </c>
      <c r="F5785"/>
      <c r="M5785"/>
    </row>
    <row r="5786" spans="1:13" x14ac:dyDescent="0.15">
      <c r="A5786" t="s">
        <v>29</v>
      </c>
      <c r="F5786"/>
      <c r="M5786"/>
    </row>
    <row r="5787" spans="1:13" x14ac:dyDescent="0.15">
      <c r="A5787" t="s">
        <v>29</v>
      </c>
      <c r="F5787"/>
      <c r="M5787"/>
    </row>
    <row r="5788" spans="1:13" x14ac:dyDescent="0.15">
      <c r="A5788" t="s">
        <v>29</v>
      </c>
      <c r="F5788"/>
      <c r="M5788"/>
    </row>
    <row r="5789" spans="1:13" x14ac:dyDescent="0.15">
      <c r="A5789" t="s">
        <v>29</v>
      </c>
      <c r="F5789"/>
      <c r="M5789"/>
    </row>
    <row r="5790" spans="1:13" x14ac:dyDescent="0.15">
      <c r="A5790" t="s">
        <v>29</v>
      </c>
      <c r="F5790"/>
      <c r="M5790"/>
    </row>
    <row r="5791" spans="1:13" x14ac:dyDescent="0.15">
      <c r="A5791" t="s">
        <v>29</v>
      </c>
      <c r="F5791"/>
      <c r="M5791"/>
    </row>
    <row r="5792" spans="1:13" x14ac:dyDescent="0.15">
      <c r="A5792" t="s">
        <v>29</v>
      </c>
      <c r="F5792"/>
      <c r="M5792"/>
    </row>
    <row r="5793" spans="1:13" x14ac:dyDescent="0.15">
      <c r="A5793" t="s">
        <v>29</v>
      </c>
      <c r="F5793"/>
      <c r="M5793"/>
    </row>
    <row r="5794" spans="1:13" x14ac:dyDescent="0.15">
      <c r="A5794" t="s">
        <v>29</v>
      </c>
      <c r="F5794"/>
      <c r="M5794"/>
    </row>
    <row r="5795" spans="1:13" x14ac:dyDescent="0.15">
      <c r="A5795" t="s">
        <v>29</v>
      </c>
      <c r="F5795"/>
      <c r="M5795"/>
    </row>
    <row r="5796" spans="1:13" x14ac:dyDescent="0.15">
      <c r="A5796" t="s">
        <v>29</v>
      </c>
      <c r="F5796"/>
      <c r="M5796"/>
    </row>
    <row r="5797" spans="1:13" x14ac:dyDescent="0.15">
      <c r="A5797" t="s">
        <v>29</v>
      </c>
      <c r="F5797"/>
      <c r="M5797"/>
    </row>
    <row r="5798" spans="1:13" x14ac:dyDescent="0.15">
      <c r="A5798" t="s">
        <v>29</v>
      </c>
      <c r="F5798"/>
      <c r="M5798"/>
    </row>
    <row r="5799" spans="1:13" x14ac:dyDescent="0.15">
      <c r="A5799" t="s">
        <v>29</v>
      </c>
      <c r="F5799"/>
      <c r="M5799"/>
    </row>
    <row r="5800" spans="1:13" x14ac:dyDescent="0.15">
      <c r="A5800" t="s">
        <v>29</v>
      </c>
      <c r="F5800"/>
      <c r="M5800"/>
    </row>
    <row r="5801" spans="1:13" x14ac:dyDescent="0.15">
      <c r="A5801" t="s">
        <v>29</v>
      </c>
      <c r="F5801"/>
      <c r="M5801"/>
    </row>
    <row r="5802" spans="1:13" x14ac:dyDescent="0.15">
      <c r="A5802" t="s">
        <v>29</v>
      </c>
      <c r="F5802"/>
      <c r="M5802"/>
    </row>
    <row r="5803" spans="1:13" x14ac:dyDescent="0.15">
      <c r="A5803" t="s">
        <v>29</v>
      </c>
      <c r="F5803"/>
      <c r="M5803"/>
    </row>
    <row r="5804" spans="1:13" x14ac:dyDescent="0.15">
      <c r="A5804" t="s">
        <v>29</v>
      </c>
      <c r="F5804"/>
      <c r="M5804"/>
    </row>
    <row r="5805" spans="1:13" x14ac:dyDescent="0.15">
      <c r="A5805" t="s">
        <v>29</v>
      </c>
      <c r="F5805"/>
      <c r="M5805"/>
    </row>
    <row r="5806" spans="1:13" x14ac:dyDescent="0.15">
      <c r="A5806" t="s">
        <v>29</v>
      </c>
      <c r="F5806"/>
      <c r="M5806"/>
    </row>
    <row r="5807" spans="1:13" x14ac:dyDescent="0.15">
      <c r="A5807" t="s">
        <v>29</v>
      </c>
      <c r="F5807"/>
      <c r="M5807"/>
    </row>
    <row r="5808" spans="1:13" x14ac:dyDescent="0.15">
      <c r="A5808" t="s">
        <v>29</v>
      </c>
      <c r="F5808"/>
      <c r="M5808"/>
    </row>
    <row r="5809" spans="1:13" x14ac:dyDescent="0.15">
      <c r="A5809" t="s">
        <v>29</v>
      </c>
      <c r="F5809"/>
      <c r="M5809"/>
    </row>
    <row r="5810" spans="1:13" x14ac:dyDescent="0.15">
      <c r="A5810" t="s">
        <v>29</v>
      </c>
      <c r="F5810"/>
      <c r="M5810"/>
    </row>
    <row r="5811" spans="1:13" x14ac:dyDescent="0.15">
      <c r="A5811" t="s">
        <v>29</v>
      </c>
      <c r="F5811"/>
      <c r="M5811"/>
    </row>
    <row r="5812" spans="1:13" x14ac:dyDescent="0.15">
      <c r="A5812" t="s">
        <v>29</v>
      </c>
      <c r="F5812"/>
      <c r="M5812"/>
    </row>
    <row r="5813" spans="1:13" x14ac:dyDescent="0.15">
      <c r="A5813" t="s">
        <v>29</v>
      </c>
      <c r="F5813"/>
      <c r="M5813"/>
    </row>
    <row r="5814" spans="1:13" x14ac:dyDescent="0.15">
      <c r="A5814" t="s">
        <v>29</v>
      </c>
      <c r="F5814"/>
      <c r="M5814"/>
    </row>
    <row r="5815" spans="1:13" x14ac:dyDescent="0.15">
      <c r="A5815" t="s">
        <v>29</v>
      </c>
      <c r="F5815"/>
      <c r="M5815"/>
    </row>
    <row r="5816" spans="1:13" x14ac:dyDescent="0.15">
      <c r="A5816" t="s">
        <v>29</v>
      </c>
      <c r="F5816"/>
      <c r="M5816"/>
    </row>
    <row r="5817" spans="1:13" x14ac:dyDescent="0.15">
      <c r="A5817" t="s">
        <v>29</v>
      </c>
      <c r="F5817"/>
      <c r="M5817"/>
    </row>
    <row r="5818" spans="1:13" x14ac:dyDescent="0.15">
      <c r="A5818" t="s">
        <v>29</v>
      </c>
      <c r="F5818"/>
      <c r="M5818"/>
    </row>
    <row r="5819" spans="1:13" x14ac:dyDescent="0.15">
      <c r="A5819" t="s">
        <v>29</v>
      </c>
      <c r="F5819"/>
      <c r="M5819"/>
    </row>
    <row r="5820" spans="1:13" x14ac:dyDescent="0.15">
      <c r="A5820" t="s">
        <v>29</v>
      </c>
      <c r="F5820"/>
      <c r="M5820"/>
    </row>
    <row r="5821" spans="1:13" x14ac:dyDescent="0.15">
      <c r="A5821" t="s">
        <v>29</v>
      </c>
      <c r="F5821"/>
      <c r="M5821"/>
    </row>
    <row r="5822" spans="1:13" x14ac:dyDescent="0.15">
      <c r="A5822" t="s">
        <v>29</v>
      </c>
      <c r="F5822"/>
      <c r="M5822"/>
    </row>
    <row r="5823" spans="1:13" x14ac:dyDescent="0.15">
      <c r="A5823" t="s">
        <v>29</v>
      </c>
      <c r="F5823"/>
      <c r="M5823"/>
    </row>
    <row r="5824" spans="1:13" x14ac:dyDescent="0.15">
      <c r="A5824" t="s">
        <v>29</v>
      </c>
      <c r="F5824"/>
      <c r="M5824"/>
    </row>
    <row r="5825" spans="1:13" x14ac:dyDescent="0.15">
      <c r="A5825" t="s">
        <v>29</v>
      </c>
      <c r="F5825"/>
      <c r="M5825"/>
    </row>
    <row r="5826" spans="1:13" x14ac:dyDescent="0.15">
      <c r="A5826" t="s">
        <v>29</v>
      </c>
      <c r="F5826"/>
      <c r="M5826"/>
    </row>
    <row r="5827" spans="1:13" x14ac:dyDescent="0.15">
      <c r="A5827" t="s">
        <v>29</v>
      </c>
      <c r="F5827"/>
      <c r="M5827"/>
    </row>
    <row r="5828" spans="1:13" x14ac:dyDescent="0.15">
      <c r="A5828" t="s">
        <v>29</v>
      </c>
      <c r="F5828"/>
      <c r="M5828"/>
    </row>
    <row r="5829" spans="1:13" x14ac:dyDescent="0.15">
      <c r="A5829" t="s">
        <v>29</v>
      </c>
      <c r="F5829"/>
      <c r="M5829"/>
    </row>
    <row r="5830" spans="1:13" x14ac:dyDescent="0.15">
      <c r="A5830" t="s">
        <v>29</v>
      </c>
      <c r="F5830"/>
      <c r="M5830"/>
    </row>
    <row r="5831" spans="1:13" x14ac:dyDescent="0.15">
      <c r="A5831" t="s">
        <v>29</v>
      </c>
      <c r="F5831"/>
      <c r="M5831"/>
    </row>
    <row r="5832" spans="1:13" x14ac:dyDescent="0.15">
      <c r="A5832" t="s">
        <v>29</v>
      </c>
      <c r="F5832"/>
      <c r="M5832"/>
    </row>
    <row r="5833" spans="1:13" x14ac:dyDescent="0.15">
      <c r="A5833" t="s">
        <v>29</v>
      </c>
      <c r="F5833"/>
      <c r="M5833"/>
    </row>
    <row r="5834" spans="1:13" x14ac:dyDescent="0.15">
      <c r="A5834" t="s">
        <v>29</v>
      </c>
      <c r="F5834"/>
      <c r="M5834"/>
    </row>
    <row r="5835" spans="1:13" x14ac:dyDescent="0.15">
      <c r="A5835" t="s">
        <v>29</v>
      </c>
      <c r="F5835"/>
      <c r="M5835"/>
    </row>
    <row r="5836" spans="1:13" x14ac:dyDescent="0.15">
      <c r="A5836" t="s">
        <v>29</v>
      </c>
      <c r="F5836"/>
      <c r="M5836"/>
    </row>
    <row r="5837" spans="1:13" x14ac:dyDescent="0.15">
      <c r="A5837" t="s">
        <v>29</v>
      </c>
      <c r="F5837"/>
      <c r="M5837"/>
    </row>
    <row r="5838" spans="1:13" x14ac:dyDescent="0.15">
      <c r="A5838" t="s">
        <v>29</v>
      </c>
      <c r="F5838"/>
      <c r="M5838"/>
    </row>
    <row r="5839" spans="1:13" x14ac:dyDescent="0.15">
      <c r="A5839" t="s">
        <v>29</v>
      </c>
      <c r="F5839"/>
      <c r="M5839"/>
    </row>
    <row r="5840" spans="1:13" x14ac:dyDescent="0.15">
      <c r="A5840" t="s">
        <v>29</v>
      </c>
      <c r="F5840"/>
      <c r="M5840"/>
    </row>
    <row r="5841" spans="1:13" x14ac:dyDescent="0.15">
      <c r="A5841" t="s">
        <v>29</v>
      </c>
      <c r="F5841"/>
      <c r="M5841"/>
    </row>
    <row r="5842" spans="1:13" x14ac:dyDescent="0.15">
      <c r="A5842" t="s">
        <v>29</v>
      </c>
      <c r="F5842"/>
      <c r="M5842"/>
    </row>
    <row r="5843" spans="1:13" x14ac:dyDescent="0.15">
      <c r="A5843" t="s">
        <v>29</v>
      </c>
      <c r="F5843"/>
      <c r="M5843"/>
    </row>
    <row r="5844" spans="1:13" x14ac:dyDescent="0.15">
      <c r="A5844" t="s">
        <v>29</v>
      </c>
      <c r="F5844"/>
      <c r="M5844"/>
    </row>
    <row r="5845" spans="1:13" x14ac:dyDescent="0.15">
      <c r="A5845" t="s">
        <v>29</v>
      </c>
      <c r="F5845"/>
      <c r="M5845"/>
    </row>
    <row r="5846" spans="1:13" x14ac:dyDescent="0.15">
      <c r="A5846" t="s">
        <v>29</v>
      </c>
      <c r="F5846"/>
      <c r="M5846"/>
    </row>
    <row r="5847" spans="1:13" x14ac:dyDescent="0.15">
      <c r="A5847" t="s">
        <v>29</v>
      </c>
      <c r="F5847"/>
      <c r="M5847"/>
    </row>
    <row r="5848" spans="1:13" x14ac:dyDescent="0.15">
      <c r="A5848" t="s">
        <v>29</v>
      </c>
      <c r="F5848"/>
      <c r="M5848"/>
    </row>
    <row r="5849" spans="1:13" x14ac:dyDescent="0.15">
      <c r="A5849" t="s">
        <v>29</v>
      </c>
      <c r="F5849"/>
      <c r="M5849"/>
    </row>
    <row r="5850" spans="1:13" x14ac:dyDescent="0.15">
      <c r="A5850" t="s">
        <v>29</v>
      </c>
      <c r="F5850"/>
      <c r="M5850"/>
    </row>
    <row r="5851" spans="1:13" x14ac:dyDescent="0.15">
      <c r="A5851" t="s">
        <v>29</v>
      </c>
      <c r="F5851"/>
      <c r="M5851"/>
    </row>
    <row r="5852" spans="1:13" x14ac:dyDescent="0.15">
      <c r="A5852" t="s">
        <v>29</v>
      </c>
      <c r="F5852"/>
      <c r="M5852"/>
    </row>
    <row r="5853" spans="1:13" x14ac:dyDescent="0.15">
      <c r="A5853" t="s">
        <v>29</v>
      </c>
      <c r="F5853"/>
      <c r="M5853"/>
    </row>
    <row r="5854" spans="1:13" x14ac:dyDescent="0.15">
      <c r="A5854" t="s">
        <v>29</v>
      </c>
      <c r="F5854"/>
      <c r="M5854"/>
    </row>
    <row r="5855" spans="1:13" x14ac:dyDescent="0.15">
      <c r="A5855" t="s">
        <v>29</v>
      </c>
      <c r="F5855"/>
      <c r="M5855"/>
    </row>
    <row r="5856" spans="1:13" x14ac:dyDescent="0.15">
      <c r="A5856" t="s">
        <v>29</v>
      </c>
      <c r="F5856"/>
      <c r="M5856"/>
    </row>
    <row r="5857" spans="1:13" x14ac:dyDescent="0.15">
      <c r="A5857" t="s">
        <v>29</v>
      </c>
      <c r="F5857"/>
      <c r="M5857"/>
    </row>
    <row r="5858" spans="1:13" x14ac:dyDescent="0.15">
      <c r="A5858" t="s">
        <v>29</v>
      </c>
      <c r="F5858"/>
      <c r="M5858"/>
    </row>
    <row r="5859" spans="1:13" x14ac:dyDescent="0.15">
      <c r="A5859" t="s">
        <v>29</v>
      </c>
      <c r="F5859"/>
      <c r="M5859"/>
    </row>
    <row r="5860" spans="1:13" x14ac:dyDescent="0.15">
      <c r="A5860" t="s">
        <v>29</v>
      </c>
      <c r="F5860"/>
      <c r="M5860"/>
    </row>
    <row r="5861" spans="1:13" x14ac:dyDescent="0.15">
      <c r="A5861" t="s">
        <v>29</v>
      </c>
      <c r="F5861"/>
      <c r="M5861"/>
    </row>
    <row r="5862" spans="1:13" x14ac:dyDescent="0.15">
      <c r="A5862" t="s">
        <v>29</v>
      </c>
      <c r="F5862"/>
      <c r="M5862"/>
    </row>
    <row r="5863" spans="1:13" x14ac:dyDescent="0.15">
      <c r="A5863" t="s">
        <v>29</v>
      </c>
      <c r="F5863"/>
      <c r="M5863"/>
    </row>
    <row r="5864" spans="1:13" x14ac:dyDescent="0.15">
      <c r="A5864" t="s">
        <v>29</v>
      </c>
      <c r="F5864"/>
      <c r="M5864"/>
    </row>
    <row r="5865" spans="1:13" x14ac:dyDescent="0.15">
      <c r="A5865" t="s">
        <v>29</v>
      </c>
      <c r="F5865"/>
      <c r="M5865"/>
    </row>
    <row r="5866" spans="1:13" x14ac:dyDescent="0.15">
      <c r="A5866" t="s">
        <v>29</v>
      </c>
      <c r="F5866"/>
      <c r="M5866"/>
    </row>
    <row r="5867" spans="1:13" x14ac:dyDescent="0.15">
      <c r="A5867" t="s">
        <v>29</v>
      </c>
      <c r="F5867"/>
      <c r="M5867"/>
    </row>
    <row r="5868" spans="1:13" x14ac:dyDescent="0.15">
      <c r="A5868" t="s">
        <v>29</v>
      </c>
      <c r="F5868"/>
      <c r="M5868"/>
    </row>
    <row r="5869" spans="1:13" x14ac:dyDescent="0.15">
      <c r="A5869" t="s">
        <v>29</v>
      </c>
      <c r="F5869"/>
      <c r="M5869"/>
    </row>
    <row r="5870" spans="1:13" x14ac:dyDescent="0.15">
      <c r="A5870" t="s">
        <v>29</v>
      </c>
      <c r="F5870"/>
      <c r="M5870"/>
    </row>
    <row r="5871" spans="1:13" x14ac:dyDescent="0.15">
      <c r="A5871" t="s">
        <v>29</v>
      </c>
      <c r="F5871"/>
      <c r="M5871"/>
    </row>
    <row r="5872" spans="1:13" x14ac:dyDescent="0.15">
      <c r="A5872" t="s">
        <v>29</v>
      </c>
      <c r="F5872"/>
      <c r="M5872"/>
    </row>
    <row r="5873" spans="1:13" x14ac:dyDescent="0.15">
      <c r="A5873" t="s">
        <v>29</v>
      </c>
      <c r="F5873"/>
      <c r="M5873"/>
    </row>
    <row r="5874" spans="1:13" x14ac:dyDescent="0.15">
      <c r="A5874" t="s">
        <v>29</v>
      </c>
      <c r="F5874"/>
      <c r="M5874"/>
    </row>
    <row r="5875" spans="1:13" x14ac:dyDescent="0.15">
      <c r="A5875" t="s">
        <v>29</v>
      </c>
      <c r="F5875"/>
      <c r="M5875"/>
    </row>
    <row r="5876" spans="1:13" x14ac:dyDescent="0.15">
      <c r="A5876" t="s">
        <v>29</v>
      </c>
      <c r="F5876"/>
      <c r="M5876"/>
    </row>
    <row r="5877" spans="1:13" x14ac:dyDescent="0.15">
      <c r="A5877" t="s">
        <v>29</v>
      </c>
      <c r="F5877"/>
      <c r="M5877"/>
    </row>
    <row r="5878" spans="1:13" x14ac:dyDescent="0.15">
      <c r="A5878" t="s">
        <v>29</v>
      </c>
      <c r="F5878"/>
      <c r="M5878"/>
    </row>
    <row r="5879" spans="1:13" x14ac:dyDescent="0.15">
      <c r="A5879" t="s">
        <v>29</v>
      </c>
      <c r="F5879"/>
      <c r="M5879"/>
    </row>
    <row r="5880" spans="1:13" x14ac:dyDescent="0.15">
      <c r="A5880" t="s">
        <v>29</v>
      </c>
      <c r="F5880"/>
      <c r="M5880"/>
    </row>
    <row r="5881" spans="1:13" x14ac:dyDescent="0.15">
      <c r="A5881" t="s">
        <v>29</v>
      </c>
      <c r="F5881"/>
      <c r="M5881"/>
    </row>
    <row r="5882" spans="1:13" x14ac:dyDescent="0.15">
      <c r="A5882" t="s">
        <v>29</v>
      </c>
      <c r="F5882"/>
      <c r="M5882"/>
    </row>
    <row r="5883" spans="1:13" x14ac:dyDescent="0.15">
      <c r="A5883" t="s">
        <v>29</v>
      </c>
      <c r="F5883"/>
      <c r="M5883"/>
    </row>
    <row r="5884" spans="1:13" x14ac:dyDescent="0.15">
      <c r="A5884" t="s">
        <v>29</v>
      </c>
      <c r="F5884"/>
      <c r="M5884"/>
    </row>
    <row r="5885" spans="1:13" x14ac:dyDescent="0.15">
      <c r="A5885" t="s">
        <v>29</v>
      </c>
      <c r="F5885"/>
      <c r="M5885"/>
    </row>
    <row r="5886" spans="1:13" x14ac:dyDescent="0.15">
      <c r="A5886" t="s">
        <v>29</v>
      </c>
      <c r="F5886"/>
      <c r="M5886"/>
    </row>
    <row r="5887" spans="1:13" x14ac:dyDescent="0.15">
      <c r="A5887" t="s">
        <v>29</v>
      </c>
      <c r="F5887"/>
      <c r="M5887"/>
    </row>
    <row r="5888" spans="1:13" x14ac:dyDescent="0.15">
      <c r="A5888" t="s">
        <v>29</v>
      </c>
      <c r="F5888"/>
      <c r="M5888"/>
    </row>
    <row r="5889" spans="1:13" x14ac:dyDescent="0.15">
      <c r="A5889" t="s">
        <v>29</v>
      </c>
      <c r="F5889"/>
      <c r="M5889"/>
    </row>
    <row r="5890" spans="1:13" x14ac:dyDescent="0.15">
      <c r="A5890" t="s">
        <v>29</v>
      </c>
      <c r="F5890"/>
      <c r="M5890"/>
    </row>
    <row r="5891" spans="1:13" x14ac:dyDescent="0.15">
      <c r="A5891" t="s">
        <v>29</v>
      </c>
      <c r="F5891"/>
      <c r="M5891"/>
    </row>
    <row r="5892" spans="1:13" x14ac:dyDescent="0.15">
      <c r="A5892" t="s">
        <v>29</v>
      </c>
      <c r="F5892"/>
      <c r="M5892"/>
    </row>
    <row r="5893" spans="1:13" x14ac:dyDescent="0.15">
      <c r="A5893" t="s">
        <v>29</v>
      </c>
      <c r="F5893"/>
      <c r="M5893"/>
    </row>
    <row r="5894" spans="1:13" x14ac:dyDescent="0.15">
      <c r="A5894" t="s">
        <v>29</v>
      </c>
      <c r="F5894"/>
      <c r="M5894"/>
    </row>
    <row r="5895" spans="1:13" x14ac:dyDescent="0.15">
      <c r="A5895" t="s">
        <v>29</v>
      </c>
      <c r="F5895"/>
      <c r="M5895"/>
    </row>
    <row r="5896" spans="1:13" x14ac:dyDescent="0.15">
      <c r="A5896" t="s">
        <v>29</v>
      </c>
      <c r="F5896"/>
      <c r="M5896"/>
    </row>
    <row r="5897" spans="1:13" x14ac:dyDescent="0.15">
      <c r="A5897" t="s">
        <v>29</v>
      </c>
      <c r="F5897"/>
      <c r="M5897"/>
    </row>
    <row r="5898" spans="1:13" x14ac:dyDescent="0.15">
      <c r="A5898" t="s">
        <v>29</v>
      </c>
      <c r="F5898"/>
      <c r="M5898"/>
    </row>
    <row r="5899" spans="1:13" x14ac:dyDescent="0.15">
      <c r="A5899" t="s">
        <v>29</v>
      </c>
      <c r="F5899"/>
      <c r="M5899"/>
    </row>
    <row r="5900" spans="1:13" x14ac:dyDescent="0.15">
      <c r="A5900" t="s">
        <v>29</v>
      </c>
      <c r="F5900"/>
      <c r="M5900"/>
    </row>
    <row r="5901" spans="1:13" x14ac:dyDescent="0.15">
      <c r="A5901" t="s">
        <v>29</v>
      </c>
      <c r="F5901"/>
      <c r="M5901"/>
    </row>
    <row r="5902" spans="1:13" x14ac:dyDescent="0.15">
      <c r="A5902" t="s">
        <v>29</v>
      </c>
      <c r="F5902"/>
      <c r="M5902"/>
    </row>
    <row r="5903" spans="1:13" x14ac:dyDescent="0.15">
      <c r="A5903" t="s">
        <v>29</v>
      </c>
      <c r="F5903"/>
      <c r="M5903"/>
    </row>
    <row r="5904" spans="1:13" x14ac:dyDescent="0.15">
      <c r="A5904" t="s">
        <v>29</v>
      </c>
      <c r="F5904"/>
      <c r="M5904"/>
    </row>
    <row r="5905" spans="1:13" x14ac:dyDescent="0.15">
      <c r="A5905" t="s">
        <v>29</v>
      </c>
      <c r="F5905"/>
      <c r="M5905"/>
    </row>
    <row r="5906" spans="1:13" x14ac:dyDescent="0.15">
      <c r="A5906" t="s">
        <v>29</v>
      </c>
      <c r="F5906"/>
      <c r="M5906"/>
    </row>
    <row r="5907" spans="1:13" x14ac:dyDescent="0.15">
      <c r="A5907" t="s">
        <v>29</v>
      </c>
      <c r="F5907"/>
      <c r="M5907"/>
    </row>
    <row r="5908" spans="1:13" x14ac:dyDescent="0.15">
      <c r="A5908" t="s">
        <v>29</v>
      </c>
      <c r="F5908"/>
      <c r="M5908"/>
    </row>
    <row r="5909" spans="1:13" x14ac:dyDescent="0.15">
      <c r="A5909" t="s">
        <v>29</v>
      </c>
      <c r="F5909"/>
      <c r="M5909"/>
    </row>
    <row r="5910" spans="1:13" x14ac:dyDescent="0.15">
      <c r="A5910" t="s">
        <v>29</v>
      </c>
      <c r="F5910"/>
      <c r="M5910"/>
    </row>
    <row r="5911" spans="1:13" x14ac:dyDescent="0.15">
      <c r="A5911" t="s">
        <v>29</v>
      </c>
      <c r="F5911"/>
      <c r="M5911"/>
    </row>
    <row r="5912" spans="1:13" x14ac:dyDescent="0.15">
      <c r="A5912" t="s">
        <v>29</v>
      </c>
      <c r="F5912"/>
      <c r="M5912"/>
    </row>
    <row r="5913" spans="1:13" x14ac:dyDescent="0.15">
      <c r="A5913" t="s">
        <v>29</v>
      </c>
      <c r="F5913"/>
      <c r="M5913"/>
    </row>
    <row r="5914" spans="1:13" x14ac:dyDescent="0.15">
      <c r="A5914" t="s">
        <v>29</v>
      </c>
      <c r="F5914"/>
      <c r="M5914"/>
    </row>
    <row r="5915" spans="1:13" x14ac:dyDescent="0.15">
      <c r="A5915" t="s">
        <v>29</v>
      </c>
      <c r="F5915"/>
      <c r="M5915"/>
    </row>
    <row r="5916" spans="1:13" x14ac:dyDescent="0.15">
      <c r="A5916" t="s">
        <v>29</v>
      </c>
      <c r="F5916"/>
      <c r="M5916"/>
    </row>
    <row r="5917" spans="1:13" x14ac:dyDescent="0.15">
      <c r="A5917" t="s">
        <v>29</v>
      </c>
      <c r="F5917"/>
      <c r="M5917"/>
    </row>
    <row r="5918" spans="1:13" x14ac:dyDescent="0.15">
      <c r="A5918" t="s">
        <v>29</v>
      </c>
      <c r="F5918"/>
      <c r="M5918"/>
    </row>
    <row r="5919" spans="1:13" x14ac:dyDescent="0.15">
      <c r="A5919" t="s">
        <v>29</v>
      </c>
      <c r="F5919"/>
      <c r="M5919"/>
    </row>
    <row r="5920" spans="1:13" x14ac:dyDescent="0.15">
      <c r="A5920" t="s">
        <v>29</v>
      </c>
      <c r="F5920"/>
      <c r="M5920"/>
    </row>
    <row r="5921" spans="1:13" x14ac:dyDescent="0.15">
      <c r="A5921" t="s">
        <v>29</v>
      </c>
      <c r="F5921"/>
      <c r="M5921"/>
    </row>
    <row r="5922" spans="1:13" x14ac:dyDescent="0.15">
      <c r="A5922" t="s">
        <v>29</v>
      </c>
      <c r="F5922"/>
      <c r="M5922"/>
    </row>
    <row r="5923" spans="1:13" x14ac:dyDescent="0.15">
      <c r="A5923" t="s">
        <v>29</v>
      </c>
      <c r="F5923"/>
      <c r="M5923"/>
    </row>
    <row r="5924" spans="1:13" x14ac:dyDescent="0.15">
      <c r="A5924" t="s">
        <v>29</v>
      </c>
      <c r="F5924"/>
      <c r="M5924"/>
    </row>
    <row r="5925" spans="1:13" x14ac:dyDescent="0.15">
      <c r="A5925" t="s">
        <v>29</v>
      </c>
      <c r="F5925"/>
      <c r="M5925"/>
    </row>
    <row r="5926" spans="1:13" x14ac:dyDescent="0.15">
      <c r="A5926" t="s">
        <v>29</v>
      </c>
      <c r="F5926"/>
      <c r="M5926"/>
    </row>
    <row r="5927" spans="1:13" x14ac:dyDescent="0.15">
      <c r="A5927" t="s">
        <v>29</v>
      </c>
      <c r="F5927"/>
      <c r="M5927"/>
    </row>
    <row r="5928" spans="1:13" x14ac:dyDescent="0.15">
      <c r="A5928" t="s">
        <v>29</v>
      </c>
      <c r="F5928"/>
      <c r="M5928"/>
    </row>
    <row r="5929" spans="1:13" x14ac:dyDescent="0.15">
      <c r="A5929" t="s">
        <v>29</v>
      </c>
      <c r="F5929"/>
      <c r="M5929"/>
    </row>
    <row r="5930" spans="1:13" x14ac:dyDescent="0.15">
      <c r="A5930" t="s">
        <v>29</v>
      </c>
      <c r="F5930"/>
      <c r="M5930"/>
    </row>
    <row r="5931" spans="1:13" x14ac:dyDescent="0.15">
      <c r="A5931" t="s">
        <v>29</v>
      </c>
      <c r="F5931"/>
      <c r="M5931"/>
    </row>
    <row r="5932" spans="1:13" x14ac:dyDescent="0.15">
      <c r="A5932" t="s">
        <v>29</v>
      </c>
      <c r="F5932"/>
      <c r="M5932"/>
    </row>
    <row r="5933" spans="1:13" x14ac:dyDescent="0.15">
      <c r="A5933" t="s">
        <v>29</v>
      </c>
      <c r="F5933"/>
      <c r="M5933"/>
    </row>
    <row r="5934" spans="1:13" x14ac:dyDescent="0.15">
      <c r="A5934" t="s">
        <v>29</v>
      </c>
      <c r="F5934"/>
      <c r="M5934"/>
    </row>
    <row r="5935" spans="1:13" x14ac:dyDescent="0.15">
      <c r="A5935" t="s">
        <v>29</v>
      </c>
      <c r="F5935"/>
      <c r="M5935"/>
    </row>
    <row r="5936" spans="1:13" x14ac:dyDescent="0.15">
      <c r="A5936" t="s">
        <v>29</v>
      </c>
      <c r="F5936"/>
      <c r="M5936"/>
    </row>
    <row r="5937" spans="1:13" x14ac:dyDescent="0.15">
      <c r="A5937" t="s">
        <v>29</v>
      </c>
      <c r="F5937"/>
      <c r="M5937"/>
    </row>
    <row r="5938" spans="1:13" x14ac:dyDescent="0.15">
      <c r="A5938" t="s">
        <v>29</v>
      </c>
      <c r="F5938"/>
      <c r="M5938"/>
    </row>
    <row r="5939" spans="1:13" x14ac:dyDescent="0.15">
      <c r="A5939" t="s">
        <v>29</v>
      </c>
      <c r="F5939"/>
      <c r="M5939"/>
    </row>
    <row r="5940" spans="1:13" x14ac:dyDescent="0.15">
      <c r="A5940" t="s">
        <v>29</v>
      </c>
      <c r="F5940"/>
      <c r="M5940"/>
    </row>
    <row r="5941" spans="1:13" x14ac:dyDescent="0.15">
      <c r="A5941" t="s">
        <v>29</v>
      </c>
      <c r="F5941"/>
      <c r="M5941"/>
    </row>
    <row r="5942" spans="1:13" x14ac:dyDescent="0.15">
      <c r="A5942" t="s">
        <v>29</v>
      </c>
      <c r="F5942"/>
      <c r="M5942"/>
    </row>
    <row r="5943" spans="1:13" x14ac:dyDescent="0.15">
      <c r="A5943" t="s">
        <v>30</v>
      </c>
      <c r="F5943"/>
      <c r="M5943"/>
    </row>
    <row r="5944" spans="1:13" x14ac:dyDescent="0.15">
      <c r="A5944" t="s">
        <v>30</v>
      </c>
      <c r="F5944"/>
      <c r="M5944"/>
    </row>
    <row r="5945" spans="1:13" x14ac:dyDescent="0.15">
      <c r="A5945" t="s">
        <v>30</v>
      </c>
      <c r="F5945"/>
      <c r="M5945"/>
    </row>
    <row r="5946" spans="1:13" x14ac:dyDescent="0.15">
      <c r="A5946" t="s">
        <v>30</v>
      </c>
      <c r="F5946"/>
      <c r="M5946"/>
    </row>
    <row r="5947" spans="1:13" x14ac:dyDescent="0.15">
      <c r="A5947" t="s">
        <v>30</v>
      </c>
      <c r="F5947"/>
      <c r="M5947"/>
    </row>
    <row r="5948" spans="1:13" x14ac:dyDescent="0.15">
      <c r="A5948" t="s">
        <v>30</v>
      </c>
      <c r="F5948"/>
      <c r="M5948"/>
    </row>
    <row r="5949" spans="1:13" x14ac:dyDescent="0.15">
      <c r="A5949" t="s">
        <v>30</v>
      </c>
      <c r="F5949"/>
      <c r="M5949"/>
    </row>
    <row r="5950" spans="1:13" x14ac:dyDescent="0.15">
      <c r="A5950" t="s">
        <v>30</v>
      </c>
      <c r="F5950"/>
      <c r="M5950"/>
    </row>
    <row r="5951" spans="1:13" x14ac:dyDescent="0.15">
      <c r="A5951" t="s">
        <v>30</v>
      </c>
      <c r="F5951"/>
      <c r="M5951"/>
    </row>
    <row r="5952" spans="1:13" x14ac:dyDescent="0.15">
      <c r="A5952" t="s">
        <v>30</v>
      </c>
      <c r="F5952"/>
      <c r="M5952"/>
    </row>
    <row r="5953" spans="1:13" x14ac:dyDescent="0.15">
      <c r="A5953" t="s">
        <v>30</v>
      </c>
      <c r="F5953"/>
      <c r="M5953"/>
    </row>
    <row r="5954" spans="1:13" x14ac:dyDescent="0.15">
      <c r="A5954" t="s">
        <v>30</v>
      </c>
      <c r="F5954"/>
      <c r="M5954"/>
    </row>
    <row r="5955" spans="1:13" x14ac:dyDescent="0.15">
      <c r="A5955" t="s">
        <v>30</v>
      </c>
      <c r="F5955"/>
      <c r="M5955"/>
    </row>
    <row r="5956" spans="1:13" x14ac:dyDescent="0.15">
      <c r="A5956" t="s">
        <v>30</v>
      </c>
      <c r="F5956"/>
      <c r="M5956"/>
    </row>
    <row r="5957" spans="1:13" x14ac:dyDescent="0.15">
      <c r="A5957" t="s">
        <v>30</v>
      </c>
      <c r="F5957"/>
      <c r="M5957"/>
    </row>
    <row r="5958" spans="1:13" x14ac:dyDescent="0.15">
      <c r="A5958" t="s">
        <v>30</v>
      </c>
      <c r="F5958"/>
      <c r="M5958"/>
    </row>
    <row r="5959" spans="1:13" x14ac:dyDescent="0.15">
      <c r="A5959" t="s">
        <v>30</v>
      </c>
      <c r="F5959"/>
      <c r="M5959"/>
    </row>
    <row r="5960" spans="1:13" x14ac:dyDescent="0.15">
      <c r="A5960" t="s">
        <v>30</v>
      </c>
      <c r="F5960"/>
      <c r="M5960"/>
    </row>
    <row r="5961" spans="1:13" x14ac:dyDescent="0.15">
      <c r="A5961" t="s">
        <v>30</v>
      </c>
      <c r="F5961"/>
      <c r="M5961"/>
    </row>
    <row r="5962" spans="1:13" x14ac:dyDescent="0.15">
      <c r="A5962" t="s">
        <v>30</v>
      </c>
      <c r="F5962"/>
      <c r="M5962"/>
    </row>
    <row r="5963" spans="1:13" x14ac:dyDescent="0.15">
      <c r="A5963" t="s">
        <v>30</v>
      </c>
      <c r="F5963"/>
      <c r="M5963"/>
    </row>
    <row r="5964" spans="1:13" x14ac:dyDescent="0.15">
      <c r="A5964" t="s">
        <v>30</v>
      </c>
      <c r="F5964"/>
      <c r="M5964"/>
    </row>
    <row r="5965" spans="1:13" x14ac:dyDescent="0.15">
      <c r="A5965" t="s">
        <v>30</v>
      </c>
      <c r="F5965"/>
      <c r="M5965"/>
    </row>
    <row r="5966" spans="1:13" x14ac:dyDescent="0.15">
      <c r="A5966" t="s">
        <v>30</v>
      </c>
      <c r="F5966"/>
      <c r="M5966"/>
    </row>
    <row r="5967" spans="1:13" x14ac:dyDescent="0.15">
      <c r="A5967" t="s">
        <v>30</v>
      </c>
      <c r="F5967"/>
      <c r="M5967"/>
    </row>
    <row r="5968" spans="1:13" x14ac:dyDescent="0.15">
      <c r="A5968" t="s">
        <v>30</v>
      </c>
      <c r="F5968"/>
      <c r="M5968"/>
    </row>
    <row r="5969" spans="1:13" x14ac:dyDescent="0.15">
      <c r="A5969" t="s">
        <v>30</v>
      </c>
      <c r="F5969"/>
      <c r="M5969"/>
    </row>
    <row r="5970" spans="1:13" x14ac:dyDescent="0.15">
      <c r="A5970" t="s">
        <v>30</v>
      </c>
      <c r="F5970"/>
      <c r="M5970"/>
    </row>
    <row r="5971" spans="1:13" x14ac:dyDescent="0.15">
      <c r="A5971" t="s">
        <v>30</v>
      </c>
      <c r="F5971"/>
      <c r="M5971"/>
    </row>
    <row r="5972" spans="1:13" x14ac:dyDescent="0.15">
      <c r="A5972" t="s">
        <v>30</v>
      </c>
      <c r="F5972"/>
      <c r="M5972"/>
    </row>
    <row r="5973" spans="1:13" x14ac:dyDescent="0.15">
      <c r="A5973" t="s">
        <v>30</v>
      </c>
      <c r="F5973"/>
      <c r="M5973"/>
    </row>
    <row r="5974" spans="1:13" x14ac:dyDescent="0.15">
      <c r="A5974" t="s">
        <v>30</v>
      </c>
      <c r="F5974"/>
      <c r="M5974"/>
    </row>
    <row r="5975" spans="1:13" x14ac:dyDescent="0.15">
      <c r="A5975" t="s">
        <v>30</v>
      </c>
      <c r="F5975"/>
      <c r="M5975"/>
    </row>
    <row r="5976" spans="1:13" x14ac:dyDescent="0.15">
      <c r="A5976" t="s">
        <v>30</v>
      </c>
      <c r="F5976"/>
      <c r="M5976"/>
    </row>
    <row r="5977" spans="1:13" x14ac:dyDescent="0.15">
      <c r="A5977" t="s">
        <v>30</v>
      </c>
      <c r="F5977"/>
      <c r="M5977"/>
    </row>
    <row r="5978" spans="1:13" x14ac:dyDescent="0.15">
      <c r="A5978" t="s">
        <v>30</v>
      </c>
      <c r="F5978"/>
      <c r="M5978"/>
    </row>
    <row r="5979" spans="1:13" x14ac:dyDescent="0.15">
      <c r="A5979" t="s">
        <v>30</v>
      </c>
      <c r="F5979"/>
      <c r="M5979"/>
    </row>
    <row r="5980" spans="1:13" x14ac:dyDescent="0.15">
      <c r="A5980" t="s">
        <v>30</v>
      </c>
      <c r="F5980"/>
      <c r="M5980"/>
    </row>
    <row r="5981" spans="1:13" x14ac:dyDescent="0.15">
      <c r="A5981" t="s">
        <v>30</v>
      </c>
      <c r="F5981"/>
      <c r="M5981"/>
    </row>
    <row r="5982" spans="1:13" x14ac:dyDescent="0.15">
      <c r="A5982" t="s">
        <v>30</v>
      </c>
      <c r="F5982"/>
      <c r="M5982"/>
    </row>
    <row r="5983" spans="1:13" x14ac:dyDescent="0.15">
      <c r="A5983" t="s">
        <v>30</v>
      </c>
      <c r="F5983"/>
      <c r="M5983"/>
    </row>
    <row r="5984" spans="1:13" x14ac:dyDescent="0.15">
      <c r="A5984" t="s">
        <v>30</v>
      </c>
      <c r="F5984"/>
      <c r="M5984"/>
    </row>
    <row r="5985" spans="1:13" x14ac:dyDescent="0.15">
      <c r="A5985" t="s">
        <v>30</v>
      </c>
      <c r="F5985"/>
      <c r="M5985"/>
    </row>
    <row r="5986" spans="1:13" x14ac:dyDescent="0.15">
      <c r="A5986" t="s">
        <v>30</v>
      </c>
      <c r="F5986"/>
      <c r="M5986"/>
    </row>
    <row r="5987" spans="1:13" x14ac:dyDescent="0.15">
      <c r="A5987" t="s">
        <v>30</v>
      </c>
      <c r="F5987"/>
      <c r="M5987"/>
    </row>
    <row r="5988" spans="1:13" x14ac:dyDescent="0.15">
      <c r="A5988" t="s">
        <v>30</v>
      </c>
      <c r="F5988"/>
      <c r="M5988"/>
    </row>
    <row r="5989" spans="1:13" x14ac:dyDescent="0.15">
      <c r="A5989" t="s">
        <v>30</v>
      </c>
      <c r="F5989"/>
      <c r="M5989"/>
    </row>
    <row r="5990" spans="1:13" x14ac:dyDescent="0.15">
      <c r="A5990" t="s">
        <v>30</v>
      </c>
      <c r="F5990"/>
      <c r="M5990"/>
    </row>
    <row r="5991" spans="1:13" x14ac:dyDescent="0.15">
      <c r="A5991" t="s">
        <v>30</v>
      </c>
      <c r="F5991"/>
      <c r="M5991"/>
    </row>
    <row r="5992" spans="1:13" x14ac:dyDescent="0.15">
      <c r="A5992" t="s">
        <v>30</v>
      </c>
      <c r="F5992"/>
      <c r="M5992"/>
    </row>
    <row r="5993" spans="1:13" x14ac:dyDescent="0.15">
      <c r="A5993" t="s">
        <v>30</v>
      </c>
      <c r="F5993"/>
      <c r="M5993"/>
    </row>
    <row r="5994" spans="1:13" x14ac:dyDescent="0.15">
      <c r="A5994" t="s">
        <v>30</v>
      </c>
      <c r="F5994"/>
      <c r="M5994"/>
    </row>
    <row r="5995" spans="1:13" x14ac:dyDescent="0.15">
      <c r="A5995" t="s">
        <v>30</v>
      </c>
      <c r="F5995"/>
      <c r="M5995"/>
    </row>
    <row r="5996" spans="1:13" x14ac:dyDescent="0.15">
      <c r="A5996" t="s">
        <v>30</v>
      </c>
      <c r="F5996"/>
      <c r="M5996"/>
    </row>
    <row r="5997" spans="1:13" x14ac:dyDescent="0.15">
      <c r="A5997" t="s">
        <v>30</v>
      </c>
      <c r="F5997"/>
      <c r="M5997"/>
    </row>
    <row r="5998" spans="1:13" x14ac:dyDescent="0.15">
      <c r="A5998" t="s">
        <v>30</v>
      </c>
      <c r="F5998"/>
      <c r="M5998"/>
    </row>
    <row r="5999" spans="1:13" x14ac:dyDescent="0.15">
      <c r="A5999" t="s">
        <v>30</v>
      </c>
      <c r="F5999"/>
      <c r="M5999"/>
    </row>
    <row r="6000" spans="1:13" x14ac:dyDescent="0.15">
      <c r="A6000" t="s">
        <v>30</v>
      </c>
      <c r="F6000"/>
      <c r="M6000"/>
    </row>
    <row r="6001" spans="1:13" x14ac:dyDescent="0.15">
      <c r="A6001" t="s">
        <v>30</v>
      </c>
      <c r="F6001"/>
      <c r="M6001"/>
    </row>
    <row r="6002" spans="1:13" x14ac:dyDescent="0.15">
      <c r="A6002" t="s">
        <v>30</v>
      </c>
      <c r="F6002"/>
      <c r="M6002"/>
    </row>
    <row r="6003" spans="1:13" x14ac:dyDescent="0.15">
      <c r="A6003" t="s">
        <v>30</v>
      </c>
      <c r="F6003"/>
      <c r="M6003"/>
    </row>
    <row r="6004" spans="1:13" x14ac:dyDescent="0.15">
      <c r="A6004" t="s">
        <v>30</v>
      </c>
      <c r="F6004"/>
      <c r="M6004"/>
    </row>
    <row r="6005" spans="1:13" x14ac:dyDescent="0.15">
      <c r="A6005" t="s">
        <v>30</v>
      </c>
      <c r="F6005"/>
      <c r="M6005"/>
    </row>
    <row r="6006" spans="1:13" x14ac:dyDescent="0.15">
      <c r="A6006" t="s">
        <v>30</v>
      </c>
      <c r="F6006"/>
      <c r="M6006"/>
    </row>
    <row r="6007" spans="1:13" x14ac:dyDescent="0.15">
      <c r="A6007" t="s">
        <v>30</v>
      </c>
      <c r="F6007"/>
      <c r="M6007"/>
    </row>
    <row r="6008" spans="1:13" x14ac:dyDescent="0.15">
      <c r="A6008" t="s">
        <v>30</v>
      </c>
      <c r="F6008"/>
      <c r="M6008"/>
    </row>
    <row r="6009" spans="1:13" x14ac:dyDescent="0.15">
      <c r="A6009" t="s">
        <v>30</v>
      </c>
      <c r="F6009"/>
      <c r="M6009"/>
    </row>
    <row r="6010" spans="1:13" x14ac:dyDescent="0.15">
      <c r="A6010" t="s">
        <v>30</v>
      </c>
      <c r="F6010"/>
      <c r="M6010"/>
    </row>
    <row r="6011" spans="1:13" x14ac:dyDescent="0.15">
      <c r="A6011" t="s">
        <v>30</v>
      </c>
      <c r="F6011"/>
      <c r="M6011"/>
    </row>
    <row r="6012" spans="1:13" x14ac:dyDescent="0.15">
      <c r="A6012" t="s">
        <v>30</v>
      </c>
      <c r="F6012"/>
      <c r="M6012"/>
    </row>
    <row r="6013" spans="1:13" x14ac:dyDescent="0.15">
      <c r="A6013" t="s">
        <v>30</v>
      </c>
      <c r="F6013"/>
      <c r="M6013"/>
    </row>
    <row r="6014" spans="1:13" x14ac:dyDescent="0.15">
      <c r="A6014" t="s">
        <v>30</v>
      </c>
      <c r="F6014"/>
      <c r="M6014"/>
    </row>
    <row r="6015" spans="1:13" x14ac:dyDescent="0.15">
      <c r="A6015" t="s">
        <v>30</v>
      </c>
      <c r="F6015"/>
      <c r="M6015"/>
    </row>
    <row r="6016" spans="1:13" x14ac:dyDescent="0.15">
      <c r="A6016" t="s">
        <v>30</v>
      </c>
      <c r="F6016"/>
      <c r="M6016"/>
    </row>
    <row r="6017" spans="1:13" x14ac:dyDescent="0.15">
      <c r="A6017" t="s">
        <v>30</v>
      </c>
      <c r="F6017"/>
      <c r="M6017"/>
    </row>
    <row r="6018" spans="1:13" x14ac:dyDescent="0.15">
      <c r="A6018" t="s">
        <v>30</v>
      </c>
      <c r="F6018"/>
      <c r="M6018"/>
    </row>
    <row r="6019" spans="1:13" x14ac:dyDescent="0.15">
      <c r="A6019" t="s">
        <v>30</v>
      </c>
      <c r="F6019"/>
      <c r="M6019"/>
    </row>
    <row r="6020" spans="1:13" x14ac:dyDescent="0.15">
      <c r="A6020" t="s">
        <v>30</v>
      </c>
      <c r="F6020"/>
      <c r="M6020"/>
    </row>
    <row r="6021" spans="1:13" x14ac:dyDescent="0.15">
      <c r="A6021" t="s">
        <v>30</v>
      </c>
      <c r="F6021"/>
      <c r="M6021"/>
    </row>
    <row r="6022" spans="1:13" x14ac:dyDescent="0.15">
      <c r="A6022" t="s">
        <v>30</v>
      </c>
      <c r="F6022"/>
      <c r="M6022"/>
    </row>
    <row r="6023" spans="1:13" x14ac:dyDescent="0.15">
      <c r="A6023" t="s">
        <v>30</v>
      </c>
      <c r="F6023"/>
      <c r="M6023"/>
    </row>
    <row r="6024" spans="1:13" x14ac:dyDescent="0.15">
      <c r="A6024" t="s">
        <v>30</v>
      </c>
      <c r="F6024"/>
      <c r="M6024"/>
    </row>
    <row r="6025" spans="1:13" x14ac:dyDescent="0.15">
      <c r="A6025" t="s">
        <v>30</v>
      </c>
      <c r="F6025"/>
      <c r="M6025"/>
    </row>
    <row r="6026" spans="1:13" x14ac:dyDescent="0.15">
      <c r="A6026" t="s">
        <v>30</v>
      </c>
      <c r="F6026"/>
      <c r="M6026"/>
    </row>
    <row r="6027" spans="1:13" x14ac:dyDescent="0.15">
      <c r="A6027" t="s">
        <v>30</v>
      </c>
      <c r="F6027"/>
      <c r="M6027"/>
    </row>
    <row r="6028" spans="1:13" x14ac:dyDescent="0.15">
      <c r="A6028" t="s">
        <v>30</v>
      </c>
      <c r="F6028"/>
      <c r="M6028"/>
    </row>
    <row r="6029" spans="1:13" x14ac:dyDescent="0.15">
      <c r="A6029" t="s">
        <v>30</v>
      </c>
      <c r="F6029"/>
      <c r="M6029"/>
    </row>
    <row r="6030" spans="1:13" x14ac:dyDescent="0.15">
      <c r="A6030" t="s">
        <v>30</v>
      </c>
      <c r="F6030"/>
      <c r="M6030"/>
    </row>
    <row r="6031" spans="1:13" x14ac:dyDescent="0.15">
      <c r="A6031" t="s">
        <v>30</v>
      </c>
      <c r="F6031"/>
      <c r="M6031"/>
    </row>
    <row r="6032" spans="1:13" x14ac:dyDescent="0.15">
      <c r="A6032" t="s">
        <v>30</v>
      </c>
      <c r="F6032"/>
      <c r="M6032"/>
    </row>
    <row r="6033" spans="1:13" x14ac:dyDescent="0.15">
      <c r="A6033" t="s">
        <v>30</v>
      </c>
      <c r="F6033"/>
      <c r="M6033"/>
    </row>
    <row r="6034" spans="1:13" x14ac:dyDescent="0.15">
      <c r="A6034" t="s">
        <v>30</v>
      </c>
      <c r="F6034"/>
      <c r="M6034"/>
    </row>
    <row r="6035" spans="1:13" x14ac:dyDescent="0.15">
      <c r="A6035" t="s">
        <v>30</v>
      </c>
      <c r="F6035"/>
      <c r="M6035"/>
    </row>
    <row r="6036" spans="1:13" x14ac:dyDescent="0.15">
      <c r="A6036" t="s">
        <v>30</v>
      </c>
      <c r="F6036"/>
      <c r="M6036"/>
    </row>
    <row r="6037" spans="1:13" x14ac:dyDescent="0.15">
      <c r="A6037" t="s">
        <v>30</v>
      </c>
      <c r="F6037"/>
      <c r="M6037"/>
    </row>
    <row r="6038" spans="1:13" x14ac:dyDescent="0.15">
      <c r="A6038" t="s">
        <v>30</v>
      </c>
      <c r="F6038"/>
      <c r="M6038"/>
    </row>
    <row r="6039" spans="1:13" x14ac:dyDescent="0.15">
      <c r="A6039" t="s">
        <v>30</v>
      </c>
      <c r="F6039"/>
      <c r="M6039"/>
    </row>
    <row r="6040" spans="1:13" x14ac:dyDescent="0.15">
      <c r="A6040" t="s">
        <v>30</v>
      </c>
      <c r="F6040"/>
      <c r="M6040"/>
    </row>
    <row r="6041" spans="1:13" x14ac:dyDescent="0.15">
      <c r="A6041" t="s">
        <v>30</v>
      </c>
      <c r="F6041"/>
      <c r="M6041"/>
    </row>
    <row r="6042" spans="1:13" x14ac:dyDescent="0.15">
      <c r="A6042" t="s">
        <v>30</v>
      </c>
      <c r="F6042"/>
      <c r="M6042"/>
    </row>
    <row r="6043" spans="1:13" x14ac:dyDescent="0.15">
      <c r="A6043" t="s">
        <v>30</v>
      </c>
      <c r="F6043"/>
      <c r="M6043"/>
    </row>
    <row r="6044" spans="1:13" x14ac:dyDescent="0.15">
      <c r="A6044" t="s">
        <v>30</v>
      </c>
      <c r="F6044"/>
      <c r="M6044"/>
    </row>
    <row r="6045" spans="1:13" x14ac:dyDescent="0.15">
      <c r="A6045" t="s">
        <v>30</v>
      </c>
      <c r="F6045"/>
      <c r="M6045"/>
    </row>
    <row r="6046" spans="1:13" x14ac:dyDescent="0.15">
      <c r="A6046" t="s">
        <v>30</v>
      </c>
      <c r="F6046"/>
      <c r="M6046"/>
    </row>
    <row r="6047" spans="1:13" x14ac:dyDescent="0.15">
      <c r="A6047" t="s">
        <v>30</v>
      </c>
      <c r="F6047"/>
      <c r="M6047"/>
    </row>
    <row r="6048" spans="1:13" x14ac:dyDescent="0.15">
      <c r="A6048" t="s">
        <v>30</v>
      </c>
      <c r="F6048"/>
      <c r="M6048"/>
    </row>
    <row r="6049" spans="1:13" x14ac:dyDescent="0.15">
      <c r="A6049" t="s">
        <v>30</v>
      </c>
      <c r="F6049"/>
      <c r="M6049"/>
    </row>
    <row r="6050" spans="1:13" x14ac:dyDescent="0.15">
      <c r="A6050" t="s">
        <v>30</v>
      </c>
      <c r="F6050"/>
      <c r="M6050"/>
    </row>
    <row r="6051" spans="1:13" x14ac:dyDescent="0.15">
      <c r="A6051" t="s">
        <v>30</v>
      </c>
      <c r="F6051"/>
      <c r="M6051"/>
    </row>
    <row r="6052" spans="1:13" x14ac:dyDescent="0.15">
      <c r="A6052" t="s">
        <v>30</v>
      </c>
      <c r="F6052"/>
      <c r="M6052"/>
    </row>
    <row r="6053" spans="1:13" x14ac:dyDescent="0.15">
      <c r="A6053" t="s">
        <v>30</v>
      </c>
      <c r="F6053"/>
      <c r="M6053"/>
    </row>
    <row r="6054" spans="1:13" x14ac:dyDescent="0.15">
      <c r="A6054" t="s">
        <v>30</v>
      </c>
      <c r="F6054"/>
      <c r="M6054"/>
    </row>
    <row r="6055" spans="1:13" x14ac:dyDescent="0.15">
      <c r="A6055" t="s">
        <v>30</v>
      </c>
      <c r="F6055"/>
      <c r="M6055"/>
    </row>
    <row r="6056" spans="1:13" x14ac:dyDescent="0.15">
      <c r="A6056" t="s">
        <v>30</v>
      </c>
      <c r="F6056"/>
      <c r="M6056"/>
    </row>
    <row r="6057" spans="1:13" x14ac:dyDescent="0.15">
      <c r="A6057" t="s">
        <v>30</v>
      </c>
      <c r="F6057"/>
      <c r="M6057"/>
    </row>
    <row r="6058" spans="1:13" x14ac:dyDescent="0.15">
      <c r="A6058" t="s">
        <v>30</v>
      </c>
      <c r="F6058"/>
      <c r="M6058"/>
    </row>
    <row r="6059" spans="1:13" x14ac:dyDescent="0.15">
      <c r="A6059" t="s">
        <v>30</v>
      </c>
      <c r="F6059"/>
      <c r="M6059"/>
    </row>
    <row r="6060" spans="1:13" x14ac:dyDescent="0.15">
      <c r="A6060" t="s">
        <v>30</v>
      </c>
      <c r="F6060"/>
      <c r="M6060"/>
    </row>
    <row r="6061" spans="1:13" x14ac:dyDescent="0.15">
      <c r="A6061" t="s">
        <v>30</v>
      </c>
      <c r="F6061"/>
      <c r="M6061"/>
    </row>
    <row r="6062" spans="1:13" x14ac:dyDescent="0.15">
      <c r="A6062" t="s">
        <v>30</v>
      </c>
      <c r="F6062"/>
      <c r="M6062"/>
    </row>
    <row r="6063" spans="1:13" x14ac:dyDescent="0.15">
      <c r="A6063" t="s">
        <v>30</v>
      </c>
      <c r="F6063"/>
      <c r="M6063"/>
    </row>
    <row r="6064" spans="1:13" x14ac:dyDescent="0.15">
      <c r="A6064" t="s">
        <v>30</v>
      </c>
      <c r="F6064"/>
      <c r="M6064"/>
    </row>
    <row r="6065" spans="1:13" x14ac:dyDescent="0.15">
      <c r="A6065" t="s">
        <v>30</v>
      </c>
      <c r="F6065"/>
      <c r="M6065"/>
    </row>
    <row r="6066" spans="1:13" x14ac:dyDescent="0.15">
      <c r="A6066" t="s">
        <v>30</v>
      </c>
      <c r="F6066"/>
      <c r="M6066"/>
    </row>
    <row r="6067" spans="1:13" x14ac:dyDescent="0.15">
      <c r="A6067" t="s">
        <v>30</v>
      </c>
      <c r="F6067"/>
      <c r="M6067"/>
    </row>
    <row r="6068" spans="1:13" x14ac:dyDescent="0.15">
      <c r="A6068" t="s">
        <v>30</v>
      </c>
      <c r="F6068"/>
      <c r="M6068"/>
    </row>
    <row r="6069" spans="1:13" x14ac:dyDescent="0.15">
      <c r="A6069" t="s">
        <v>30</v>
      </c>
      <c r="F6069"/>
      <c r="M6069"/>
    </row>
    <row r="6070" spans="1:13" x14ac:dyDescent="0.15">
      <c r="A6070" t="s">
        <v>30</v>
      </c>
      <c r="F6070"/>
      <c r="M6070"/>
    </row>
    <row r="6071" spans="1:13" x14ac:dyDescent="0.15">
      <c r="A6071" t="s">
        <v>30</v>
      </c>
      <c r="F6071"/>
      <c r="M6071"/>
    </row>
    <row r="6072" spans="1:13" x14ac:dyDescent="0.15">
      <c r="A6072" t="s">
        <v>30</v>
      </c>
      <c r="F6072"/>
      <c r="M6072"/>
    </row>
    <row r="6073" spans="1:13" x14ac:dyDescent="0.15">
      <c r="A6073" t="s">
        <v>30</v>
      </c>
      <c r="F6073"/>
      <c r="M6073"/>
    </row>
    <row r="6074" spans="1:13" x14ac:dyDescent="0.15">
      <c r="A6074" t="s">
        <v>30</v>
      </c>
      <c r="F6074"/>
      <c r="M6074"/>
    </row>
    <row r="6075" spans="1:13" x14ac:dyDescent="0.15">
      <c r="A6075" t="s">
        <v>30</v>
      </c>
      <c r="F6075"/>
      <c r="M6075"/>
    </row>
    <row r="6076" spans="1:13" x14ac:dyDescent="0.15">
      <c r="A6076" t="s">
        <v>30</v>
      </c>
      <c r="F6076"/>
      <c r="M6076"/>
    </row>
    <row r="6077" spans="1:13" x14ac:dyDescent="0.15">
      <c r="A6077" t="s">
        <v>30</v>
      </c>
      <c r="F6077"/>
      <c r="M6077"/>
    </row>
    <row r="6078" spans="1:13" x14ac:dyDescent="0.15">
      <c r="A6078" t="s">
        <v>30</v>
      </c>
      <c r="F6078"/>
      <c r="M6078"/>
    </row>
    <row r="6079" spans="1:13" x14ac:dyDescent="0.15">
      <c r="A6079" t="s">
        <v>30</v>
      </c>
      <c r="F6079"/>
      <c r="M6079"/>
    </row>
    <row r="6080" spans="1:13" x14ac:dyDescent="0.15">
      <c r="A6080" t="s">
        <v>30</v>
      </c>
      <c r="F6080"/>
      <c r="M6080"/>
    </row>
    <row r="6081" spans="1:13" x14ac:dyDescent="0.15">
      <c r="A6081" t="s">
        <v>30</v>
      </c>
      <c r="F6081"/>
      <c r="M6081"/>
    </row>
    <row r="6082" spans="1:13" x14ac:dyDescent="0.15">
      <c r="A6082" t="s">
        <v>30</v>
      </c>
      <c r="F6082"/>
      <c r="M6082"/>
    </row>
    <row r="6083" spans="1:13" x14ac:dyDescent="0.15">
      <c r="A6083" t="s">
        <v>30</v>
      </c>
      <c r="F6083"/>
      <c r="M6083"/>
    </row>
    <row r="6084" spans="1:13" x14ac:dyDescent="0.15">
      <c r="A6084" t="s">
        <v>30</v>
      </c>
      <c r="F6084"/>
      <c r="M6084"/>
    </row>
    <row r="6085" spans="1:13" x14ac:dyDescent="0.15">
      <c r="A6085" t="s">
        <v>30</v>
      </c>
      <c r="F6085"/>
      <c r="M6085"/>
    </row>
    <row r="6086" spans="1:13" x14ac:dyDescent="0.15">
      <c r="A6086" t="s">
        <v>30</v>
      </c>
      <c r="F6086"/>
      <c r="M6086"/>
    </row>
    <row r="6087" spans="1:13" x14ac:dyDescent="0.15">
      <c r="A6087" t="s">
        <v>30</v>
      </c>
      <c r="F6087"/>
      <c r="M6087"/>
    </row>
    <row r="6088" spans="1:13" x14ac:dyDescent="0.15">
      <c r="A6088" t="s">
        <v>30</v>
      </c>
      <c r="F6088"/>
      <c r="M6088"/>
    </row>
    <row r="6089" spans="1:13" x14ac:dyDescent="0.15">
      <c r="A6089" t="s">
        <v>30</v>
      </c>
      <c r="F6089"/>
      <c r="M6089"/>
    </row>
    <row r="6090" spans="1:13" x14ac:dyDescent="0.15">
      <c r="A6090" t="s">
        <v>30</v>
      </c>
      <c r="F6090"/>
      <c r="M6090"/>
    </row>
    <row r="6091" spans="1:13" x14ac:dyDescent="0.15">
      <c r="A6091" t="s">
        <v>30</v>
      </c>
      <c r="F6091"/>
      <c r="M6091"/>
    </row>
    <row r="6092" spans="1:13" x14ac:dyDescent="0.15">
      <c r="A6092" t="s">
        <v>30</v>
      </c>
      <c r="F6092"/>
      <c r="M6092"/>
    </row>
    <row r="6093" spans="1:13" x14ac:dyDescent="0.15">
      <c r="A6093" t="s">
        <v>30</v>
      </c>
      <c r="F6093"/>
      <c r="M6093"/>
    </row>
    <row r="6094" spans="1:13" x14ac:dyDescent="0.15">
      <c r="A6094" t="s">
        <v>30</v>
      </c>
      <c r="F6094"/>
      <c r="M6094"/>
    </row>
    <row r="6095" spans="1:13" x14ac:dyDescent="0.15">
      <c r="A6095" t="s">
        <v>30</v>
      </c>
      <c r="F6095"/>
      <c r="M6095"/>
    </row>
    <row r="6096" spans="1:13" x14ac:dyDescent="0.15">
      <c r="A6096" t="s">
        <v>30</v>
      </c>
      <c r="F6096"/>
      <c r="M6096"/>
    </row>
    <row r="6097" spans="1:13" x14ac:dyDescent="0.15">
      <c r="A6097" t="s">
        <v>30</v>
      </c>
      <c r="F6097"/>
      <c r="M6097"/>
    </row>
    <row r="6098" spans="1:13" x14ac:dyDescent="0.15">
      <c r="A6098" t="s">
        <v>30</v>
      </c>
      <c r="F6098"/>
      <c r="M6098"/>
    </row>
    <row r="6099" spans="1:13" x14ac:dyDescent="0.15">
      <c r="A6099" t="s">
        <v>30</v>
      </c>
      <c r="F6099"/>
      <c r="M6099"/>
    </row>
    <row r="6100" spans="1:13" x14ac:dyDescent="0.15">
      <c r="A6100" t="s">
        <v>30</v>
      </c>
      <c r="F6100"/>
      <c r="M6100"/>
    </row>
    <row r="6101" spans="1:13" x14ac:dyDescent="0.15">
      <c r="A6101" t="s">
        <v>30</v>
      </c>
      <c r="F6101"/>
      <c r="M6101"/>
    </row>
    <row r="6102" spans="1:13" x14ac:dyDescent="0.15">
      <c r="A6102" t="s">
        <v>30</v>
      </c>
      <c r="F6102"/>
      <c r="M6102"/>
    </row>
    <row r="6103" spans="1:13" x14ac:dyDescent="0.15">
      <c r="A6103" t="s">
        <v>30</v>
      </c>
      <c r="F6103"/>
      <c r="M6103"/>
    </row>
    <row r="6104" spans="1:13" x14ac:dyDescent="0.15">
      <c r="A6104" t="s">
        <v>30</v>
      </c>
      <c r="F6104"/>
      <c r="M6104"/>
    </row>
    <row r="6105" spans="1:13" x14ac:dyDescent="0.15">
      <c r="A6105" t="s">
        <v>30</v>
      </c>
      <c r="F6105"/>
      <c r="M6105"/>
    </row>
    <row r="6106" spans="1:13" x14ac:dyDescent="0.15">
      <c r="A6106" t="s">
        <v>30</v>
      </c>
      <c r="F6106"/>
      <c r="M6106"/>
    </row>
    <row r="6107" spans="1:13" x14ac:dyDescent="0.15">
      <c r="A6107" t="s">
        <v>30</v>
      </c>
      <c r="F6107"/>
      <c r="M6107"/>
    </row>
    <row r="6108" spans="1:13" x14ac:dyDescent="0.15">
      <c r="A6108" t="s">
        <v>30</v>
      </c>
      <c r="F6108"/>
      <c r="M6108"/>
    </row>
    <row r="6109" spans="1:13" x14ac:dyDescent="0.15">
      <c r="A6109" t="s">
        <v>30</v>
      </c>
      <c r="F6109"/>
      <c r="M6109"/>
    </row>
    <row r="6110" spans="1:13" x14ac:dyDescent="0.15">
      <c r="A6110" t="s">
        <v>30</v>
      </c>
      <c r="F6110"/>
      <c r="M6110"/>
    </row>
    <row r="6111" spans="1:13" x14ac:dyDescent="0.15">
      <c r="A6111" t="s">
        <v>30</v>
      </c>
      <c r="F6111"/>
      <c r="M6111"/>
    </row>
    <row r="6112" spans="1:13" x14ac:dyDescent="0.15">
      <c r="A6112" t="s">
        <v>30</v>
      </c>
      <c r="F6112"/>
      <c r="M6112"/>
    </row>
    <row r="6113" spans="1:13" x14ac:dyDescent="0.15">
      <c r="A6113" t="s">
        <v>30</v>
      </c>
      <c r="F6113"/>
      <c r="M6113"/>
    </row>
    <row r="6114" spans="1:13" x14ac:dyDescent="0.15">
      <c r="A6114" t="s">
        <v>30</v>
      </c>
      <c r="F6114"/>
      <c r="M6114"/>
    </row>
    <row r="6115" spans="1:13" x14ac:dyDescent="0.15">
      <c r="A6115" t="s">
        <v>30</v>
      </c>
      <c r="F6115"/>
      <c r="M6115"/>
    </row>
    <row r="6116" spans="1:13" x14ac:dyDescent="0.15">
      <c r="A6116" t="s">
        <v>30</v>
      </c>
      <c r="F6116"/>
      <c r="M6116"/>
    </row>
    <row r="6117" spans="1:13" x14ac:dyDescent="0.15">
      <c r="A6117" t="s">
        <v>30</v>
      </c>
      <c r="F6117"/>
      <c r="M6117"/>
    </row>
    <row r="6118" spans="1:13" x14ac:dyDescent="0.15">
      <c r="A6118" t="s">
        <v>30</v>
      </c>
      <c r="F6118"/>
      <c r="M6118"/>
    </row>
    <row r="6119" spans="1:13" x14ac:dyDescent="0.15">
      <c r="A6119" t="s">
        <v>30</v>
      </c>
      <c r="F6119"/>
      <c r="M6119"/>
    </row>
    <row r="6120" spans="1:13" x14ac:dyDescent="0.15">
      <c r="A6120" t="s">
        <v>30</v>
      </c>
      <c r="F6120"/>
      <c r="M6120"/>
    </row>
    <row r="6121" spans="1:13" x14ac:dyDescent="0.15">
      <c r="A6121" t="s">
        <v>30</v>
      </c>
      <c r="F6121"/>
      <c r="M6121"/>
    </row>
    <row r="6122" spans="1:13" x14ac:dyDescent="0.15">
      <c r="A6122" t="s">
        <v>30</v>
      </c>
      <c r="F6122"/>
      <c r="M6122"/>
    </row>
    <row r="6123" spans="1:13" x14ac:dyDescent="0.15">
      <c r="A6123" t="s">
        <v>30</v>
      </c>
      <c r="F6123"/>
      <c r="M6123"/>
    </row>
    <row r="6124" spans="1:13" x14ac:dyDescent="0.15">
      <c r="A6124" t="s">
        <v>30</v>
      </c>
      <c r="F6124"/>
      <c r="M6124"/>
    </row>
    <row r="6125" spans="1:13" x14ac:dyDescent="0.15">
      <c r="A6125" t="s">
        <v>30</v>
      </c>
      <c r="F6125"/>
      <c r="M6125"/>
    </row>
    <row r="6126" spans="1:13" x14ac:dyDescent="0.15">
      <c r="A6126" t="s">
        <v>30</v>
      </c>
      <c r="F6126"/>
      <c r="M6126"/>
    </row>
    <row r="6127" spans="1:13" x14ac:dyDescent="0.15">
      <c r="A6127" t="s">
        <v>30</v>
      </c>
      <c r="F6127"/>
      <c r="M6127"/>
    </row>
    <row r="6128" spans="1:13" x14ac:dyDescent="0.15">
      <c r="A6128" t="s">
        <v>30</v>
      </c>
      <c r="F6128"/>
      <c r="M6128"/>
    </row>
    <row r="6129" spans="1:13" x14ac:dyDescent="0.15">
      <c r="A6129" t="s">
        <v>30</v>
      </c>
      <c r="F6129"/>
      <c r="M6129"/>
    </row>
    <row r="6130" spans="1:13" x14ac:dyDescent="0.15">
      <c r="A6130" t="s">
        <v>30</v>
      </c>
      <c r="F6130"/>
      <c r="M6130"/>
    </row>
    <row r="6131" spans="1:13" x14ac:dyDescent="0.15">
      <c r="A6131" t="s">
        <v>30</v>
      </c>
      <c r="F6131"/>
      <c r="M6131"/>
    </row>
    <row r="6132" spans="1:13" x14ac:dyDescent="0.15">
      <c r="A6132" t="s">
        <v>30</v>
      </c>
      <c r="F6132"/>
      <c r="M6132"/>
    </row>
    <row r="6133" spans="1:13" x14ac:dyDescent="0.15">
      <c r="A6133" t="s">
        <v>30</v>
      </c>
      <c r="F6133"/>
      <c r="M6133"/>
    </row>
    <row r="6134" spans="1:13" x14ac:dyDescent="0.15">
      <c r="A6134" t="s">
        <v>30</v>
      </c>
      <c r="F6134"/>
      <c r="M6134"/>
    </row>
    <row r="6135" spans="1:13" x14ac:dyDescent="0.15">
      <c r="A6135" t="s">
        <v>30</v>
      </c>
      <c r="F6135"/>
      <c r="M6135"/>
    </row>
    <row r="6136" spans="1:13" x14ac:dyDescent="0.15">
      <c r="A6136" t="s">
        <v>30</v>
      </c>
      <c r="F6136"/>
      <c r="M6136"/>
    </row>
    <row r="6137" spans="1:13" x14ac:dyDescent="0.15">
      <c r="A6137" t="s">
        <v>30</v>
      </c>
      <c r="F6137"/>
      <c r="M6137"/>
    </row>
    <row r="6138" spans="1:13" x14ac:dyDescent="0.15">
      <c r="A6138" t="s">
        <v>30</v>
      </c>
      <c r="F6138"/>
      <c r="M6138"/>
    </row>
    <row r="6139" spans="1:13" x14ac:dyDescent="0.15">
      <c r="A6139" t="s">
        <v>30</v>
      </c>
      <c r="F6139"/>
      <c r="M6139"/>
    </row>
    <row r="6140" spans="1:13" x14ac:dyDescent="0.15">
      <c r="A6140" t="s">
        <v>30</v>
      </c>
      <c r="F6140"/>
      <c r="M6140"/>
    </row>
    <row r="6141" spans="1:13" x14ac:dyDescent="0.15">
      <c r="A6141" t="s">
        <v>30</v>
      </c>
      <c r="F6141"/>
      <c r="M6141"/>
    </row>
    <row r="6142" spans="1:13" x14ac:dyDescent="0.15">
      <c r="A6142" t="s">
        <v>30</v>
      </c>
      <c r="F6142"/>
      <c r="M6142"/>
    </row>
    <row r="6143" spans="1:13" x14ac:dyDescent="0.15">
      <c r="A6143" t="s">
        <v>30</v>
      </c>
      <c r="F6143"/>
      <c r="M6143"/>
    </row>
    <row r="6144" spans="1:13" x14ac:dyDescent="0.15">
      <c r="A6144" t="s">
        <v>30</v>
      </c>
      <c r="F6144"/>
      <c r="M6144"/>
    </row>
    <row r="6145" spans="1:13" x14ac:dyDescent="0.15">
      <c r="A6145" t="s">
        <v>30</v>
      </c>
      <c r="F6145"/>
      <c r="M6145"/>
    </row>
    <row r="6146" spans="1:13" x14ac:dyDescent="0.15">
      <c r="A6146" t="s">
        <v>30</v>
      </c>
      <c r="F6146"/>
      <c r="M6146"/>
    </row>
    <row r="6147" spans="1:13" x14ac:dyDescent="0.15">
      <c r="A6147" t="s">
        <v>30</v>
      </c>
      <c r="F6147"/>
      <c r="M6147"/>
    </row>
    <row r="6148" spans="1:13" x14ac:dyDescent="0.15">
      <c r="A6148" t="s">
        <v>30</v>
      </c>
      <c r="F6148"/>
      <c r="M6148"/>
    </row>
    <row r="6149" spans="1:13" x14ac:dyDescent="0.15">
      <c r="A6149" t="s">
        <v>30</v>
      </c>
      <c r="F6149"/>
      <c r="M6149"/>
    </row>
    <row r="6150" spans="1:13" x14ac:dyDescent="0.15">
      <c r="A6150" t="s">
        <v>30</v>
      </c>
      <c r="F6150"/>
      <c r="M6150"/>
    </row>
    <row r="6151" spans="1:13" x14ac:dyDescent="0.15">
      <c r="A6151" t="s">
        <v>30</v>
      </c>
      <c r="F6151"/>
      <c r="M6151"/>
    </row>
    <row r="6152" spans="1:13" x14ac:dyDescent="0.15">
      <c r="A6152" t="s">
        <v>30</v>
      </c>
      <c r="F6152"/>
      <c r="M6152"/>
    </row>
    <row r="6153" spans="1:13" x14ac:dyDescent="0.15">
      <c r="A6153" t="s">
        <v>30</v>
      </c>
      <c r="F6153"/>
      <c r="M6153"/>
    </row>
    <row r="6154" spans="1:13" x14ac:dyDescent="0.15">
      <c r="A6154" t="s">
        <v>30</v>
      </c>
      <c r="F6154"/>
      <c r="M6154"/>
    </row>
    <row r="6155" spans="1:13" x14ac:dyDescent="0.15">
      <c r="A6155" t="s">
        <v>30</v>
      </c>
      <c r="F6155"/>
      <c r="M6155"/>
    </row>
    <row r="6156" spans="1:13" x14ac:dyDescent="0.15">
      <c r="A6156" t="s">
        <v>30</v>
      </c>
      <c r="F6156"/>
      <c r="M6156"/>
    </row>
    <row r="6157" spans="1:13" x14ac:dyDescent="0.15">
      <c r="A6157" t="s">
        <v>30</v>
      </c>
      <c r="F6157"/>
      <c r="M6157"/>
    </row>
    <row r="6158" spans="1:13" x14ac:dyDescent="0.15">
      <c r="A6158" t="s">
        <v>30</v>
      </c>
      <c r="F6158"/>
      <c r="M6158"/>
    </row>
    <row r="6159" spans="1:13" x14ac:dyDescent="0.15">
      <c r="A6159" t="s">
        <v>30</v>
      </c>
      <c r="F6159"/>
      <c r="M6159"/>
    </row>
    <row r="6160" spans="1:13" x14ac:dyDescent="0.15">
      <c r="A6160" t="s">
        <v>30</v>
      </c>
      <c r="F6160"/>
      <c r="M6160"/>
    </row>
    <row r="6161" spans="1:13" x14ac:dyDescent="0.15">
      <c r="A6161" t="s">
        <v>30</v>
      </c>
      <c r="F6161"/>
      <c r="M6161"/>
    </row>
    <row r="6162" spans="1:13" x14ac:dyDescent="0.15">
      <c r="A6162" t="s">
        <v>30</v>
      </c>
      <c r="F6162"/>
      <c r="M6162"/>
    </row>
    <row r="6163" spans="1:13" x14ac:dyDescent="0.15">
      <c r="A6163" t="s">
        <v>30</v>
      </c>
      <c r="F6163"/>
      <c r="M6163"/>
    </row>
    <row r="6164" spans="1:13" x14ac:dyDescent="0.15">
      <c r="A6164" t="s">
        <v>30</v>
      </c>
      <c r="F6164"/>
      <c r="M6164"/>
    </row>
    <row r="6165" spans="1:13" x14ac:dyDescent="0.15">
      <c r="A6165" t="s">
        <v>30</v>
      </c>
      <c r="F6165"/>
      <c r="M6165"/>
    </row>
    <row r="6166" spans="1:13" x14ac:dyDescent="0.15">
      <c r="A6166" t="s">
        <v>30</v>
      </c>
      <c r="F6166"/>
      <c r="M6166"/>
    </row>
    <row r="6167" spans="1:13" x14ac:dyDescent="0.15">
      <c r="A6167" t="s">
        <v>30</v>
      </c>
      <c r="F6167"/>
      <c r="M6167"/>
    </row>
    <row r="6168" spans="1:13" x14ac:dyDescent="0.15">
      <c r="A6168" t="s">
        <v>30</v>
      </c>
      <c r="F6168"/>
      <c r="M6168"/>
    </row>
    <row r="6169" spans="1:13" x14ac:dyDescent="0.15">
      <c r="A6169" t="s">
        <v>30</v>
      </c>
      <c r="F6169"/>
      <c r="M6169"/>
    </row>
    <row r="6170" spans="1:13" x14ac:dyDescent="0.15">
      <c r="A6170" t="s">
        <v>30</v>
      </c>
      <c r="F6170"/>
      <c r="M6170"/>
    </row>
    <row r="6171" spans="1:13" x14ac:dyDescent="0.15">
      <c r="A6171" t="s">
        <v>30</v>
      </c>
      <c r="F6171"/>
      <c r="M6171"/>
    </row>
    <row r="6172" spans="1:13" x14ac:dyDescent="0.15">
      <c r="A6172" t="s">
        <v>30</v>
      </c>
      <c r="F6172"/>
      <c r="M6172"/>
    </row>
    <row r="6173" spans="1:13" x14ac:dyDescent="0.15">
      <c r="A6173" t="s">
        <v>30</v>
      </c>
      <c r="F6173"/>
      <c r="M6173"/>
    </row>
    <row r="6174" spans="1:13" x14ac:dyDescent="0.15">
      <c r="A6174" t="s">
        <v>30</v>
      </c>
      <c r="F6174"/>
      <c r="M6174"/>
    </row>
    <row r="6175" spans="1:13" x14ac:dyDescent="0.15">
      <c r="A6175" t="s">
        <v>30</v>
      </c>
      <c r="F6175"/>
      <c r="M6175"/>
    </row>
    <row r="6176" spans="1:13" x14ac:dyDescent="0.15">
      <c r="A6176" t="s">
        <v>30</v>
      </c>
      <c r="F6176"/>
      <c r="M6176"/>
    </row>
    <row r="6177" spans="1:13" x14ac:dyDescent="0.15">
      <c r="A6177" t="s">
        <v>30</v>
      </c>
      <c r="F6177"/>
      <c r="M6177"/>
    </row>
    <row r="6178" spans="1:13" x14ac:dyDescent="0.15">
      <c r="A6178" t="s">
        <v>30</v>
      </c>
      <c r="F6178"/>
      <c r="M6178"/>
    </row>
    <row r="6179" spans="1:13" x14ac:dyDescent="0.15">
      <c r="A6179" t="s">
        <v>30</v>
      </c>
      <c r="F6179"/>
      <c r="M6179"/>
    </row>
    <row r="6180" spans="1:13" x14ac:dyDescent="0.15">
      <c r="A6180" t="s">
        <v>30</v>
      </c>
      <c r="F6180"/>
      <c r="M6180"/>
    </row>
    <row r="6181" spans="1:13" x14ac:dyDescent="0.15">
      <c r="A6181" t="s">
        <v>30</v>
      </c>
      <c r="F6181"/>
      <c r="M6181"/>
    </row>
    <row r="6182" spans="1:13" x14ac:dyDescent="0.15">
      <c r="A6182" t="s">
        <v>30</v>
      </c>
      <c r="F6182"/>
      <c r="M6182"/>
    </row>
    <row r="6183" spans="1:13" x14ac:dyDescent="0.15">
      <c r="A6183" t="s">
        <v>30</v>
      </c>
      <c r="F6183"/>
      <c r="M6183"/>
    </row>
    <row r="6184" spans="1:13" x14ac:dyDescent="0.15">
      <c r="A6184" t="s">
        <v>30</v>
      </c>
      <c r="F6184"/>
      <c r="M6184"/>
    </row>
    <row r="6185" spans="1:13" x14ac:dyDescent="0.15">
      <c r="A6185" t="s">
        <v>30</v>
      </c>
      <c r="F6185"/>
      <c r="M6185"/>
    </row>
    <row r="6186" spans="1:13" x14ac:dyDescent="0.15">
      <c r="A6186" t="s">
        <v>30</v>
      </c>
      <c r="F6186"/>
      <c r="M6186"/>
    </row>
    <row r="6187" spans="1:13" x14ac:dyDescent="0.15">
      <c r="A6187" t="s">
        <v>30</v>
      </c>
      <c r="F6187"/>
      <c r="M6187"/>
    </row>
    <row r="6188" spans="1:13" x14ac:dyDescent="0.15">
      <c r="A6188" t="s">
        <v>30</v>
      </c>
      <c r="F6188"/>
      <c r="M6188"/>
    </row>
    <row r="6189" spans="1:13" x14ac:dyDescent="0.15">
      <c r="A6189" t="s">
        <v>30</v>
      </c>
      <c r="F6189"/>
      <c r="M6189"/>
    </row>
    <row r="6190" spans="1:13" x14ac:dyDescent="0.15">
      <c r="A6190" t="s">
        <v>30</v>
      </c>
      <c r="F6190"/>
      <c r="M6190"/>
    </row>
    <row r="6191" spans="1:13" x14ac:dyDescent="0.15">
      <c r="A6191" t="s">
        <v>30</v>
      </c>
      <c r="F6191"/>
      <c r="M6191"/>
    </row>
    <row r="6192" spans="1:13" x14ac:dyDescent="0.15">
      <c r="A6192" t="s">
        <v>30</v>
      </c>
      <c r="F6192"/>
      <c r="M6192"/>
    </row>
    <row r="6193" spans="1:13" x14ac:dyDescent="0.15">
      <c r="A6193" t="s">
        <v>30</v>
      </c>
      <c r="F6193"/>
      <c r="M6193"/>
    </row>
    <row r="6194" spans="1:13" x14ac:dyDescent="0.15">
      <c r="A6194" t="s">
        <v>30</v>
      </c>
      <c r="F6194"/>
      <c r="M6194"/>
    </row>
    <row r="6195" spans="1:13" x14ac:dyDescent="0.15">
      <c r="A6195" t="s">
        <v>30</v>
      </c>
      <c r="F6195"/>
      <c r="M6195"/>
    </row>
    <row r="6196" spans="1:13" x14ac:dyDescent="0.15">
      <c r="A6196" t="s">
        <v>30</v>
      </c>
      <c r="F6196"/>
      <c r="M6196"/>
    </row>
    <row r="6197" spans="1:13" x14ac:dyDescent="0.15">
      <c r="A6197" t="s">
        <v>30</v>
      </c>
      <c r="F6197"/>
      <c r="M6197"/>
    </row>
    <row r="6198" spans="1:13" x14ac:dyDescent="0.15">
      <c r="A6198" t="s">
        <v>30</v>
      </c>
      <c r="F6198"/>
      <c r="M6198"/>
    </row>
    <row r="6199" spans="1:13" x14ac:dyDescent="0.15">
      <c r="A6199" t="s">
        <v>30</v>
      </c>
      <c r="F6199"/>
      <c r="M6199"/>
    </row>
    <row r="6200" spans="1:13" x14ac:dyDescent="0.15">
      <c r="A6200" t="s">
        <v>30</v>
      </c>
      <c r="F6200"/>
      <c r="M6200"/>
    </row>
    <row r="6201" spans="1:13" x14ac:dyDescent="0.15">
      <c r="A6201" t="s">
        <v>30</v>
      </c>
      <c r="F6201"/>
      <c r="M6201"/>
    </row>
    <row r="6202" spans="1:13" x14ac:dyDescent="0.15">
      <c r="A6202" t="s">
        <v>30</v>
      </c>
      <c r="F6202"/>
      <c r="M6202"/>
    </row>
    <row r="6203" spans="1:13" x14ac:dyDescent="0.15">
      <c r="A6203" t="s">
        <v>30</v>
      </c>
      <c r="F6203"/>
      <c r="M6203"/>
    </row>
    <row r="6204" spans="1:13" x14ac:dyDescent="0.15">
      <c r="A6204" t="s">
        <v>30</v>
      </c>
      <c r="F6204"/>
      <c r="M6204"/>
    </row>
    <row r="6205" spans="1:13" x14ac:dyDescent="0.15">
      <c r="A6205" t="s">
        <v>30</v>
      </c>
      <c r="F6205"/>
      <c r="M6205"/>
    </row>
    <row r="6206" spans="1:13" x14ac:dyDescent="0.15">
      <c r="A6206" t="s">
        <v>30</v>
      </c>
      <c r="F6206"/>
      <c r="M6206"/>
    </row>
    <row r="6207" spans="1:13" x14ac:dyDescent="0.15">
      <c r="A6207" t="s">
        <v>30</v>
      </c>
      <c r="F6207"/>
      <c r="M6207"/>
    </row>
    <row r="6208" spans="1:13" x14ac:dyDescent="0.15">
      <c r="A6208" t="s">
        <v>30</v>
      </c>
      <c r="F6208"/>
      <c r="M6208"/>
    </row>
    <row r="6209" spans="1:13" x14ac:dyDescent="0.15">
      <c r="A6209" t="s">
        <v>30</v>
      </c>
      <c r="F6209"/>
      <c r="M6209"/>
    </row>
    <row r="6210" spans="1:13" x14ac:dyDescent="0.15">
      <c r="A6210" t="s">
        <v>30</v>
      </c>
      <c r="F6210"/>
      <c r="M6210"/>
    </row>
    <row r="6211" spans="1:13" x14ac:dyDescent="0.15">
      <c r="A6211" t="s">
        <v>30</v>
      </c>
      <c r="F6211"/>
      <c r="M6211"/>
    </row>
    <row r="6212" spans="1:13" x14ac:dyDescent="0.15">
      <c r="A6212" t="s">
        <v>30</v>
      </c>
      <c r="F6212"/>
      <c r="M6212"/>
    </row>
    <row r="6213" spans="1:13" x14ac:dyDescent="0.15">
      <c r="A6213" t="s">
        <v>30</v>
      </c>
      <c r="F6213"/>
      <c r="M6213"/>
    </row>
    <row r="6214" spans="1:13" x14ac:dyDescent="0.15">
      <c r="A6214" t="s">
        <v>30</v>
      </c>
      <c r="F6214"/>
      <c r="M6214"/>
    </row>
    <row r="6215" spans="1:13" x14ac:dyDescent="0.15">
      <c r="A6215" t="s">
        <v>30</v>
      </c>
      <c r="F6215"/>
      <c r="M6215"/>
    </row>
    <row r="6216" spans="1:13" x14ac:dyDescent="0.15">
      <c r="A6216" t="s">
        <v>30</v>
      </c>
      <c r="F6216"/>
      <c r="M6216"/>
    </row>
    <row r="6217" spans="1:13" x14ac:dyDescent="0.15">
      <c r="A6217" t="s">
        <v>30</v>
      </c>
      <c r="F6217"/>
      <c r="M6217"/>
    </row>
    <row r="6218" spans="1:13" x14ac:dyDescent="0.15">
      <c r="A6218" t="s">
        <v>30</v>
      </c>
      <c r="F6218"/>
      <c r="M6218"/>
    </row>
    <row r="6219" spans="1:13" x14ac:dyDescent="0.15">
      <c r="A6219" t="s">
        <v>30</v>
      </c>
      <c r="F6219"/>
      <c r="M6219"/>
    </row>
    <row r="6220" spans="1:13" x14ac:dyDescent="0.15">
      <c r="A6220" t="s">
        <v>30</v>
      </c>
      <c r="F6220"/>
      <c r="M6220"/>
    </row>
    <row r="6221" spans="1:13" x14ac:dyDescent="0.15">
      <c r="A6221" t="s">
        <v>30</v>
      </c>
      <c r="F6221"/>
      <c r="M6221"/>
    </row>
    <row r="6222" spans="1:13" x14ac:dyDescent="0.15">
      <c r="A6222" t="s">
        <v>30</v>
      </c>
      <c r="F6222"/>
      <c r="M6222"/>
    </row>
    <row r="6223" spans="1:13" x14ac:dyDescent="0.15">
      <c r="A6223" t="s">
        <v>30</v>
      </c>
      <c r="F6223"/>
      <c r="M6223"/>
    </row>
    <row r="6224" spans="1:13" x14ac:dyDescent="0.15">
      <c r="A6224" t="s">
        <v>30</v>
      </c>
      <c r="F6224"/>
      <c r="M6224"/>
    </row>
    <row r="6225" spans="1:13" x14ac:dyDescent="0.15">
      <c r="A6225" t="s">
        <v>30</v>
      </c>
      <c r="F6225"/>
      <c r="M6225"/>
    </row>
    <row r="6226" spans="1:13" x14ac:dyDescent="0.15">
      <c r="A6226" t="s">
        <v>30</v>
      </c>
      <c r="F6226"/>
      <c r="M6226"/>
    </row>
    <row r="6227" spans="1:13" x14ac:dyDescent="0.15">
      <c r="A6227" t="s">
        <v>30</v>
      </c>
      <c r="F6227"/>
      <c r="M6227"/>
    </row>
    <row r="6228" spans="1:13" x14ac:dyDescent="0.15">
      <c r="A6228" t="s">
        <v>30</v>
      </c>
      <c r="F6228"/>
      <c r="M6228"/>
    </row>
    <row r="6229" spans="1:13" x14ac:dyDescent="0.15">
      <c r="A6229" t="s">
        <v>30</v>
      </c>
      <c r="F6229"/>
      <c r="M6229"/>
    </row>
    <row r="6230" spans="1:13" x14ac:dyDescent="0.15">
      <c r="A6230" t="s">
        <v>30</v>
      </c>
      <c r="F6230"/>
      <c r="M6230"/>
    </row>
    <row r="6231" spans="1:13" x14ac:dyDescent="0.15">
      <c r="A6231" t="s">
        <v>30</v>
      </c>
      <c r="F6231"/>
      <c r="M6231"/>
    </row>
    <row r="6232" spans="1:13" x14ac:dyDescent="0.15">
      <c r="A6232" t="s">
        <v>30</v>
      </c>
      <c r="F6232"/>
      <c r="M6232"/>
    </row>
    <row r="6233" spans="1:13" x14ac:dyDescent="0.15">
      <c r="A6233" t="s">
        <v>30</v>
      </c>
      <c r="F6233"/>
      <c r="M6233"/>
    </row>
    <row r="6234" spans="1:13" x14ac:dyDescent="0.15">
      <c r="A6234" t="s">
        <v>30</v>
      </c>
      <c r="F6234"/>
      <c r="M6234"/>
    </row>
    <row r="6235" spans="1:13" x14ac:dyDescent="0.15">
      <c r="A6235" t="s">
        <v>30</v>
      </c>
      <c r="F6235"/>
      <c r="M6235"/>
    </row>
    <row r="6236" spans="1:13" x14ac:dyDescent="0.15">
      <c r="A6236" t="s">
        <v>30</v>
      </c>
      <c r="F6236"/>
      <c r="M6236"/>
    </row>
    <row r="6237" spans="1:13" x14ac:dyDescent="0.15">
      <c r="A6237" t="s">
        <v>30</v>
      </c>
      <c r="F6237"/>
      <c r="M6237"/>
    </row>
    <row r="6238" spans="1:13" x14ac:dyDescent="0.15">
      <c r="A6238" t="s">
        <v>30</v>
      </c>
      <c r="F6238"/>
      <c r="M6238"/>
    </row>
    <row r="6239" spans="1:13" x14ac:dyDescent="0.15">
      <c r="A6239" t="s">
        <v>30</v>
      </c>
      <c r="F6239"/>
      <c r="M6239"/>
    </row>
    <row r="6240" spans="1:13" x14ac:dyDescent="0.15">
      <c r="A6240" t="s">
        <v>30</v>
      </c>
      <c r="F6240"/>
      <c r="M6240"/>
    </row>
    <row r="6241" spans="1:13" x14ac:dyDescent="0.15">
      <c r="A6241" t="s">
        <v>30</v>
      </c>
      <c r="F6241"/>
      <c r="M6241"/>
    </row>
    <row r="6242" spans="1:13" x14ac:dyDescent="0.15">
      <c r="A6242" t="s">
        <v>30</v>
      </c>
      <c r="F6242"/>
      <c r="M6242"/>
    </row>
    <row r="6243" spans="1:13" x14ac:dyDescent="0.15">
      <c r="A6243" t="s">
        <v>30</v>
      </c>
      <c r="F6243"/>
      <c r="M6243"/>
    </row>
    <row r="6244" spans="1:13" x14ac:dyDescent="0.15">
      <c r="A6244" t="s">
        <v>30</v>
      </c>
      <c r="F6244"/>
      <c r="M6244"/>
    </row>
    <row r="6245" spans="1:13" x14ac:dyDescent="0.15">
      <c r="A6245" t="s">
        <v>30</v>
      </c>
      <c r="F6245"/>
      <c r="M6245"/>
    </row>
    <row r="6246" spans="1:13" x14ac:dyDescent="0.15">
      <c r="A6246" t="s">
        <v>30</v>
      </c>
      <c r="F6246"/>
      <c r="M6246"/>
    </row>
    <row r="6247" spans="1:13" x14ac:dyDescent="0.15">
      <c r="A6247" t="s">
        <v>30</v>
      </c>
      <c r="F6247"/>
      <c r="M6247"/>
    </row>
    <row r="6248" spans="1:13" x14ac:dyDescent="0.15">
      <c r="A6248" t="s">
        <v>30</v>
      </c>
      <c r="F6248"/>
      <c r="M6248"/>
    </row>
    <row r="6249" spans="1:13" x14ac:dyDescent="0.15">
      <c r="A6249" t="s">
        <v>30</v>
      </c>
      <c r="F6249"/>
      <c r="M6249"/>
    </row>
    <row r="6250" spans="1:13" x14ac:dyDescent="0.15">
      <c r="A6250" t="s">
        <v>30</v>
      </c>
      <c r="F6250"/>
      <c r="M6250"/>
    </row>
    <row r="6251" spans="1:13" x14ac:dyDescent="0.15">
      <c r="A6251" t="s">
        <v>30</v>
      </c>
      <c r="F6251"/>
      <c r="M6251"/>
    </row>
    <row r="6252" spans="1:13" x14ac:dyDescent="0.15">
      <c r="A6252" t="s">
        <v>30</v>
      </c>
      <c r="F6252"/>
      <c r="M6252"/>
    </row>
    <row r="6253" spans="1:13" x14ac:dyDescent="0.15">
      <c r="A6253" t="s">
        <v>30</v>
      </c>
      <c r="F6253"/>
      <c r="M6253"/>
    </row>
    <row r="6254" spans="1:13" x14ac:dyDescent="0.15">
      <c r="A6254" t="s">
        <v>30</v>
      </c>
      <c r="F6254"/>
      <c r="M6254"/>
    </row>
    <row r="6255" spans="1:13" x14ac:dyDescent="0.15">
      <c r="A6255" t="s">
        <v>30</v>
      </c>
      <c r="F6255"/>
      <c r="M6255"/>
    </row>
    <row r="6256" spans="1:13" x14ac:dyDescent="0.15">
      <c r="A6256" t="s">
        <v>30</v>
      </c>
      <c r="F6256"/>
      <c r="M6256"/>
    </row>
    <row r="6257" spans="1:13" x14ac:dyDescent="0.15">
      <c r="A6257" t="s">
        <v>30</v>
      </c>
      <c r="F6257"/>
      <c r="M6257"/>
    </row>
    <row r="6258" spans="1:13" x14ac:dyDescent="0.15">
      <c r="A6258" t="s">
        <v>30</v>
      </c>
      <c r="F6258"/>
      <c r="M6258"/>
    </row>
    <row r="6259" spans="1:13" x14ac:dyDescent="0.15">
      <c r="A6259" t="s">
        <v>30</v>
      </c>
      <c r="F6259"/>
      <c r="M6259"/>
    </row>
    <row r="6260" spans="1:13" x14ac:dyDescent="0.15">
      <c r="A6260" t="s">
        <v>30</v>
      </c>
      <c r="F6260"/>
      <c r="M6260"/>
    </row>
    <row r="6261" spans="1:13" x14ac:dyDescent="0.15">
      <c r="A6261" t="s">
        <v>30</v>
      </c>
      <c r="F6261"/>
      <c r="M6261"/>
    </row>
    <row r="6262" spans="1:13" x14ac:dyDescent="0.15">
      <c r="A6262" t="s">
        <v>30</v>
      </c>
      <c r="F6262"/>
      <c r="M6262"/>
    </row>
    <row r="6263" spans="1:13" x14ac:dyDescent="0.15">
      <c r="A6263" t="s">
        <v>30</v>
      </c>
      <c r="F6263"/>
      <c r="M6263"/>
    </row>
    <row r="6264" spans="1:13" x14ac:dyDescent="0.15">
      <c r="A6264" t="s">
        <v>30</v>
      </c>
      <c r="F6264"/>
      <c r="M6264"/>
    </row>
    <row r="6265" spans="1:13" x14ac:dyDescent="0.15">
      <c r="A6265" t="s">
        <v>30</v>
      </c>
      <c r="F6265"/>
      <c r="M6265"/>
    </row>
    <row r="6266" spans="1:13" x14ac:dyDescent="0.15">
      <c r="A6266" t="s">
        <v>30</v>
      </c>
      <c r="F6266"/>
      <c r="M6266"/>
    </row>
    <row r="6267" spans="1:13" x14ac:dyDescent="0.15">
      <c r="A6267" t="s">
        <v>30</v>
      </c>
      <c r="F6267"/>
      <c r="M6267"/>
    </row>
    <row r="6268" spans="1:13" x14ac:dyDescent="0.15">
      <c r="A6268" t="s">
        <v>30</v>
      </c>
      <c r="F6268"/>
      <c r="M6268"/>
    </row>
    <row r="6269" spans="1:13" x14ac:dyDescent="0.15">
      <c r="A6269" t="s">
        <v>30</v>
      </c>
      <c r="F6269"/>
      <c r="M6269"/>
    </row>
    <row r="6270" spans="1:13" x14ac:dyDescent="0.15">
      <c r="A6270" t="s">
        <v>30</v>
      </c>
      <c r="F6270"/>
      <c r="M6270"/>
    </row>
    <row r="6271" spans="1:13" x14ac:dyDescent="0.15">
      <c r="A6271" t="s">
        <v>30</v>
      </c>
      <c r="F6271"/>
      <c r="M6271"/>
    </row>
    <row r="6272" spans="1:13" x14ac:dyDescent="0.15">
      <c r="A6272" t="s">
        <v>30</v>
      </c>
      <c r="F6272"/>
      <c r="M6272"/>
    </row>
    <row r="6273" spans="1:13" x14ac:dyDescent="0.15">
      <c r="A6273" t="s">
        <v>30</v>
      </c>
      <c r="F6273"/>
      <c r="M6273"/>
    </row>
    <row r="6274" spans="1:13" x14ac:dyDescent="0.15">
      <c r="A6274" t="s">
        <v>30</v>
      </c>
      <c r="F6274"/>
      <c r="M6274"/>
    </row>
    <row r="6275" spans="1:13" x14ac:dyDescent="0.15">
      <c r="A6275" t="s">
        <v>30</v>
      </c>
      <c r="F6275"/>
      <c r="M6275"/>
    </row>
    <row r="6276" spans="1:13" x14ac:dyDescent="0.15">
      <c r="A6276" t="s">
        <v>30</v>
      </c>
      <c r="F6276"/>
      <c r="M6276"/>
    </row>
    <row r="6277" spans="1:13" x14ac:dyDescent="0.15">
      <c r="A6277" t="s">
        <v>30</v>
      </c>
      <c r="F6277"/>
      <c r="M6277"/>
    </row>
    <row r="6278" spans="1:13" x14ac:dyDescent="0.15">
      <c r="A6278" t="s">
        <v>30</v>
      </c>
      <c r="F6278"/>
      <c r="M6278"/>
    </row>
    <row r="6279" spans="1:13" x14ac:dyDescent="0.15">
      <c r="A6279" t="s">
        <v>30</v>
      </c>
      <c r="F6279"/>
      <c r="M6279"/>
    </row>
    <row r="6280" spans="1:13" x14ac:dyDescent="0.15">
      <c r="A6280" t="s">
        <v>30</v>
      </c>
      <c r="F6280"/>
      <c r="M6280"/>
    </row>
    <row r="6281" spans="1:13" x14ac:dyDescent="0.15">
      <c r="A6281" t="s">
        <v>30</v>
      </c>
      <c r="F6281"/>
      <c r="M6281"/>
    </row>
    <row r="6282" spans="1:13" x14ac:dyDescent="0.15">
      <c r="A6282" t="s">
        <v>30</v>
      </c>
      <c r="F6282"/>
      <c r="M6282"/>
    </row>
    <row r="6283" spans="1:13" x14ac:dyDescent="0.15">
      <c r="A6283" t="s">
        <v>30</v>
      </c>
      <c r="F6283"/>
      <c r="M6283"/>
    </row>
    <row r="6284" spans="1:13" x14ac:dyDescent="0.15">
      <c r="A6284" t="s">
        <v>30</v>
      </c>
      <c r="F6284"/>
      <c r="M6284"/>
    </row>
    <row r="6285" spans="1:13" x14ac:dyDescent="0.15">
      <c r="A6285" t="s">
        <v>30</v>
      </c>
      <c r="F6285"/>
      <c r="M6285"/>
    </row>
    <row r="6286" spans="1:13" x14ac:dyDescent="0.15">
      <c r="A6286" t="s">
        <v>30</v>
      </c>
      <c r="F6286"/>
      <c r="M6286"/>
    </row>
    <row r="6287" spans="1:13" x14ac:dyDescent="0.15">
      <c r="A6287" t="s">
        <v>30</v>
      </c>
      <c r="F6287"/>
      <c r="M6287"/>
    </row>
    <row r="6288" spans="1:13" x14ac:dyDescent="0.15">
      <c r="A6288" t="s">
        <v>30</v>
      </c>
      <c r="F6288"/>
      <c r="M6288"/>
    </row>
    <row r="6289" spans="1:13" x14ac:dyDescent="0.15">
      <c r="A6289" t="s">
        <v>30</v>
      </c>
      <c r="F6289"/>
      <c r="M6289"/>
    </row>
    <row r="6290" spans="1:13" x14ac:dyDescent="0.15">
      <c r="A6290" t="s">
        <v>30</v>
      </c>
      <c r="F6290"/>
      <c r="M6290"/>
    </row>
    <row r="6291" spans="1:13" x14ac:dyDescent="0.15">
      <c r="A6291" t="s">
        <v>30</v>
      </c>
      <c r="F6291"/>
      <c r="M6291"/>
    </row>
    <row r="6292" spans="1:13" x14ac:dyDescent="0.15">
      <c r="A6292" t="s">
        <v>30</v>
      </c>
      <c r="F6292"/>
      <c r="M6292"/>
    </row>
    <row r="6293" spans="1:13" x14ac:dyDescent="0.15">
      <c r="A6293" t="s">
        <v>30</v>
      </c>
      <c r="F6293"/>
      <c r="M6293"/>
    </row>
    <row r="6294" spans="1:13" x14ac:dyDescent="0.15">
      <c r="A6294" t="s">
        <v>30</v>
      </c>
      <c r="F6294"/>
      <c r="M6294"/>
    </row>
    <row r="6295" spans="1:13" x14ac:dyDescent="0.15">
      <c r="A6295" t="s">
        <v>30</v>
      </c>
      <c r="F6295"/>
      <c r="M6295"/>
    </row>
    <row r="6296" spans="1:13" x14ac:dyDescent="0.15">
      <c r="A6296" t="s">
        <v>30</v>
      </c>
      <c r="F6296"/>
      <c r="M6296"/>
    </row>
    <row r="6297" spans="1:13" x14ac:dyDescent="0.15">
      <c r="A6297" t="s">
        <v>30</v>
      </c>
      <c r="F6297"/>
      <c r="M6297"/>
    </row>
    <row r="6298" spans="1:13" x14ac:dyDescent="0.15">
      <c r="A6298" t="s">
        <v>30</v>
      </c>
      <c r="F6298"/>
      <c r="M6298"/>
    </row>
    <row r="6299" spans="1:13" x14ac:dyDescent="0.15">
      <c r="A6299" t="s">
        <v>30</v>
      </c>
      <c r="F6299"/>
      <c r="M6299"/>
    </row>
    <row r="6300" spans="1:13" x14ac:dyDescent="0.15">
      <c r="A6300" t="s">
        <v>30</v>
      </c>
      <c r="F6300"/>
      <c r="M6300"/>
    </row>
    <row r="6301" spans="1:13" x14ac:dyDescent="0.15">
      <c r="A6301" t="s">
        <v>30</v>
      </c>
      <c r="F6301"/>
      <c r="M6301"/>
    </row>
    <row r="6302" spans="1:13" x14ac:dyDescent="0.15">
      <c r="A6302" t="s">
        <v>30</v>
      </c>
      <c r="F6302"/>
      <c r="M6302"/>
    </row>
    <row r="6303" spans="1:13" x14ac:dyDescent="0.15">
      <c r="A6303" t="s">
        <v>30</v>
      </c>
      <c r="F6303"/>
      <c r="M6303"/>
    </row>
    <row r="6304" spans="1:13" x14ac:dyDescent="0.15">
      <c r="A6304" t="s">
        <v>30</v>
      </c>
      <c r="F6304"/>
      <c r="M6304"/>
    </row>
    <row r="6305" spans="1:13" x14ac:dyDescent="0.15">
      <c r="A6305" t="s">
        <v>30</v>
      </c>
      <c r="F6305"/>
      <c r="M6305"/>
    </row>
    <row r="6306" spans="1:13" x14ac:dyDescent="0.15">
      <c r="A6306" t="s">
        <v>30</v>
      </c>
      <c r="F6306"/>
      <c r="M6306"/>
    </row>
    <row r="6307" spans="1:13" x14ac:dyDescent="0.15">
      <c r="A6307" t="s">
        <v>30</v>
      </c>
      <c r="F6307"/>
      <c r="M6307"/>
    </row>
    <row r="6308" spans="1:13" x14ac:dyDescent="0.15">
      <c r="A6308" t="s">
        <v>30</v>
      </c>
      <c r="F6308"/>
      <c r="M6308"/>
    </row>
    <row r="6309" spans="1:13" x14ac:dyDescent="0.15">
      <c r="A6309" t="s">
        <v>30</v>
      </c>
      <c r="F6309"/>
      <c r="M6309"/>
    </row>
    <row r="6310" spans="1:13" x14ac:dyDescent="0.15">
      <c r="A6310" t="s">
        <v>30</v>
      </c>
      <c r="F6310"/>
      <c r="M6310"/>
    </row>
    <row r="6311" spans="1:13" x14ac:dyDescent="0.15">
      <c r="A6311" t="s">
        <v>30</v>
      </c>
      <c r="F6311"/>
      <c r="M6311"/>
    </row>
    <row r="6312" spans="1:13" x14ac:dyDescent="0.15">
      <c r="A6312" t="s">
        <v>30</v>
      </c>
      <c r="F6312"/>
      <c r="M6312"/>
    </row>
    <row r="6313" spans="1:13" x14ac:dyDescent="0.15">
      <c r="A6313" t="s">
        <v>30</v>
      </c>
      <c r="F6313"/>
      <c r="M6313"/>
    </row>
    <row r="6314" spans="1:13" x14ac:dyDescent="0.15">
      <c r="A6314" t="s">
        <v>30</v>
      </c>
      <c r="F6314"/>
      <c r="M6314"/>
    </row>
    <row r="6315" spans="1:13" x14ac:dyDescent="0.15">
      <c r="A6315" t="s">
        <v>30</v>
      </c>
      <c r="F6315"/>
      <c r="M6315"/>
    </row>
    <row r="6316" spans="1:13" x14ac:dyDescent="0.15">
      <c r="A6316" t="s">
        <v>30</v>
      </c>
      <c r="F6316"/>
      <c r="M6316"/>
    </row>
    <row r="6317" spans="1:13" x14ac:dyDescent="0.15">
      <c r="A6317" t="s">
        <v>30</v>
      </c>
      <c r="F6317"/>
      <c r="M6317"/>
    </row>
    <row r="6318" spans="1:13" x14ac:dyDescent="0.15">
      <c r="A6318" t="s">
        <v>30</v>
      </c>
      <c r="F6318"/>
      <c r="M6318"/>
    </row>
    <row r="6319" spans="1:13" x14ac:dyDescent="0.15">
      <c r="A6319" t="s">
        <v>30</v>
      </c>
      <c r="F6319"/>
      <c r="M6319"/>
    </row>
    <row r="6320" spans="1:13" x14ac:dyDescent="0.15">
      <c r="A6320" t="s">
        <v>30</v>
      </c>
      <c r="F6320"/>
      <c r="M6320"/>
    </row>
    <row r="6321" spans="1:13" x14ac:dyDescent="0.15">
      <c r="A6321" t="s">
        <v>30</v>
      </c>
      <c r="F6321"/>
      <c r="M6321"/>
    </row>
    <row r="6322" spans="1:13" x14ac:dyDescent="0.15">
      <c r="A6322" t="s">
        <v>30</v>
      </c>
      <c r="F6322"/>
      <c r="M6322"/>
    </row>
    <row r="6323" spans="1:13" x14ac:dyDescent="0.15">
      <c r="A6323" t="s">
        <v>30</v>
      </c>
      <c r="F6323"/>
      <c r="M6323"/>
    </row>
    <row r="6324" spans="1:13" x14ac:dyDescent="0.15">
      <c r="A6324" t="s">
        <v>30</v>
      </c>
      <c r="F6324"/>
      <c r="M6324"/>
    </row>
    <row r="6325" spans="1:13" x14ac:dyDescent="0.15">
      <c r="A6325" t="s">
        <v>30</v>
      </c>
      <c r="F6325"/>
      <c r="M6325"/>
    </row>
    <row r="6326" spans="1:13" x14ac:dyDescent="0.15">
      <c r="A6326" t="s">
        <v>30</v>
      </c>
      <c r="F6326"/>
      <c r="M6326"/>
    </row>
    <row r="6327" spans="1:13" x14ac:dyDescent="0.15">
      <c r="A6327" t="s">
        <v>30</v>
      </c>
      <c r="F6327"/>
      <c r="M6327"/>
    </row>
    <row r="6328" spans="1:13" x14ac:dyDescent="0.15">
      <c r="A6328" t="s">
        <v>30</v>
      </c>
      <c r="F6328"/>
      <c r="M6328"/>
    </row>
    <row r="6329" spans="1:13" x14ac:dyDescent="0.15">
      <c r="A6329" t="s">
        <v>30</v>
      </c>
      <c r="F6329"/>
      <c r="M6329"/>
    </row>
    <row r="6330" spans="1:13" x14ac:dyDescent="0.15">
      <c r="A6330" t="s">
        <v>30</v>
      </c>
      <c r="F6330"/>
      <c r="M6330"/>
    </row>
    <row r="6331" spans="1:13" x14ac:dyDescent="0.15">
      <c r="A6331" t="s">
        <v>30</v>
      </c>
      <c r="F6331"/>
      <c r="M6331"/>
    </row>
    <row r="6332" spans="1:13" x14ac:dyDescent="0.15">
      <c r="A6332" t="s">
        <v>30</v>
      </c>
      <c r="F6332"/>
      <c r="M6332"/>
    </row>
    <row r="6333" spans="1:13" x14ac:dyDescent="0.15">
      <c r="A6333" t="s">
        <v>30</v>
      </c>
      <c r="F6333"/>
      <c r="M6333"/>
    </row>
    <row r="6334" spans="1:13" x14ac:dyDescent="0.15">
      <c r="A6334" t="s">
        <v>30</v>
      </c>
      <c r="F6334"/>
      <c r="M6334"/>
    </row>
    <row r="6335" spans="1:13" x14ac:dyDescent="0.15">
      <c r="A6335" t="s">
        <v>30</v>
      </c>
      <c r="F6335"/>
      <c r="M6335"/>
    </row>
    <row r="6336" spans="1:13" x14ac:dyDescent="0.15">
      <c r="A6336" t="s">
        <v>30</v>
      </c>
      <c r="F6336"/>
      <c r="M6336"/>
    </row>
    <row r="6337" spans="1:13" x14ac:dyDescent="0.15">
      <c r="A6337" t="s">
        <v>30</v>
      </c>
      <c r="F6337"/>
      <c r="M6337"/>
    </row>
    <row r="6338" spans="1:13" x14ac:dyDescent="0.15">
      <c r="A6338" t="s">
        <v>30</v>
      </c>
      <c r="F6338"/>
      <c r="M6338"/>
    </row>
    <row r="6339" spans="1:13" x14ac:dyDescent="0.15">
      <c r="A6339" t="s">
        <v>30</v>
      </c>
      <c r="F6339"/>
      <c r="M6339"/>
    </row>
    <row r="6340" spans="1:13" x14ac:dyDescent="0.15">
      <c r="A6340" t="s">
        <v>30</v>
      </c>
      <c r="F6340"/>
      <c r="M6340"/>
    </row>
    <row r="6341" spans="1:13" x14ac:dyDescent="0.15">
      <c r="A6341" t="s">
        <v>30</v>
      </c>
      <c r="F6341"/>
      <c r="M6341"/>
    </row>
    <row r="6342" spans="1:13" x14ac:dyDescent="0.15">
      <c r="A6342" t="s">
        <v>30</v>
      </c>
      <c r="F6342"/>
      <c r="M6342"/>
    </row>
    <row r="6343" spans="1:13" x14ac:dyDescent="0.15">
      <c r="A6343" t="s">
        <v>30</v>
      </c>
      <c r="F6343"/>
      <c r="M6343"/>
    </row>
    <row r="6344" spans="1:13" x14ac:dyDescent="0.15">
      <c r="A6344" t="s">
        <v>30</v>
      </c>
      <c r="F6344"/>
      <c r="M6344"/>
    </row>
    <row r="6345" spans="1:13" x14ac:dyDescent="0.15">
      <c r="A6345" t="s">
        <v>30</v>
      </c>
      <c r="F6345"/>
      <c r="M6345"/>
    </row>
    <row r="6346" spans="1:13" x14ac:dyDescent="0.15">
      <c r="A6346" t="s">
        <v>30</v>
      </c>
      <c r="F6346"/>
      <c r="M6346"/>
    </row>
    <row r="6347" spans="1:13" x14ac:dyDescent="0.15">
      <c r="A6347" t="s">
        <v>30</v>
      </c>
      <c r="F6347"/>
      <c r="M6347"/>
    </row>
    <row r="6348" spans="1:13" x14ac:dyDescent="0.15">
      <c r="A6348" t="s">
        <v>30</v>
      </c>
      <c r="F6348"/>
      <c r="M6348"/>
    </row>
    <row r="6349" spans="1:13" x14ac:dyDescent="0.15">
      <c r="A6349" t="s">
        <v>30</v>
      </c>
      <c r="F6349"/>
      <c r="M6349"/>
    </row>
    <row r="6350" spans="1:13" x14ac:dyDescent="0.15">
      <c r="A6350" t="s">
        <v>30</v>
      </c>
      <c r="F6350"/>
      <c r="M6350"/>
    </row>
    <row r="6351" spans="1:13" x14ac:dyDescent="0.15">
      <c r="A6351" t="s">
        <v>30</v>
      </c>
      <c r="F6351"/>
      <c r="M6351"/>
    </row>
    <row r="6352" spans="1:13" x14ac:dyDescent="0.15">
      <c r="A6352" t="s">
        <v>30</v>
      </c>
      <c r="F6352"/>
      <c r="M6352"/>
    </row>
    <row r="6353" spans="1:13" x14ac:dyDescent="0.15">
      <c r="A6353" t="s">
        <v>30</v>
      </c>
      <c r="F6353"/>
      <c r="M6353"/>
    </row>
    <row r="6354" spans="1:13" x14ac:dyDescent="0.15">
      <c r="A6354" t="s">
        <v>30</v>
      </c>
      <c r="F6354"/>
      <c r="M6354"/>
    </row>
    <row r="6355" spans="1:13" x14ac:dyDescent="0.15">
      <c r="A6355" t="s">
        <v>30</v>
      </c>
      <c r="F6355"/>
      <c r="M6355"/>
    </row>
    <row r="6356" spans="1:13" x14ac:dyDescent="0.15">
      <c r="A6356" t="s">
        <v>30</v>
      </c>
      <c r="F6356"/>
      <c r="M6356"/>
    </row>
    <row r="6357" spans="1:13" x14ac:dyDescent="0.15">
      <c r="A6357" t="s">
        <v>30</v>
      </c>
      <c r="F6357"/>
      <c r="M6357"/>
    </row>
    <row r="6358" spans="1:13" x14ac:dyDescent="0.15">
      <c r="A6358" t="s">
        <v>30</v>
      </c>
      <c r="F6358"/>
      <c r="M6358"/>
    </row>
    <row r="6359" spans="1:13" x14ac:dyDescent="0.15">
      <c r="A6359" t="s">
        <v>30</v>
      </c>
      <c r="F6359"/>
      <c r="M6359"/>
    </row>
    <row r="6360" spans="1:13" x14ac:dyDescent="0.15">
      <c r="A6360" t="s">
        <v>30</v>
      </c>
      <c r="F6360"/>
      <c r="M6360"/>
    </row>
    <row r="6361" spans="1:13" x14ac:dyDescent="0.15">
      <c r="A6361" t="s">
        <v>30</v>
      </c>
      <c r="F6361"/>
      <c r="M6361"/>
    </row>
    <row r="6362" spans="1:13" x14ac:dyDescent="0.15">
      <c r="A6362" t="s">
        <v>30</v>
      </c>
      <c r="F6362"/>
      <c r="M6362"/>
    </row>
    <row r="6363" spans="1:13" x14ac:dyDescent="0.15">
      <c r="A6363" t="s">
        <v>30</v>
      </c>
      <c r="F6363"/>
      <c r="M6363"/>
    </row>
    <row r="6364" spans="1:13" x14ac:dyDescent="0.15">
      <c r="A6364" t="s">
        <v>30</v>
      </c>
      <c r="F6364"/>
      <c r="M6364"/>
    </row>
    <row r="6365" spans="1:13" x14ac:dyDescent="0.15">
      <c r="A6365" t="s">
        <v>30</v>
      </c>
      <c r="F6365"/>
      <c r="M6365"/>
    </row>
    <row r="6366" spans="1:13" x14ac:dyDescent="0.15">
      <c r="A6366" t="s">
        <v>30</v>
      </c>
      <c r="F6366"/>
      <c r="M6366"/>
    </row>
    <row r="6367" spans="1:13" x14ac:dyDescent="0.15">
      <c r="A6367" t="s">
        <v>30</v>
      </c>
      <c r="F6367"/>
      <c r="M6367"/>
    </row>
    <row r="6368" spans="1:13" x14ac:dyDescent="0.15">
      <c r="A6368" t="s">
        <v>30</v>
      </c>
      <c r="F6368"/>
      <c r="M6368"/>
    </row>
    <row r="6369" spans="1:13" x14ac:dyDescent="0.15">
      <c r="A6369" t="s">
        <v>30</v>
      </c>
      <c r="F6369"/>
      <c r="M6369"/>
    </row>
    <row r="6370" spans="1:13" x14ac:dyDescent="0.15">
      <c r="A6370" t="s">
        <v>30</v>
      </c>
      <c r="F6370"/>
      <c r="M6370"/>
    </row>
    <row r="6371" spans="1:13" x14ac:dyDescent="0.15">
      <c r="A6371" t="s">
        <v>30</v>
      </c>
      <c r="F6371"/>
      <c r="M6371"/>
    </row>
    <row r="6372" spans="1:13" x14ac:dyDescent="0.15">
      <c r="A6372" t="s">
        <v>30</v>
      </c>
      <c r="F6372"/>
      <c r="M6372"/>
    </row>
    <row r="6373" spans="1:13" x14ac:dyDescent="0.15">
      <c r="A6373" t="s">
        <v>30</v>
      </c>
      <c r="F6373"/>
      <c r="M6373"/>
    </row>
    <row r="6374" spans="1:13" x14ac:dyDescent="0.15">
      <c r="A6374" t="s">
        <v>30</v>
      </c>
      <c r="F6374"/>
      <c r="M6374"/>
    </row>
    <row r="6375" spans="1:13" x14ac:dyDescent="0.15">
      <c r="A6375" t="s">
        <v>30</v>
      </c>
      <c r="F6375"/>
      <c r="M6375"/>
    </row>
    <row r="6376" spans="1:13" x14ac:dyDescent="0.15">
      <c r="A6376" t="s">
        <v>30</v>
      </c>
      <c r="F6376"/>
      <c r="M6376"/>
    </row>
    <row r="6377" spans="1:13" x14ac:dyDescent="0.15">
      <c r="A6377" t="s">
        <v>30</v>
      </c>
      <c r="F6377"/>
      <c r="M6377"/>
    </row>
    <row r="6378" spans="1:13" x14ac:dyDescent="0.15">
      <c r="A6378" t="s">
        <v>30</v>
      </c>
      <c r="F6378"/>
      <c r="M6378"/>
    </row>
    <row r="6379" spans="1:13" x14ac:dyDescent="0.15">
      <c r="A6379" t="s">
        <v>30</v>
      </c>
      <c r="F6379"/>
      <c r="M6379"/>
    </row>
    <row r="6380" spans="1:13" x14ac:dyDescent="0.15">
      <c r="A6380" t="s">
        <v>30</v>
      </c>
      <c r="F6380"/>
      <c r="M6380"/>
    </row>
    <row r="6381" spans="1:13" x14ac:dyDescent="0.15">
      <c r="A6381" t="s">
        <v>30</v>
      </c>
      <c r="F6381"/>
      <c r="M6381"/>
    </row>
    <row r="6382" spans="1:13" x14ac:dyDescent="0.15">
      <c r="A6382" t="s">
        <v>30</v>
      </c>
      <c r="F6382"/>
      <c r="M6382"/>
    </row>
    <row r="6383" spans="1:13" x14ac:dyDescent="0.15">
      <c r="A6383" t="s">
        <v>30</v>
      </c>
      <c r="F6383"/>
      <c r="M6383"/>
    </row>
    <row r="6384" spans="1:13" x14ac:dyDescent="0.15">
      <c r="A6384" t="s">
        <v>30</v>
      </c>
      <c r="F6384"/>
      <c r="M6384"/>
    </row>
    <row r="6385" spans="1:13" x14ac:dyDescent="0.15">
      <c r="A6385" t="s">
        <v>30</v>
      </c>
      <c r="F6385"/>
      <c r="M6385"/>
    </row>
    <row r="6386" spans="1:13" x14ac:dyDescent="0.15">
      <c r="A6386" t="s">
        <v>30</v>
      </c>
      <c r="F6386"/>
      <c r="M6386"/>
    </row>
    <row r="6387" spans="1:13" x14ac:dyDescent="0.15">
      <c r="A6387" t="s">
        <v>30</v>
      </c>
      <c r="F6387"/>
      <c r="M6387"/>
    </row>
    <row r="6388" spans="1:13" x14ac:dyDescent="0.15">
      <c r="A6388" t="s">
        <v>30</v>
      </c>
      <c r="F6388"/>
      <c r="M6388"/>
    </row>
    <row r="6389" spans="1:13" x14ac:dyDescent="0.15">
      <c r="A6389" t="s">
        <v>30</v>
      </c>
      <c r="F6389"/>
      <c r="M6389"/>
    </row>
    <row r="6390" spans="1:13" x14ac:dyDescent="0.15">
      <c r="A6390" t="s">
        <v>30</v>
      </c>
      <c r="F6390"/>
      <c r="M6390"/>
    </row>
    <row r="6391" spans="1:13" x14ac:dyDescent="0.15">
      <c r="A6391" t="s">
        <v>30</v>
      </c>
      <c r="F6391"/>
      <c r="M6391"/>
    </row>
    <row r="6392" spans="1:13" x14ac:dyDescent="0.15">
      <c r="A6392" t="s">
        <v>30</v>
      </c>
      <c r="F6392"/>
      <c r="M6392"/>
    </row>
    <row r="6393" spans="1:13" x14ac:dyDescent="0.15">
      <c r="A6393" t="s">
        <v>30</v>
      </c>
      <c r="F6393"/>
      <c r="M6393"/>
    </row>
    <row r="6394" spans="1:13" x14ac:dyDescent="0.15">
      <c r="A6394" t="s">
        <v>30</v>
      </c>
      <c r="F6394"/>
      <c r="M6394"/>
    </row>
    <row r="6395" spans="1:13" x14ac:dyDescent="0.15">
      <c r="A6395" t="s">
        <v>30</v>
      </c>
      <c r="F6395"/>
      <c r="M6395"/>
    </row>
    <row r="6396" spans="1:13" x14ac:dyDescent="0.15">
      <c r="A6396" t="s">
        <v>30</v>
      </c>
      <c r="F6396"/>
      <c r="M6396"/>
    </row>
    <row r="6397" spans="1:13" x14ac:dyDescent="0.15">
      <c r="A6397" t="s">
        <v>30</v>
      </c>
      <c r="F6397"/>
      <c r="M6397"/>
    </row>
    <row r="6398" spans="1:13" x14ac:dyDescent="0.15">
      <c r="A6398" t="s">
        <v>30</v>
      </c>
      <c r="F6398"/>
      <c r="M6398"/>
    </row>
    <row r="6399" spans="1:13" x14ac:dyDescent="0.15">
      <c r="A6399" t="s">
        <v>30</v>
      </c>
      <c r="F6399"/>
      <c r="M6399"/>
    </row>
    <row r="6400" spans="1:13" x14ac:dyDescent="0.15">
      <c r="A6400" t="s">
        <v>30</v>
      </c>
      <c r="F6400"/>
      <c r="M6400"/>
    </row>
    <row r="6401" spans="1:13" x14ac:dyDescent="0.15">
      <c r="A6401" t="s">
        <v>30</v>
      </c>
      <c r="F6401"/>
      <c r="M6401"/>
    </row>
    <row r="6402" spans="1:13" x14ac:dyDescent="0.15">
      <c r="A6402" t="s">
        <v>30</v>
      </c>
      <c r="F6402"/>
      <c r="M6402"/>
    </row>
    <row r="6403" spans="1:13" x14ac:dyDescent="0.15">
      <c r="A6403" t="s">
        <v>30</v>
      </c>
      <c r="F6403"/>
      <c r="M6403"/>
    </row>
    <row r="6404" spans="1:13" x14ac:dyDescent="0.15">
      <c r="A6404" t="s">
        <v>30</v>
      </c>
      <c r="F6404"/>
      <c r="M6404"/>
    </row>
    <row r="6405" spans="1:13" x14ac:dyDescent="0.15">
      <c r="A6405" t="s">
        <v>30</v>
      </c>
      <c r="F6405"/>
      <c r="M6405"/>
    </row>
    <row r="6406" spans="1:13" x14ac:dyDescent="0.15">
      <c r="A6406" t="s">
        <v>30</v>
      </c>
      <c r="F6406"/>
      <c r="M6406"/>
    </row>
    <row r="6407" spans="1:13" x14ac:dyDescent="0.15">
      <c r="A6407" t="s">
        <v>30</v>
      </c>
      <c r="F6407"/>
      <c r="M6407"/>
    </row>
    <row r="6408" spans="1:13" x14ac:dyDescent="0.15">
      <c r="A6408" t="s">
        <v>30</v>
      </c>
      <c r="F6408"/>
      <c r="M6408"/>
    </row>
    <row r="6409" spans="1:13" x14ac:dyDescent="0.15">
      <c r="A6409" t="s">
        <v>30</v>
      </c>
      <c r="F6409"/>
      <c r="M6409"/>
    </row>
    <row r="6410" spans="1:13" x14ac:dyDescent="0.15">
      <c r="A6410" t="s">
        <v>30</v>
      </c>
      <c r="F6410"/>
      <c r="M6410"/>
    </row>
    <row r="6411" spans="1:13" x14ac:dyDescent="0.15">
      <c r="A6411" t="s">
        <v>30</v>
      </c>
      <c r="F6411"/>
      <c r="M6411"/>
    </row>
    <row r="6412" spans="1:13" x14ac:dyDescent="0.15">
      <c r="A6412" t="s">
        <v>30</v>
      </c>
      <c r="F6412"/>
      <c r="M6412"/>
    </row>
    <row r="6413" spans="1:13" x14ac:dyDescent="0.15">
      <c r="A6413" t="s">
        <v>30</v>
      </c>
      <c r="F6413"/>
      <c r="M6413"/>
    </row>
    <row r="6414" spans="1:13" x14ac:dyDescent="0.15">
      <c r="A6414" t="s">
        <v>30</v>
      </c>
      <c r="F6414"/>
      <c r="M6414"/>
    </row>
    <row r="6415" spans="1:13" x14ac:dyDescent="0.15">
      <c r="A6415" t="s">
        <v>30</v>
      </c>
      <c r="F6415"/>
      <c r="M6415"/>
    </row>
    <row r="6416" spans="1:13" x14ac:dyDescent="0.15">
      <c r="A6416" t="s">
        <v>30</v>
      </c>
      <c r="F6416"/>
      <c r="M6416"/>
    </row>
    <row r="6417" spans="1:13" x14ac:dyDescent="0.15">
      <c r="A6417" t="s">
        <v>30</v>
      </c>
      <c r="F6417"/>
      <c r="M6417"/>
    </row>
    <row r="6418" spans="1:13" x14ac:dyDescent="0.15">
      <c r="A6418" t="s">
        <v>30</v>
      </c>
      <c r="F6418"/>
      <c r="M6418"/>
    </row>
    <row r="6419" spans="1:13" x14ac:dyDescent="0.15">
      <c r="A6419" t="s">
        <v>30</v>
      </c>
      <c r="F6419"/>
      <c r="M6419"/>
    </row>
    <row r="6420" spans="1:13" x14ac:dyDescent="0.15">
      <c r="A6420" t="s">
        <v>30</v>
      </c>
      <c r="F6420"/>
      <c r="M6420"/>
    </row>
    <row r="6421" spans="1:13" x14ac:dyDescent="0.15">
      <c r="A6421" t="s">
        <v>30</v>
      </c>
      <c r="F6421"/>
      <c r="M6421"/>
    </row>
    <row r="6422" spans="1:13" x14ac:dyDescent="0.15">
      <c r="A6422" t="s">
        <v>30</v>
      </c>
      <c r="F6422"/>
      <c r="M6422"/>
    </row>
    <row r="6423" spans="1:13" x14ac:dyDescent="0.15">
      <c r="A6423" t="s">
        <v>30</v>
      </c>
      <c r="F6423"/>
      <c r="M6423"/>
    </row>
    <row r="6424" spans="1:13" x14ac:dyDescent="0.15">
      <c r="A6424" t="s">
        <v>30</v>
      </c>
      <c r="F6424"/>
      <c r="M6424"/>
    </row>
    <row r="6425" spans="1:13" x14ac:dyDescent="0.15">
      <c r="A6425" t="s">
        <v>30</v>
      </c>
      <c r="F6425"/>
      <c r="M6425"/>
    </row>
    <row r="6426" spans="1:13" x14ac:dyDescent="0.15">
      <c r="A6426" t="s">
        <v>30</v>
      </c>
      <c r="F6426"/>
      <c r="M6426"/>
    </row>
    <row r="6427" spans="1:13" x14ac:dyDescent="0.15">
      <c r="A6427" t="s">
        <v>30</v>
      </c>
      <c r="F6427"/>
      <c r="M6427"/>
    </row>
    <row r="6428" spans="1:13" x14ac:dyDescent="0.15">
      <c r="A6428" t="s">
        <v>30</v>
      </c>
      <c r="F6428"/>
      <c r="M6428"/>
    </row>
    <row r="6429" spans="1:13" x14ac:dyDescent="0.15">
      <c r="A6429" t="s">
        <v>30</v>
      </c>
      <c r="F6429"/>
      <c r="M6429"/>
    </row>
    <row r="6430" spans="1:13" x14ac:dyDescent="0.15">
      <c r="A6430" t="s">
        <v>30</v>
      </c>
      <c r="F6430"/>
      <c r="M6430"/>
    </row>
    <row r="6431" spans="1:13" x14ac:dyDescent="0.15">
      <c r="A6431" t="s">
        <v>30</v>
      </c>
      <c r="F6431"/>
      <c r="M6431"/>
    </row>
    <row r="6432" spans="1:13" x14ac:dyDescent="0.15">
      <c r="A6432" t="s">
        <v>30</v>
      </c>
      <c r="F6432"/>
      <c r="M6432"/>
    </row>
    <row r="6433" spans="1:13" x14ac:dyDescent="0.15">
      <c r="A6433" t="s">
        <v>30</v>
      </c>
      <c r="F6433"/>
      <c r="M6433"/>
    </row>
    <row r="6434" spans="1:13" x14ac:dyDescent="0.15">
      <c r="A6434" t="s">
        <v>30</v>
      </c>
      <c r="F6434"/>
      <c r="M6434"/>
    </row>
    <row r="6435" spans="1:13" x14ac:dyDescent="0.15">
      <c r="A6435" t="s">
        <v>30</v>
      </c>
      <c r="F6435"/>
      <c r="M6435"/>
    </row>
    <row r="6436" spans="1:13" x14ac:dyDescent="0.15">
      <c r="A6436" t="s">
        <v>30</v>
      </c>
      <c r="F6436"/>
      <c r="M6436"/>
    </row>
    <row r="6437" spans="1:13" x14ac:dyDescent="0.15">
      <c r="A6437" t="s">
        <v>30</v>
      </c>
      <c r="F6437"/>
      <c r="M6437"/>
    </row>
    <row r="6438" spans="1:13" x14ac:dyDescent="0.15">
      <c r="A6438" t="s">
        <v>30</v>
      </c>
      <c r="F6438"/>
      <c r="M6438"/>
    </row>
    <row r="6439" spans="1:13" x14ac:dyDescent="0.15">
      <c r="A6439" t="s">
        <v>30</v>
      </c>
      <c r="F6439"/>
      <c r="M6439"/>
    </row>
    <row r="6440" spans="1:13" x14ac:dyDescent="0.15">
      <c r="A6440" t="s">
        <v>30</v>
      </c>
      <c r="F6440"/>
      <c r="M6440"/>
    </row>
    <row r="6441" spans="1:13" x14ac:dyDescent="0.15">
      <c r="A6441" t="s">
        <v>30</v>
      </c>
      <c r="F6441"/>
      <c r="M6441"/>
    </row>
    <row r="6442" spans="1:13" x14ac:dyDescent="0.15">
      <c r="A6442" t="s">
        <v>30</v>
      </c>
      <c r="F6442"/>
      <c r="M6442"/>
    </row>
    <row r="6443" spans="1:13" x14ac:dyDescent="0.15">
      <c r="A6443" t="s">
        <v>30</v>
      </c>
      <c r="F6443"/>
      <c r="M6443"/>
    </row>
    <row r="6444" spans="1:13" x14ac:dyDescent="0.15">
      <c r="A6444" t="s">
        <v>30</v>
      </c>
      <c r="F6444"/>
      <c r="M6444"/>
    </row>
    <row r="6445" spans="1:13" x14ac:dyDescent="0.15">
      <c r="A6445" t="s">
        <v>30</v>
      </c>
      <c r="F6445"/>
      <c r="M6445"/>
    </row>
    <row r="6446" spans="1:13" x14ac:dyDescent="0.15">
      <c r="A6446" t="s">
        <v>30</v>
      </c>
      <c r="F6446"/>
      <c r="M6446"/>
    </row>
    <row r="6447" spans="1:13" x14ac:dyDescent="0.15">
      <c r="A6447" t="s">
        <v>30</v>
      </c>
      <c r="F6447"/>
      <c r="M6447"/>
    </row>
    <row r="6448" spans="1:13" x14ac:dyDescent="0.15">
      <c r="A6448" t="s">
        <v>30</v>
      </c>
      <c r="F6448"/>
      <c r="M6448"/>
    </row>
    <row r="6449" spans="1:13" x14ac:dyDescent="0.15">
      <c r="A6449" t="s">
        <v>30</v>
      </c>
      <c r="F6449"/>
      <c r="M6449"/>
    </row>
    <row r="6450" spans="1:13" x14ac:dyDescent="0.15">
      <c r="A6450" t="s">
        <v>30</v>
      </c>
      <c r="F6450"/>
      <c r="M6450"/>
    </row>
    <row r="6451" spans="1:13" x14ac:dyDescent="0.15">
      <c r="A6451" t="s">
        <v>30</v>
      </c>
      <c r="F6451"/>
      <c r="M6451"/>
    </row>
    <row r="6452" spans="1:13" x14ac:dyDescent="0.15">
      <c r="A6452" t="s">
        <v>30</v>
      </c>
      <c r="F6452"/>
      <c r="M6452"/>
    </row>
    <row r="6453" spans="1:13" x14ac:dyDescent="0.15">
      <c r="A6453" t="s">
        <v>30</v>
      </c>
      <c r="F6453"/>
      <c r="M6453"/>
    </row>
    <row r="6454" spans="1:13" x14ac:dyDescent="0.15">
      <c r="A6454" t="s">
        <v>30</v>
      </c>
      <c r="F6454"/>
      <c r="M6454"/>
    </row>
    <row r="6455" spans="1:13" x14ac:dyDescent="0.15">
      <c r="A6455" t="s">
        <v>30</v>
      </c>
      <c r="F6455"/>
      <c r="M6455"/>
    </row>
    <row r="6456" spans="1:13" x14ac:dyDescent="0.15">
      <c r="A6456" t="s">
        <v>30</v>
      </c>
      <c r="F6456"/>
      <c r="M6456"/>
    </row>
    <row r="6457" spans="1:13" x14ac:dyDescent="0.15">
      <c r="A6457" t="s">
        <v>30</v>
      </c>
      <c r="F6457"/>
      <c r="M6457"/>
    </row>
    <row r="6458" spans="1:13" x14ac:dyDescent="0.15">
      <c r="A6458" t="s">
        <v>30</v>
      </c>
      <c r="F6458"/>
      <c r="M6458"/>
    </row>
    <row r="6459" spans="1:13" x14ac:dyDescent="0.15">
      <c r="A6459" t="s">
        <v>30</v>
      </c>
      <c r="F6459"/>
      <c r="M6459"/>
    </row>
    <row r="6460" spans="1:13" x14ac:dyDescent="0.15">
      <c r="A6460" t="s">
        <v>30</v>
      </c>
      <c r="F6460"/>
      <c r="M6460"/>
    </row>
    <row r="6461" spans="1:13" x14ac:dyDescent="0.15">
      <c r="A6461" t="s">
        <v>30</v>
      </c>
      <c r="F6461"/>
      <c r="M6461"/>
    </row>
    <row r="6462" spans="1:13" x14ac:dyDescent="0.15">
      <c r="A6462" t="s">
        <v>30</v>
      </c>
      <c r="F6462"/>
      <c r="M6462"/>
    </row>
    <row r="6463" spans="1:13" x14ac:dyDescent="0.15">
      <c r="A6463" t="s">
        <v>30</v>
      </c>
      <c r="F6463"/>
      <c r="M6463"/>
    </row>
    <row r="6464" spans="1:13" x14ac:dyDescent="0.15">
      <c r="A6464" t="s">
        <v>30</v>
      </c>
      <c r="F6464"/>
      <c r="M6464"/>
    </row>
    <row r="6465" spans="1:13" x14ac:dyDescent="0.15">
      <c r="A6465" t="s">
        <v>30</v>
      </c>
      <c r="F6465"/>
      <c r="M6465"/>
    </row>
    <row r="6466" spans="1:13" x14ac:dyDescent="0.15">
      <c r="A6466" t="s">
        <v>30</v>
      </c>
      <c r="F6466"/>
      <c r="M6466"/>
    </row>
    <row r="6467" spans="1:13" x14ac:dyDescent="0.15">
      <c r="A6467" t="s">
        <v>30</v>
      </c>
      <c r="F6467"/>
      <c r="M6467"/>
    </row>
    <row r="6468" spans="1:13" x14ac:dyDescent="0.15">
      <c r="A6468" t="s">
        <v>30</v>
      </c>
      <c r="F6468"/>
      <c r="M6468"/>
    </row>
    <row r="6469" spans="1:13" x14ac:dyDescent="0.15">
      <c r="A6469" t="s">
        <v>30</v>
      </c>
      <c r="F6469"/>
      <c r="M6469"/>
    </row>
    <row r="6470" spans="1:13" x14ac:dyDescent="0.15">
      <c r="A6470" t="s">
        <v>30</v>
      </c>
      <c r="F6470"/>
      <c r="M6470"/>
    </row>
    <row r="6471" spans="1:13" x14ac:dyDescent="0.15">
      <c r="A6471" t="s">
        <v>30</v>
      </c>
      <c r="F6471"/>
      <c r="M6471"/>
    </row>
    <row r="6472" spans="1:13" x14ac:dyDescent="0.15">
      <c r="A6472" t="s">
        <v>30</v>
      </c>
      <c r="F6472"/>
      <c r="M6472"/>
    </row>
    <row r="6473" spans="1:13" x14ac:dyDescent="0.15">
      <c r="A6473" t="s">
        <v>30</v>
      </c>
      <c r="F6473"/>
      <c r="M6473"/>
    </row>
    <row r="6474" spans="1:13" x14ac:dyDescent="0.15">
      <c r="A6474" t="s">
        <v>30</v>
      </c>
      <c r="F6474"/>
      <c r="M6474"/>
    </row>
    <row r="6475" spans="1:13" x14ac:dyDescent="0.15">
      <c r="A6475" t="s">
        <v>30</v>
      </c>
      <c r="F6475"/>
      <c r="M6475"/>
    </row>
    <row r="6476" spans="1:13" x14ac:dyDescent="0.15">
      <c r="A6476" t="s">
        <v>30</v>
      </c>
      <c r="F6476"/>
      <c r="M6476"/>
    </row>
    <row r="6477" spans="1:13" x14ac:dyDescent="0.15">
      <c r="A6477" t="s">
        <v>30</v>
      </c>
      <c r="F6477"/>
      <c r="M6477"/>
    </row>
    <row r="6478" spans="1:13" x14ac:dyDescent="0.15">
      <c r="A6478" t="s">
        <v>30</v>
      </c>
      <c r="F6478"/>
      <c r="M6478"/>
    </row>
    <row r="6479" spans="1:13" x14ac:dyDescent="0.15">
      <c r="A6479" t="s">
        <v>30</v>
      </c>
      <c r="F6479"/>
      <c r="M6479"/>
    </row>
    <row r="6480" spans="1:13" x14ac:dyDescent="0.15">
      <c r="A6480" t="s">
        <v>30</v>
      </c>
      <c r="F6480"/>
      <c r="M6480"/>
    </row>
    <row r="6481" spans="1:13" x14ac:dyDescent="0.15">
      <c r="A6481" t="s">
        <v>30</v>
      </c>
      <c r="F6481"/>
      <c r="M6481"/>
    </row>
    <row r="6482" spans="1:13" x14ac:dyDescent="0.15">
      <c r="A6482" t="s">
        <v>30</v>
      </c>
      <c r="F6482"/>
      <c r="M6482"/>
    </row>
    <row r="6483" spans="1:13" x14ac:dyDescent="0.15">
      <c r="A6483" t="s">
        <v>30</v>
      </c>
      <c r="F6483"/>
      <c r="M6483"/>
    </row>
    <row r="6484" spans="1:13" x14ac:dyDescent="0.15">
      <c r="A6484" t="s">
        <v>30</v>
      </c>
      <c r="F6484"/>
      <c r="M6484"/>
    </row>
    <row r="6485" spans="1:13" x14ac:dyDescent="0.15">
      <c r="A6485" t="s">
        <v>30</v>
      </c>
      <c r="F6485"/>
      <c r="M6485"/>
    </row>
    <row r="6486" spans="1:13" x14ac:dyDescent="0.15">
      <c r="A6486" t="s">
        <v>30</v>
      </c>
      <c r="F6486"/>
      <c r="M6486"/>
    </row>
    <row r="6487" spans="1:13" x14ac:dyDescent="0.15">
      <c r="A6487" t="s">
        <v>30</v>
      </c>
      <c r="F6487"/>
      <c r="M6487"/>
    </row>
    <row r="6488" spans="1:13" x14ac:dyDescent="0.15">
      <c r="A6488" t="s">
        <v>30</v>
      </c>
      <c r="F6488"/>
      <c r="M6488"/>
    </row>
    <row r="6489" spans="1:13" x14ac:dyDescent="0.15">
      <c r="A6489" t="s">
        <v>30</v>
      </c>
      <c r="F6489"/>
      <c r="M6489"/>
    </row>
    <row r="6490" spans="1:13" x14ac:dyDescent="0.15">
      <c r="A6490" t="s">
        <v>30</v>
      </c>
      <c r="F6490"/>
      <c r="M6490"/>
    </row>
    <row r="6491" spans="1:13" x14ac:dyDescent="0.15">
      <c r="A6491" t="s">
        <v>30</v>
      </c>
      <c r="F6491"/>
      <c r="M6491"/>
    </row>
    <row r="6492" spans="1:13" x14ac:dyDescent="0.15">
      <c r="A6492" t="s">
        <v>30</v>
      </c>
      <c r="F6492"/>
      <c r="M6492"/>
    </row>
    <row r="6493" spans="1:13" x14ac:dyDescent="0.15">
      <c r="A6493" t="s">
        <v>30</v>
      </c>
      <c r="F6493"/>
      <c r="M6493"/>
    </row>
    <row r="6494" spans="1:13" x14ac:dyDescent="0.15">
      <c r="A6494" t="s">
        <v>30</v>
      </c>
      <c r="F6494"/>
      <c r="M6494"/>
    </row>
    <row r="6495" spans="1:13" x14ac:dyDescent="0.15">
      <c r="A6495" t="s">
        <v>30</v>
      </c>
      <c r="F6495"/>
      <c r="M6495"/>
    </row>
    <row r="6496" spans="1:13" x14ac:dyDescent="0.15">
      <c r="A6496" t="s">
        <v>30</v>
      </c>
      <c r="F6496"/>
      <c r="M6496"/>
    </row>
    <row r="6497" spans="1:13" x14ac:dyDescent="0.15">
      <c r="A6497" t="s">
        <v>30</v>
      </c>
      <c r="F6497"/>
      <c r="M6497"/>
    </row>
    <row r="6498" spans="1:13" x14ac:dyDescent="0.15">
      <c r="A6498" t="s">
        <v>30</v>
      </c>
      <c r="F6498"/>
      <c r="M6498"/>
    </row>
    <row r="6499" spans="1:13" x14ac:dyDescent="0.15">
      <c r="A6499" t="s">
        <v>30</v>
      </c>
      <c r="F6499"/>
      <c r="M6499"/>
    </row>
    <row r="6500" spans="1:13" x14ac:dyDescent="0.15">
      <c r="A6500" t="s">
        <v>30</v>
      </c>
      <c r="F6500"/>
      <c r="M6500"/>
    </row>
    <row r="6501" spans="1:13" x14ac:dyDescent="0.15">
      <c r="A6501" t="s">
        <v>30</v>
      </c>
      <c r="F6501"/>
      <c r="M6501"/>
    </row>
    <row r="6502" spans="1:13" x14ac:dyDescent="0.15">
      <c r="A6502" t="s">
        <v>30</v>
      </c>
      <c r="F6502"/>
      <c r="M6502"/>
    </row>
    <row r="6503" spans="1:13" x14ac:dyDescent="0.15">
      <c r="A6503" t="s">
        <v>30</v>
      </c>
      <c r="F6503"/>
      <c r="M6503"/>
    </row>
    <row r="6504" spans="1:13" x14ac:dyDescent="0.15">
      <c r="A6504" t="s">
        <v>30</v>
      </c>
      <c r="F6504"/>
      <c r="M6504"/>
    </row>
    <row r="6505" spans="1:13" x14ac:dyDescent="0.15">
      <c r="A6505" t="s">
        <v>30</v>
      </c>
      <c r="F6505"/>
      <c r="M6505"/>
    </row>
    <row r="6506" spans="1:13" x14ac:dyDescent="0.15">
      <c r="A6506" t="s">
        <v>30</v>
      </c>
      <c r="F6506"/>
      <c r="M6506"/>
    </row>
    <row r="6507" spans="1:13" x14ac:dyDescent="0.15">
      <c r="A6507" t="s">
        <v>30</v>
      </c>
      <c r="F6507"/>
      <c r="M6507"/>
    </row>
    <row r="6508" spans="1:13" x14ac:dyDescent="0.15">
      <c r="A6508" t="s">
        <v>30</v>
      </c>
      <c r="F6508"/>
      <c r="M6508"/>
    </row>
    <row r="6509" spans="1:13" x14ac:dyDescent="0.15">
      <c r="A6509" t="s">
        <v>30</v>
      </c>
      <c r="F6509"/>
      <c r="M6509"/>
    </row>
    <row r="6510" spans="1:13" x14ac:dyDescent="0.15">
      <c r="A6510" t="s">
        <v>30</v>
      </c>
      <c r="F6510"/>
      <c r="M6510"/>
    </row>
    <row r="6511" spans="1:13" x14ac:dyDescent="0.15">
      <c r="A6511" t="s">
        <v>30</v>
      </c>
      <c r="F6511"/>
      <c r="M6511"/>
    </row>
    <row r="6512" spans="1:13" x14ac:dyDescent="0.15">
      <c r="A6512" t="s">
        <v>30</v>
      </c>
      <c r="F6512"/>
      <c r="M6512"/>
    </row>
    <row r="6513" spans="1:13" x14ac:dyDescent="0.15">
      <c r="A6513" t="s">
        <v>30</v>
      </c>
      <c r="F6513"/>
      <c r="M6513"/>
    </row>
    <row r="6514" spans="1:13" x14ac:dyDescent="0.15">
      <c r="A6514" t="s">
        <v>30</v>
      </c>
      <c r="F6514"/>
      <c r="M6514"/>
    </row>
    <row r="6515" spans="1:13" x14ac:dyDescent="0.15">
      <c r="A6515" t="s">
        <v>30</v>
      </c>
      <c r="F6515"/>
      <c r="M6515"/>
    </row>
    <row r="6516" spans="1:13" x14ac:dyDescent="0.15">
      <c r="A6516" t="s">
        <v>30</v>
      </c>
      <c r="F6516"/>
      <c r="M6516"/>
    </row>
    <row r="6517" spans="1:13" x14ac:dyDescent="0.15">
      <c r="A6517" t="s">
        <v>30</v>
      </c>
      <c r="F6517"/>
      <c r="M6517"/>
    </row>
    <row r="6518" spans="1:13" x14ac:dyDescent="0.15">
      <c r="A6518" t="s">
        <v>30</v>
      </c>
      <c r="F6518"/>
      <c r="M6518"/>
    </row>
    <row r="6519" spans="1:13" x14ac:dyDescent="0.15">
      <c r="A6519" t="s">
        <v>30</v>
      </c>
      <c r="F6519"/>
      <c r="M6519"/>
    </row>
    <row r="6520" spans="1:13" x14ac:dyDescent="0.15">
      <c r="A6520" t="s">
        <v>30</v>
      </c>
      <c r="F6520"/>
      <c r="M6520"/>
    </row>
    <row r="6521" spans="1:13" x14ac:dyDescent="0.15">
      <c r="A6521" t="s">
        <v>30</v>
      </c>
      <c r="F6521"/>
      <c r="M6521"/>
    </row>
    <row r="6522" spans="1:13" x14ac:dyDescent="0.15">
      <c r="A6522" t="s">
        <v>30</v>
      </c>
      <c r="F6522"/>
      <c r="M6522"/>
    </row>
    <row r="6523" spans="1:13" x14ac:dyDescent="0.15">
      <c r="A6523" t="s">
        <v>30</v>
      </c>
      <c r="F6523"/>
      <c r="M6523"/>
    </row>
    <row r="6524" spans="1:13" x14ac:dyDescent="0.15">
      <c r="A6524" t="s">
        <v>30</v>
      </c>
      <c r="F6524"/>
      <c r="M6524"/>
    </row>
    <row r="6525" spans="1:13" x14ac:dyDescent="0.15">
      <c r="A6525" t="s">
        <v>30</v>
      </c>
      <c r="F6525"/>
      <c r="M6525"/>
    </row>
    <row r="6526" spans="1:13" x14ac:dyDescent="0.15">
      <c r="A6526" t="s">
        <v>30</v>
      </c>
      <c r="F6526"/>
      <c r="M6526"/>
    </row>
    <row r="6527" spans="1:13" x14ac:dyDescent="0.15">
      <c r="A6527" t="s">
        <v>30</v>
      </c>
      <c r="F6527"/>
      <c r="M6527"/>
    </row>
    <row r="6528" spans="1:13" x14ac:dyDescent="0.15">
      <c r="A6528" t="s">
        <v>30</v>
      </c>
      <c r="F6528"/>
      <c r="M6528"/>
    </row>
    <row r="6529" spans="1:13" x14ac:dyDescent="0.15">
      <c r="A6529" t="s">
        <v>30</v>
      </c>
      <c r="F6529"/>
      <c r="M6529"/>
    </row>
    <row r="6530" spans="1:13" x14ac:dyDescent="0.15">
      <c r="A6530" t="s">
        <v>30</v>
      </c>
      <c r="F6530"/>
      <c r="M6530"/>
    </row>
    <row r="6531" spans="1:13" x14ac:dyDescent="0.15">
      <c r="A6531" t="s">
        <v>30</v>
      </c>
      <c r="F6531"/>
      <c r="M6531"/>
    </row>
    <row r="6532" spans="1:13" x14ac:dyDescent="0.15">
      <c r="A6532" t="s">
        <v>30</v>
      </c>
      <c r="F6532"/>
      <c r="M6532"/>
    </row>
    <row r="6533" spans="1:13" x14ac:dyDescent="0.15">
      <c r="A6533" t="s">
        <v>30</v>
      </c>
      <c r="F6533"/>
      <c r="M6533"/>
    </row>
    <row r="6534" spans="1:13" x14ac:dyDescent="0.15">
      <c r="A6534" t="s">
        <v>30</v>
      </c>
      <c r="F6534"/>
      <c r="M6534"/>
    </row>
    <row r="6535" spans="1:13" x14ac:dyDescent="0.15">
      <c r="A6535" t="s">
        <v>30</v>
      </c>
      <c r="F6535"/>
      <c r="M6535"/>
    </row>
    <row r="6536" spans="1:13" x14ac:dyDescent="0.15">
      <c r="A6536" t="s">
        <v>30</v>
      </c>
      <c r="F6536"/>
      <c r="M6536"/>
    </row>
    <row r="6537" spans="1:13" x14ac:dyDescent="0.15">
      <c r="A6537" t="s">
        <v>30</v>
      </c>
      <c r="F6537"/>
      <c r="M6537"/>
    </row>
    <row r="6538" spans="1:13" x14ac:dyDescent="0.15">
      <c r="A6538" t="s">
        <v>30</v>
      </c>
      <c r="F6538"/>
      <c r="M6538"/>
    </row>
    <row r="6539" spans="1:13" x14ac:dyDescent="0.15">
      <c r="A6539" t="s">
        <v>30</v>
      </c>
      <c r="F6539"/>
      <c r="M6539"/>
    </row>
    <row r="6540" spans="1:13" x14ac:dyDescent="0.15">
      <c r="A6540" t="s">
        <v>30</v>
      </c>
      <c r="F6540"/>
      <c r="M6540"/>
    </row>
    <row r="6541" spans="1:13" x14ac:dyDescent="0.15">
      <c r="A6541" t="s">
        <v>30</v>
      </c>
      <c r="F6541"/>
      <c r="M6541"/>
    </row>
    <row r="6542" spans="1:13" x14ac:dyDescent="0.15">
      <c r="A6542" t="s">
        <v>30</v>
      </c>
      <c r="F6542"/>
      <c r="M6542"/>
    </row>
    <row r="6543" spans="1:13" x14ac:dyDescent="0.15">
      <c r="A6543" t="s">
        <v>30</v>
      </c>
      <c r="F6543"/>
      <c r="M6543"/>
    </row>
    <row r="6544" spans="1:13" x14ac:dyDescent="0.15">
      <c r="A6544" t="s">
        <v>30</v>
      </c>
      <c r="F6544"/>
      <c r="M6544"/>
    </row>
    <row r="6545" spans="1:13" x14ac:dyDescent="0.15">
      <c r="A6545" t="s">
        <v>30</v>
      </c>
      <c r="F6545"/>
      <c r="M6545"/>
    </row>
    <row r="6546" spans="1:13" x14ac:dyDescent="0.15">
      <c r="A6546" t="s">
        <v>30</v>
      </c>
      <c r="F6546"/>
      <c r="M6546"/>
    </row>
    <row r="6547" spans="1:13" x14ac:dyDescent="0.15">
      <c r="A6547" t="s">
        <v>30</v>
      </c>
      <c r="F6547"/>
      <c r="M6547"/>
    </row>
    <row r="6548" spans="1:13" x14ac:dyDescent="0.15">
      <c r="A6548" t="s">
        <v>30</v>
      </c>
      <c r="F6548"/>
      <c r="M6548"/>
    </row>
    <row r="6549" spans="1:13" x14ac:dyDescent="0.15">
      <c r="A6549" t="s">
        <v>30</v>
      </c>
      <c r="F6549"/>
      <c r="M6549"/>
    </row>
    <row r="6550" spans="1:13" x14ac:dyDescent="0.15">
      <c r="A6550" t="s">
        <v>30</v>
      </c>
      <c r="F6550"/>
      <c r="M6550"/>
    </row>
    <row r="6551" spans="1:13" x14ac:dyDescent="0.15">
      <c r="A6551" t="s">
        <v>30</v>
      </c>
      <c r="F6551"/>
      <c r="M6551"/>
    </row>
    <row r="6552" spans="1:13" x14ac:dyDescent="0.15">
      <c r="A6552" t="s">
        <v>30</v>
      </c>
      <c r="F6552"/>
      <c r="M6552"/>
    </row>
    <row r="6553" spans="1:13" x14ac:dyDescent="0.15">
      <c r="A6553" t="s">
        <v>30</v>
      </c>
      <c r="F6553"/>
      <c r="M6553"/>
    </row>
    <row r="6554" spans="1:13" x14ac:dyDescent="0.15">
      <c r="A6554" t="s">
        <v>30</v>
      </c>
      <c r="F6554"/>
      <c r="M6554"/>
    </row>
    <row r="6555" spans="1:13" x14ac:dyDescent="0.15">
      <c r="A6555" t="s">
        <v>30</v>
      </c>
      <c r="F6555"/>
      <c r="M6555"/>
    </row>
    <row r="6556" spans="1:13" x14ac:dyDescent="0.15">
      <c r="A6556" t="s">
        <v>30</v>
      </c>
      <c r="F6556"/>
      <c r="M6556"/>
    </row>
    <row r="6557" spans="1:13" x14ac:dyDescent="0.15">
      <c r="A6557" t="s">
        <v>30</v>
      </c>
      <c r="F6557"/>
      <c r="M6557"/>
    </row>
    <row r="6558" spans="1:13" x14ac:dyDescent="0.15">
      <c r="A6558" t="s">
        <v>30</v>
      </c>
      <c r="F6558"/>
      <c r="M6558"/>
    </row>
    <row r="6559" spans="1:13" x14ac:dyDescent="0.15">
      <c r="A6559" t="s">
        <v>30</v>
      </c>
      <c r="F6559"/>
      <c r="M6559"/>
    </row>
    <row r="6560" spans="1:13" x14ac:dyDescent="0.15">
      <c r="A6560" t="s">
        <v>30</v>
      </c>
      <c r="F6560"/>
      <c r="M6560"/>
    </row>
    <row r="6561" spans="1:13" x14ac:dyDescent="0.15">
      <c r="A6561" t="s">
        <v>30</v>
      </c>
      <c r="F6561"/>
      <c r="M6561"/>
    </row>
    <row r="6562" spans="1:13" x14ac:dyDescent="0.15">
      <c r="A6562" t="s">
        <v>30</v>
      </c>
      <c r="F6562"/>
      <c r="M6562"/>
    </row>
    <row r="6563" spans="1:13" x14ac:dyDescent="0.15">
      <c r="A6563" t="s">
        <v>30</v>
      </c>
      <c r="F6563"/>
      <c r="M6563"/>
    </row>
    <row r="6564" spans="1:13" x14ac:dyDescent="0.15">
      <c r="A6564" t="s">
        <v>30</v>
      </c>
      <c r="F6564"/>
      <c r="M6564"/>
    </row>
    <row r="6565" spans="1:13" x14ac:dyDescent="0.15">
      <c r="A6565" t="s">
        <v>30</v>
      </c>
      <c r="F6565"/>
      <c r="M6565"/>
    </row>
    <row r="6566" spans="1:13" x14ac:dyDescent="0.15">
      <c r="A6566" t="s">
        <v>30</v>
      </c>
      <c r="F6566"/>
      <c r="M6566"/>
    </row>
    <row r="6567" spans="1:13" x14ac:dyDescent="0.15">
      <c r="A6567" t="s">
        <v>30</v>
      </c>
      <c r="F6567"/>
      <c r="M6567"/>
    </row>
    <row r="6568" spans="1:13" x14ac:dyDescent="0.15">
      <c r="A6568" t="s">
        <v>30</v>
      </c>
      <c r="F6568"/>
      <c r="M6568"/>
    </row>
    <row r="6569" spans="1:13" x14ac:dyDescent="0.15">
      <c r="A6569" t="s">
        <v>30</v>
      </c>
      <c r="F6569"/>
      <c r="M6569"/>
    </row>
    <row r="6570" spans="1:13" x14ac:dyDescent="0.15">
      <c r="A6570" t="s">
        <v>30</v>
      </c>
      <c r="F6570"/>
      <c r="M6570"/>
    </row>
    <row r="6571" spans="1:13" x14ac:dyDescent="0.15">
      <c r="A6571" t="s">
        <v>30</v>
      </c>
      <c r="F6571"/>
      <c r="M6571"/>
    </row>
    <row r="6572" spans="1:13" x14ac:dyDescent="0.15">
      <c r="A6572" t="s">
        <v>30</v>
      </c>
      <c r="F6572"/>
      <c r="M6572"/>
    </row>
    <row r="6573" spans="1:13" x14ac:dyDescent="0.15">
      <c r="A6573" t="s">
        <v>30</v>
      </c>
      <c r="F6573"/>
      <c r="M6573"/>
    </row>
    <row r="6574" spans="1:13" x14ac:dyDescent="0.15">
      <c r="A6574" t="s">
        <v>30</v>
      </c>
      <c r="F6574"/>
      <c r="M6574"/>
    </row>
    <row r="6575" spans="1:13" x14ac:dyDescent="0.15">
      <c r="A6575" t="s">
        <v>30</v>
      </c>
      <c r="F6575"/>
      <c r="M6575"/>
    </row>
    <row r="6576" spans="1:13" x14ac:dyDescent="0.15">
      <c r="A6576" t="s">
        <v>30</v>
      </c>
      <c r="F6576"/>
      <c r="M6576"/>
    </row>
    <row r="6577" spans="1:13" x14ac:dyDescent="0.15">
      <c r="A6577" t="s">
        <v>30</v>
      </c>
      <c r="F6577"/>
      <c r="M6577"/>
    </row>
    <row r="6578" spans="1:13" x14ac:dyDescent="0.15">
      <c r="A6578" t="s">
        <v>30</v>
      </c>
      <c r="F6578"/>
      <c r="M6578"/>
    </row>
    <row r="6579" spans="1:13" x14ac:dyDescent="0.15">
      <c r="A6579" t="s">
        <v>30</v>
      </c>
      <c r="F6579"/>
      <c r="M6579"/>
    </row>
    <row r="6580" spans="1:13" x14ac:dyDescent="0.15">
      <c r="A6580" t="s">
        <v>30</v>
      </c>
      <c r="F6580"/>
      <c r="M6580"/>
    </row>
    <row r="6581" spans="1:13" x14ac:dyDescent="0.15">
      <c r="A6581" t="s">
        <v>30</v>
      </c>
      <c r="F6581"/>
      <c r="M6581"/>
    </row>
    <row r="6582" spans="1:13" x14ac:dyDescent="0.15">
      <c r="A6582" t="s">
        <v>30</v>
      </c>
      <c r="F6582"/>
      <c r="M6582"/>
    </row>
    <row r="6583" spans="1:13" x14ac:dyDescent="0.15">
      <c r="A6583" t="s">
        <v>30</v>
      </c>
      <c r="F6583"/>
      <c r="M6583"/>
    </row>
    <row r="6584" spans="1:13" x14ac:dyDescent="0.15">
      <c r="A6584" t="s">
        <v>30</v>
      </c>
      <c r="F6584"/>
      <c r="M6584"/>
    </row>
    <row r="6585" spans="1:13" x14ac:dyDescent="0.15">
      <c r="A6585" t="s">
        <v>30</v>
      </c>
      <c r="F6585"/>
      <c r="M6585"/>
    </row>
    <row r="6586" spans="1:13" x14ac:dyDescent="0.15">
      <c r="A6586" t="s">
        <v>30</v>
      </c>
      <c r="F6586"/>
      <c r="M6586"/>
    </row>
    <row r="6587" spans="1:13" x14ac:dyDescent="0.15">
      <c r="A6587" t="s">
        <v>30</v>
      </c>
      <c r="F6587"/>
      <c r="M6587"/>
    </row>
    <row r="6588" spans="1:13" x14ac:dyDescent="0.15">
      <c r="A6588" t="s">
        <v>30</v>
      </c>
      <c r="F6588"/>
      <c r="M6588"/>
    </row>
    <row r="6589" spans="1:13" x14ac:dyDescent="0.15">
      <c r="A6589" t="s">
        <v>30</v>
      </c>
      <c r="F6589"/>
      <c r="M6589"/>
    </row>
    <row r="6590" spans="1:13" x14ac:dyDescent="0.15">
      <c r="A6590" t="s">
        <v>30</v>
      </c>
      <c r="F6590"/>
      <c r="M6590"/>
    </row>
    <row r="6591" spans="1:13" x14ac:dyDescent="0.15">
      <c r="A6591" t="s">
        <v>30</v>
      </c>
      <c r="F6591"/>
      <c r="M6591"/>
    </row>
    <row r="6592" spans="1:13" x14ac:dyDescent="0.15">
      <c r="A6592" t="s">
        <v>30</v>
      </c>
      <c r="F6592"/>
      <c r="M6592"/>
    </row>
    <row r="6593" spans="1:13" x14ac:dyDescent="0.15">
      <c r="A6593" t="s">
        <v>30</v>
      </c>
      <c r="F6593"/>
      <c r="M6593"/>
    </row>
    <row r="6594" spans="1:13" x14ac:dyDescent="0.15">
      <c r="A6594" t="s">
        <v>30</v>
      </c>
      <c r="F6594"/>
      <c r="M6594"/>
    </row>
    <row r="6595" spans="1:13" x14ac:dyDescent="0.15">
      <c r="A6595" t="s">
        <v>30</v>
      </c>
      <c r="F6595"/>
      <c r="M6595"/>
    </row>
    <row r="6596" spans="1:13" x14ac:dyDescent="0.15">
      <c r="A6596" t="s">
        <v>30</v>
      </c>
      <c r="F6596"/>
      <c r="M6596"/>
    </row>
    <row r="6597" spans="1:13" x14ac:dyDescent="0.15">
      <c r="A6597" t="s">
        <v>30</v>
      </c>
      <c r="F6597"/>
      <c r="M6597"/>
    </row>
    <row r="6598" spans="1:13" x14ac:dyDescent="0.15">
      <c r="A6598" t="s">
        <v>30</v>
      </c>
      <c r="F6598"/>
      <c r="M6598"/>
    </row>
    <row r="6599" spans="1:13" x14ac:dyDescent="0.15">
      <c r="A6599" t="s">
        <v>30</v>
      </c>
      <c r="F6599"/>
      <c r="M6599"/>
    </row>
    <row r="6600" spans="1:13" x14ac:dyDescent="0.15">
      <c r="A6600" t="s">
        <v>30</v>
      </c>
      <c r="F6600"/>
      <c r="M6600"/>
    </row>
    <row r="6601" spans="1:13" x14ac:dyDescent="0.15">
      <c r="A6601" t="s">
        <v>30</v>
      </c>
      <c r="F6601"/>
      <c r="M6601"/>
    </row>
    <row r="6602" spans="1:13" x14ac:dyDescent="0.15">
      <c r="A6602" t="s">
        <v>30</v>
      </c>
      <c r="F6602"/>
      <c r="M6602"/>
    </row>
    <row r="6603" spans="1:13" x14ac:dyDescent="0.15">
      <c r="A6603" t="s">
        <v>30</v>
      </c>
      <c r="F6603"/>
      <c r="M6603"/>
    </row>
    <row r="6604" spans="1:13" x14ac:dyDescent="0.15">
      <c r="A6604" t="s">
        <v>30</v>
      </c>
      <c r="F6604"/>
      <c r="M6604"/>
    </row>
    <row r="6605" spans="1:13" x14ac:dyDescent="0.15">
      <c r="A6605" t="s">
        <v>30</v>
      </c>
      <c r="F6605"/>
      <c r="M6605"/>
    </row>
    <row r="6606" spans="1:13" x14ac:dyDescent="0.15">
      <c r="A6606" t="s">
        <v>30</v>
      </c>
      <c r="F6606"/>
      <c r="M6606"/>
    </row>
    <row r="6607" spans="1:13" x14ac:dyDescent="0.15">
      <c r="A6607" t="s">
        <v>30</v>
      </c>
      <c r="F6607"/>
      <c r="M6607"/>
    </row>
    <row r="6608" spans="1:13" x14ac:dyDescent="0.15">
      <c r="A6608" t="s">
        <v>30</v>
      </c>
      <c r="F6608"/>
      <c r="M6608"/>
    </row>
    <row r="6609" spans="1:13" x14ac:dyDescent="0.15">
      <c r="A6609" t="s">
        <v>30</v>
      </c>
      <c r="F6609"/>
      <c r="M6609"/>
    </row>
    <row r="6610" spans="1:13" x14ac:dyDescent="0.15">
      <c r="A6610" t="s">
        <v>30</v>
      </c>
      <c r="F6610"/>
      <c r="M6610"/>
    </row>
    <row r="6611" spans="1:13" x14ac:dyDescent="0.15">
      <c r="A6611" t="s">
        <v>30</v>
      </c>
      <c r="F6611"/>
      <c r="M6611"/>
    </row>
    <row r="6612" spans="1:13" x14ac:dyDescent="0.15">
      <c r="A6612" t="s">
        <v>30</v>
      </c>
      <c r="F6612"/>
      <c r="M6612"/>
    </row>
    <row r="6613" spans="1:13" x14ac:dyDescent="0.15">
      <c r="A6613" t="s">
        <v>30</v>
      </c>
      <c r="F6613"/>
      <c r="M6613"/>
    </row>
    <row r="6614" spans="1:13" x14ac:dyDescent="0.15">
      <c r="A6614" t="s">
        <v>30</v>
      </c>
      <c r="F6614"/>
      <c r="M6614"/>
    </row>
    <row r="6615" spans="1:13" x14ac:dyDescent="0.15">
      <c r="A6615" t="s">
        <v>30</v>
      </c>
      <c r="F6615"/>
      <c r="M6615"/>
    </row>
    <row r="6616" spans="1:13" x14ac:dyDescent="0.15">
      <c r="A6616" t="s">
        <v>30</v>
      </c>
      <c r="F6616"/>
      <c r="M6616"/>
    </row>
    <row r="6617" spans="1:13" x14ac:dyDescent="0.15">
      <c r="A6617" t="s">
        <v>30</v>
      </c>
      <c r="F6617"/>
      <c r="M6617"/>
    </row>
    <row r="6618" spans="1:13" x14ac:dyDescent="0.15">
      <c r="A6618" t="s">
        <v>30</v>
      </c>
      <c r="F6618"/>
      <c r="M6618"/>
    </row>
    <row r="6619" spans="1:13" x14ac:dyDescent="0.15">
      <c r="A6619" t="s">
        <v>30</v>
      </c>
      <c r="F6619"/>
      <c r="M6619"/>
    </row>
    <row r="6620" spans="1:13" x14ac:dyDescent="0.15">
      <c r="A6620" t="s">
        <v>30</v>
      </c>
      <c r="F6620"/>
      <c r="M6620"/>
    </row>
    <row r="6621" spans="1:13" x14ac:dyDescent="0.15">
      <c r="A6621" t="s">
        <v>30</v>
      </c>
      <c r="F6621"/>
      <c r="M6621"/>
    </row>
    <row r="6622" spans="1:13" x14ac:dyDescent="0.15">
      <c r="A6622" t="s">
        <v>30</v>
      </c>
      <c r="F6622"/>
      <c r="M6622"/>
    </row>
    <row r="6623" spans="1:13" x14ac:dyDescent="0.15">
      <c r="A6623" t="s">
        <v>30</v>
      </c>
      <c r="F6623"/>
      <c r="M6623"/>
    </row>
    <row r="6624" spans="1:13" x14ac:dyDescent="0.15">
      <c r="A6624" t="s">
        <v>30</v>
      </c>
      <c r="F6624"/>
      <c r="M6624"/>
    </row>
    <row r="6625" spans="1:13" x14ac:dyDescent="0.15">
      <c r="A6625" t="s">
        <v>30</v>
      </c>
      <c r="F6625"/>
      <c r="M6625"/>
    </row>
    <row r="6626" spans="1:13" x14ac:dyDescent="0.15">
      <c r="A6626" t="s">
        <v>30</v>
      </c>
      <c r="F6626"/>
      <c r="M6626"/>
    </row>
    <row r="6627" spans="1:13" x14ac:dyDescent="0.15">
      <c r="A6627" t="s">
        <v>30</v>
      </c>
      <c r="F6627"/>
      <c r="M6627"/>
    </row>
    <row r="6628" spans="1:13" x14ac:dyDescent="0.15">
      <c r="A6628" t="s">
        <v>30</v>
      </c>
      <c r="F6628"/>
      <c r="M6628"/>
    </row>
    <row r="6629" spans="1:13" x14ac:dyDescent="0.15">
      <c r="A6629" t="s">
        <v>30</v>
      </c>
      <c r="F6629"/>
      <c r="M6629"/>
    </row>
    <row r="6630" spans="1:13" x14ac:dyDescent="0.15">
      <c r="A6630" t="s">
        <v>30</v>
      </c>
      <c r="F6630"/>
      <c r="M6630"/>
    </row>
    <row r="6631" spans="1:13" x14ac:dyDescent="0.15">
      <c r="A6631" t="s">
        <v>30</v>
      </c>
      <c r="F6631"/>
      <c r="M6631"/>
    </row>
    <row r="6632" spans="1:13" x14ac:dyDescent="0.15">
      <c r="A6632" t="s">
        <v>30</v>
      </c>
      <c r="F6632"/>
      <c r="M6632"/>
    </row>
    <row r="6633" spans="1:13" x14ac:dyDescent="0.15">
      <c r="A6633" t="s">
        <v>30</v>
      </c>
      <c r="F6633"/>
      <c r="M6633"/>
    </row>
    <row r="6634" spans="1:13" x14ac:dyDescent="0.15">
      <c r="A6634" t="s">
        <v>30</v>
      </c>
      <c r="F6634"/>
      <c r="M6634"/>
    </row>
    <row r="6635" spans="1:13" x14ac:dyDescent="0.15">
      <c r="A6635" t="s">
        <v>30</v>
      </c>
      <c r="F6635"/>
      <c r="M6635"/>
    </row>
    <row r="6636" spans="1:13" x14ac:dyDescent="0.15">
      <c r="A6636" t="s">
        <v>30</v>
      </c>
      <c r="F6636"/>
      <c r="M6636"/>
    </row>
    <row r="6637" spans="1:13" x14ac:dyDescent="0.15">
      <c r="A6637" t="s">
        <v>30</v>
      </c>
      <c r="F6637"/>
      <c r="M6637"/>
    </row>
    <row r="6638" spans="1:13" x14ac:dyDescent="0.15">
      <c r="A6638" t="s">
        <v>30</v>
      </c>
      <c r="F6638"/>
      <c r="M6638"/>
    </row>
    <row r="6639" spans="1:13" x14ac:dyDescent="0.15">
      <c r="A6639" t="s">
        <v>30</v>
      </c>
      <c r="F6639"/>
      <c r="M6639"/>
    </row>
    <row r="6640" spans="1:13" x14ac:dyDescent="0.15">
      <c r="A6640" t="s">
        <v>30</v>
      </c>
      <c r="F6640"/>
      <c r="M6640"/>
    </row>
    <row r="6641" spans="1:13" x14ac:dyDescent="0.15">
      <c r="A6641" t="s">
        <v>30</v>
      </c>
      <c r="F6641"/>
      <c r="M6641"/>
    </row>
    <row r="6642" spans="1:13" x14ac:dyDescent="0.15">
      <c r="A6642" t="s">
        <v>30</v>
      </c>
      <c r="F6642"/>
      <c r="M6642"/>
    </row>
    <row r="6643" spans="1:13" x14ac:dyDescent="0.15">
      <c r="A6643" t="s">
        <v>30</v>
      </c>
      <c r="F6643"/>
      <c r="M6643"/>
    </row>
    <row r="6644" spans="1:13" x14ac:dyDescent="0.15">
      <c r="A6644" t="s">
        <v>30</v>
      </c>
      <c r="F6644"/>
      <c r="M6644"/>
    </row>
    <row r="6645" spans="1:13" x14ac:dyDescent="0.15">
      <c r="A6645" t="s">
        <v>30</v>
      </c>
      <c r="F6645"/>
      <c r="M6645"/>
    </row>
    <row r="6646" spans="1:13" x14ac:dyDescent="0.15">
      <c r="A6646" t="s">
        <v>30</v>
      </c>
      <c r="F6646"/>
      <c r="M6646"/>
    </row>
    <row r="6647" spans="1:13" x14ac:dyDescent="0.15">
      <c r="A6647" t="s">
        <v>30</v>
      </c>
      <c r="F6647"/>
      <c r="M6647"/>
    </row>
    <row r="6648" spans="1:13" x14ac:dyDescent="0.15">
      <c r="A6648" t="s">
        <v>30</v>
      </c>
      <c r="F6648"/>
      <c r="M6648"/>
    </row>
    <row r="6649" spans="1:13" x14ac:dyDescent="0.15">
      <c r="A6649" t="s">
        <v>30</v>
      </c>
      <c r="F6649"/>
      <c r="M6649"/>
    </row>
    <row r="6650" spans="1:13" x14ac:dyDescent="0.15">
      <c r="A6650" t="s">
        <v>30</v>
      </c>
      <c r="F6650"/>
      <c r="M6650"/>
    </row>
    <row r="6651" spans="1:13" x14ac:dyDescent="0.15">
      <c r="A6651" t="s">
        <v>30</v>
      </c>
      <c r="F6651"/>
      <c r="M6651"/>
    </row>
    <row r="6652" spans="1:13" x14ac:dyDescent="0.15">
      <c r="A6652" t="s">
        <v>30</v>
      </c>
      <c r="F6652"/>
      <c r="M6652"/>
    </row>
    <row r="6653" spans="1:13" x14ac:dyDescent="0.15">
      <c r="A6653" t="s">
        <v>30</v>
      </c>
      <c r="F6653"/>
      <c r="M6653"/>
    </row>
    <row r="6654" spans="1:13" x14ac:dyDescent="0.15">
      <c r="A6654" t="s">
        <v>30</v>
      </c>
      <c r="F6654"/>
      <c r="M6654"/>
    </row>
    <row r="6655" spans="1:13" x14ac:dyDescent="0.15">
      <c r="A6655" t="s">
        <v>30</v>
      </c>
      <c r="F6655"/>
      <c r="M6655"/>
    </row>
    <row r="6656" spans="1:13" x14ac:dyDescent="0.15">
      <c r="A6656" t="s">
        <v>30</v>
      </c>
      <c r="F6656"/>
      <c r="M6656"/>
    </row>
    <row r="6657" spans="1:13" x14ac:dyDescent="0.15">
      <c r="A6657" t="s">
        <v>30</v>
      </c>
      <c r="F6657"/>
      <c r="M6657"/>
    </row>
    <row r="6658" spans="1:13" x14ac:dyDescent="0.15">
      <c r="A6658" t="s">
        <v>30</v>
      </c>
      <c r="F6658"/>
      <c r="M6658"/>
    </row>
    <row r="6659" spans="1:13" x14ac:dyDescent="0.15">
      <c r="A6659" t="s">
        <v>30</v>
      </c>
      <c r="F6659"/>
      <c r="M6659"/>
    </row>
    <row r="6660" spans="1:13" x14ac:dyDescent="0.15">
      <c r="A6660" t="s">
        <v>30</v>
      </c>
      <c r="F6660"/>
      <c r="M6660"/>
    </row>
    <row r="6661" spans="1:13" x14ac:dyDescent="0.15">
      <c r="A6661" t="s">
        <v>30</v>
      </c>
      <c r="F6661"/>
      <c r="M6661"/>
    </row>
    <row r="6662" spans="1:13" x14ac:dyDescent="0.15">
      <c r="A6662" t="s">
        <v>30</v>
      </c>
      <c r="F6662"/>
      <c r="M6662"/>
    </row>
    <row r="6663" spans="1:13" x14ac:dyDescent="0.15">
      <c r="A6663" t="s">
        <v>30</v>
      </c>
      <c r="F6663"/>
      <c r="M6663"/>
    </row>
    <row r="6664" spans="1:13" x14ac:dyDescent="0.15">
      <c r="A6664" t="s">
        <v>30</v>
      </c>
      <c r="F6664"/>
      <c r="M6664"/>
    </row>
    <row r="6665" spans="1:13" x14ac:dyDescent="0.15">
      <c r="A6665" t="s">
        <v>30</v>
      </c>
      <c r="F6665"/>
      <c r="M6665"/>
    </row>
    <row r="6666" spans="1:13" x14ac:dyDescent="0.15">
      <c r="A6666" t="s">
        <v>30</v>
      </c>
      <c r="F6666"/>
      <c r="M6666"/>
    </row>
    <row r="6667" spans="1:13" x14ac:dyDescent="0.15">
      <c r="A6667" t="s">
        <v>30</v>
      </c>
      <c r="F6667"/>
      <c r="M6667"/>
    </row>
    <row r="6668" spans="1:13" x14ac:dyDescent="0.15">
      <c r="A6668" t="s">
        <v>30</v>
      </c>
      <c r="F6668"/>
      <c r="M6668"/>
    </row>
    <row r="6669" spans="1:13" x14ac:dyDescent="0.15">
      <c r="A6669" t="s">
        <v>30</v>
      </c>
      <c r="F6669"/>
      <c r="M6669"/>
    </row>
    <row r="6670" spans="1:13" x14ac:dyDescent="0.15">
      <c r="A6670" t="s">
        <v>30</v>
      </c>
      <c r="F6670"/>
      <c r="M6670"/>
    </row>
    <row r="6671" spans="1:13" x14ac:dyDescent="0.15">
      <c r="A6671" t="s">
        <v>30</v>
      </c>
      <c r="F6671"/>
      <c r="M6671"/>
    </row>
    <row r="6672" spans="1:13" x14ac:dyDescent="0.15">
      <c r="A6672" t="s">
        <v>30</v>
      </c>
      <c r="F6672"/>
      <c r="M6672"/>
    </row>
    <row r="6673" spans="1:13" x14ac:dyDescent="0.15">
      <c r="A6673" t="s">
        <v>30</v>
      </c>
      <c r="F6673"/>
      <c r="M6673"/>
    </row>
    <row r="6674" spans="1:13" x14ac:dyDescent="0.15">
      <c r="A6674" t="s">
        <v>30</v>
      </c>
      <c r="F6674"/>
      <c r="M6674"/>
    </row>
    <row r="6675" spans="1:13" x14ac:dyDescent="0.15">
      <c r="A6675" t="s">
        <v>30</v>
      </c>
      <c r="F6675"/>
      <c r="M6675"/>
    </row>
    <row r="6676" spans="1:13" x14ac:dyDescent="0.15">
      <c r="A6676" t="s">
        <v>30</v>
      </c>
      <c r="F6676"/>
      <c r="M6676"/>
    </row>
    <row r="6677" spans="1:13" x14ac:dyDescent="0.15">
      <c r="A6677" t="s">
        <v>30</v>
      </c>
      <c r="F6677"/>
      <c r="M6677"/>
    </row>
    <row r="6678" spans="1:13" x14ac:dyDescent="0.15">
      <c r="A6678" t="s">
        <v>30</v>
      </c>
      <c r="F6678"/>
      <c r="M6678"/>
    </row>
    <row r="6679" spans="1:13" x14ac:dyDescent="0.15">
      <c r="A6679" t="s">
        <v>30</v>
      </c>
      <c r="F6679"/>
      <c r="M6679"/>
    </row>
    <row r="6680" spans="1:13" x14ac:dyDescent="0.15">
      <c r="A6680" t="s">
        <v>30</v>
      </c>
      <c r="F6680"/>
      <c r="M6680"/>
    </row>
    <row r="6681" spans="1:13" x14ac:dyDescent="0.15">
      <c r="A6681" t="s">
        <v>30</v>
      </c>
      <c r="F6681"/>
      <c r="M6681"/>
    </row>
    <row r="6682" spans="1:13" x14ac:dyDescent="0.15">
      <c r="A6682" t="s">
        <v>30</v>
      </c>
      <c r="F6682"/>
      <c r="M6682"/>
    </row>
    <row r="6683" spans="1:13" x14ac:dyDescent="0.15">
      <c r="A6683" t="s">
        <v>30</v>
      </c>
      <c r="F6683"/>
      <c r="M6683"/>
    </row>
    <row r="6684" spans="1:13" x14ac:dyDescent="0.15">
      <c r="A6684" t="s">
        <v>30</v>
      </c>
      <c r="F6684"/>
      <c r="M6684"/>
    </row>
    <row r="6685" spans="1:13" x14ac:dyDescent="0.15">
      <c r="A6685" t="s">
        <v>30</v>
      </c>
      <c r="F6685"/>
      <c r="M6685"/>
    </row>
    <row r="6686" spans="1:13" x14ac:dyDescent="0.15">
      <c r="A6686" t="s">
        <v>30</v>
      </c>
      <c r="F6686"/>
      <c r="M6686"/>
    </row>
    <row r="6687" spans="1:13" x14ac:dyDescent="0.15">
      <c r="A6687" t="s">
        <v>30</v>
      </c>
      <c r="F6687"/>
      <c r="M6687"/>
    </row>
    <row r="6688" spans="1:13" x14ac:dyDescent="0.15">
      <c r="A6688" t="s">
        <v>30</v>
      </c>
      <c r="F6688"/>
      <c r="M6688"/>
    </row>
    <row r="6689" spans="1:13" x14ac:dyDescent="0.15">
      <c r="A6689" t="s">
        <v>30</v>
      </c>
      <c r="F6689"/>
      <c r="M6689"/>
    </row>
    <row r="6690" spans="1:13" x14ac:dyDescent="0.15">
      <c r="A6690" t="s">
        <v>30</v>
      </c>
      <c r="F6690"/>
      <c r="M6690"/>
    </row>
    <row r="6691" spans="1:13" x14ac:dyDescent="0.15">
      <c r="A6691" t="s">
        <v>30</v>
      </c>
      <c r="F6691"/>
      <c r="M6691"/>
    </row>
    <row r="6692" spans="1:13" x14ac:dyDescent="0.15">
      <c r="A6692" t="s">
        <v>30</v>
      </c>
      <c r="F6692"/>
      <c r="M6692"/>
    </row>
    <row r="6693" spans="1:13" x14ac:dyDescent="0.15">
      <c r="A6693" t="s">
        <v>30</v>
      </c>
      <c r="F6693"/>
      <c r="M6693"/>
    </row>
    <row r="6694" spans="1:13" x14ac:dyDescent="0.15">
      <c r="A6694" t="s">
        <v>30</v>
      </c>
      <c r="F6694"/>
      <c r="M6694"/>
    </row>
    <row r="6695" spans="1:13" x14ac:dyDescent="0.15">
      <c r="A6695" t="s">
        <v>30</v>
      </c>
      <c r="F6695"/>
      <c r="M6695"/>
    </row>
    <row r="6696" spans="1:13" x14ac:dyDescent="0.15">
      <c r="A6696" t="s">
        <v>30</v>
      </c>
      <c r="F6696"/>
      <c r="M6696"/>
    </row>
    <row r="6697" spans="1:13" x14ac:dyDescent="0.15">
      <c r="A6697" t="s">
        <v>30</v>
      </c>
      <c r="F6697"/>
      <c r="M6697"/>
    </row>
    <row r="6698" spans="1:13" x14ac:dyDescent="0.15">
      <c r="A6698" t="s">
        <v>30</v>
      </c>
      <c r="F6698"/>
      <c r="M6698"/>
    </row>
    <row r="6699" spans="1:13" x14ac:dyDescent="0.15">
      <c r="A6699" t="s">
        <v>30</v>
      </c>
      <c r="F6699"/>
      <c r="M6699"/>
    </row>
    <row r="6700" spans="1:13" x14ac:dyDescent="0.15">
      <c r="A6700" t="s">
        <v>30</v>
      </c>
      <c r="F6700"/>
      <c r="M6700"/>
    </row>
    <row r="6701" spans="1:13" x14ac:dyDescent="0.15">
      <c r="A6701" t="s">
        <v>30</v>
      </c>
      <c r="F6701"/>
      <c r="M6701"/>
    </row>
    <row r="6702" spans="1:13" x14ac:dyDescent="0.15">
      <c r="A6702" t="s">
        <v>30</v>
      </c>
      <c r="F6702"/>
      <c r="M6702"/>
    </row>
    <row r="6703" spans="1:13" x14ac:dyDescent="0.15">
      <c r="A6703" t="s">
        <v>30</v>
      </c>
      <c r="F6703"/>
      <c r="M6703"/>
    </row>
    <row r="6704" spans="1:13" x14ac:dyDescent="0.15">
      <c r="A6704" t="s">
        <v>30</v>
      </c>
      <c r="F6704"/>
      <c r="M6704"/>
    </row>
    <row r="6705" spans="1:13" x14ac:dyDescent="0.15">
      <c r="A6705" t="s">
        <v>30</v>
      </c>
      <c r="F6705"/>
      <c r="M6705"/>
    </row>
    <row r="6706" spans="1:13" x14ac:dyDescent="0.15">
      <c r="A6706" t="s">
        <v>30</v>
      </c>
      <c r="F6706"/>
      <c r="M6706"/>
    </row>
    <row r="6707" spans="1:13" x14ac:dyDescent="0.15">
      <c r="A6707" t="s">
        <v>30</v>
      </c>
      <c r="F6707"/>
      <c r="M6707"/>
    </row>
    <row r="6708" spans="1:13" x14ac:dyDescent="0.15">
      <c r="A6708" t="s">
        <v>30</v>
      </c>
      <c r="F6708"/>
      <c r="M6708"/>
    </row>
    <row r="6709" spans="1:13" x14ac:dyDescent="0.15">
      <c r="A6709" t="s">
        <v>30</v>
      </c>
      <c r="F6709"/>
      <c r="M6709"/>
    </row>
    <row r="6710" spans="1:13" x14ac:dyDescent="0.15">
      <c r="A6710" t="s">
        <v>30</v>
      </c>
      <c r="F6710"/>
      <c r="M6710"/>
    </row>
    <row r="6711" spans="1:13" x14ac:dyDescent="0.15">
      <c r="A6711" t="s">
        <v>30</v>
      </c>
      <c r="F6711"/>
      <c r="M6711"/>
    </row>
    <row r="6712" spans="1:13" x14ac:dyDescent="0.15">
      <c r="A6712" t="s">
        <v>30</v>
      </c>
      <c r="F6712"/>
      <c r="M6712"/>
    </row>
    <row r="6713" spans="1:13" x14ac:dyDescent="0.15">
      <c r="A6713" t="s">
        <v>30</v>
      </c>
      <c r="F6713"/>
      <c r="M6713"/>
    </row>
    <row r="6714" spans="1:13" x14ac:dyDescent="0.15">
      <c r="A6714" t="s">
        <v>30</v>
      </c>
      <c r="F6714"/>
      <c r="M6714"/>
    </row>
    <row r="6715" spans="1:13" x14ac:dyDescent="0.15">
      <c r="A6715" t="s">
        <v>30</v>
      </c>
      <c r="F6715"/>
      <c r="M6715"/>
    </row>
    <row r="6716" spans="1:13" x14ac:dyDescent="0.15">
      <c r="A6716" t="s">
        <v>30</v>
      </c>
      <c r="F6716"/>
      <c r="M6716"/>
    </row>
    <row r="6717" spans="1:13" x14ac:dyDescent="0.15">
      <c r="A6717" t="s">
        <v>30</v>
      </c>
      <c r="F6717"/>
      <c r="M6717"/>
    </row>
    <row r="6718" spans="1:13" x14ac:dyDescent="0.15">
      <c r="A6718" t="s">
        <v>30</v>
      </c>
      <c r="F6718"/>
      <c r="M6718"/>
    </row>
    <row r="6719" spans="1:13" x14ac:dyDescent="0.15">
      <c r="A6719" t="s">
        <v>30</v>
      </c>
      <c r="F6719"/>
      <c r="M6719"/>
    </row>
    <row r="6720" spans="1:13" x14ac:dyDescent="0.15">
      <c r="A6720" t="s">
        <v>30</v>
      </c>
      <c r="F6720"/>
      <c r="M6720"/>
    </row>
    <row r="6721" spans="1:13" x14ac:dyDescent="0.15">
      <c r="A6721" t="s">
        <v>30</v>
      </c>
      <c r="F6721"/>
      <c r="M6721"/>
    </row>
    <row r="6722" spans="1:13" x14ac:dyDescent="0.15">
      <c r="A6722" t="s">
        <v>30</v>
      </c>
      <c r="F6722"/>
      <c r="M6722"/>
    </row>
    <row r="6723" spans="1:13" x14ac:dyDescent="0.15">
      <c r="A6723" t="s">
        <v>30</v>
      </c>
      <c r="F6723"/>
      <c r="M6723"/>
    </row>
    <row r="6724" spans="1:13" x14ac:dyDescent="0.15">
      <c r="A6724" t="s">
        <v>30</v>
      </c>
      <c r="F6724"/>
      <c r="M6724"/>
    </row>
    <row r="6725" spans="1:13" x14ac:dyDescent="0.15">
      <c r="A6725" t="s">
        <v>30</v>
      </c>
      <c r="F6725"/>
      <c r="M6725"/>
    </row>
    <row r="6726" spans="1:13" x14ac:dyDescent="0.15">
      <c r="A6726" t="s">
        <v>30</v>
      </c>
      <c r="F6726"/>
      <c r="M6726"/>
    </row>
    <row r="6727" spans="1:13" x14ac:dyDescent="0.15">
      <c r="A6727" t="s">
        <v>30</v>
      </c>
      <c r="F6727"/>
      <c r="M6727"/>
    </row>
    <row r="6728" spans="1:13" x14ac:dyDescent="0.15">
      <c r="A6728" t="s">
        <v>30</v>
      </c>
      <c r="F6728"/>
      <c r="M6728"/>
    </row>
    <row r="6729" spans="1:13" x14ac:dyDescent="0.15">
      <c r="A6729" t="s">
        <v>30</v>
      </c>
      <c r="F6729"/>
      <c r="M6729"/>
    </row>
    <row r="6730" spans="1:13" x14ac:dyDescent="0.15">
      <c r="A6730" t="s">
        <v>30</v>
      </c>
      <c r="F6730"/>
      <c r="M6730"/>
    </row>
    <row r="6731" spans="1:13" x14ac:dyDescent="0.15">
      <c r="A6731" t="s">
        <v>30</v>
      </c>
      <c r="F6731"/>
      <c r="M6731"/>
    </row>
    <row r="6732" spans="1:13" x14ac:dyDescent="0.15">
      <c r="A6732" t="s">
        <v>30</v>
      </c>
      <c r="F6732"/>
      <c r="M6732"/>
    </row>
    <row r="6733" spans="1:13" x14ac:dyDescent="0.15">
      <c r="A6733" t="s">
        <v>30</v>
      </c>
      <c r="F6733"/>
      <c r="M6733"/>
    </row>
    <row r="6734" spans="1:13" x14ac:dyDescent="0.15">
      <c r="A6734" t="s">
        <v>30</v>
      </c>
      <c r="F6734"/>
      <c r="M6734"/>
    </row>
    <row r="6735" spans="1:13" x14ac:dyDescent="0.15">
      <c r="A6735" t="s">
        <v>31</v>
      </c>
      <c r="F6735"/>
      <c r="M6735"/>
    </row>
    <row r="6736" spans="1:13" x14ac:dyDescent="0.15">
      <c r="A6736" t="s">
        <v>31</v>
      </c>
      <c r="F6736"/>
      <c r="M6736"/>
    </row>
    <row r="6737" spans="1:13" x14ac:dyDescent="0.15">
      <c r="A6737" t="s">
        <v>31</v>
      </c>
      <c r="F6737"/>
      <c r="M6737"/>
    </row>
    <row r="6738" spans="1:13" x14ac:dyDescent="0.15">
      <c r="A6738" t="s">
        <v>31</v>
      </c>
      <c r="F6738"/>
      <c r="M6738"/>
    </row>
    <row r="6739" spans="1:13" x14ac:dyDescent="0.15">
      <c r="A6739" t="s">
        <v>31</v>
      </c>
      <c r="F6739"/>
      <c r="M6739"/>
    </row>
    <row r="6740" spans="1:13" x14ac:dyDescent="0.15">
      <c r="A6740" t="s">
        <v>31</v>
      </c>
      <c r="F6740"/>
      <c r="M6740"/>
    </row>
    <row r="6741" spans="1:13" x14ac:dyDescent="0.15">
      <c r="A6741" t="s">
        <v>31</v>
      </c>
      <c r="F6741"/>
      <c r="M6741"/>
    </row>
    <row r="6742" spans="1:13" x14ac:dyDescent="0.15">
      <c r="A6742" t="s">
        <v>31</v>
      </c>
      <c r="F6742"/>
      <c r="M6742"/>
    </row>
    <row r="6743" spans="1:13" x14ac:dyDescent="0.15">
      <c r="A6743" t="s">
        <v>31</v>
      </c>
      <c r="F6743"/>
      <c r="M6743"/>
    </row>
    <row r="6744" spans="1:13" x14ac:dyDescent="0.15">
      <c r="A6744" t="s">
        <v>31</v>
      </c>
      <c r="F6744"/>
      <c r="M6744"/>
    </row>
    <row r="6745" spans="1:13" x14ac:dyDescent="0.15">
      <c r="A6745" t="s">
        <v>31</v>
      </c>
      <c r="F6745"/>
      <c r="M6745"/>
    </row>
    <row r="6746" spans="1:13" x14ac:dyDescent="0.15">
      <c r="A6746" t="s">
        <v>31</v>
      </c>
      <c r="F6746"/>
      <c r="M6746"/>
    </row>
    <row r="6747" spans="1:13" x14ac:dyDescent="0.15">
      <c r="A6747" t="s">
        <v>31</v>
      </c>
      <c r="F6747"/>
      <c r="M6747"/>
    </row>
    <row r="6748" spans="1:13" x14ac:dyDescent="0.15">
      <c r="A6748" t="s">
        <v>31</v>
      </c>
      <c r="F6748"/>
      <c r="M6748"/>
    </row>
    <row r="6749" spans="1:13" x14ac:dyDescent="0.15">
      <c r="A6749" t="s">
        <v>31</v>
      </c>
      <c r="F6749"/>
      <c r="M6749"/>
    </row>
    <row r="6750" spans="1:13" x14ac:dyDescent="0.15">
      <c r="A6750" t="s">
        <v>31</v>
      </c>
      <c r="F6750"/>
      <c r="M6750"/>
    </row>
    <row r="6751" spans="1:13" x14ac:dyDescent="0.15">
      <c r="A6751" t="s">
        <v>31</v>
      </c>
      <c r="F6751"/>
      <c r="M6751"/>
    </row>
    <row r="6752" spans="1:13" x14ac:dyDescent="0.15">
      <c r="A6752" t="s">
        <v>31</v>
      </c>
      <c r="F6752"/>
      <c r="M6752"/>
    </row>
    <row r="6753" spans="1:13" x14ac:dyDescent="0.15">
      <c r="A6753" t="s">
        <v>31</v>
      </c>
      <c r="F6753"/>
      <c r="M6753"/>
    </row>
    <row r="6754" spans="1:13" x14ac:dyDescent="0.15">
      <c r="A6754" t="s">
        <v>31</v>
      </c>
      <c r="F6754"/>
      <c r="M6754"/>
    </row>
    <row r="6755" spans="1:13" x14ac:dyDescent="0.15">
      <c r="A6755" t="s">
        <v>31</v>
      </c>
      <c r="F6755"/>
      <c r="M6755"/>
    </row>
    <row r="6756" spans="1:13" x14ac:dyDescent="0.15">
      <c r="A6756" t="s">
        <v>31</v>
      </c>
      <c r="F6756"/>
      <c r="M6756"/>
    </row>
    <row r="6757" spans="1:13" x14ac:dyDescent="0.15">
      <c r="A6757" t="s">
        <v>31</v>
      </c>
      <c r="F6757"/>
      <c r="M6757"/>
    </row>
    <row r="6758" spans="1:13" x14ac:dyDescent="0.15">
      <c r="A6758" t="s">
        <v>31</v>
      </c>
      <c r="F6758"/>
      <c r="M6758"/>
    </row>
    <row r="6759" spans="1:13" x14ac:dyDescent="0.15">
      <c r="A6759" t="s">
        <v>31</v>
      </c>
      <c r="F6759"/>
      <c r="M6759"/>
    </row>
    <row r="6760" spans="1:13" x14ac:dyDescent="0.15">
      <c r="A6760" t="s">
        <v>31</v>
      </c>
      <c r="F6760"/>
      <c r="M6760"/>
    </row>
    <row r="6761" spans="1:13" x14ac:dyDescent="0.15">
      <c r="A6761" t="s">
        <v>31</v>
      </c>
      <c r="F6761"/>
      <c r="M6761"/>
    </row>
    <row r="6762" spans="1:13" x14ac:dyDescent="0.15">
      <c r="A6762" t="s">
        <v>31</v>
      </c>
      <c r="F6762"/>
      <c r="M6762"/>
    </row>
    <row r="6763" spans="1:13" x14ac:dyDescent="0.15">
      <c r="A6763" t="s">
        <v>31</v>
      </c>
      <c r="F6763"/>
      <c r="M6763"/>
    </row>
    <row r="6764" spans="1:13" x14ac:dyDescent="0.15">
      <c r="A6764" t="s">
        <v>31</v>
      </c>
      <c r="F6764"/>
      <c r="M6764"/>
    </row>
    <row r="6765" spans="1:13" x14ac:dyDescent="0.15">
      <c r="A6765" t="s">
        <v>31</v>
      </c>
      <c r="F6765"/>
      <c r="M6765"/>
    </row>
    <row r="6766" spans="1:13" x14ac:dyDescent="0.15">
      <c r="A6766" t="s">
        <v>31</v>
      </c>
      <c r="F6766"/>
      <c r="M6766"/>
    </row>
    <row r="6767" spans="1:13" x14ac:dyDescent="0.15">
      <c r="A6767" t="s">
        <v>31</v>
      </c>
      <c r="F6767"/>
      <c r="M6767"/>
    </row>
    <row r="6768" spans="1:13" x14ac:dyDescent="0.15">
      <c r="A6768" t="s">
        <v>31</v>
      </c>
      <c r="F6768"/>
      <c r="M6768"/>
    </row>
    <row r="6769" spans="1:13" x14ac:dyDescent="0.15">
      <c r="A6769" t="s">
        <v>31</v>
      </c>
      <c r="F6769"/>
      <c r="M6769"/>
    </row>
    <row r="6770" spans="1:13" x14ac:dyDescent="0.15">
      <c r="A6770" t="s">
        <v>31</v>
      </c>
      <c r="F6770"/>
      <c r="M6770"/>
    </row>
    <row r="6771" spans="1:13" x14ac:dyDescent="0.15">
      <c r="A6771" t="s">
        <v>31</v>
      </c>
      <c r="F6771"/>
      <c r="M6771"/>
    </row>
    <row r="6772" spans="1:13" x14ac:dyDescent="0.15">
      <c r="A6772" t="s">
        <v>31</v>
      </c>
      <c r="F6772"/>
      <c r="M6772"/>
    </row>
    <row r="6773" spans="1:13" x14ac:dyDescent="0.15">
      <c r="A6773" t="s">
        <v>31</v>
      </c>
      <c r="F6773"/>
      <c r="M6773"/>
    </row>
    <row r="6774" spans="1:13" x14ac:dyDescent="0.15">
      <c r="A6774" t="s">
        <v>31</v>
      </c>
      <c r="F6774"/>
      <c r="M6774"/>
    </row>
    <row r="6775" spans="1:13" x14ac:dyDescent="0.15">
      <c r="A6775" t="s">
        <v>31</v>
      </c>
      <c r="F6775"/>
      <c r="M6775"/>
    </row>
    <row r="6776" spans="1:13" x14ac:dyDescent="0.15">
      <c r="A6776" t="s">
        <v>31</v>
      </c>
      <c r="F6776"/>
      <c r="M6776"/>
    </row>
    <row r="6777" spans="1:13" x14ac:dyDescent="0.15">
      <c r="A6777" t="s">
        <v>31</v>
      </c>
      <c r="F6777"/>
      <c r="M6777"/>
    </row>
    <row r="6778" spans="1:13" x14ac:dyDescent="0.15">
      <c r="A6778" t="s">
        <v>31</v>
      </c>
      <c r="F6778"/>
      <c r="M6778"/>
    </row>
    <row r="6779" spans="1:13" x14ac:dyDescent="0.15">
      <c r="A6779" t="s">
        <v>31</v>
      </c>
      <c r="F6779"/>
      <c r="M6779"/>
    </row>
    <row r="6780" spans="1:13" x14ac:dyDescent="0.15">
      <c r="A6780" t="s">
        <v>31</v>
      </c>
      <c r="F6780"/>
      <c r="M6780"/>
    </row>
    <row r="6781" spans="1:13" x14ac:dyDescent="0.15">
      <c r="A6781" t="s">
        <v>31</v>
      </c>
      <c r="F6781"/>
      <c r="M6781"/>
    </row>
    <row r="6782" spans="1:13" x14ac:dyDescent="0.15">
      <c r="A6782" t="s">
        <v>31</v>
      </c>
      <c r="F6782"/>
      <c r="M6782"/>
    </row>
    <row r="6783" spans="1:13" x14ac:dyDescent="0.15">
      <c r="A6783" t="s">
        <v>31</v>
      </c>
      <c r="F6783"/>
      <c r="M6783"/>
    </row>
    <row r="6784" spans="1:13" x14ac:dyDescent="0.15">
      <c r="A6784" t="s">
        <v>31</v>
      </c>
      <c r="F6784"/>
      <c r="M6784"/>
    </row>
    <row r="6785" spans="1:13" x14ac:dyDescent="0.15">
      <c r="A6785" t="s">
        <v>31</v>
      </c>
      <c r="F6785"/>
      <c r="M6785"/>
    </row>
    <row r="6786" spans="1:13" x14ac:dyDescent="0.15">
      <c r="A6786" t="s">
        <v>31</v>
      </c>
      <c r="F6786"/>
      <c r="M6786"/>
    </row>
    <row r="6787" spans="1:13" x14ac:dyDescent="0.15">
      <c r="A6787" t="s">
        <v>31</v>
      </c>
      <c r="F6787"/>
      <c r="M6787"/>
    </row>
    <row r="6788" spans="1:13" x14ac:dyDescent="0.15">
      <c r="A6788" t="s">
        <v>31</v>
      </c>
      <c r="F6788"/>
      <c r="M6788"/>
    </row>
    <row r="6789" spans="1:13" x14ac:dyDescent="0.15">
      <c r="A6789" t="s">
        <v>31</v>
      </c>
      <c r="F6789"/>
      <c r="M6789"/>
    </row>
    <row r="6790" spans="1:13" x14ac:dyDescent="0.15">
      <c r="A6790" t="s">
        <v>31</v>
      </c>
      <c r="F6790"/>
      <c r="M6790"/>
    </row>
    <row r="6791" spans="1:13" x14ac:dyDescent="0.15">
      <c r="A6791" t="s">
        <v>31</v>
      </c>
      <c r="F6791"/>
      <c r="M6791"/>
    </row>
    <row r="6792" spans="1:13" x14ac:dyDescent="0.15">
      <c r="A6792" t="s">
        <v>31</v>
      </c>
      <c r="F6792"/>
      <c r="M6792"/>
    </row>
    <row r="6793" spans="1:13" x14ac:dyDescent="0.15">
      <c r="A6793" t="s">
        <v>31</v>
      </c>
      <c r="F6793"/>
      <c r="M6793"/>
    </row>
    <row r="6794" spans="1:13" x14ac:dyDescent="0.15">
      <c r="A6794" t="s">
        <v>31</v>
      </c>
      <c r="F6794"/>
      <c r="M6794"/>
    </row>
    <row r="6795" spans="1:13" x14ac:dyDescent="0.15">
      <c r="A6795" t="s">
        <v>31</v>
      </c>
      <c r="F6795"/>
      <c r="M6795"/>
    </row>
    <row r="6796" spans="1:13" x14ac:dyDescent="0.15">
      <c r="A6796" t="s">
        <v>31</v>
      </c>
      <c r="F6796"/>
      <c r="M6796"/>
    </row>
    <row r="6797" spans="1:13" x14ac:dyDescent="0.15">
      <c r="A6797" t="s">
        <v>31</v>
      </c>
      <c r="F6797"/>
      <c r="M6797"/>
    </row>
    <row r="6798" spans="1:13" x14ac:dyDescent="0.15">
      <c r="A6798" t="s">
        <v>31</v>
      </c>
      <c r="F6798"/>
      <c r="M6798"/>
    </row>
    <row r="6799" spans="1:13" x14ac:dyDescent="0.15">
      <c r="A6799" t="s">
        <v>31</v>
      </c>
      <c r="F6799"/>
      <c r="M6799"/>
    </row>
    <row r="6800" spans="1:13" x14ac:dyDescent="0.15">
      <c r="A6800" t="s">
        <v>31</v>
      </c>
      <c r="F6800"/>
      <c r="M6800"/>
    </row>
    <row r="6801" spans="1:13" x14ac:dyDescent="0.15">
      <c r="A6801" t="s">
        <v>31</v>
      </c>
      <c r="F6801"/>
      <c r="M6801"/>
    </row>
    <row r="6802" spans="1:13" x14ac:dyDescent="0.15">
      <c r="A6802" t="s">
        <v>31</v>
      </c>
      <c r="F6802"/>
      <c r="M6802"/>
    </row>
    <row r="6803" spans="1:13" x14ac:dyDescent="0.15">
      <c r="A6803" t="s">
        <v>31</v>
      </c>
      <c r="F6803"/>
      <c r="M6803"/>
    </row>
    <row r="6804" spans="1:13" x14ac:dyDescent="0.15">
      <c r="A6804" t="s">
        <v>31</v>
      </c>
      <c r="F6804"/>
      <c r="M6804"/>
    </row>
    <row r="6805" spans="1:13" x14ac:dyDescent="0.15">
      <c r="A6805" t="s">
        <v>31</v>
      </c>
      <c r="F6805"/>
      <c r="M6805"/>
    </row>
    <row r="6806" spans="1:13" x14ac:dyDescent="0.15">
      <c r="A6806" t="s">
        <v>31</v>
      </c>
      <c r="F6806"/>
      <c r="M6806"/>
    </row>
    <row r="6807" spans="1:13" x14ac:dyDescent="0.15">
      <c r="A6807" t="s">
        <v>31</v>
      </c>
      <c r="F6807"/>
      <c r="M6807"/>
    </row>
    <row r="6808" spans="1:13" x14ac:dyDescent="0.15">
      <c r="A6808" t="s">
        <v>31</v>
      </c>
      <c r="F6808"/>
      <c r="M6808"/>
    </row>
    <row r="6809" spans="1:13" x14ac:dyDescent="0.15">
      <c r="A6809" t="s">
        <v>31</v>
      </c>
      <c r="F6809"/>
      <c r="M6809"/>
    </row>
    <row r="6810" spans="1:13" x14ac:dyDescent="0.15">
      <c r="A6810" t="s">
        <v>31</v>
      </c>
      <c r="F6810"/>
      <c r="M6810"/>
    </row>
    <row r="6811" spans="1:13" x14ac:dyDescent="0.15">
      <c r="A6811" t="s">
        <v>31</v>
      </c>
      <c r="F6811"/>
      <c r="M6811"/>
    </row>
    <row r="6812" spans="1:13" x14ac:dyDescent="0.15">
      <c r="A6812" t="s">
        <v>31</v>
      </c>
      <c r="F6812"/>
      <c r="M6812"/>
    </row>
    <row r="6813" spans="1:13" x14ac:dyDescent="0.15">
      <c r="A6813" t="s">
        <v>31</v>
      </c>
      <c r="F6813"/>
      <c r="M6813"/>
    </row>
    <row r="6814" spans="1:13" x14ac:dyDescent="0.15">
      <c r="A6814" t="s">
        <v>31</v>
      </c>
      <c r="F6814"/>
      <c r="M6814"/>
    </row>
    <row r="6815" spans="1:13" x14ac:dyDescent="0.15">
      <c r="A6815" t="s">
        <v>31</v>
      </c>
      <c r="F6815"/>
      <c r="M6815"/>
    </row>
    <row r="6816" spans="1:13" x14ac:dyDescent="0.15">
      <c r="A6816" t="s">
        <v>31</v>
      </c>
      <c r="F6816"/>
      <c r="M6816"/>
    </row>
    <row r="6817" spans="1:13" x14ac:dyDescent="0.15">
      <c r="A6817" t="s">
        <v>31</v>
      </c>
      <c r="F6817"/>
      <c r="M6817"/>
    </row>
    <row r="6818" spans="1:13" x14ac:dyDescent="0.15">
      <c r="A6818" t="s">
        <v>31</v>
      </c>
      <c r="F6818"/>
      <c r="M6818"/>
    </row>
    <row r="6819" spans="1:13" x14ac:dyDescent="0.15">
      <c r="A6819" t="s">
        <v>31</v>
      </c>
      <c r="F6819"/>
      <c r="M6819"/>
    </row>
    <row r="6820" spans="1:13" x14ac:dyDescent="0.15">
      <c r="A6820" t="s">
        <v>31</v>
      </c>
      <c r="F6820"/>
      <c r="M6820"/>
    </row>
    <row r="6821" spans="1:13" x14ac:dyDescent="0.15">
      <c r="A6821" t="s">
        <v>31</v>
      </c>
      <c r="F6821"/>
      <c r="M6821"/>
    </row>
    <row r="6822" spans="1:13" x14ac:dyDescent="0.15">
      <c r="A6822" t="s">
        <v>31</v>
      </c>
      <c r="F6822"/>
      <c r="M6822"/>
    </row>
    <row r="6823" spans="1:13" x14ac:dyDescent="0.15">
      <c r="A6823" t="s">
        <v>31</v>
      </c>
      <c r="F6823"/>
      <c r="M6823"/>
    </row>
    <row r="6824" spans="1:13" x14ac:dyDescent="0.15">
      <c r="A6824" t="s">
        <v>31</v>
      </c>
      <c r="F6824"/>
      <c r="M6824"/>
    </row>
    <row r="6825" spans="1:13" x14ac:dyDescent="0.15">
      <c r="A6825" t="s">
        <v>31</v>
      </c>
      <c r="F6825"/>
      <c r="M6825"/>
    </row>
    <row r="6826" spans="1:13" x14ac:dyDescent="0.15">
      <c r="A6826" t="s">
        <v>31</v>
      </c>
      <c r="F6826"/>
      <c r="M6826"/>
    </row>
    <row r="6827" spans="1:13" x14ac:dyDescent="0.15">
      <c r="A6827" t="s">
        <v>31</v>
      </c>
      <c r="F6827"/>
      <c r="M6827"/>
    </row>
    <row r="6828" spans="1:13" x14ac:dyDescent="0.15">
      <c r="A6828" t="s">
        <v>31</v>
      </c>
      <c r="F6828"/>
      <c r="M6828"/>
    </row>
    <row r="6829" spans="1:13" x14ac:dyDescent="0.15">
      <c r="A6829" t="s">
        <v>31</v>
      </c>
      <c r="F6829"/>
      <c r="M6829"/>
    </row>
    <row r="6830" spans="1:13" x14ac:dyDescent="0.15">
      <c r="A6830" t="s">
        <v>31</v>
      </c>
      <c r="F6830"/>
      <c r="M6830"/>
    </row>
    <row r="6831" spans="1:13" x14ac:dyDescent="0.15">
      <c r="A6831" t="s">
        <v>31</v>
      </c>
      <c r="F6831"/>
      <c r="M6831"/>
    </row>
    <row r="6832" spans="1:13" x14ac:dyDescent="0.15">
      <c r="A6832" t="s">
        <v>31</v>
      </c>
      <c r="F6832"/>
      <c r="M6832"/>
    </row>
    <row r="6833" spans="1:13" x14ac:dyDescent="0.15">
      <c r="A6833" t="s">
        <v>31</v>
      </c>
      <c r="F6833"/>
      <c r="M6833"/>
    </row>
    <row r="6834" spans="1:13" x14ac:dyDescent="0.15">
      <c r="A6834" t="s">
        <v>31</v>
      </c>
      <c r="F6834"/>
      <c r="M6834"/>
    </row>
    <row r="6835" spans="1:13" x14ac:dyDescent="0.15">
      <c r="A6835" t="s">
        <v>31</v>
      </c>
      <c r="F6835"/>
      <c r="M6835"/>
    </row>
    <row r="6836" spans="1:13" x14ac:dyDescent="0.15">
      <c r="A6836" t="s">
        <v>31</v>
      </c>
      <c r="F6836"/>
      <c r="M6836"/>
    </row>
    <row r="6837" spans="1:13" x14ac:dyDescent="0.15">
      <c r="A6837" t="s">
        <v>31</v>
      </c>
      <c r="F6837"/>
      <c r="M6837"/>
    </row>
    <row r="6838" spans="1:13" x14ac:dyDescent="0.15">
      <c r="A6838" t="s">
        <v>31</v>
      </c>
      <c r="F6838"/>
      <c r="M6838"/>
    </row>
    <row r="6839" spans="1:13" x14ac:dyDescent="0.15">
      <c r="A6839" t="s">
        <v>31</v>
      </c>
      <c r="F6839"/>
      <c r="M6839"/>
    </row>
    <row r="6840" spans="1:13" x14ac:dyDescent="0.15">
      <c r="A6840" t="s">
        <v>31</v>
      </c>
      <c r="F6840"/>
      <c r="M6840"/>
    </row>
    <row r="6841" spans="1:13" x14ac:dyDescent="0.15">
      <c r="A6841" t="s">
        <v>31</v>
      </c>
      <c r="F6841"/>
      <c r="M6841"/>
    </row>
    <row r="6842" spans="1:13" x14ac:dyDescent="0.15">
      <c r="A6842" t="s">
        <v>31</v>
      </c>
      <c r="F6842"/>
      <c r="M6842"/>
    </row>
    <row r="6843" spans="1:13" x14ac:dyDescent="0.15">
      <c r="A6843" t="s">
        <v>31</v>
      </c>
      <c r="F6843"/>
      <c r="M6843"/>
    </row>
    <row r="6844" spans="1:13" x14ac:dyDescent="0.15">
      <c r="A6844" t="s">
        <v>31</v>
      </c>
      <c r="F6844"/>
      <c r="M6844"/>
    </row>
    <row r="6845" spans="1:13" x14ac:dyDescent="0.15">
      <c r="A6845" t="s">
        <v>31</v>
      </c>
      <c r="F6845"/>
      <c r="M6845"/>
    </row>
    <row r="6846" spans="1:13" x14ac:dyDescent="0.15">
      <c r="A6846" t="s">
        <v>31</v>
      </c>
      <c r="F6846"/>
      <c r="M6846"/>
    </row>
    <row r="6847" spans="1:13" x14ac:dyDescent="0.15">
      <c r="A6847" t="s">
        <v>31</v>
      </c>
      <c r="F6847"/>
      <c r="M6847"/>
    </row>
    <row r="6848" spans="1:13" x14ac:dyDescent="0.15">
      <c r="A6848" t="s">
        <v>31</v>
      </c>
      <c r="F6848"/>
      <c r="M6848"/>
    </row>
    <row r="6849" spans="1:13" x14ac:dyDescent="0.15">
      <c r="A6849" t="s">
        <v>31</v>
      </c>
      <c r="F6849"/>
      <c r="M6849"/>
    </row>
    <row r="6850" spans="1:13" x14ac:dyDescent="0.15">
      <c r="A6850" t="s">
        <v>31</v>
      </c>
      <c r="F6850"/>
      <c r="M6850"/>
    </row>
    <row r="6851" spans="1:13" x14ac:dyDescent="0.15">
      <c r="A6851" t="s">
        <v>31</v>
      </c>
      <c r="F6851"/>
      <c r="M6851"/>
    </row>
    <row r="6852" spans="1:13" x14ac:dyDescent="0.15">
      <c r="A6852" t="s">
        <v>31</v>
      </c>
      <c r="F6852"/>
      <c r="M6852"/>
    </row>
    <row r="6853" spans="1:13" x14ac:dyDescent="0.15">
      <c r="A6853" t="s">
        <v>31</v>
      </c>
      <c r="F6853"/>
      <c r="M6853"/>
    </row>
    <row r="6854" spans="1:13" x14ac:dyDescent="0.15">
      <c r="A6854" t="s">
        <v>31</v>
      </c>
      <c r="F6854"/>
      <c r="M6854"/>
    </row>
    <row r="6855" spans="1:13" x14ac:dyDescent="0.15">
      <c r="A6855" t="s">
        <v>31</v>
      </c>
      <c r="F6855"/>
      <c r="M6855"/>
    </row>
    <row r="6856" spans="1:13" x14ac:dyDescent="0.15">
      <c r="A6856" t="s">
        <v>31</v>
      </c>
      <c r="F6856"/>
      <c r="M6856"/>
    </row>
    <row r="6857" spans="1:13" x14ac:dyDescent="0.15">
      <c r="A6857" t="s">
        <v>31</v>
      </c>
      <c r="F6857"/>
      <c r="M6857"/>
    </row>
    <row r="6858" spans="1:13" x14ac:dyDescent="0.15">
      <c r="A6858" t="s">
        <v>31</v>
      </c>
      <c r="F6858"/>
      <c r="M6858"/>
    </row>
    <row r="6859" spans="1:13" x14ac:dyDescent="0.15">
      <c r="A6859" t="s">
        <v>31</v>
      </c>
      <c r="F6859"/>
      <c r="M6859"/>
    </row>
    <row r="6860" spans="1:13" x14ac:dyDescent="0.15">
      <c r="A6860" t="s">
        <v>31</v>
      </c>
      <c r="F6860"/>
      <c r="M6860"/>
    </row>
    <row r="6861" spans="1:13" x14ac:dyDescent="0.15">
      <c r="A6861" t="s">
        <v>31</v>
      </c>
      <c r="F6861"/>
      <c r="M6861"/>
    </row>
    <row r="6862" spans="1:13" x14ac:dyDescent="0.15">
      <c r="A6862" t="s">
        <v>31</v>
      </c>
      <c r="F6862"/>
      <c r="M6862"/>
    </row>
    <row r="6863" spans="1:13" x14ac:dyDescent="0.15">
      <c r="A6863" t="s">
        <v>31</v>
      </c>
      <c r="F6863"/>
      <c r="M6863"/>
    </row>
    <row r="6864" spans="1:13" x14ac:dyDescent="0.15">
      <c r="A6864" t="s">
        <v>31</v>
      </c>
      <c r="F6864"/>
      <c r="M6864"/>
    </row>
    <row r="6865" spans="1:13" x14ac:dyDescent="0.15">
      <c r="A6865" t="s">
        <v>31</v>
      </c>
      <c r="F6865"/>
      <c r="M6865"/>
    </row>
    <row r="6866" spans="1:13" x14ac:dyDescent="0.15">
      <c r="A6866" t="s">
        <v>31</v>
      </c>
      <c r="F6866"/>
      <c r="M6866"/>
    </row>
    <row r="6867" spans="1:13" x14ac:dyDescent="0.15">
      <c r="A6867" t="s">
        <v>31</v>
      </c>
      <c r="F6867"/>
      <c r="M6867"/>
    </row>
    <row r="6868" spans="1:13" x14ac:dyDescent="0.15">
      <c r="A6868" t="s">
        <v>31</v>
      </c>
      <c r="F6868"/>
      <c r="M6868"/>
    </row>
    <row r="6869" spans="1:13" x14ac:dyDescent="0.15">
      <c r="A6869" t="s">
        <v>31</v>
      </c>
      <c r="F6869"/>
      <c r="M6869"/>
    </row>
    <row r="6870" spans="1:13" x14ac:dyDescent="0.15">
      <c r="A6870" t="s">
        <v>31</v>
      </c>
      <c r="F6870"/>
      <c r="M6870"/>
    </row>
    <row r="6871" spans="1:13" x14ac:dyDescent="0.15">
      <c r="A6871" t="s">
        <v>31</v>
      </c>
      <c r="F6871"/>
      <c r="M6871"/>
    </row>
    <row r="6872" spans="1:13" x14ac:dyDescent="0.15">
      <c r="A6872" t="s">
        <v>31</v>
      </c>
      <c r="F6872"/>
      <c r="M6872"/>
    </row>
    <row r="6873" spans="1:13" x14ac:dyDescent="0.15">
      <c r="A6873" t="s">
        <v>31</v>
      </c>
      <c r="F6873"/>
      <c r="M6873"/>
    </row>
    <row r="6874" spans="1:13" x14ac:dyDescent="0.15">
      <c r="A6874" t="s">
        <v>31</v>
      </c>
      <c r="F6874"/>
      <c r="M6874"/>
    </row>
    <row r="6875" spans="1:13" x14ac:dyDescent="0.15">
      <c r="A6875" t="s">
        <v>31</v>
      </c>
      <c r="F6875"/>
      <c r="M6875"/>
    </row>
    <row r="6876" spans="1:13" x14ac:dyDescent="0.15">
      <c r="A6876" t="s">
        <v>31</v>
      </c>
      <c r="F6876"/>
      <c r="M6876"/>
    </row>
    <row r="6877" spans="1:13" x14ac:dyDescent="0.15">
      <c r="A6877" t="s">
        <v>31</v>
      </c>
      <c r="F6877"/>
      <c r="M6877"/>
    </row>
    <row r="6878" spans="1:13" x14ac:dyDescent="0.15">
      <c r="A6878" t="s">
        <v>31</v>
      </c>
      <c r="F6878"/>
      <c r="M6878"/>
    </row>
    <row r="6879" spans="1:13" x14ac:dyDescent="0.15">
      <c r="A6879" t="s">
        <v>31</v>
      </c>
      <c r="F6879"/>
      <c r="M6879"/>
    </row>
    <row r="6880" spans="1:13" x14ac:dyDescent="0.15">
      <c r="A6880" t="s">
        <v>31</v>
      </c>
      <c r="F6880"/>
      <c r="M6880"/>
    </row>
    <row r="6881" spans="1:13" x14ac:dyDescent="0.15">
      <c r="A6881" t="s">
        <v>31</v>
      </c>
      <c r="F6881"/>
      <c r="M6881"/>
    </row>
    <row r="6882" spans="1:13" x14ac:dyDescent="0.15">
      <c r="A6882" t="s">
        <v>31</v>
      </c>
      <c r="F6882"/>
      <c r="M6882"/>
    </row>
    <row r="6883" spans="1:13" x14ac:dyDescent="0.15">
      <c r="A6883" t="s">
        <v>31</v>
      </c>
      <c r="F6883"/>
      <c r="M6883"/>
    </row>
    <row r="6884" spans="1:13" x14ac:dyDescent="0.15">
      <c r="A6884" t="s">
        <v>31</v>
      </c>
      <c r="F6884"/>
      <c r="M6884"/>
    </row>
    <row r="6885" spans="1:13" x14ac:dyDescent="0.15">
      <c r="A6885" t="s">
        <v>31</v>
      </c>
      <c r="F6885"/>
      <c r="M6885"/>
    </row>
    <row r="6886" spans="1:13" x14ac:dyDescent="0.15">
      <c r="A6886" t="s">
        <v>31</v>
      </c>
      <c r="F6886"/>
      <c r="M6886"/>
    </row>
    <row r="6887" spans="1:13" x14ac:dyDescent="0.15">
      <c r="A6887" t="s">
        <v>31</v>
      </c>
      <c r="F6887"/>
      <c r="M6887"/>
    </row>
    <row r="6888" spans="1:13" x14ac:dyDescent="0.15">
      <c r="A6888" t="s">
        <v>31</v>
      </c>
      <c r="F6888"/>
      <c r="M6888"/>
    </row>
    <row r="6889" spans="1:13" x14ac:dyDescent="0.15">
      <c r="A6889" t="s">
        <v>31</v>
      </c>
      <c r="F6889"/>
      <c r="M6889"/>
    </row>
    <row r="6890" spans="1:13" x14ac:dyDescent="0.15">
      <c r="A6890" t="s">
        <v>31</v>
      </c>
      <c r="F6890"/>
      <c r="M6890"/>
    </row>
    <row r="6891" spans="1:13" x14ac:dyDescent="0.15">
      <c r="A6891" t="s">
        <v>31</v>
      </c>
      <c r="F6891"/>
      <c r="M6891"/>
    </row>
    <row r="6892" spans="1:13" x14ac:dyDescent="0.15">
      <c r="A6892" t="s">
        <v>31</v>
      </c>
      <c r="F6892"/>
      <c r="M6892"/>
    </row>
    <row r="6893" spans="1:13" x14ac:dyDescent="0.15">
      <c r="A6893" t="s">
        <v>31</v>
      </c>
      <c r="F6893"/>
      <c r="M6893"/>
    </row>
    <row r="6894" spans="1:13" x14ac:dyDescent="0.15">
      <c r="A6894" t="s">
        <v>31</v>
      </c>
      <c r="F6894"/>
      <c r="M6894"/>
    </row>
    <row r="6895" spans="1:13" x14ac:dyDescent="0.15">
      <c r="A6895" t="s">
        <v>31</v>
      </c>
      <c r="F6895"/>
      <c r="M6895"/>
    </row>
    <row r="6896" spans="1:13" x14ac:dyDescent="0.15">
      <c r="A6896" t="s">
        <v>31</v>
      </c>
      <c r="F6896"/>
      <c r="M6896"/>
    </row>
    <row r="6897" spans="1:13" x14ac:dyDescent="0.15">
      <c r="A6897" t="s">
        <v>31</v>
      </c>
      <c r="F6897"/>
      <c r="M6897"/>
    </row>
    <row r="6898" spans="1:13" x14ac:dyDescent="0.15">
      <c r="A6898" t="s">
        <v>31</v>
      </c>
      <c r="F6898"/>
      <c r="M6898"/>
    </row>
    <row r="6899" spans="1:13" x14ac:dyDescent="0.15">
      <c r="A6899" t="s">
        <v>31</v>
      </c>
      <c r="F6899"/>
      <c r="M6899"/>
    </row>
    <row r="6900" spans="1:13" x14ac:dyDescent="0.15">
      <c r="A6900" t="s">
        <v>31</v>
      </c>
      <c r="F6900"/>
      <c r="M6900"/>
    </row>
    <row r="6901" spans="1:13" x14ac:dyDescent="0.15">
      <c r="A6901" t="s">
        <v>31</v>
      </c>
      <c r="F6901"/>
      <c r="M6901"/>
    </row>
    <row r="6902" spans="1:13" x14ac:dyDescent="0.15">
      <c r="A6902" t="s">
        <v>31</v>
      </c>
      <c r="F6902"/>
      <c r="M6902"/>
    </row>
    <row r="6903" spans="1:13" x14ac:dyDescent="0.15">
      <c r="A6903" t="s">
        <v>31</v>
      </c>
      <c r="F6903"/>
      <c r="M6903"/>
    </row>
    <row r="6904" spans="1:13" x14ac:dyDescent="0.15">
      <c r="A6904" t="s">
        <v>31</v>
      </c>
      <c r="F6904"/>
      <c r="M6904"/>
    </row>
    <row r="6905" spans="1:13" x14ac:dyDescent="0.15">
      <c r="A6905" t="s">
        <v>31</v>
      </c>
      <c r="F6905"/>
      <c r="M6905"/>
    </row>
    <row r="6906" spans="1:13" x14ac:dyDescent="0.15">
      <c r="A6906" t="s">
        <v>31</v>
      </c>
      <c r="F6906"/>
      <c r="M6906"/>
    </row>
    <row r="6907" spans="1:13" x14ac:dyDescent="0.15">
      <c r="A6907" t="s">
        <v>31</v>
      </c>
      <c r="F6907"/>
      <c r="M6907"/>
    </row>
    <row r="6908" spans="1:13" x14ac:dyDescent="0.15">
      <c r="A6908" t="s">
        <v>31</v>
      </c>
      <c r="F6908"/>
      <c r="M6908"/>
    </row>
    <row r="6909" spans="1:13" x14ac:dyDescent="0.15">
      <c r="A6909" t="s">
        <v>31</v>
      </c>
      <c r="F6909"/>
      <c r="M6909"/>
    </row>
    <row r="6910" spans="1:13" x14ac:dyDescent="0.15">
      <c r="A6910" t="s">
        <v>31</v>
      </c>
      <c r="F6910"/>
      <c r="M6910"/>
    </row>
    <row r="6911" spans="1:13" x14ac:dyDescent="0.15">
      <c r="A6911" t="s">
        <v>31</v>
      </c>
      <c r="F6911"/>
      <c r="M6911"/>
    </row>
    <row r="6912" spans="1:13" x14ac:dyDescent="0.15">
      <c r="A6912" t="s">
        <v>31</v>
      </c>
      <c r="F6912"/>
      <c r="M6912"/>
    </row>
    <row r="6913" spans="1:13" x14ac:dyDescent="0.15">
      <c r="A6913" t="s">
        <v>31</v>
      </c>
      <c r="F6913"/>
      <c r="M6913"/>
    </row>
    <row r="6914" spans="1:13" x14ac:dyDescent="0.15">
      <c r="A6914" t="s">
        <v>31</v>
      </c>
      <c r="F6914"/>
      <c r="M6914"/>
    </row>
    <row r="6915" spans="1:13" x14ac:dyDescent="0.15">
      <c r="A6915" t="s">
        <v>31</v>
      </c>
      <c r="F6915"/>
      <c r="M6915"/>
    </row>
    <row r="6916" spans="1:13" x14ac:dyDescent="0.15">
      <c r="A6916" t="s">
        <v>31</v>
      </c>
      <c r="F6916"/>
      <c r="M6916"/>
    </row>
    <row r="6917" spans="1:13" x14ac:dyDescent="0.15">
      <c r="A6917" t="s">
        <v>31</v>
      </c>
      <c r="F6917"/>
      <c r="M6917"/>
    </row>
    <row r="6918" spans="1:13" x14ac:dyDescent="0.15">
      <c r="A6918" t="s">
        <v>31</v>
      </c>
      <c r="F6918"/>
      <c r="M6918"/>
    </row>
    <row r="6919" spans="1:13" x14ac:dyDescent="0.15">
      <c r="A6919" t="s">
        <v>31</v>
      </c>
      <c r="F6919"/>
      <c r="M6919"/>
    </row>
    <row r="6920" spans="1:13" x14ac:dyDescent="0.15">
      <c r="A6920" t="s">
        <v>31</v>
      </c>
      <c r="F6920"/>
      <c r="M6920"/>
    </row>
    <row r="6921" spans="1:13" x14ac:dyDescent="0.15">
      <c r="A6921" t="s">
        <v>31</v>
      </c>
      <c r="F6921"/>
      <c r="M6921"/>
    </row>
    <row r="6922" spans="1:13" x14ac:dyDescent="0.15">
      <c r="A6922" t="s">
        <v>31</v>
      </c>
      <c r="F6922"/>
      <c r="M6922"/>
    </row>
    <row r="6923" spans="1:13" x14ac:dyDescent="0.15">
      <c r="A6923" t="s">
        <v>31</v>
      </c>
      <c r="F6923"/>
      <c r="M6923"/>
    </row>
    <row r="6924" spans="1:13" x14ac:dyDescent="0.15">
      <c r="A6924" t="s">
        <v>31</v>
      </c>
      <c r="F6924"/>
      <c r="M6924"/>
    </row>
    <row r="6925" spans="1:13" x14ac:dyDescent="0.15">
      <c r="A6925" t="s">
        <v>31</v>
      </c>
      <c r="F6925"/>
      <c r="M6925"/>
    </row>
    <row r="6926" spans="1:13" x14ac:dyDescent="0.15">
      <c r="A6926" t="s">
        <v>31</v>
      </c>
      <c r="F6926"/>
      <c r="M6926"/>
    </row>
    <row r="6927" spans="1:13" x14ac:dyDescent="0.15">
      <c r="A6927" t="s">
        <v>31</v>
      </c>
      <c r="F6927"/>
      <c r="M6927"/>
    </row>
    <row r="6928" spans="1:13" x14ac:dyDescent="0.15">
      <c r="A6928" t="s">
        <v>31</v>
      </c>
      <c r="F6928"/>
      <c r="M6928"/>
    </row>
    <row r="6929" spans="1:13" x14ac:dyDescent="0.15">
      <c r="A6929" t="s">
        <v>31</v>
      </c>
      <c r="F6929"/>
      <c r="M6929"/>
    </row>
    <row r="6930" spans="1:13" x14ac:dyDescent="0.15">
      <c r="A6930" t="s">
        <v>31</v>
      </c>
      <c r="F6930"/>
      <c r="M6930"/>
    </row>
    <row r="6931" spans="1:13" x14ac:dyDescent="0.15">
      <c r="A6931" t="s">
        <v>31</v>
      </c>
      <c r="F6931"/>
      <c r="M6931"/>
    </row>
    <row r="6932" spans="1:13" x14ac:dyDescent="0.15">
      <c r="A6932" t="s">
        <v>31</v>
      </c>
      <c r="F6932"/>
      <c r="M6932"/>
    </row>
    <row r="6933" spans="1:13" x14ac:dyDescent="0.15">
      <c r="A6933" t="s">
        <v>31</v>
      </c>
      <c r="F6933"/>
      <c r="M6933"/>
    </row>
    <row r="6934" spans="1:13" x14ac:dyDescent="0.15">
      <c r="A6934" t="s">
        <v>31</v>
      </c>
      <c r="F6934"/>
      <c r="M6934"/>
    </row>
    <row r="6935" spans="1:13" x14ac:dyDescent="0.15">
      <c r="A6935" t="s">
        <v>31</v>
      </c>
      <c r="F6935"/>
      <c r="M6935"/>
    </row>
    <row r="6936" spans="1:13" x14ac:dyDescent="0.15">
      <c r="A6936" t="s">
        <v>31</v>
      </c>
      <c r="F6936"/>
      <c r="M6936"/>
    </row>
    <row r="6937" spans="1:13" x14ac:dyDescent="0.15">
      <c r="A6937" t="s">
        <v>31</v>
      </c>
      <c r="F6937"/>
      <c r="M6937"/>
    </row>
    <row r="6938" spans="1:13" x14ac:dyDescent="0.15">
      <c r="A6938" t="s">
        <v>31</v>
      </c>
      <c r="F6938"/>
      <c r="M6938"/>
    </row>
    <row r="6939" spans="1:13" x14ac:dyDescent="0.15">
      <c r="A6939" t="s">
        <v>31</v>
      </c>
      <c r="F6939"/>
      <c r="M6939"/>
    </row>
    <row r="6940" spans="1:13" x14ac:dyDescent="0.15">
      <c r="A6940" t="s">
        <v>31</v>
      </c>
      <c r="F6940"/>
      <c r="M6940"/>
    </row>
    <row r="6941" spans="1:13" x14ac:dyDescent="0.15">
      <c r="A6941" t="s">
        <v>31</v>
      </c>
      <c r="F6941"/>
      <c r="M6941"/>
    </row>
    <row r="6942" spans="1:13" x14ac:dyDescent="0.15">
      <c r="A6942" t="s">
        <v>31</v>
      </c>
      <c r="F6942"/>
      <c r="M6942"/>
    </row>
    <row r="6943" spans="1:13" x14ac:dyDescent="0.15">
      <c r="A6943" t="s">
        <v>31</v>
      </c>
      <c r="F6943"/>
      <c r="M6943"/>
    </row>
    <row r="6944" spans="1:13" x14ac:dyDescent="0.15">
      <c r="A6944" t="s">
        <v>31</v>
      </c>
      <c r="F6944"/>
      <c r="M6944"/>
    </row>
    <row r="6945" spans="1:13" x14ac:dyDescent="0.15">
      <c r="A6945" t="s">
        <v>31</v>
      </c>
      <c r="F6945"/>
      <c r="M6945"/>
    </row>
    <row r="6946" spans="1:13" x14ac:dyDescent="0.15">
      <c r="A6946" t="s">
        <v>31</v>
      </c>
      <c r="F6946"/>
      <c r="M6946"/>
    </row>
    <row r="6947" spans="1:13" x14ac:dyDescent="0.15">
      <c r="A6947" t="s">
        <v>31</v>
      </c>
      <c r="F6947"/>
      <c r="M6947"/>
    </row>
    <row r="6948" spans="1:13" x14ac:dyDescent="0.15">
      <c r="A6948" t="s">
        <v>31</v>
      </c>
      <c r="F6948"/>
      <c r="M6948"/>
    </row>
    <row r="6949" spans="1:13" x14ac:dyDescent="0.15">
      <c r="A6949" t="s">
        <v>31</v>
      </c>
      <c r="F6949"/>
      <c r="M6949"/>
    </row>
    <row r="6950" spans="1:13" x14ac:dyDescent="0.15">
      <c r="A6950" t="s">
        <v>31</v>
      </c>
      <c r="F6950"/>
      <c r="M6950"/>
    </row>
    <row r="6951" spans="1:13" x14ac:dyDescent="0.15">
      <c r="A6951" t="s">
        <v>31</v>
      </c>
      <c r="F6951"/>
      <c r="M6951"/>
    </row>
    <row r="6952" spans="1:13" x14ac:dyDescent="0.15">
      <c r="A6952" t="s">
        <v>31</v>
      </c>
      <c r="F6952"/>
      <c r="M6952"/>
    </row>
    <row r="6953" spans="1:13" x14ac:dyDescent="0.15">
      <c r="A6953" t="s">
        <v>31</v>
      </c>
      <c r="F6953"/>
      <c r="M6953"/>
    </row>
    <row r="6954" spans="1:13" x14ac:dyDescent="0.15">
      <c r="A6954" t="s">
        <v>31</v>
      </c>
      <c r="F6954"/>
      <c r="M6954"/>
    </row>
    <row r="6955" spans="1:13" x14ac:dyDescent="0.15">
      <c r="A6955" t="s">
        <v>31</v>
      </c>
      <c r="F6955"/>
      <c r="M6955"/>
    </row>
    <row r="6956" spans="1:13" x14ac:dyDescent="0.15">
      <c r="A6956" t="s">
        <v>31</v>
      </c>
      <c r="F6956"/>
      <c r="M6956"/>
    </row>
    <row r="6957" spans="1:13" x14ac:dyDescent="0.15">
      <c r="A6957" t="s">
        <v>31</v>
      </c>
      <c r="F6957"/>
      <c r="M6957"/>
    </row>
    <row r="6958" spans="1:13" x14ac:dyDescent="0.15">
      <c r="A6958" t="s">
        <v>31</v>
      </c>
      <c r="F6958"/>
      <c r="M6958"/>
    </row>
    <row r="6959" spans="1:13" x14ac:dyDescent="0.15">
      <c r="A6959" t="s">
        <v>31</v>
      </c>
      <c r="F6959"/>
      <c r="M6959"/>
    </row>
    <row r="6960" spans="1:13" x14ac:dyDescent="0.15">
      <c r="A6960" t="s">
        <v>31</v>
      </c>
      <c r="F6960"/>
      <c r="M6960"/>
    </row>
    <row r="6961" spans="1:13" x14ac:dyDescent="0.15">
      <c r="A6961" t="s">
        <v>31</v>
      </c>
      <c r="F6961"/>
      <c r="M6961"/>
    </row>
    <row r="6962" spans="1:13" x14ac:dyDescent="0.15">
      <c r="A6962" t="s">
        <v>31</v>
      </c>
      <c r="F6962"/>
      <c r="M6962"/>
    </row>
    <row r="6963" spans="1:13" x14ac:dyDescent="0.15">
      <c r="A6963" t="s">
        <v>31</v>
      </c>
      <c r="F6963"/>
      <c r="M6963"/>
    </row>
    <row r="6964" spans="1:13" x14ac:dyDescent="0.15">
      <c r="A6964" t="s">
        <v>31</v>
      </c>
      <c r="F6964"/>
      <c r="M6964"/>
    </row>
    <row r="6965" spans="1:13" x14ac:dyDescent="0.15">
      <c r="A6965" t="s">
        <v>31</v>
      </c>
      <c r="F6965"/>
      <c r="M6965"/>
    </row>
    <row r="6966" spans="1:13" x14ac:dyDescent="0.15">
      <c r="A6966" t="s">
        <v>31</v>
      </c>
      <c r="F6966"/>
      <c r="M6966"/>
    </row>
    <row r="6967" spans="1:13" x14ac:dyDescent="0.15">
      <c r="A6967" t="s">
        <v>31</v>
      </c>
      <c r="F6967"/>
      <c r="M6967"/>
    </row>
    <row r="6968" spans="1:13" x14ac:dyDescent="0.15">
      <c r="A6968" t="s">
        <v>31</v>
      </c>
      <c r="F6968"/>
      <c r="M6968"/>
    </row>
    <row r="6969" spans="1:13" x14ac:dyDescent="0.15">
      <c r="A6969" t="s">
        <v>31</v>
      </c>
      <c r="F6969"/>
      <c r="M6969"/>
    </row>
    <row r="6970" spans="1:13" x14ac:dyDescent="0.15">
      <c r="A6970" t="s">
        <v>31</v>
      </c>
      <c r="F6970"/>
      <c r="M6970"/>
    </row>
    <row r="6971" spans="1:13" x14ac:dyDescent="0.15">
      <c r="A6971" t="s">
        <v>31</v>
      </c>
      <c r="F6971"/>
      <c r="M6971"/>
    </row>
    <row r="6972" spans="1:13" x14ac:dyDescent="0.15">
      <c r="A6972" t="s">
        <v>31</v>
      </c>
      <c r="F6972"/>
      <c r="M6972"/>
    </row>
    <row r="6973" spans="1:13" x14ac:dyDescent="0.15">
      <c r="A6973" t="s">
        <v>31</v>
      </c>
      <c r="F6973"/>
      <c r="M6973"/>
    </row>
    <row r="6974" spans="1:13" x14ac:dyDescent="0.15">
      <c r="A6974" t="s">
        <v>31</v>
      </c>
      <c r="F6974"/>
      <c r="M6974"/>
    </row>
    <row r="6975" spans="1:13" x14ac:dyDescent="0.15">
      <c r="A6975" t="s">
        <v>31</v>
      </c>
      <c r="F6975"/>
      <c r="M6975"/>
    </row>
    <row r="6976" spans="1:13" x14ac:dyDescent="0.15">
      <c r="A6976" t="s">
        <v>31</v>
      </c>
      <c r="F6976"/>
      <c r="M6976"/>
    </row>
    <row r="6977" spans="1:13" x14ac:dyDescent="0.15">
      <c r="A6977" t="s">
        <v>31</v>
      </c>
      <c r="F6977"/>
      <c r="M6977"/>
    </row>
    <row r="6978" spans="1:13" x14ac:dyDescent="0.15">
      <c r="A6978" t="s">
        <v>31</v>
      </c>
      <c r="F6978"/>
      <c r="M6978"/>
    </row>
    <row r="6979" spans="1:13" x14ac:dyDescent="0.15">
      <c r="A6979" t="s">
        <v>31</v>
      </c>
      <c r="F6979"/>
      <c r="M6979"/>
    </row>
    <row r="6980" spans="1:13" x14ac:dyDescent="0.15">
      <c r="A6980" t="s">
        <v>31</v>
      </c>
      <c r="F6980"/>
      <c r="M6980"/>
    </row>
    <row r="6981" spans="1:13" x14ac:dyDescent="0.15">
      <c r="A6981" t="s">
        <v>31</v>
      </c>
      <c r="F6981"/>
      <c r="M6981"/>
    </row>
    <row r="6982" spans="1:13" x14ac:dyDescent="0.15">
      <c r="A6982" t="s">
        <v>31</v>
      </c>
      <c r="F6982"/>
      <c r="M6982"/>
    </row>
    <row r="6983" spans="1:13" x14ac:dyDescent="0.15">
      <c r="A6983" t="s">
        <v>31</v>
      </c>
      <c r="F6983"/>
      <c r="M6983"/>
    </row>
    <row r="6984" spans="1:13" x14ac:dyDescent="0.15">
      <c r="A6984" t="s">
        <v>31</v>
      </c>
      <c r="F6984"/>
      <c r="M6984"/>
    </row>
    <row r="6985" spans="1:13" x14ac:dyDescent="0.15">
      <c r="A6985" t="s">
        <v>31</v>
      </c>
      <c r="F6985"/>
      <c r="M6985"/>
    </row>
    <row r="6986" spans="1:13" x14ac:dyDescent="0.15">
      <c r="A6986" t="s">
        <v>31</v>
      </c>
      <c r="F6986"/>
      <c r="M6986"/>
    </row>
    <row r="6987" spans="1:13" x14ac:dyDescent="0.15">
      <c r="A6987" t="s">
        <v>31</v>
      </c>
      <c r="F6987"/>
      <c r="M6987"/>
    </row>
    <row r="6988" spans="1:13" x14ac:dyDescent="0.15">
      <c r="A6988" t="s">
        <v>31</v>
      </c>
      <c r="F6988"/>
      <c r="M6988"/>
    </row>
    <row r="6989" spans="1:13" x14ac:dyDescent="0.15">
      <c r="A6989" t="s">
        <v>31</v>
      </c>
      <c r="F6989"/>
      <c r="M6989"/>
    </row>
    <row r="6990" spans="1:13" x14ac:dyDescent="0.15">
      <c r="A6990" t="s">
        <v>31</v>
      </c>
      <c r="F6990"/>
      <c r="M6990"/>
    </row>
    <row r="6991" spans="1:13" x14ac:dyDescent="0.15">
      <c r="A6991" t="s">
        <v>31</v>
      </c>
      <c r="F6991"/>
      <c r="M6991"/>
    </row>
    <row r="6992" spans="1:13" x14ac:dyDescent="0.15">
      <c r="A6992" t="s">
        <v>31</v>
      </c>
      <c r="F6992"/>
      <c r="M6992"/>
    </row>
    <row r="6993" spans="1:13" x14ac:dyDescent="0.15">
      <c r="A6993" t="s">
        <v>31</v>
      </c>
      <c r="F6993"/>
      <c r="M6993"/>
    </row>
    <row r="6994" spans="1:13" x14ac:dyDescent="0.15">
      <c r="A6994" t="s">
        <v>31</v>
      </c>
      <c r="F6994"/>
      <c r="M6994"/>
    </row>
    <row r="6995" spans="1:13" x14ac:dyDescent="0.15">
      <c r="A6995" t="s">
        <v>31</v>
      </c>
      <c r="F6995"/>
      <c r="M6995"/>
    </row>
    <row r="6996" spans="1:13" x14ac:dyDescent="0.15">
      <c r="A6996" t="s">
        <v>31</v>
      </c>
      <c r="F6996"/>
      <c r="M6996"/>
    </row>
    <row r="6997" spans="1:13" x14ac:dyDescent="0.15">
      <c r="A6997" t="s">
        <v>31</v>
      </c>
      <c r="F6997"/>
      <c r="M6997"/>
    </row>
    <row r="6998" spans="1:13" x14ac:dyDescent="0.15">
      <c r="A6998" t="s">
        <v>31</v>
      </c>
      <c r="F6998"/>
      <c r="M6998"/>
    </row>
    <row r="6999" spans="1:13" x14ac:dyDescent="0.15">
      <c r="A6999" t="s">
        <v>31</v>
      </c>
      <c r="F6999"/>
      <c r="M6999"/>
    </row>
    <row r="7000" spans="1:13" x14ac:dyDescent="0.15">
      <c r="A7000" t="s">
        <v>31</v>
      </c>
      <c r="F7000"/>
      <c r="M7000"/>
    </row>
    <row r="7001" spans="1:13" x14ac:dyDescent="0.15">
      <c r="A7001" t="s">
        <v>31</v>
      </c>
      <c r="F7001"/>
      <c r="M7001"/>
    </row>
    <row r="7002" spans="1:13" x14ac:dyDescent="0.15">
      <c r="A7002" t="s">
        <v>31</v>
      </c>
      <c r="F7002"/>
      <c r="M7002"/>
    </row>
    <row r="7003" spans="1:13" x14ac:dyDescent="0.15">
      <c r="A7003" t="s">
        <v>31</v>
      </c>
      <c r="F7003"/>
      <c r="M7003"/>
    </row>
    <row r="7004" spans="1:13" x14ac:dyDescent="0.15">
      <c r="A7004" t="s">
        <v>31</v>
      </c>
      <c r="F7004"/>
      <c r="M7004"/>
    </row>
    <row r="7005" spans="1:13" x14ac:dyDescent="0.15">
      <c r="A7005" t="s">
        <v>31</v>
      </c>
      <c r="F7005"/>
      <c r="M7005"/>
    </row>
    <row r="7006" spans="1:13" x14ac:dyDescent="0.15">
      <c r="A7006" t="s">
        <v>31</v>
      </c>
      <c r="F7006"/>
      <c r="M7006"/>
    </row>
    <row r="7007" spans="1:13" x14ac:dyDescent="0.15">
      <c r="A7007" t="s">
        <v>31</v>
      </c>
      <c r="F7007"/>
      <c r="M7007"/>
    </row>
    <row r="7008" spans="1:13" x14ac:dyDescent="0.15">
      <c r="A7008" t="s">
        <v>31</v>
      </c>
      <c r="F7008"/>
      <c r="M7008"/>
    </row>
    <row r="7009" spans="1:13" x14ac:dyDescent="0.15">
      <c r="A7009" t="s">
        <v>31</v>
      </c>
      <c r="F7009"/>
      <c r="M7009"/>
    </row>
    <row r="7010" spans="1:13" x14ac:dyDescent="0.15">
      <c r="A7010" t="s">
        <v>31</v>
      </c>
      <c r="F7010"/>
      <c r="M7010"/>
    </row>
    <row r="7011" spans="1:13" x14ac:dyDescent="0.15">
      <c r="A7011" t="s">
        <v>31</v>
      </c>
      <c r="F7011"/>
      <c r="M7011"/>
    </row>
    <row r="7012" spans="1:13" x14ac:dyDescent="0.15">
      <c r="A7012" t="s">
        <v>31</v>
      </c>
      <c r="F7012"/>
      <c r="M7012"/>
    </row>
    <row r="7013" spans="1:13" x14ac:dyDescent="0.15">
      <c r="A7013" t="s">
        <v>31</v>
      </c>
      <c r="F7013"/>
      <c r="M7013"/>
    </row>
    <row r="7014" spans="1:13" x14ac:dyDescent="0.15">
      <c r="A7014" t="s">
        <v>31</v>
      </c>
      <c r="F7014"/>
      <c r="M7014"/>
    </row>
    <row r="7015" spans="1:13" x14ac:dyDescent="0.15">
      <c r="A7015" t="s">
        <v>31</v>
      </c>
      <c r="F7015"/>
      <c r="M7015"/>
    </row>
    <row r="7016" spans="1:13" x14ac:dyDescent="0.15">
      <c r="A7016" t="s">
        <v>31</v>
      </c>
      <c r="F7016"/>
      <c r="M7016"/>
    </row>
    <row r="7017" spans="1:13" x14ac:dyDescent="0.15">
      <c r="A7017" t="s">
        <v>31</v>
      </c>
      <c r="F7017"/>
      <c r="M7017"/>
    </row>
    <row r="7018" spans="1:13" x14ac:dyDescent="0.15">
      <c r="A7018" t="s">
        <v>31</v>
      </c>
      <c r="F7018"/>
      <c r="M7018"/>
    </row>
    <row r="7019" spans="1:13" x14ac:dyDescent="0.15">
      <c r="A7019" t="s">
        <v>31</v>
      </c>
      <c r="F7019"/>
      <c r="M7019"/>
    </row>
    <row r="7020" spans="1:13" x14ac:dyDescent="0.15">
      <c r="A7020" t="s">
        <v>31</v>
      </c>
      <c r="F7020"/>
      <c r="M7020"/>
    </row>
    <row r="7021" spans="1:13" x14ac:dyDescent="0.15">
      <c r="A7021" t="s">
        <v>31</v>
      </c>
      <c r="F7021"/>
      <c r="M7021"/>
    </row>
    <row r="7022" spans="1:13" x14ac:dyDescent="0.15">
      <c r="A7022" t="s">
        <v>31</v>
      </c>
      <c r="F7022"/>
      <c r="M7022"/>
    </row>
    <row r="7023" spans="1:13" x14ac:dyDescent="0.15">
      <c r="A7023" t="s">
        <v>31</v>
      </c>
      <c r="F7023"/>
      <c r="M7023"/>
    </row>
    <row r="7024" spans="1:13" x14ac:dyDescent="0.15">
      <c r="A7024" t="s">
        <v>31</v>
      </c>
      <c r="F7024"/>
      <c r="M7024"/>
    </row>
    <row r="7025" spans="1:13" x14ac:dyDescent="0.15">
      <c r="A7025" t="s">
        <v>31</v>
      </c>
      <c r="F7025"/>
      <c r="M7025"/>
    </row>
    <row r="7026" spans="1:13" x14ac:dyDescent="0.15">
      <c r="A7026" t="s">
        <v>31</v>
      </c>
      <c r="F7026"/>
      <c r="M7026"/>
    </row>
    <row r="7027" spans="1:13" x14ac:dyDescent="0.15">
      <c r="A7027" t="s">
        <v>31</v>
      </c>
      <c r="F7027"/>
      <c r="M7027"/>
    </row>
    <row r="7028" spans="1:13" x14ac:dyDescent="0.15">
      <c r="A7028" t="s">
        <v>31</v>
      </c>
      <c r="F7028"/>
      <c r="M7028"/>
    </row>
    <row r="7029" spans="1:13" x14ac:dyDescent="0.15">
      <c r="A7029" t="s">
        <v>31</v>
      </c>
      <c r="F7029"/>
      <c r="M7029"/>
    </row>
    <row r="7030" spans="1:13" x14ac:dyDescent="0.15">
      <c r="A7030" t="s">
        <v>31</v>
      </c>
      <c r="F7030"/>
      <c r="M7030"/>
    </row>
    <row r="7031" spans="1:13" x14ac:dyDescent="0.15">
      <c r="A7031" t="s">
        <v>31</v>
      </c>
      <c r="F7031"/>
      <c r="M7031"/>
    </row>
    <row r="7032" spans="1:13" x14ac:dyDescent="0.15">
      <c r="A7032" t="s">
        <v>31</v>
      </c>
      <c r="F7032"/>
      <c r="M7032"/>
    </row>
    <row r="7033" spans="1:13" x14ac:dyDescent="0.15">
      <c r="A7033" t="s">
        <v>31</v>
      </c>
      <c r="F7033"/>
      <c r="M7033"/>
    </row>
    <row r="7034" spans="1:13" x14ac:dyDescent="0.15">
      <c r="A7034" t="s">
        <v>31</v>
      </c>
      <c r="F7034"/>
      <c r="M7034"/>
    </row>
    <row r="7035" spans="1:13" x14ac:dyDescent="0.15">
      <c r="A7035" t="s">
        <v>31</v>
      </c>
      <c r="F7035"/>
      <c r="M7035"/>
    </row>
    <row r="7036" spans="1:13" x14ac:dyDescent="0.15">
      <c r="A7036" t="s">
        <v>31</v>
      </c>
      <c r="F7036"/>
      <c r="M7036"/>
    </row>
    <row r="7037" spans="1:13" x14ac:dyDescent="0.15">
      <c r="A7037" t="s">
        <v>31</v>
      </c>
      <c r="F7037"/>
      <c r="M7037"/>
    </row>
    <row r="7038" spans="1:13" x14ac:dyDescent="0.15">
      <c r="A7038" t="s">
        <v>31</v>
      </c>
      <c r="F7038"/>
      <c r="M7038"/>
    </row>
    <row r="7039" spans="1:13" x14ac:dyDescent="0.15">
      <c r="A7039" t="s">
        <v>31</v>
      </c>
      <c r="F7039"/>
      <c r="M7039"/>
    </row>
    <row r="7040" spans="1:13" x14ac:dyDescent="0.15">
      <c r="A7040" t="s">
        <v>31</v>
      </c>
      <c r="F7040"/>
      <c r="M7040"/>
    </row>
    <row r="7041" spans="1:13" x14ac:dyDescent="0.15">
      <c r="A7041" t="s">
        <v>31</v>
      </c>
      <c r="F7041"/>
      <c r="M7041"/>
    </row>
    <row r="7042" spans="1:13" x14ac:dyDescent="0.15">
      <c r="A7042" t="s">
        <v>31</v>
      </c>
      <c r="F7042"/>
      <c r="M7042"/>
    </row>
    <row r="7043" spans="1:13" x14ac:dyDescent="0.15">
      <c r="A7043" t="s">
        <v>31</v>
      </c>
      <c r="F7043"/>
      <c r="M7043"/>
    </row>
    <row r="7044" spans="1:13" x14ac:dyDescent="0.15">
      <c r="A7044" t="s">
        <v>31</v>
      </c>
      <c r="F7044"/>
      <c r="M7044"/>
    </row>
    <row r="7045" spans="1:13" x14ac:dyDescent="0.15">
      <c r="A7045" t="s">
        <v>31</v>
      </c>
      <c r="F7045"/>
      <c r="M7045"/>
    </row>
    <row r="7046" spans="1:13" x14ac:dyDescent="0.15">
      <c r="A7046" t="s">
        <v>31</v>
      </c>
      <c r="F7046"/>
      <c r="M7046"/>
    </row>
    <row r="7047" spans="1:13" x14ac:dyDescent="0.15">
      <c r="A7047" t="s">
        <v>31</v>
      </c>
      <c r="F7047"/>
      <c r="M7047"/>
    </row>
    <row r="7048" spans="1:13" x14ac:dyDescent="0.15">
      <c r="A7048" t="s">
        <v>31</v>
      </c>
      <c r="F7048"/>
      <c r="M7048"/>
    </row>
    <row r="7049" spans="1:13" x14ac:dyDescent="0.15">
      <c r="A7049" t="s">
        <v>31</v>
      </c>
      <c r="F7049"/>
      <c r="M7049"/>
    </row>
    <row r="7050" spans="1:13" x14ac:dyDescent="0.15">
      <c r="A7050" t="s">
        <v>31</v>
      </c>
      <c r="F7050"/>
      <c r="M7050"/>
    </row>
    <row r="7051" spans="1:13" x14ac:dyDescent="0.15">
      <c r="A7051" t="s">
        <v>31</v>
      </c>
      <c r="F7051"/>
      <c r="M7051"/>
    </row>
    <row r="7052" spans="1:13" x14ac:dyDescent="0.15">
      <c r="A7052" t="s">
        <v>31</v>
      </c>
      <c r="F7052"/>
      <c r="M7052"/>
    </row>
    <row r="7053" spans="1:13" x14ac:dyDescent="0.15">
      <c r="A7053" t="s">
        <v>31</v>
      </c>
      <c r="F7053"/>
      <c r="M7053"/>
    </row>
    <row r="7054" spans="1:13" x14ac:dyDescent="0.15">
      <c r="A7054" t="s">
        <v>31</v>
      </c>
      <c r="F7054"/>
      <c r="M7054"/>
    </row>
    <row r="7055" spans="1:13" x14ac:dyDescent="0.15">
      <c r="A7055" t="s">
        <v>31</v>
      </c>
      <c r="F7055"/>
      <c r="M7055"/>
    </row>
    <row r="7056" spans="1:13" x14ac:dyDescent="0.15">
      <c r="A7056" t="s">
        <v>31</v>
      </c>
      <c r="F7056"/>
      <c r="M7056"/>
    </row>
    <row r="7057" spans="1:13" x14ac:dyDescent="0.15">
      <c r="A7057" t="s">
        <v>31</v>
      </c>
      <c r="F7057"/>
      <c r="M7057"/>
    </row>
    <row r="7058" spans="1:13" x14ac:dyDescent="0.15">
      <c r="A7058" t="s">
        <v>31</v>
      </c>
      <c r="F7058"/>
      <c r="M7058"/>
    </row>
    <row r="7059" spans="1:13" x14ac:dyDescent="0.15">
      <c r="A7059" t="s">
        <v>31</v>
      </c>
      <c r="F7059"/>
      <c r="M7059"/>
    </row>
    <row r="7060" spans="1:13" x14ac:dyDescent="0.15">
      <c r="A7060" t="s">
        <v>31</v>
      </c>
      <c r="F7060"/>
      <c r="M7060"/>
    </row>
    <row r="7061" spans="1:13" x14ac:dyDescent="0.15">
      <c r="A7061" t="s">
        <v>31</v>
      </c>
      <c r="F7061"/>
      <c r="M7061"/>
    </row>
    <row r="7062" spans="1:13" x14ac:dyDescent="0.15">
      <c r="A7062" t="s">
        <v>31</v>
      </c>
      <c r="F7062"/>
      <c r="M7062"/>
    </row>
    <row r="7063" spans="1:13" x14ac:dyDescent="0.15">
      <c r="A7063" t="s">
        <v>31</v>
      </c>
      <c r="F7063"/>
      <c r="M7063"/>
    </row>
    <row r="7064" spans="1:13" x14ac:dyDescent="0.15">
      <c r="A7064" t="s">
        <v>31</v>
      </c>
      <c r="F7064"/>
      <c r="M7064"/>
    </row>
    <row r="7065" spans="1:13" x14ac:dyDescent="0.15">
      <c r="A7065" t="s">
        <v>31</v>
      </c>
      <c r="F7065"/>
      <c r="M7065"/>
    </row>
    <row r="7066" spans="1:13" x14ac:dyDescent="0.15">
      <c r="A7066" t="s">
        <v>31</v>
      </c>
      <c r="F7066"/>
      <c r="M7066"/>
    </row>
    <row r="7067" spans="1:13" x14ac:dyDescent="0.15">
      <c r="A7067" t="s">
        <v>31</v>
      </c>
      <c r="F7067"/>
      <c r="M7067"/>
    </row>
    <row r="7068" spans="1:13" x14ac:dyDescent="0.15">
      <c r="A7068" t="s">
        <v>31</v>
      </c>
      <c r="F7068"/>
      <c r="M7068"/>
    </row>
    <row r="7069" spans="1:13" x14ac:dyDescent="0.15">
      <c r="A7069" t="s">
        <v>31</v>
      </c>
      <c r="F7069"/>
      <c r="M7069"/>
    </row>
    <row r="7070" spans="1:13" x14ac:dyDescent="0.15">
      <c r="A7070" t="s">
        <v>31</v>
      </c>
      <c r="F7070"/>
      <c r="M7070"/>
    </row>
    <row r="7071" spans="1:13" x14ac:dyDescent="0.15">
      <c r="A7071" t="s">
        <v>31</v>
      </c>
      <c r="F7071"/>
      <c r="M7071"/>
    </row>
    <row r="7072" spans="1:13" x14ac:dyDescent="0.15">
      <c r="A7072" t="s">
        <v>31</v>
      </c>
      <c r="F7072"/>
      <c r="M7072"/>
    </row>
    <row r="7073" spans="1:13" x14ac:dyDescent="0.15">
      <c r="A7073" t="s">
        <v>31</v>
      </c>
      <c r="F7073"/>
      <c r="M7073"/>
    </row>
    <row r="7074" spans="1:13" x14ac:dyDescent="0.15">
      <c r="A7074" t="s">
        <v>31</v>
      </c>
      <c r="F7074"/>
      <c r="M7074"/>
    </row>
    <row r="7075" spans="1:13" x14ac:dyDescent="0.15">
      <c r="A7075" t="s">
        <v>31</v>
      </c>
      <c r="F7075"/>
      <c r="M7075"/>
    </row>
    <row r="7076" spans="1:13" x14ac:dyDescent="0.15">
      <c r="A7076" t="s">
        <v>31</v>
      </c>
      <c r="F7076"/>
      <c r="M7076"/>
    </row>
    <row r="7077" spans="1:13" x14ac:dyDescent="0.15">
      <c r="A7077" t="s">
        <v>31</v>
      </c>
      <c r="F7077"/>
      <c r="M7077"/>
    </row>
    <row r="7078" spans="1:13" x14ac:dyDescent="0.15">
      <c r="A7078" t="s">
        <v>31</v>
      </c>
      <c r="F7078"/>
      <c r="M7078"/>
    </row>
    <row r="7079" spans="1:13" x14ac:dyDescent="0.15">
      <c r="A7079" t="s">
        <v>31</v>
      </c>
      <c r="F7079"/>
      <c r="M7079"/>
    </row>
    <row r="7080" spans="1:13" x14ac:dyDescent="0.15">
      <c r="A7080" t="s">
        <v>31</v>
      </c>
      <c r="F7080"/>
      <c r="M7080"/>
    </row>
    <row r="7081" spans="1:13" x14ac:dyDescent="0.15">
      <c r="A7081" t="s">
        <v>31</v>
      </c>
      <c r="F7081"/>
      <c r="M7081"/>
    </row>
    <row r="7082" spans="1:13" x14ac:dyDescent="0.15">
      <c r="A7082" t="s">
        <v>31</v>
      </c>
      <c r="F7082"/>
      <c r="M7082"/>
    </row>
    <row r="7083" spans="1:13" x14ac:dyDescent="0.15">
      <c r="A7083" t="s">
        <v>31</v>
      </c>
      <c r="F7083"/>
      <c r="M7083"/>
    </row>
    <row r="7084" spans="1:13" x14ac:dyDescent="0.15">
      <c r="A7084" t="s">
        <v>31</v>
      </c>
      <c r="F7084"/>
      <c r="M7084"/>
    </row>
    <row r="7085" spans="1:13" x14ac:dyDescent="0.15">
      <c r="A7085" t="s">
        <v>31</v>
      </c>
      <c r="F7085"/>
      <c r="M7085"/>
    </row>
    <row r="7086" spans="1:13" x14ac:dyDescent="0.15">
      <c r="A7086" t="s">
        <v>31</v>
      </c>
      <c r="F7086"/>
      <c r="M7086"/>
    </row>
    <row r="7087" spans="1:13" x14ac:dyDescent="0.15">
      <c r="A7087" t="s">
        <v>31</v>
      </c>
      <c r="F7087"/>
      <c r="M7087"/>
    </row>
    <row r="7088" spans="1:13" x14ac:dyDescent="0.15">
      <c r="A7088" t="s">
        <v>31</v>
      </c>
      <c r="F7088"/>
      <c r="M7088"/>
    </row>
    <row r="7089" spans="1:13" x14ac:dyDescent="0.15">
      <c r="A7089" t="s">
        <v>31</v>
      </c>
      <c r="F7089"/>
      <c r="M7089"/>
    </row>
    <row r="7090" spans="1:13" x14ac:dyDescent="0.15">
      <c r="A7090" t="s">
        <v>31</v>
      </c>
      <c r="F7090"/>
      <c r="M7090"/>
    </row>
    <row r="7091" spans="1:13" x14ac:dyDescent="0.15">
      <c r="A7091" t="s">
        <v>31</v>
      </c>
      <c r="F7091"/>
      <c r="M7091"/>
    </row>
    <row r="7092" spans="1:13" x14ac:dyDescent="0.15">
      <c r="A7092" t="s">
        <v>31</v>
      </c>
      <c r="F7092"/>
      <c r="M7092"/>
    </row>
    <row r="7093" spans="1:13" x14ac:dyDescent="0.15">
      <c r="A7093" t="s">
        <v>31</v>
      </c>
      <c r="F7093"/>
      <c r="M7093"/>
    </row>
    <row r="7094" spans="1:13" x14ac:dyDescent="0.15">
      <c r="A7094" t="s">
        <v>31</v>
      </c>
      <c r="F7094"/>
      <c r="M7094"/>
    </row>
    <row r="7095" spans="1:13" x14ac:dyDescent="0.15">
      <c r="A7095" t="s">
        <v>31</v>
      </c>
      <c r="F7095"/>
      <c r="M7095"/>
    </row>
    <row r="7096" spans="1:13" x14ac:dyDescent="0.15">
      <c r="A7096" t="s">
        <v>31</v>
      </c>
      <c r="F7096"/>
      <c r="M7096"/>
    </row>
    <row r="7097" spans="1:13" x14ac:dyDescent="0.15">
      <c r="A7097" t="s">
        <v>31</v>
      </c>
      <c r="F7097"/>
      <c r="M7097"/>
    </row>
    <row r="7098" spans="1:13" x14ac:dyDescent="0.15">
      <c r="A7098" t="s">
        <v>31</v>
      </c>
      <c r="F7098"/>
      <c r="M7098"/>
    </row>
    <row r="7099" spans="1:13" x14ac:dyDescent="0.15">
      <c r="A7099" t="s">
        <v>31</v>
      </c>
      <c r="F7099"/>
      <c r="M7099"/>
    </row>
    <row r="7100" spans="1:13" x14ac:dyDescent="0.15">
      <c r="A7100" t="s">
        <v>31</v>
      </c>
      <c r="F7100"/>
      <c r="M7100"/>
    </row>
    <row r="7101" spans="1:13" x14ac:dyDescent="0.15">
      <c r="A7101" t="s">
        <v>31</v>
      </c>
      <c r="F7101"/>
      <c r="M7101"/>
    </row>
    <row r="7102" spans="1:13" x14ac:dyDescent="0.15">
      <c r="A7102" t="s">
        <v>31</v>
      </c>
      <c r="F7102"/>
      <c r="M7102"/>
    </row>
    <row r="7103" spans="1:13" x14ac:dyDescent="0.15">
      <c r="A7103" t="s">
        <v>31</v>
      </c>
      <c r="F7103"/>
      <c r="M7103"/>
    </row>
    <row r="7104" spans="1:13" x14ac:dyDescent="0.15">
      <c r="A7104" t="s">
        <v>31</v>
      </c>
      <c r="F7104"/>
      <c r="M7104"/>
    </row>
    <row r="7105" spans="1:13" x14ac:dyDescent="0.15">
      <c r="A7105" t="s">
        <v>31</v>
      </c>
      <c r="F7105"/>
      <c r="M7105"/>
    </row>
    <row r="7106" spans="1:13" x14ac:dyDescent="0.15">
      <c r="A7106" t="s">
        <v>31</v>
      </c>
      <c r="F7106"/>
      <c r="M7106"/>
    </row>
    <row r="7107" spans="1:13" x14ac:dyDescent="0.15">
      <c r="A7107" t="s">
        <v>31</v>
      </c>
      <c r="F7107"/>
      <c r="M7107"/>
    </row>
    <row r="7108" spans="1:13" x14ac:dyDescent="0.15">
      <c r="A7108" t="s">
        <v>31</v>
      </c>
      <c r="F7108"/>
      <c r="M7108"/>
    </row>
    <row r="7109" spans="1:13" x14ac:dyDescent="0.15">
      <c r="A7109" t="s">
        <v>31</v>
      </c>
      <c r="F7109"/>
      <c r="M7109"/>
    </row>
    <row r="7110" spans="1:13" x14ac:dyDescent="0.15">
      <c r="A7110" t="s">
        <v>31</v>
      </c>
      <c r="F7110"/>
      <c r="M7110"/>
    </row>
    <row r="7111" spans="1:13" x14ac:dyDescent="0.15">
      <c r="A7111" t="s">
        <v>31</v>
      </c>
      <c r="F7111"/>
      <c r="M7111"/>
    </row>
    <row r="7112" spans="1:13" x14ac:dyDescent="0.15">
      <c r="A7112" t="s">
        <v>31</v>
      </c>
      <c r="F7112"/>
      <c r="M7112"/>
    </row>
    <row r="7113" spans="1:13" x14ac:dyDescent="0.15">
      <c r="A7113" t="s">
        <v>31</v>
      </c>
      <c r="F7113"/>
      <c r="M7113"/>
    </row>
    <row r="7114" spans="1:13" x14ac:dyDescent="0.15">
      <c r="A7114" t="s">
        <v>31</v>
      </c>
      <c r="F7114"/>
      <c r="M7114"/>
    </row>
    <row r="7115" spans="1:13" x14ac:dyDescent="0.15">
      <c r="A7115" t="s">
        <v>31</v>
      </c>
      <c r="F7115"/>
      <c r="M7115"/>
    </row>
    <row r="7116" spans="1:13" x14ac:dyDescent="0.15">
      <c r="A7116" t="s">
        <v>31</v>
      </c>
      <c r="F7116"/>
      <c r="M7116"/>
    </row>
    <row r="7117" spans="1:13" x14ac:dyDescent="0.15">
      <c r="A7117" t="s">
        <v>31</v>
      </c>
      <c r="F7117"/>
      <c r="M7117"/>
    </row>
    <row r="7118" spans="1:13" x14ac:dyDescent="0.15">
      <c r="A7118" t="s">
        <v>31</v>
      </c>
      <c r="F7118"/>
      <c r="M7118"/>
    </row>
    <row r="7119" spans="1:13" x14ac:dyDescent="0.15">
      <c r="A7119" t="s">
        <v>31</v>
      </c>
      <c r="F7119"/>
      <c r="M7119"/>
    </row>
    <row r="7120" spans="1:13" x14ac:dyDescent="0.15">
      <c r="A7120" t="s">
        <v>31</v>
      </c>
      <c r="F7120"/>
      <c r="M7120"/>
    </row>
    <row r="7121" spans="1:13" x14ac:dyDescent="0.15">
      <c r="A7121" t="s">
        <v>31</v>
      </c>
      <c r="F7121"/>
      <c r="M7121"/>
    </row>
    <row r="7122" spans="1:13" x14ac:dyDescent="0.15">
      <c r="A7122" t="s">
        <v>31</v>
      </c>
      <c r="F7122"/>
      <c r="M7122"/>
    </row>
    <row r="7123" spans="1:13" x14ac:dyDescent="0.15">
      <c r="A7123" t="s">
        <v>31</v>
      </c>
      <c r="F7123"/>
      <c r="M7123"/>
    </row>
    <row r="7124" spans="1:13" x14ac:dyDescent="0.15">
      <c r="A7124" t="s">
        <v>31</v>
      </c>
      <c r="F7124"/>
      <c r="M7124"/>
    </row>
    <row r="7125" spans="1:13" x14ac:dyDescent="0.15">
      <c r="A7125" t="s">
        <v>31</v>
      </c>
      <c r="F7125"/>
      <c r="M7125"/>
    </row>
    <row r="7126" spans="1:13" x14ac:dyDescent="0.15">
      <c r="A7126" t="s">
        <v>31</v>
      </c>
      <c r="F7126"/>
      <c r="M7126"/>
    </row>
    <row r="7127" spans="1:13" x14ac:dyDescent="0.15">
      <c r="A7127" t="s">
        <v>31</v>
      </c>
      <c r="F7127"/>
      <c r="M7127"/>
    </row>
    <row r="7128" spans="1:13" x14ac:dyDescent="0.15">
      <c r="A7128" t="s">
        <v>31</v>
      </c>
      <c r="F7128"/>
      <c r="M7128"/>
    </row>
    <row r="7129" spans="1:13" x14ac:dyDescent="0.15">
      <c r="A7129" t="s">
        <v>31</v>
      </c>
      <c r="F7129"/>
      <c r="M7129"/>
    </row>
    <row r="7130" spans="1:13" x14ac:dyDescent="0.15">
      <c r="A7130" t="s">
        <v>31</v>
      </c>
      <c r="F7130"/>
      <c r="M7130"/>
    </row>
    <row r="7131" spans="1:13" x14ac:dyDescent="0.15">
      <c r="A7131" t="s">
        <v>31</v>
      </c>
      <c r="F7131"/>
      <c r="M7131"/>
    </row>
    <row r="7132" spans="1:13" x14ac:dyDescent="0.15">
      <c r="A7132" t="s">
        <v>31</v>
      </c>
      <c r="F7132"/>
      <c r="M7132"/>
    </row>
    <row r="7133" spans="1:13" x14ac:dyDescent="0.15">
      <c r="A7133" t="s">
        <v>31</v>
      </c>
      <c r="F7133"/>
      <c r="M7133"/>
    </row>
    <row r="7134" spans="1:13" x14ac:dyDescent="0.15">
      <c r="A7134" t="s">
        <v>31</v>
      </c>
      <c r="F7134"/>
      <c r="M7134"/>
    </row>
    <row r="7135" spans="1:13" x14ac:dyDescent="0.15">
      <c r="A7135" t="s">
        <v>31</v>
      </c>
      <c r="F7135"/>
      <c r="M7135"/>
    </row>
    <row r="7136" spans="1:13" x14ac:dyDescent="0.15">
      <c r="A7136" t="s">
        <v>31</v>
      </c>
      <c r="F7136"/>
      <c r="M7136"/>
    </row>
    <row r="7137" spans="1:13" x14ac:dyDescent="0.15">
      <c r="A7137" t="s">
        <v>31</v>
      </c>
      <c r="F7137"/>
      <c r="M7137"/>
    </row>
    <row r="7138" spans="1:13" x14ac:dyDescent="0.15">
      <c r="A7138" t="s">
        <v>31</v>
      </c>
      <c r="F7138"/>
      <c r="M7138"/>
    </row>
    <row r="7139" spans="1:13" x14ac:dyDescent="0.15">
      <c r="A7139" t="s">
        <v>31</v>
      </c>
      <c r="F7139"/>
      <c r="M7139"/>
    </row>
    <row r="7140" spans="1:13" x14ac:dyDescent="0.15">
      <c r="A7140" t="s">
        <v>31</v>
      </c>
      <c r="F7140"/>
      <c r="M7140"/>
    </row>
    <row r="7141" spans="1:13" x14ac:dyDescent="0.15">
      <c r="A7141" t="s">
        <v>31</v>
      </c>
      <c r="F7141"/>
      <c r="M7141"/>
    </row>
    <row r="7142" spans="1:13" x14ac:dyDescent="0.15">
      <c r="A7142" t="s">
        <v>31</v>
      </c>
      <c r="F7142"/>
      <c r="M7142"/>
    </row>
    <row r="7143" spans="1:13" x14ac:dyDescent="0.15">
      <c r="A7143" t="s">
        <v>31</v>
      </c>
      <c r="F7143"/>
      <c r="M7143"/>
    </row>
    <row r="7144" spans="1:13" x14ac:dyDescent="0.15">
      <c r="A7144" t="s">
        <v>31</v>
      </c>
      <c r="F7144"/>
      <c r="M7144"/>
    </row>
    <row r="7145" spans="1:13" x14ac:dyDescent="0.15">
      <c r="A7145" t="s">
        <v>31</v>
      </c>
      <c r="F7145"/>
      <c r="M7145"/>
    </row>
    <row r="7146" spans="1:13" x14ac:dyDescent="0.15">
      <c r="A7146" t="s">
        <v>31</v>
      </c>
      <c r="F7146"/>
      <c r="M7146"/>
    </row>
    <row r="7147" spans="1:13" x14ac:dyDescent="0.15">
      <c r="A7147" t="s">
        <v>31</v>
      </c>
      <c r="F7147"/>
      <c r="M7147"/>
    </row>
    <row r="7148" spans="1:13" x14ac:dyDescent="0.15">
      <c r="A7148" t="s">
        <v>31</v>
      </c>
      <c r="F7148"/>
      <c r="M7148"/>
    </row>
    <row r="7149" spans="1:13" x14ac:dyDescent="0.15">
      <c r="A7149" t="s">
        <v>31</v>
      </c>
      <c r="F7149"/>
      <c r="M7149"/>
    </row>
    <row r="7150" spans="1:13" x14ac:dyDescent="0.15">
      <c r="A7150" t="s">
        <v>31</v>
      </c>
      <c r="F7150"/>
      <c r="M7150"/>
    </row>
    <row r="7151" spans="1:13" x14ac:dyDescent="0.15">
      <c r="A7151" t="s">
        <v>31</v>
      </c>
      <c r="F7151"/>
      <c r="M7151"/>
    </row>
    <row r="7152" spans="1:13" x14ac:dyDescent="0.15">
      <c r="A7152" t="s">
        <v>31</v>
      </c>
      <c r="F7152"/>
      <c r="M7152"/>
    </row>
    <row r="7153" spans="1:13" x14ac:dyDescent="0.15">
      <c r="A7153" t="s">
        <v>31</v>
      </c>
      <c r="F7153"/>
      <c r="M7153"/>
    </row>
    <row r="7154" spans="1:13" x14ac:dyDescent="0.15">
      <c r="A7154" t="s">
        <v>31</v>
      </c>
      <c r="F7154"/>
      <c r="M7154"/>
    </row>
    <row r="7155" spans="1:13" x14ac:dyDescent="0.15">
      <c r="A7155" t="s">
        <v>31</v>
      </c>
      <c r="F7155"/>
      <c r="M7155"/>
    </row>
    <row r="7156" spans="1:13" x14ac:dyDescent="0.15">
      <c r="A7156" t="s">
        <v>31</v>
      </c>
      <c r="F7156"/>
      <c r="M7156"/>
    </row>
    <row r="7157" spans="1:13" x14ac:dyDescent="0.15">
      <c r="A7157" t="s">
        <v>31</v>
      </c>
      <c r="F7157"/>
      <c r="M7157"/>
    </row>
    <row r="7158" spans="1:13" x14ac:dyDescent="0.15">
      <c r="A7158" t="s">
        <v>31</v>
      </c>
      <c r="F7158"/>
      <c r="M7158"/>
    </row>
    <row r="7159" spans="1:13" x14ac:dyDescent="0.15">
      <c r="A7159" t="s">
        <v>31</v>
      </c>
      <c r="F7159"/>
      <c r="M7159"/>
    </row>
    <row r="7160" spans="1:13" x14ac:dyDescent="0.15">
      <c r="A7160" t="s">
        <v>31</v>
      </c>
      <c r="F7160"/>
      <c r="M7160"/>
    </row>
    <row r="7161" spans="1:13" x14ac:dyDescent="0.15">
      <c r="A7161" t="s">
        <v>31</v>
      </c>
      <c r="F7161"/>
      <c r="M7161"/>
    </row>
    <row r="7162" spans="1:13" x14ac:dyDescent="0.15">
      <c r="A7162" t="s">
        <v>31</v>
      </c>
      <c r="F7162"/>
      <c r="M7162"/>
    </row>
    <row r="7163" spans="1:13" x14ac:dyDescent="0.15">
      <c r="A7163" t="s">
        <v>31</v>
      </c>
      <c r="F7163"/>
      <c r="M7163"/>
    </row>
    <row r="7164" spans="1:13" x14ac:dyDescent="0.15">
      <c r="A7164" t="s">
        <v>31</v>
      </c>
      <c r="F7164"/>
      <c r="M7164"/>
    </row>
    <row r="7165" spans="1:13" x14ac:dyDescent="0.15">
      <c r="A7165" t="s">
        <v>31</v>
      </c>
      <c r="F7165"/>
      <c r="M7165"/>
    </row>
    <row r="7166" spans="1:13" x14ac:dyDescent="0.15">
      <c r="A7166" t="s">
        <v>31</v>
      </c>
      <c r="F7166"/>
      <c r="M7166"/>
    </row>
    <row r="7167" spans="1:13" x14ac:dyDescent="0.15">
      <c r="A7167" t="s">
        <v>31</v>
      </c>
      <c r="F7167"/>
      <c r="M7167"/>
    </row>
    <row r="7168" spans="1:13" x14ac:dyDescent="0.15">
      <c r="A7168" t="s">
        <v>31</v>
      </c>
      <c r="F7168"/>
      <c r="M7168"/>
    </row>
    <row r="7169" spans="1:13" x14ac:dyDescent="0.15">
      <c r="A7169" t="s">
        <v>31</v>
      </c>
      <c r="F7169"/>
      <c r="M7169"/>
    </row>
    <row r="7170" spans="1:13" x14ac:dyDescent="0.15">
      <c r="A7170" t="s">
        <v>31</v>
      </c>
      <c r="F7170"/>
      <c r="M7170"/>
    </row>
    <row r="7171" spans="1:13" x14ac:dyDescent="0.15">
      <c r="A7171" t="s">
        <v>31</v>
      </c>
      <c r="F7171"/>
      <c r="M7171"/>
    </row>
    <row r="7172" spans="1:13" x14ac:dyDescent="0.15">
      <c r="A7172" t="s">
        <v>31</v>
      </c>
      <c r="F7172"/>
      <c r="M7172"/>
    </row>
    <row r="7173" spans="1:13" x14ac:dyDescent="0.15">
      <c r="A7173" t="s">
        <v>31</v>
      </c>
      <c r="F7173"/>
      <c r="M7173"/>
    </row>
    <row r="7174" spans="1:13" x14ac:dyDescent="0.15">
      <c r="A7174" t="s">
        <v>31</v>
      </c>
      <c r="F7174"/>
      <c r="M7174"/>
    </row>
    <row r="7175" spans="1:13" x14ac:dyDescent="0.15">
      <c r="A7175" t="s">
        <v>31</v>
      </c>
      <c r="F7175"/>
      <c r="M7175"/>
    </row>
    <row r="7176" spans="1:13" x14ac:dyDescent="0.15">
      <c r="A7176" t="s">
        <v>31</v>
      </c>
      <c r="F7176"/>
      <c r="M7176"/>
    </row>
    <row r="7177" spans="1:13" x14ac:dyDescent="0.15">
      <c r="A7177" t="s">
        <v>31</v>
      </c>
      <c r="F7177"/>
      <c r="M7177"/>
    </row>
    <row r="7178" spans="1:13" x14ac:dyDescent="0.15">
      <c r="A7178" t="s">
        <v>31</v>
      </c>
      <c r="F7178"/>
      <c r="M7178"/>
    </row>
    <row r="7179" spans="1:13" x14ac:dyDescent="0.15">
      <c r="A7179" t="s">
        <v>31</v>
      </c>
      <c r="F7179"/>
      <c r="M7179"/>
    </row>
    <row r="7180" spans="1:13" x14ac:dyDescent="0.15">
      <c r="A7180" t="s">
        <v>31</v>
      </c>
      <c r="F7180"/>
      <c r="M7180"/>
    </row>
    <row r="7181" spans="1:13" x14ac:dyDescent="0.15">
      <c r="A7181" t="s">
        <v>31</v>
      </c>
      <c r="F7181"/>
      <c r="M7181"/>
    </row>
    <row r="7182" spans="1:13" x14ac:dyDescent="0.15">
      <c r="A7182" t="s">
        <v>31</v>
      </c>
      <c r="F7182"/>
      <c r="M7182"/>
    </row>
    <row r="7183" spans="1:13" x14ac:dyDescent="0.15">
      <c r="A7183" t="s">
        <v>31</v>
      </c>
      <c r="F7183"/>
      <c r="M7183"/>
    </row>
    <row r="7184" spans="1:13" x14ac:dyDescent="0.15">
      <c r="A7184" t="s">
        <v>31</v>
      </c>
      <c r="F7184"/>
      <c r="M7184"/>
    </row>
    <row r="7185" spans="1:13" x14ac:dyDescent="0.15">
      <c r="A7185" t="s">
        <v>31</v>
      </c>
      <c r="F7185"/>
      <c r="M7185"/>
    </row>
    <row r="7186" spans="1:13" x14ac:dyDescent="0.15">
      <c r="A7186" t="s">
        <v>31</v>
      </c>
      <c r="F7186"/>
      <c r="M7186"/>
    </row>
    <row r="7187" spans="1:13" x14ac:dyDescent="0.15">
      <c r="A7187" t="s">
        <v>31</v>
      </c>
      <c r="F7187"/>
      <c r="M7187"/>
    </row>
    <row r="7188" spans="1:13" x14ac:dyDescent="0.15">
      <c r="A7188" t="s">
        <v>31</v>
      </c>
      <c r="F7188"/>
      <c r="M7188"/>
    </row>
    <row r="7189" spans="1:13" x14ac:dyDescent="0.15">
      <c r="A7189" t="s">
        <v>31</v>
      </c>
      <c r="F7189"/>
      <c r="M7189"/>
    </row>
    <row r="7190" spans="1:13" x14ac:dyDescent="0.15">
      <c r="A7190" t="s">
        <v>31</v>
      </c>
      <c r="F7190"/>
      <c r="M7190"/>
    </row>
    <row r="7191" spans="1:13" x14ac:dyDescent="0.15">
      <c r="A7191" t="s">
        <v>31</v>
      </c>
      <c r="F7191"/>
      <c r="M7191"/>
    </row>
    <row r="7192" spans="1:13" x14ac:dyDescent="0.15">
      <c r="A7192" t="s">
        <v>31</v>
      </c>
      <c r="F7192"/>
      <c r="M7192"/>
    </row>
    <row r="7193" spans="1:13" x14ac:dyDescent="0.15">
      <c r="A7193" t="s">
        <v>31</v>
      </c>
      <c r="F7193"/>
      <c r="M7193"/>
    </row>
    <row r="7194" spans="1:13" x14ac:dyDescent="0.15">
      <c r="A7194" t="s">
        <v>31</v>
      </c>
      <c r="F7194"/>
      <c r="M7194"/>
    </row>
    <row r="7195" spans="1:13" x14ac:dyDescent="0.15">
      <c r="A7195" t="s">
        <v>31</v>
      </c>
      <c r="F7195"/>
      <c r="M7195"/>
    </row>
    <row r="7196" spans="1:13" x14ac:dyDescent="0.15">
      <c r="A7196" t="s">
        <v>31</v>
      </c>
      <c r="F7196"/>
      <c r="M7196"/>
    </row>
    <row r="7197" spans="1:13" x14ac:dyDescent="0.15">
      <c r="A7197" t="s">
        <v>31</v>
      </c>
      <c r="F7197"/>
      <c r="M7197"/>
    </row>
    <row r="7198" spans="1:13" x14ac:dyDescent="0.15">
      <c r="A7198" t="s">
        <v>31</v>
      </c>
      <c r="F7198"/>
      <c r="M7198"/>
    </row>
    <row r="7199" spans="1:13" x14ac:dyDescent="0.15">
      <c r="A7199" t="s">
        <v>31</v>
      </c>
      <c r="F7199"/>
      <c r="M7199"/>
    </row>
    <row r="7200" spans="1:13" x14ac:dyDescent="0.15">
      <c r="A7200" t="s">
        <v>31</v>
      </c>
      <c r="F7200"/>
      <c r="M7200"/>
    </row>
    <row r="7201" spans="1:13" x14ac:dyDescent="0.15">
      <c r="A7201" t="s">
        <v>31</v>
      </c>
      <c r="F7201"/>
      <c r="M7201"/>
    </row>
    <row r="7202" spans="1:13" x14ac:dyDescent="0.15">
      <c r="A7202" t="s">
        <v>31</v>
      </c>
      <c r="F7202"/>
      <c r="M7202"/>
    </row>
    <row r="7203" spans="1:13" x14ac:dyDescent="0.15">
      <c r="A7203" t="s">
        <v>31</v>
      </c>
      <c r="F7203"/>
      <c r="M7203"/>
    </row>
    <row r="7204" spans="1:13" x14ac:dyDescent="0.15">
      <c r="A7204" t="s">
        <v>31</v>
      </c>
      <c r="F7204"/>
      <c r="M7204"/>
    </row>
    <row r="7205" spans="1:13" x14ac:dyDescent="0.15">
      <c r="A7205" t="s">
        <v>31</v>
      </c>
      <c r="F7205"/>
      <c r="M7205"/>
    </row>
    <row r="7206" spans="1:13" x14ac:dyDescent="0.15">
      <c r="A7206" t="s">
        <v>31</v>
      </c>
      <c r="F7206"/>
      <c r="M7206"/>
    </row>
    <row r="7207" spans="1:13" x14ac:dyDescent="0.15">
      <c r="A7207" t="s">
        <v>31</v>
      </c>
      <c r="F7207"/>
      <c r="M7207"/>
    </row>
    <row r="7208" spans="1:13" x14ac:dyDescent="0.15">
      <c r="A7208" t="s">
        <v>31</v>
      </c>
      <c r="F7208"/>
      <c r="M7208"/>
    </row>
    <row r="7209" spans="1:13" x14ac:dyDescent="0.15">
      <c r="A7209" t="s">
        <v>31</v>
      </c>
      <c r="F7209"/>
      <c r="M7209"/>
    </row>
    <row r="7210" spans="1:13" x14ac:dyDescent="0.15">
      <c r="A7210" t="s">
        <v>31</v>
      </c>
      <c r="F7210"/>
      <c r="M7210"/>
    </row>
    <row r="7211" spans="1:13" x14ac:dyDescent="0.15">
      <c r="A7211" t="s">
        <v>31</v>
      </c>
      <c r="F7211"/>
      <c r="M7211"/>
    </row>
    <row r="7212" spans="1:13" x14ac:dyDescent="0.15">
      <c r="A7212" t="s">
        <v>31</v>
      </c>
      <c r="F7212"/>
      <c r="M7212"/>
    </row>
    <row r="7213" spans="1:13" x14ac:dyDescent="0.15">
      <c r="A7213" t="s">
        <v>31</v>
      </c>
      <c r="F7213"/>
      <c r="M7213"/>
    </row>
    <row r="7214" spans="1:13" x14ac:dyDescent="0.15">
      <c r="A7214" t="s">
        <v>31</v>
      </c>
      <c r="F7214"/>
      <c r="M7214"/>
    </row>
    <row r="7215" spans="1:13" x14ac:dyDescent="0.15">
      <c r="A7215" t="s">
        <v>31</v>
      </c>
      <c r="F7215"/>
      <c r="M7215"/>
    </row>
    <row r="7216" spans="1:13" x14ac:dyDescent="0.15">
      <c r="A7216" t="s">
        <v>31</v>
      </c>
      <c r="F7216"/>
      <c r="M7216"/>
    </row>
    <row r="7217" spans="1:13" x14ac:dyDescent="0.15">
      <c r="A7217" t="s">
        <v>31</v>
      </c>
      <c r="F7217"/>
      <c r="M7217"/>
    </row>
    <row r="7218" spans="1:13" x14ac:dyDescent="0.15">
      <c r="A7218" t="s">
        <v>31</v>
      </c>
      <c r="F7218"/>
      <c r="M7218"/>
    </row>
    <row r="7219" spans="1:13" x14ac:dyDescent="0.15">
      <c r="A7219" t="s">
        <v>31</v>
      </c>
      <c r="F7219"/>
      <c r="M7219"/>
    </row>
    <row r="7220" spans="1:13" x14ac:dyDescent="0.15">
      <c r="A7220" t="s">
        <v>31</v>
      </c>
      <c r="F7220"/>
      <c r="M7220"/>
    </row>
    <row r="7221" spans="1:13" x14ac:dyDescent="0.15">
      <c r="A7221" t="s">
        <v>31</v>
      </c>
      <c r="F7221"/>
      <c r="M7221"/>
    </row>
    <row r="7222" spans="1:13" x14ac:dyDescent="0.15">
      <c r="A7222" t="s">
        <v>31</v>
      </c>
      <c r="F7222"/>
      <c r="M7222"/>
    </row>
    <row r="7223" spans="1:13" x14ac:dyDescent="0.15">
      <c r="A7223" t="s">
        <v>31</v>
      </c>
      <c r="F7223"/>
      <c r="M7223"/>
    </row>
    <row r="7224" spans="1:13" x14ac:dyDescent="0.15">
      <c r="A7224" t="s">
        <v>31</v>
      </c>
      <c r="F7224"/>
      <c r="M7224"/>
    </row>
    <row r="7225" spans="1:13" x14ac:dyDescent="0.15">
      <c r="A7225" t="s">
        <v>31</v>
      </c>
      <c r="F7225"/>
      <c r="M7225"/>
    </row>
    <row r="7226" spans="1:13" x14ac:dyDescent="0.15">
      <c r="A7226" t="s">
        <v>31</v>
      </c>
      <c r="F7226"/>
      <c r="M7226"/>
    </row>
    <row r="7227" spans="1:13" x14ac:dyDescent="0.15">
      <c r="A7227" t="s">
        <v>31</v>
      </c>
      <c r="F7227"/>
      <c r="M7227"/>
    </row>
    <row r="7228" spans="1:13" x14ac:dyDescent="0.15">
      <c r="A7228" t="s">
        <v>31</v>
      </c>
      <c r="F7228"/>
      <c r="M7228"/>
    </row>
    <row r="7229" spans="1:13" x14ac:dyDescent="0.15">
      <c r="A7229" t="s">
        <v>31</v>
      </c>
      <c r="F7229"/>
      <c r="M7229"/>
    </row>
    <row r="7230" spans="1:13" x14ac:dyDescent="0.15">
      <c r="A7230" t="s">
        <v>31</v>
      </c>
      <c r="F7230"/>
      <c r="M7230"/>
    </row>
    <row r="7231" spans="1:13" x14ac:dyDescent="0.15">
      <c r="A7231" t="s">
        <v>31</v>
      </c>
      <c r="F7231"/>
      <c r="M7231"/>
    </row>
    <row r="7232" spans="1:13" x14ac:dyDescent="0.15">
      <c r="A7232" t="s">
        <v>31</v>
      </c>
      <c r="F7232"/>
      <c r="M7232"/>
    </row>
    <row r="7233" spans="1:13" x14ac:dyDescent="0.15">
      <c r="A7233" t="s">
        <v>31</v>
      </c>
      <c r="F7233"/>
      <c r="M7233"/>
    </row>
    <row r="7234" spans="1:13" x14ac:dyDescent="0.15">
      <c r="A7234" t="s">
        <v>31</v>
      </c>
      <c r="F7234"/>
      <c r="M7234"/>
    </row>
    <row r="7235" spans="1:13" x14ac:dyDescent="0.15">
      <c r="A7235" t="s">
        <v>31</v>
      </c>
      <c r="F7235"/>
      <c r="M7235"/>
    </row>
    <row r="7236" spans="1:13" x14ac:dyDescent="0.15">
      <c r="A7236" t="s">
        <v>31</v>
      </c>
      <c r="F7236"/>
      <c r="M7236"/>
    </row>
    <row r="7237" spans="1:13" x14ac:dyDescent="0.15">
      <c r="A7237" t="s">
        <v>31</v>
      </c>
      <c r="F7237"/>
      <c r="M7237"/>
    </row>
    <row r="7238" spans="1:13" x14ac:dyDescent="0.15">
      <c r="A7238" t="s">
        <v>31</v>
      </c>
      <c r="F7238"/>
      <c r="M7238"/>
    </row>
    <row r="7239" spans="1:13" x14ac:dyDescent="0.15">
      <c r="A7239" t="s">
        <v>31</v>
      </c>
      <c r="F7239"/>
      <c r="M7239"/>
    </row>
    <row r="7240" spans="1:13" x14ac:dyDescent="0.15">
      <c r="A7240" t="s">
        <v>31</v>
      </c>
      <c r="F7240"/>
      <c r="M7240"/>
    </row>
    <row r="7241" spans="1:13" x14ac:dyDescent="0.15">
      <c r="A7241" t="s">
        <v>31</v>
      </c>
      <c r="F7241"/>
      <c r="M7241"/>
    </row>
    <row r="7242" spans="1:13" x14ac:dyDescent="0.15">
      <c r="A7242" t="s">
        <v>31</v>
      </c>
      <c r="F7242"/>
      <c r="M7242"/>
    </row>
    <row r="7243" spans="1:13" x14ac:dyDescent="0.15">
      <c r="A7243" t="s">
        <v>31</v>
      </c>
      <c r="F7243"/>
      <c r="M7243"/>
    </row>
    <row r="7244" spans="1:13" x14ac:dyDescent="0.15">
      <c r="A7244" t="s">
        <v>31</v>
      </c>
      <c r="F7244"/>
      <c r="M7244"/>
    </row>
    <row r="7245" spans="1:13" x14ac:dyDescent="0.15">
      <c r="A7245" t="s">
        <v>31</v>
      </c>
      <c r="F7245"/>
      <c r="M7245"/>
    </row>
    <row r="7246" spans="1:13" x14ac:dyDescent="0.15">
      <c r="A7246" t="s">
        <v>31</v>
      </c>
      <c r="F7246"/>
      <c r="M7246"/>
    </row>
    <row r="7247" spans="1:13" x14ac:dyDescent="0.15">
      <c r="A7247" t="s">
        <v>31</v>
      </c>
      <c r="F7247"/>
      <c r="M7247"/>
    </row>
    <row r="7248" spans="1:13" x14ac:dyDescent="0.15">
      <c r="A7248" t="s">
        <v>31</v>
      </c>
      <c r="F7248"/>
      <c r="M7248"/>
    </row>
    <row r="7249" spans="1:13" x14ac:dyDescent="0.15">
      <c r="A7249" t="s">
        <v>31</v>
      </c>
      <c r="F7249"/>
      <c r="M7249"/>
    </row>
    <row r="7250" spans="1:13" x14ac:dyDescent="0.15">
      <c r="A7250" t="s">
        <v>31</v>
      </c>
      <c r="F7250"/>
      <c r="M7250"/>
    </row>
    <row r="7251" spans="1:13" x14ac:dyDescent="0.15">
      <c r="A7251" t="s">
        <v>31</v>
      </c>
      <c r="F7251"/>
      <c r="M7251"/>
    </row>
    <row r="7252" spans="1:13" x14ac:dyDescent="0.15">
      <c r="A7252" t="s">
        <v>31</v>
      </c>
      <c r="F7252"/>
      <c r="M7252"/>
    </row>
    <row r="7253" spans="1:13" x14ac:dyDescent="0.15">
      <c r="A7253" t="s">
        <v>31</v>
      </c>
      <c r="F7253"/>
      <c r="M7253"/>
    </row>
    <row r="7254" spans="1:13" x14ac:dyDescent="0.15">
      <c r="A7254" t="s">
        <v>31</v>
      </c>
      <c r="F7254"/>
      <c r="M7254"/>
    </row>
    <row r="7255" spans="1:13" x14ac:dyDescent="0.15">
      <c r="A7255" t="s">
        <v>31</v>
      </c>
      <c r="F7255"/>
      <c r="M7255"/>
    </row>
    <row r="7256" spans="1:13" x14ac:dyDescent="0.15">
      <c r="A7256" t="s">
        <v>31</v>
      </c>
      <c r="F7256"/>
      <c r="M7256"/>
    </row>
    <row r="7257" spans="1:13" x14ac:dyDescent="0.15">
      <c r="A7257" t="s">
        <v>31</v>
      </c>
      <c r="F7257"/>
      <c r="M7257"/>
    </row>
    <row r="7258" spans="1:13" x14ac:dyDescent="0.15">
      <c r="A7258" t="s">
        <v>31</v>
      </c>
      <c r="F7258"/>
      <c r="M7258"/>
    </row>
    <row r="7259" spans="1:13" x14ac:dyDescent="0.15">
      <c r="A7259" t="s">
        <v>31</v>
      </c>
      <c r="F7259"/>
      <c r="M7259"/>
    </row>
    <row r="7260" spans="1:13" x14ac:dyDescent="0.15">
      <c r="A7260" t="s">
        <v>31</v>
      </c>
      <c r="F7260"/>
      <c r="M7260"/>
    </row>
    <row r="7261" spans="1:13" x14ac:dyDescent="0.15">
      <c r="A7261" t="s">
        <v>31</v>
      </c>
      <c r="F7261"/>
      <c r="M7261"/>
    </row>
    <row r="7262" spans="1:13" x14ac:dyDescent="0.15">
      <c r="A7262" t="s">
        <v>31</v>
      </c>
      <c r="F7262"/>
      <c r="M7262"/>
    </row>
    <row r="7263" spans="1:13" x14ac:dyDescent="0.15">
      <c r="A7263" t="s">
        <v>31</v>
      </c>
      <c r="F7263"/>
      <c r="M7263"/>
    </row>
    <row r="7264" spans="1:13" x14ac:dyDescent="0.15">
      <c r="A7264" t="s">
        <v>31</v>
      </c>
      <c r="F7264"/>
      <c r="M7264"/>
    </row>
    <row r="7265" spans="1:13" x14ac:dyDescent="0.15">
      <c r="A7265" t="s">
        <v>31</v>
      </c>
      <c r="F7265"/>
      <c r="M7265"/>
    </row>
    <row r="7266" spans="1:13" x14ac:dyDescent="0.15">
      <c r="A7266" t="s">
        <v>31</v>
      </c>
      <c r="F7266"/>
      <c r="M7266"/>
    </row>
    <row r="7267" spans="1:13" x14ac:dyDescent="0.15">
      <c r="A7267" t="s">
        <v>31</v>
      </c>
      <c r="F7267"/>
      <c r="M7267"/>
    </row>
    <row r="7268" spans="1:13" x14ac:dyDescent="0.15">
      <c r="A7268" t="s">
        <v>31</v>
      </c>
      <c r="F7268"/>
      <c r="M7268"/>
    </row>
    <row r="7269" spans="1:13" x14ac:dyDescent="0.15">
      <c r="A7269" t="s">
        <v>31</v>
      </c>
      <c r="F7269"/>
      <c r="M7269"/>
    </row>
    <row r="7270" spans="1:13" x14ac:dyDescent="0.15">
      <c r="A7270" t="s">
        <v>31</v>
      </c>
      <c r="F7270"/>
      <c r="M7270"/>
    </row>
    <row r="7271" spans="1:13" x14ac:dyDescent="0.15">
      <c r="A7271" t="s">
        <v>31</v>
      </c>
      <c r="F7271"/>
      <c r="M7271"/>
    </row>
    <row r="7272" spans="1:13" x14ac:dyDescent="0.15">
      <c r="A7272" t="s">
        <v>31</v>
      </c>
      <c r="F7272"/>
      <c r="M7272"/>
    </row>
    <row r="7273" spans="1:13" x14ac:dyDescent="0.15">
      <c r="A7273" t="s">
        <v>31</v>
      </c>
      <c r="F7273"/>
      <c r="M7273"/>
    </row>
    <row r="7274" spans="1:13" x14ac:dyDescent="0.15">
      <c r="A7274" t="s">
        <v>31</v>
      </c>
      <c r="F7274"/>
      <c r="M7274"/>
    </row>
    <row r="7275" spans="1:13" x14ac:dyDescent="0.15">
      <c r="A7275" t="s">
        <v>31</v>
      </c>
      <c r="F7275"/>
      <c r="M7275"/>
    </row>
    <row r="7276" spans="1:13" x14ac:dyDescent="0.15">
      <c r="A7276" t="s">
        <v>31</v>
      </c>
      <c r="F7276"/>
      <c r="M7276"/>
    </row>
    <row r="7277" spans="1:13" x14ac:dyDescent="0.15">
      <c r="A7277" t="s">
        <v>31</v>
      </c>
      <c r="F7277"/>
      <c r="M7277"/>
    </row>
    <row r="7278" spans="1:13" x14ac:dyDescent="0.15">
      <c r="A7278" t="s">
        <v>31</v>
      </c>
      <c r="F7278"/>
      <c r="M7278"/>
    </row>
    <row r="7279" spans="1:13" x14ac:dyDescent="0.15">
      <c r="A7279" t="s">
        <v>31</v>
      </c>
      <c r="F7279"/>
      <c r="M7279"/>
    </row>
    <row r="7280" spans="1:13" x14ac:dyDescent="0.15">
      <c r="A7280" t="s">
        <v>31</v>
      </c>
      <c r="F7280"/>
      <c r="M7280"/>
    </row>
    <row r="7281" spans="1:13" x14ac:dyDescent="0.15">
      <c r="A7281" t="s">
        <v>31</v>
      </c>
      <c r="F7281"/>
      <c r="M7281"/>
    </row>
    <row r="7282" spans="1:13" x14ac:dyDescent="0.15">
      <c r="A7282" t="s">
        <v>31</v>
      </c>
      <c r="F7282"/>
      <c r="M7282"/>
    </row>
    <row r="7283" spans="1:13" x14ac:dyDescent="0.15">
      <c r="A7283" t="s">
        <v>31</v>
      </c>
      <c r="F7283"/>
      <c r="M7283"/>
    </row>
    <row r="7284" spans="1:13" x14ac:dyDescent="0.15">
      <c r="A7284" t="s">
        <v>31</v>
      </c>
      <c r="F7284"/>
      <c r="M7284"/>
    </row>
    <row r="7285" spans="1:13" x14ac:dyDescent="0.15">
      <c r="A7285" t="s">
        <v>31</v>
      </c>
      <c r="F7285"/>
      <c r="M7285"/>
    </row>
    <row r="7286" spans="1:13" x14ac:dyDescent="0.15">
      <c r="A7286" t="s">
        <v>31</v>
      </c>
      <c r="F7286"/>
      <c r="M7286"/>
    </row>
    <row r="7287" spans="1:13" x14ac:dyDescent="0.15">
      <c r="A7287" t="s">
        <v>31</v>
      </c>
      <c r="F7287"/>
      <c r="M7287"/>
    </row>
    <row r="7288" spans="1:13" x14ac:dyDescent="0.15">
      <c r="A7288" t="s">
        <v>31</v>
      </c>
      <c r="F7288"/>
      <c r="M7288"/>
    </row>
    <row r="7289" spans="1:13" x14ac:dyDescent="0.15">
      <c r="A7289" t="s">
        <v>31</v>
      </c>
      <c r="F7289"/>
      <c r="M7289"/>
    </row>
    <row r="7290" spans="1:13" x14ac:dyDescent="0.15">
      <c r="A7290" t="s">
        <v>31</v>
      </c>
      <c r="F7290"/>
      <c r="M7290"/>
    </row>
    <row r="7291" spans="1:13" x14ac:dyDescent="0.15">
      <c r="A7291" t="s">
        <v>31</v>
      </c>
      <c r="F7291"/>
      <c r="M7291"/>
    </row>
    <row r="7292" spans="1:13" x14ac:dyDescent="0.15">
      <c r="A7292" t="s">
        <v>31</v>
      </c>
      <c r="F7292"/>
      <c r="M7292"/>
    </row>
    <row r="7293" spans="1:13" x14ac:dyDescent="0.15">
      <c r="A7293" t="s">
        <v>31</v>
      </c>
      <c r="F7293"/>
      <c r="M7293"/>
    </row>
    <row r="7294" spans="1:13" x14ac:dyDescent="0.15">
      <c r="A7294" t="s">
        <v>31</v>
      </c>
      <c r="F7294"/>
      <c r="M7294"/>
    </row>
    <row r="7295" spans="1:13" x14ac:dyDescent="0.15">
      <c r="A7295" t="s">
        <v>31</v>
      </c>
      <c r="F7295"/>
      <c r="M7295"/>
    </row>
    <row r="7296" spans="1:13" x14ac:dyDescent="0.15">
      <c r="A7296" t="s">
        <v>31</v>
      </c>
      <c r="F7296"/>
      <c r="M7296"/>
    </row>
    <row r="7297" spans="1:13" x14ac:dyDescent="0.15">
      <c r="A7297" t="s">
        <v>31</v>
      </c>
      <c r="F7297"/>
      <c r="M7297"/>
    </row>
    <row r="7298" spans="1:13" x14ac:dyDescent="0.15">
      <c r="A7298" t="s">
        <v>31</v>
      </c>
      <c r="F7298"/>
      <c r="M7298"/>
    </row>
    <row r="7299" spans="1:13" x14ac:dyDescent="0.15">
      <c r="A7299" t="s">
        <v>31</v>
      </c>
      <c r="F7299"/>
      <c r="M7299"/>
    </row>
    <row r="7300" spans="1:13" x14ac:dyDescent="0.15">
      <c r="A7300" t="s">
        <v>31</v>
      </c>
      <c r="F7300"/>
      <c r="M7300"/>
    </row>
    <row r="7301" spans="1:13" x14ac:dyDescent="0.15">
      <c r="A7301" t="s">
        <v>31</v>
      </c>
      <c r="F7301"/>
      <c r="M7301"/>
    </row>
    <row r="7302" spans="1:13" x14ac:dyDescent="0.15">
      <c r="A7302" t="s">
        <v>31</v>
      </c>
      <c r="F7302"/>
      <c r="M7302"/>
    </row>
    <row r="7303" spans="1:13" x14ac:dyDescent="0.15">
      <c r="A7303" t="s">
        <v>31</v>
      </c>
      <c r="F7303"/>
      <c r="M7303"/>
    </row>
    <row r="7304" spans="1:13" x14ac:dyDescent="0.15">
      <c r="A7304" t="s">
        <v>31</v>
      </c>
      <c r="F7304"/>
      <c r="M7304"/>
    </row>
    <row r="7305" spans="1:13" x14ac:dyDescent="0.15">
      <c r="A7305" t="s">
        <v>31</v>
      </c>
      <c r="F7305"/>
      <c r="M7305"/>
    </row>
    <row r="7306" spans="1:13" x14ac:dyDescent="0.15">
      <c r="A7306" t="s">
        <v>31</v>
      </c>
      <c r="F7306"/>
      <c r="M7306"/>
    </row>
    <row r="7307" spans="1:13" x14ac:dyDescent="0.15">
      <c r="A7307" t="s">
        <v>31</v>
      </c>
      <c r="F7307"/>
      <c r="M7307"/>
    </row>
    <row r="7308" spans="1:13" x14ac:dyDescent="0.15">
      <c r="A7308" t="s">
        <v>31</v>
      </c>
      <c r="F7308"/>
      <c r="M7308"/>
    </row>
    <row r="7309" spans="1:13" x14ac:dyDescent="0.15">
      <c r="A7309" t="s">
        <v>31</v>
      </c>
      <c r="F7309"/>
      <c r="M7309"/>
    </row>
    <row r="7310" spans="1:13" x14ac:dyDescent="0.15">
      <c r="A7310" t="s">
        <v>31</v>
      </c>
      <c r="F7310"/>
      <c r="M7310"/>
    </row>
    <row r="7311" spans="1:13" x14ac:dyDescent="0.15">
      <c r="A7311" t="s">
        <v>31</v>
      </c>
      <c r="F7311"/>
      <c r="M7311"/>
    </row>
    <row r="7312" spans="1:13" x14ac:dyDescent="0.15">
      <c r="A7312" t="s">
        <v>31</v>
      </c>
      <c r="F7312"/>
      <c r="M7312"/>
    </row>
    <row r="7313" spans="1:13" x14ac:dyDescent="0.15">
      <c r="A7313" t="s">
        <v>31</v>
      </c>
      <c r="F7313"/>
      <c r="M7313"/>
    </row>
    <row r="7314" spans="1:13" x14ac:dyDescent="0.15">
      <c r="A7314" t="s">
        <v>31</v>
      </c>
      <c r="F7314"/>
      <c r="M7314"/>
    </row>
    <row r="7315" spans="1:13" x14ac:dyDescent="0.15">
      <c r="A7315" t="s">
        <v>31</v>
      </c>
      <c r="F7315"/>
      <c r="M7315"/>
    </row>
    <row r="7316" spans="1:13" x14ac:dyDescent="0.15">
      <c r="A7316" t="s">
        <v>31</v>
      </c>
      <c r="F7316"/>
      <c r="M7316"/>
    </row>
    <row r="7317" spans="1:13" x14ac:dyDescent="0.15">
      <c r="A7317" t="s">
        <v>31</v>
      </c>
      <c r="F7317"/>
      <c r="M7317"/>
    </row>
    <row r="7318" spans="1:13" x14ac:dyDescent="0.15">
      <c r="A7318" t="s">
        <v>31</v>
      </c>
      <c r="F7318"/>
      <c r="M7318"/>
    </row>
    <row r="7319" spans="1:13" x14ac:dyDescent="0.15">
      <c r="A7319" t="s">
        <v>31</v>
      </c>
      <c r="F7319"/>
      <c r="M7319"/>
    </row>
    <row r="7320" spans="1:13" x14ac:dyDescent="0.15">
      <c r="A7320" t="s">
        <v>31</v>
      </c>
      <c r="F7320"/>
      <c r="M7320"/>
    </row>
    <row r="7321" spans="1:13" x14ac:dyDescent="0.15">
      <c r="A7321" t="s">
        <v>31</v>
      </c>
      <c r="F7321"/>
      <c r="M7321"/>
    </row>
    <row r="7322" spans="1:13" x14ac:dyDescent="0.15">
      <c r="A7322" t="s">
        <v>31</v>
      </c>
      <c r="F7322"/>
      <c r="M7322"/>
    </row>
    <row r="7323" spans="1:13" x14ac:dyDescent="0.15">
      <c r="A7323" t="s">
        <v>31</v>
      </c>
      <c r="F7323"/>
      <c r="M7323"/>
    </row>
    <row r="7324" spans="1:13" x14ac:dyDescent="0.15">
      <c r="A7324" t="s">
        <v>31</v>
      </c>
      <c r="F7324"/>
      <c r="M7324"/>
    </row>
    <row r="7325" spans="1:13" x14ac:dyDescent="0.15">
      <c r="A7325" t="s">
        <v>31</v>
      </c>
      <c r="F7325"/>
      <c r="M7325"/>
    </row>
    <row r="7326" spans="1:13" x14ac:dyDescent="0.15">
      <c r="A7326" t="s">
        <v>31</v>
      </c>
      <c r="F7326"/>
      <c r="M7326"/>
    </row>
    <row r="7327" spans="1:13" x14ac:dyDescent="0.15">
      <c r="A7327" t="s">
        <v>31</v>
      </c>
      <c r="F7327"/>
      <c r="M7327"/>
    </row>
    <row r="7328" spans="1:13" x14ac:dyDescent="0.15">
      <c r="A7328" t="s">
        <v>31</v>
      </c>
      <c r="F7328"/>
      <c r="M7328"/>
    </row>
    <row r="7329" spans="1:13" x14ac:dyDescent="0.15">
      <c r="A7329" t="s">
        <v>31</v>
      </c>
      <c r="F7329"/>
      <c r="M7329"/>
    </row>
    <row r="7330" spans="1:13" x14ac:dyDescent="0.15">
      <c r="A7330" t="s">
        <v>31</v>
      </c>
      <c r="F7330"/>
      <c r="M7330"/>
    </row>
    <row r="7331" spans="1:13" x14ac:dyDescent="0.15">
      <c r="A7331" t="s">
        <v>31</v>
      </c>
      <c r="F7331"/>
      <c r="M7331"/>
    </row>
    <row r="7332" spans="1:13" x14ac:dyDescent="0.15">
      <c r="A7332" t="s">
        <v>31</v>
      </c>
      <c r="F7332"/>
      <c r="M7332"/>
    </row>
    <row r="7333" spans="1:13" x14ac:dyDescent="0.15">
      <c r="A7333" t="s">
        <v>31</v>
      </c>
      <c r="F7333"/>
      <c r="M7333"/>
    </row>
    <row r="7334" spans="1:13" x14ac:dyDescent="0.15">
      <c r="A7334" t="s">
        <v>31</v>
      </c>
      <c r="F7334"/>
      <c r="M7334"/>
    </row>
    <row r="7335" spans="1:13" x14ac:dyDescent="0.15">
      <c r="A7335" t="s">
        <v>31</v>
      </c>
      <c r="F7335"/>
      <c r="M7335"/>
    </row>
    <row r="7336" spans="1:13" x14ac:dyDescent="0.15">
      <c r="A7336" t="s">
        <v>31</v>
      </c>
      <c r="F7336"/>
      <c r="M7336"/>
    </row>
    <row r="7337" spans="1:13" x14ac:dyDescent="0.15">
      <c r="A7337" t="s">
        <v>31</v>
      </c>
      <c r="F7337"/>
      <c r="M7337"/>
    </row>
    <row r="7338" spans="1:13" x14ac:dyDescent="0.15">
      <c r="A7338" t="s">
        <v>31</v>
      </c>
      <c r="F7338"/>
      <c r="M7338"/>
    </row>
    <row r="7339" spans="1:13" x14ac:dyDescent="0.15">
      <c r="A7339" t="s">
        <v>31</v>
      </c>
      <c r="F7339"/>
      <c r="M7339"/>
    </row>
    <row r="7340" spans="1:13" x14ac:dyDescent="0.15">
      <c r="A7340" t="s">
        <v>31</v>
      </c>
      <c r="F7340"/>
      <c r="M7340"/>
    </row>
    <row r="7341" spans="1:13" x14ac:dyDescent="0.15">
      <c r="A7341" t="s">
        <v>31</v>
      </c>
      <c r="F7341"/>
      <c r="M7341"/>
    </row>
    <row r="7342" spans="1:13" x14ac:dyDescent="0.15">
      <c r="A7342" t="s">
        <v>31</v>
      </c>
      <c r="F7342"/>
      <c r="M7342"/>
    </row>
    <row r="7343" spans="1:13" x14ac:dyDescent="0.15">
      <c r="A7343" t="s">
        <v>31</v>
      </c>
      <c r="F7343"/>
      <c r="M7343"/>
    </row>
    <row r="7344" spans="1:13" x14ac:dyDescent="0.15">
      <c r="A7344" t="s">
        <v>31</v>
      </c>
      <c r="F7344"/>
      <c r="M7344"/>
    </row>
    <row r="7345" spans="1:13" x14ac:dyDescent="0.15">
      <c r="A7345" t="s">
        <v>31</v>
      </c>
      <c r="F7345"/>
      <c r="M7345"/>
    </row>
    <row r="7346" spans="1:13" x14ac:dyDescent="0.15">
      <c r="A7346" t="s">
        <v>31</v>
      </c>
      <c r="F7346"/>
      <c r="M7346"/>
    </row>
    <row r="7347" spans="1:13" x14ac:dyDescent="0.15">
      <c r="A7347" t="s">
        <v>31</v>
      </c>
      <c r="F7347"/>
      <c r="M7347"/>
    </row>
    <row r="7348" spans="1:13" x14ac:dyDescent="0.15">
      <c r="A7348" t="s">
        <v>31</v>
      </c>
      <c r="F7348"/>
      <c r="M7348"/>
    </row>
    <row r="7349" spans="1:13" x14ac:dyDescent="0.15">
      <c r="A7349" t="s">
        <v>31</v>
      </c>
      <c r="F7349"/>
      <c r="M7349"/>
    </row>
    <row r="7350" spans="1:13" x14ac:dyDescent="0.15">
      <c r="A7350" t="s">
        <v>31</v>
      </c>
      <c r="F7350"/>
      <c r="M7350"/>
    </row>
    <row r="7351" spans="1:13" x14ac:dyDescent="0.15">
      <c r="A7351" t="s">
        <v>31</v>
      </c>
      <c r="F7351"/>
      <c r="M7351"/>
    </row>
    <row r="7352" spans="1:13" x14ac:dyDescent="0.15">
      <c r="A7352" t="s">
        <v>31</v>
      </c>
      <c r="F7352"/>
      <c r="M7352"/>
    </row>
    <row r="7353" spans="1:13" x14ac:dyDescent="0.15">
      <c r="A7353" t="s">
        <v>31</v>
      </c>
      <c r="F7353"/>
      <c r="M7353"/>
    </row>
    <row r="7354" spans="1:13" x14ac:dyDescent="0.15">
      <c r="A7354" t="s">
        <v>31</v>
      </c>
      <c r="F7354"/>
      <c r="M7354"/>
    </row>
    <row r="7355" spans="1:13" x14ac:dyDescent="0.15">
      <c r="A7355" t="s">
        <v>31</v>
      </c>
      <c r="F7355"/>
      <c r="M7355"/>
    </row>
    <row r="7356" spans="1:13" x14ac:dyDescent="0.15">
      <c r="A7356" t="s">
        <v>31</v>
      </c>
      <c r="F7356"/>
      <c r="M7356"/>
    </row>
    <row r="7357" spans="1:13" x14ac:dyDescent="0.15">
      <c r="A7357" t="s">
        <v>31</v>
      </c>
      <c r="F7357"/>
      <c r="M7357"/>
    </row>
    <row r="7358" spans="1:13" x14ac:dyDescent="0.15">
      <c r="A7358" t="s">
        <v>31</v>
      </c>
      <c r="F7358"/>
      <c r="M7358"/>
    </row>
    <row r="7359" spans="1:13" x14ac:dyDescent="0.15">
      <c r="A7359" t="s">
        <v>31</v>
      </c>
      <c r="F7359"/>
      <c r="M7359"/>
    </row>
    <row r="7360" spans="1:13" x14ac:dyDescent="0.15">
      <c r="A7360" t="s">
        <v>31</v>
      </c>
      <c r="F7360"/>
      <c r="M7360"/>
    </row>
    <row r="7361" spans="1:13" x14ac:dyDescent="0.15">
      <c r="A7361" t="s">
        <v>31</v>
      </c>
      <c r="F7361"/>
      <c r="M7361"/>
    </row>
    <row r="7362" spans="1:13" x14ac:dyDescent="0.15">
      <c r="A7362" t="s">
        <v>31</v>
      </c>
      <c r="F7362"/>
      <c r="M7362"/>
    </row>
    <row r="7363" spans="1:13" x14ac:dyDescent="0.15">
      <c r="A7363" t="s">
        <v>31</v>
      </c>
      <c r="F7363"/>
      <c r="M7363"/>
    </row>
    <row r="7364" spans="1:13" x14ac:dyDescent="0.15">
      <c r="A7364" t="s">
        <v>31</v>
      </c>
      <c r="F7364"/>
      <c r="M7364"/>
    </row>
    <row r="7365" spans="1:13" x14ac:dyDescent="0.15">
      <c r="A7365" t="s">
        <v>31</v>
      </c>
      <c r="F7365"/>
      <c r="M7365"/>
    </row>
    <row r="7366" spans="1:13" x14ac:dyDescent="0.15">
      <c r="A7366" t="s">
        <v>31</v>
      </c>
      <c r="F7366"/>
      <c r="M7366"/>
    </row>
    <row r="7367" spans="1:13" x14ac:dyDescent="0.15">
      <c r="A7367" t="s">
        <v>31</v>
      </c>
      <c r="F7367"/>
      <c r="M7367"/>
    </row>
    <row r="7368" spans="1:13" x14ac:dyDescent="0.15">
      <c r="A7368" t="s">
        <v>31</v>
      </c>
      <c r="F7368"/>
      <c r="M7368"/>
    </row>
    <row r="7369" spans="1:13" x14ac:dyDescent="0.15">
      <c r="A7369" t="s">
        <v>31</v>
      </c>
      <c r="F7369"/>
      <c r="M7369"/>
    </row>
    <row r="7370" spans="1:13" x14ac:dyDescent="0.15">
      <c r="A7370" t="s">
        <v>31</v>
      </c>
      <c r="F7370"/>
      <c r="M7370"/>
    </row>
    <row r="7371" spans="1:13" x14ac:dyDescent="0.15">
      <c r="A7371" t="s">
        <v>31</v>
      </c>
      <c r="F7371"/>
      <c r="M7371"/>
    </row>
    <row r="7372" spans="1:13" x14ac:dyDescent="0.15">
      <c r="A7372" t="s">
        <v>31</v>
      </c>
      <c r="F7372"/>
      <c r="M7372"/>
    </row>
    <row r="7373" spans="1:13" x14ac:dyDescent="0.15">
      <c r="A7373" t="s">
        <v>31</v>
      </c>
      <c r="F7373"/>
      <c r="M7373"/>
    </row>
    <row r="7374" spans="1:13" x14ac:dyDescent="0.15">
      <c r="A7374" t="s">
        <v>31</v>
      </c>
      <c r="F7374"/>
      <c r="M7374"/>
    </row>
    <row r="7375" spans="1:13" x14ac:dyDescent="0.15">
      <c r="A7375" t="s">
        <v>31</v>
      </c>
      <c r="F7375"/>
      <c r="M7375"/>
    </row>
    <row r="7376" spans="1:13" x14ac:dyDescent="0.15">
      <c r="A7376" t="s">
        <v>31</v>
      </c>
      <c r="F7376"/>
      <c r="M7376"/>
    </row>
    <row r="7377" spans="1:13" x14ac:dyDescent="0.15">
      <c r="A7377" t="s">
        <v>31</v>
      </c>
      <c r="F7377"/>
      <c r="M7377"/>
    </row>
    <row r="7378" spans="1:13" x14ac:dyDescent="0.15">
      <c r="A7378" t="s">
        <v>31</v>
      </c>
      <c r="F7378"/>
      <c r="M7378"/>
    </row>
    <row r="7379" spans="1:13" x14ac:dyDescent="0.15">
      <c r="A7379" t="s">
        <v>31</v>
      </c>
      <c r="F7379"/>
      <c r="M7379"/>
    </row>
    <row r="7380" spans="1:13" x14ac:dyDescent="0.15">
      <c r="A7380" t="s">
        <v>31</v>
      </c>
      <c r="F7380"/>
      <c r="M7380"/>
    </row>
    <row r="7381" spans="1:13" x14ac:dyDescent="0.15">
      <c r="A7381" t="s">
        <v>31</v>
      </c>
      <c r="F7381"/>
      <c r="M7381"/>
    </row>
    <row r="7382" spans="1:13" x14ac:dyDescent="0.15">
      <c r="A7382" t="s">
        <v>31</v>
      </c>
      <c r="F7382"/>
      <c r="M7382"/>
    </row>
    <row r="7383" spans="1:13" x14ac:dyDescent="0.15">
      <c r="A7383" t="s">
        <v>31</v>
      </c>
      <c r="F7383"/>
      <c r="M7383"/>
    </row>
    <row r="7384" spans="1:13" x14ac:dyDescent="0.15">
      <c r="A7384" t="s">
        <v>31</v>
      </c>
      <c r="F7384"/>
      <c r="M7384"/>
    </row>
    <row r="7385" spans="1:13" x14ac:dyDescent="0.15">
      <c r="A7385" t="s">
        <v>31</v>
      </c>
      <c r="F7385"/>
      <c r="M7385"/>
    </row>
    <row r="7386" spans="1:13" x14ac:dyDescent="0.15">
      <c r="A7386" t="s">
        <v>31</v>
      </c>
      <c r="F7386"/>
      <c r="M7386"/>
    </row>
    <row r="7387" spans="1:13" x14ac:dyDescent="0.15">
      <c r="A7387" t="s">
        <v>31</v>
      </c>
      <c r="F7387"/>
      <c r="M7387"/>
    </row>
    <row r="7388" spans="1:13" x14ac:dyDescent="0.15">
      <c r="A7388" t="s">
        <v>31</v>
      </c>
      <c r="F7388"/>
      <c r="M7388"/>
    </row>
    <row r="7389" spans="1:13" x14ac:dyDescent="0.15">
      <c r="A7389" t="s">
        <v>31</v>
      </c>
      <c r="F7389"/>
      <c r="M7389"/>
    </row>
    <row r="7390" spans="1:13" x14ac:dyDescent="0.15">
      <c r="A7390" t="s">
        <v>31</v>
      </c>
      <c r="F7390"/>
      <c r="M7390"/>
    </row>
    <row r="7391" spans="1:13" x14ac:dyDescent="0.15">
      <c r="A7391" t="s">
        <v>31</v>
      </c>
      <c r="F7391"/>
      <c r="M7391"/>
    </row>
    <row r="7392" spans="1:13" x14ac:dyDescent="0.15">
      <c r="A7392" t="s">
        <v>31</v>
      </c>
      <c r="F7392"/>
      <c r="M7392"/>
    </row>
    <row r="7393" spans="1:13" x14ac:dyDescent="0.15">
      <c r="A7393" t="s">
        <v>31</v>
      </c>
      <c r="F7393"/>
      <c r="M7393"/>
    </row>
    <row r="7394" spans="1:13" x14ac:dyDescent="0.15">
      <c r="A7394" t="s">
        <v>31</v>
      </c>
      <c r="F7394"/>
      <c r="M7394"/>
    </row>
    <row r="7395" spans="1:13" x14ac:dyDescent="0.15">
      <c r="A7395" t="s">
        <v>31</v>
      </c>
      <c r="F7395"/>
      <c r="M7395"/>
    </row>
    <row r="7396" spans="1:13" x14ac:dyDescent="0.15">
      <c r="A7396" t="s">
        <v>31</v>
      </c>
      <c r="F7396"/>
      <c r="M7396"/>
    </row>
    <row r="7397" spans="1:13" x14ac:dyDescent="0.15">
      <c r="A7397" t="s">
        <v>31</v>
      </c>
      <c r="F7397"/>
      <c r="M7397"/>
    </row>
    <row r="7398" spans="1:13" x14ac:dyDescent="0.15">
      <c r="A7398" t="s">
        <v>31</v>
      </c>
      <c r="F7398"/>
      <c r="M7398"/>
    </row>
    <row r="7399" spans="1:13" x14ac:dyDescent="0.15">
      <c r="A7399" t="s">
        <v>31</v>
      </c>
      <c r="F7399"/>
      <c r="M7399"/>
    </row>
    <row r="7400" spans="1:13" x14ac:dyDescent="0.15">
      <c r="A7400" t="s">
        <v>31</v>
      </c>
      <c r="F7400"/>
      <c r="M7400"/>
    </row>
    <row r="7401" spans="1:13" x14ac:dyDescent="0.15">
      <c r="A7401" t="s">
        <v>31</v>
      </c>
      <c r="F7401"/>
      <c r="M7401"/>
    </row>
    <row r="7402" spans="1:13" x14ac:dyDescent="0.15">
      <c r="A7402" t="s">
        <v>31</v>
      </c>
      <c r="F7402"/>
      <c r="M7402"/>
    </row>
    <row r="7403" spans="1:13" x14ac:dyDescent="0.15">
      <c r="A7403" t="s">
        <v>31</v>
      </c>
      <c r="F7403"/>
      <c r="M7403"/>
    </row>
    <row r="7404" spans="1:13" x14ac:dyDescent="0.15">
      <c r="A7404" t="s">
        <v>31</v>
      </c>
      <c r="F7404"/>
      <c r="M7404"/>
    </row>
    <row r="7405" spans="1:13" x14ac:dyDescent="0.15">
      <c r="A7405" t="s">
        <v>31</v>
      </c>
      <c r="F7405"/>
      <c r="M7405"/>
    </row>
    <row r="7406" spans="1:13" x14ac:dyDescent="0.15">
      <c r="A7406" t="s">
        <v>31</v>
      </c>
      <c r="F7406"/>
      <c r="M7406"/>
    </row>
    <row r="7407" spans="1:13" x14ac:dyDescent="0.15">
      <c r="A7407" t="s">
        <v>31</v>
      </c>
      <c r="F7407"/>
      <c r="M7407"/>
    </row>
    <row r="7408" spans="1:13" x14ac:dyDescent="0.15">
      <c r="A7408" t="s">
        <v>31</v>
      </c>
      <c r="F7408"/>
      <c r="M7408"/>
    </row>
    <row r="7409" spans="1:13" x14ac:dyDescent="0.15">
      <c r="A7409" t="s">
        <v>31</v>
      </c>
      <c r="F7409"/>
      <c r="M7409"/>
    </row>
    <row r="7410" spans="1:13" x14ac:dyDescent="0.15">
      <c r="A7410" t="s">
        <v>31</v>
      </c>
      <c r="F7410"/>
      <c r="M7410"/>
    </row>
    <row r="7411" spans="1:13" x14ac:dyDescent="0.15">
      <c r="A7411" t="s">
        <v>31</v>
      </c>
      <c r="F7411"/>
      <c r="M7411"/>
    </row>
    <row r="7412" spans="1:13" x14ac:dyDescent="0.15">
      <c r="A7412" t="s">
        <v>31</v>
      </c>
      <c r="F7412"/>
      <c r="M7412"/>
    </row>
    <row r="7413" spans="1:13" x14ac:dyDescent="0.15">
      <c r="A7413" t="s">
        <v>31</v>
      </c>
      <c r="F7413"/>
      <c r="M7413"/>
    </row>
    <row r="7414" spans="1:13" x14ac:dyDescent="0.15">
      <c r="A7414" t="s">
        <v>31</v>
      </c>
      <c r="F7414"/>
      <c r="M7414"/>
    </row>
    <row r="7415" spans="1:13" x14ac:dyDescent="0.15">
      <c r="A7415" t="s">
        <v>31</v>
      </c>
      <c r="F7415"/>
      <c r="M7415"/>
    </row>
    <row r="7416" spans="1:13" x14ac:dyDescent="0.15">
      <c r="A7416" t="s">
        <v>31</v>
      </c>
      <c r="F7416"/>
      <c r="M7416"/>
    </row>
    <row r="7417" spans="1:13" x14ac:dyDescent="0.15">
      <c r="A7417" t="s">
        <v>31</v>
      </c>
      <c r="F7417"/>
      <c r="M7417"/>
    </row>
    <row r="7418" spans="1:13" x14ac:dyDescent="0.15">
      <c r="A7418" t="s">
        <v>31</v>
      </c>
      <c r="F7418"/>
      <c r="M7418"/>
    </row>
    <row r="7419" spans="1:13" x14ac:dyDescent="0.15">
      <c r="A7419" t="s">
        <v>31</v>
      </c>
      <c r="F7419"/>
      <c r="M7419"/>
    </row>
    <row r="7420" spans="1:13" x14ac:dyDescent="0.15">
      <c r="A7420" t="s">
        <v>31</v>
      </c>
      <c r="F7420"/>
      <c r="M7420"/>
    </row>
    <row r="7421" spans="1:13" x14ac:dyDescent="0.15">
      <c r="A7421" t="s">
        <v>31</v>
      </c>
      <c r="F7421"/>
      <c r="M7421"/>
    </row>
    <row r="7422" spans="1:13" x14ac:dyDescent="0.15">
      <c r="A7422" t="s">
        <v>31</v>
      </c>
      <c r="F7422"/>
      <c r="M7422"/>
    </row>
    <row r="7423" spans="1:13" x14ac:dyDescent="0.15">
      <c r="A7423" t="s">
        <v>31</v>
      </c>
      <c r="F7423"/>
      <c r="M7423"/>
    </row>
    <row r="7424" spans="1:13" x14ac:dyDescent="0.15">
      <c r="A7424" t="s">
        <v>31</v>
      </c>
      <c r="F7424"/>
      <c r="M7424"/>
    </row>
    <row r="7425" spans="1:13" x14ac:dyDescent="0.15">
      <c r="A7425" t="s">
        <v>31</v>
      </c>
      <c r="F7425"/>
      <c r="M7425"/>
    </row>
    <row r="7426" spans="1:13" x14ac:dyDescent="0.15">
      <c r="A7426" t="s">
        <v>31</v>
      </c>
      <c r="F7426"/>
      <c r="M7426"/>
    </row>
    <row r="7427" spans="1:13" x14ac:dyDescent="0.15">
      <c r="A7427" t="s">
        <v>31</v>
      </c>
      <c r="F7427"/>
      <c r="M7427"/>
    </row>
    <row r="7428" spans="1:13" x14ac:dyDescent="0.15">
      <c r="A7428" t="s">
        <v>31</v>
      </c>
      <c r="F7428"/>
      <c r="M7428"/>
    </row>
    <row r="7429" spans="1:13" x14ac:dyDescent="0.15">
      <c r="A7429" t="s">
        <v>31</v>
      </c>
      <c r="F7429"/>
      <c r="M7429"/>
    </row>
    <row r="7430" spans="1:13" x14ac:dyDescent="0.15">
      <c r="A7430" t="s">
        <v>31</v>
      </c>
      <c r="F7430"/>
      <c r="M7430"/>
    </row>
    <row r="7431" spans="1:13" x14ac:dyDescent="0.15">
      <c r="A7431" t="s">
        <v>31</v>
      </c>
      <c r="F7431"/>
      <c r="M7431"/>
    </row>
    <row r="7432" spans="1:13" x14ac:dyDescent="0.15">
      <c r="A7432" t="s">
        <v>31</v>
      </c>
      <c r="F7432"/>
      <c r="M7432"/>
    </row>
    <row r="7433" spans="1:13" x14ac:dyDescent="0.15">
      <c r="A7433" t="s">
        <v>31</v>
      </c>
      <c r="F7433"/>
      <c r="M7433"/>
    </row>
    <row r="7434" spans="1:13" x14ac:dyDescent="0.15">
      <c r="A7434" t="s">
        <v>31</v>
      </c>
      <c r="F7434"/>
      <c r="M7434"/>
    </row>
    <row r="7435" spans="1:13" x14ac:dyDescent="0.15">
      <c r="A7435" t="s">
        <v>31</v>
      </c>
      <c r="F7435"/>
      <c r="M7435"/>
    </row>
    <row r="7436" spans="1:13" x14ac:dyDescent="0.15">
      <c r="A7436" t="s">
        <v>31</v>
      </c>
      <c r="F7436"/>
      <c r="M7436"/>
    </row>
    <row r="7437" spans="1:13" x14ac:dyDescent="0.15">
      <c r="A7437" t="s">
        <v>31</v>
      </c>
      <c r="F7437"/>
      <c r="M7437"/>
    </row>
    <row r="7438" spans="1:13" x14ac:dyDescent="0.15">
      <c r="A7438" t="s">
        <v>31</v>
      </c>
      <c r="F7438"/>
      <c r="M7438"/>
    </row>
    <row r="7439" spans="1:13" x14ac:dyDescent="0.15">
      <c r="A7439" t="s">
        <v>31</v>
      </c>
      <c r="F7439"/>
      <c r="M7439"/>
    </row>
    <row r="7440" spans="1:13" x14ac:dyDescent="0.15">
      <c r="A7440" t="s">
        <v>31</v>
      </c>
      <c r="F7440"/>
      <c r="M7440"/>
    </row>
    <row r="7441" spans="1:13" x14ac:dyDescent="0.15">
      <c r="A7441" t="s">
        <v>31</v>
      </c>
      <c r="F7441"/>
      <c r="M7441"/>
    </row>
    <row r="7442" spans="1:13" x14ac:dyDescent="0.15">
      <c r="A7442" t="s">
        <v>31</v>
      </c>
      <c r="F7442"/>
      <c r="M7442"/>
    </row>
    <row r="7443" spans="1:13" x14ac:dyDescent="0.15">
      <c r="A7443" t="s">
        <v>31</v>
      </c>
      <c r="F7443"/>
      <c r="M7443"/>
    </row>
    <row r="7444" spans="1:13" x14ac:dyDescent="0.15">
      <c r="A7444" t="s">
        <v>31</v>
      </c>
      <c r="F7444"/>
      <c r="M7444"/>
    </row>
    <row r="7445" spans="1:13" x14ac:dyDescent="0.15">
      <c r="A7445" t="s">
        <v>31</v>
      </c>
    </row>
    <row r="7446" spans="1:13" x14ac:dyDescent="0.15">
      <c r="A7446" t="s">
        <v>31</v>
      </c>
    </row>
    <row r="7447" spans="1:13" x14ac:dyDescent="0.15">
      <c r="A7447" t="s">
        <v>31</v>
      </c>
    </row>
    <row r="7448" spans="1:13" x14ac:dyDescent="0.15">
      <c r="A7448" t="s">
        <v>31</v>
      </c>
    </row>
    <row r="7449" spans="1:13" x14ac:dyDescent="0.15">
      <c r="A7449" t="s">
        <v>31</v>
      </c>
    </row>
    <row r="7450" spans="1:13" x14ac:dyDescent="0.15">
      <c r="A7450" t="s">
        <v>31</v>
      </c>
    </row>
    <row r="7451" spans="1:13" x14ac:dyDescent="0.15">
      <c r="A7451" t="s">
        <v>31</v>
      </c>
    </row>
    <row r="7452" spans="1:13" x14ac:dyDescent="0.15">
      <c r="A7452" t="s">
        <v>31</v>
      </c>
    </row>
    <row r="7453" spans="1:13" x14ac:dyDescent="0.15">
      <c r="A7453" t="s">
        <v>31</v>
      </c>
    </row>
    <row r="7454" spans="1:13" x14ac:dyDescent="0.15">
      <c r="A7454" t="s">
        <v>31</v>
      </c>
    </row>
    <row r="7455" spans="1:13" x14ac:dyDescent="0.15">
      <c r="A7455" t="s">
        <v>31</v>
      </c>
    </row>
    <row r="7456" spans="1:13" x14ac:dyDescent="0.15">
      <c r="A7456" t="s">
        <v>31</v>
      </c>
    </row>
    <row r="7457" spans="1:1" x14ac:dyDescent="0.15">
      <c r="A7457" t="s">
        <v>31</v>
      </c>
    </row>
    <row r="7458" spans="1:1" x14ac:dyDescent="0.15">
      <c r="A7458" t="s">
        <v>31</v>
      </c>
    </row>
    <row r="7459" spans="1:1" x14ac:dyDescent="0.15">
      <c r="A7459" t="s">
        <v>31</v>
      </c>
    </row>
    <row r="7460" spans="1:1" x14ac:dyDescent="0.15">
      <c r="A7460" t="s">
        <v>31</v>
      </c>
    </row>
    <row r="7461" spans="1:1" x14ac:dyDescent="0.15">
      <c r="A7461" t="s">
        <v>31</v>
      </c>
    </row>
    <row r="7462" spans="1:1" x14ac:dyDescent="0.15">
      <c r="A7462" t="s">
        <v>31</v>
      </c>
    </row>
    <row r="7463" spans="1:1" x14ac:dyDescent="0.15">
      <c r="A7463" t="s">
        <v>31</v>
      </c>
    </row>
    <row r="7464" spans="1:1" x14ac:dyDescent="0.15">
      <c r="A7464" t="s">
        <v>31</v>
      </c>
    </row>
    <row r="7465" spans="1:1" x14ac:dyDescent="0.15">
      <c r="A7465" t="s">
        <v>31</v>
      </c>
    </row>
    <row r="7466" spans="1:1" x14ac:dyDescent="0.15">
      <c r="A7466" t="s">
        <v>31</v>
      </c>
    </row>
    <row r="7467" spans="1:1" x14ac:dyDescent="0.15">
      <c r="A7467" t="s">
        <v>31</v>
      </c>
    </row>
    <row r="7468" spans="1:1" x14ac:dyDescent="0.15">
      <c r="A7468" t="s">
        <v>31</v>
      </c>
    </row>
    <row r="7469" spans="1:1" x14ac:dyDescent="0.15">
      <c r="A7469" t="s">
        <v>31</v>
      </c>
    </row>
    <row r="7470" spans="1:1" x14ac:dyDescent="0.15">
      <c r="A7470" t="s">
        <v>31</v>
      </c>
    </row>
    <row r="7471" spans="1:1" x14ac:dyDescent="0.15">
      <c r="A7471" t="s">
        <v>31</v>
      </c>
    </row>
    <row r="7472" spans="1:1" x14ac:dyDescent="0.15">
      <c r="A7472" t="s">
        <v>31</v>
      </c>
    </row>
    <row r="7473" spans="1:1" x14ac:dyDescent="0.15">
      <c r="A7473" t="s">
        <v>31</v>
      </c>
    </row>
    <row r="7474" spans="1:1" x14ac:dyDescent="0.15">
      <c r="A7474" t="s">
        <v>31</v>
      </c>
    </row>
    <row r="7475" spans="1:1" x14ac:dyDescent="0.15">
      <c r="A7475" t="s">
        <v>31</v>
      </c>
    </row>
    <row r="7476" spans="1:1" x14ac:dyDescent="0.15">
      <c r="A7476" t="s">
        <v>31</v>
      </c>
    </row>
    <row r="7477" spans="1:1" x14ac:dyDescent="0.15">
      <c r="A7477" t="s">
        <v>31</v>
      </c>
    </row>
    <row r="7478" spans="1:1" x14ac:dyDescent="0.15">
      <c r="A7478" t="s">
        <v>31</v>
      </c>
    </row>
    <row r="7479" spans="1:1" x14ac:dyDescent="0.15">
      <c r="A7479" t="s">
        <v>31</v>
      </c>
    </row>
    <row r="7480" spans="1:1" x14ac:dyDescent="0.15">
      <c r="A7480" t="s">
        <v>31</v>
      </c>
    </row>
    <row r="7481" spans="1:1" x14ac:dyDescent="0.15">
      <c r="A7481" t="s">
        <v>31</v>
      </c>
    </row>
    <row r="7482" spans="1:1" x14ac:dyDescent="0.15">
      <c r="A7482" t="s">
        <v>31</v>
      </c>
    </row>
    <row r="7483" spans="1:1" x14ac:dyDescent="0.15">
      <c r="A7483" t="s">
        <v>31</v>
      </c>
    </row>
    <row r="7484" spans="1:1" x14ac:dyDescent="0.15">
      <c r="A7484" t="s">
        <v>31</v>
      </c>
    </row>
    <row r="7485" spans="1:1" x14ac:dyDescent="0.15">
      <c r="A7485" t="s">
        <v>31</v>
      </c>
    </row>
    <row r="7486" spans="1:1" x14ac:dyDescent="0.15">
      <c r="A7486" t="s">
        <v>31</v>
      </c>
    </row>
    <row r="7487" spans="1:1" x14ac:dyDescent="0.15">
      <c r="A7487" t="s">
        <v>31</v>
      </c>
    </row>
    <row r="7488" spans="1:1" x14ac:dyDescent="0.15">
      <c r="A7488" t="s">
        <v>31</v>
      </c>
    </row>
    <row r="7489" spans="1:1" x14ac:dyDescent="0.15">
      <c r="A7489" t="s">
        <v>31</v>
      </c>
    </row>
    <row r="7490" spans="1:1" x14ac:dyDescent="0.15">
      <c r="A7490" t="s">
        <v>31</v>
      </c>
    </row>
    <row r="7491" spans="1:1" x14ac:dyDescent="0.15">
      <c r="A7491" t="s">
        <v>31</v>
      </c>
    </row>
    <row r="7492" spans="1:1" x14ac:dyDescent="0.15">
      <c r="A7492" t="s">
        <v>31</v>
      </c>
    </row>
    <row r="7493" spans="1:1" x14ac:dyDescent="0.15">
      <c r="A7493" t="s">
        <v>31</v>
      </c>
    </row>
    <row r="7494" spans="1:1" x14ac:dyDescent="0.15">
      <c r="A7494" t="s">
        <v>31</v>
      </c>
    </row>
    <row r="7495" spans="1:1" x14ac:dyDescent="0.15">
      <c r="A7495" t="s">
        <v>31</v>
      </c>
    </row>
    <row r="7496" spans="1:1" x14ac:dyDescent="0.15">
      <c r="A7496" t="s">
        <v>31</v>
      </c>
    </row>
    <row r="7497" spans="1:1" x14ac:dyDescent="0.15">
      <c r="A7497" t="s">
        <v>31</v>
      </c>
    </row>
    <row r="7498" spans="1:1" x14ac:dyDescent="0.15">
      <c r="A7498" t="s">
        <v>31</v>
      </c>
    </row>
    <row r="7499" spans="1:1" x14ac:dyDescent="0.15">
      <c r="A7499" t="s">
        <v>31</v>
      </c>
    </row>
    <row r="7500" spans="1:1" x14ac:dyDescent="0.15">
      <c r="A7500" t="s">
        <v>31</v>
      </c>
    </row>
    <row r="7501" spans="1:1" x14ac:dyDescent="0.15">
      <c r="A7501" t="s">
        <v>31</v>
      </c>
    </row>
    <row r="7502" spans="1:1" x14ac:dyDescent="0.15">
      <c r="A7502" t="s">
        <v>31</v>
      </c>
    </row>
    <row r="7503" spans="1:1" x14ac:dyDescent="0.15">
      <c r="A7503" t="s">
        <v>31</v>
      </c>
    </row>
    <row r="7504" spans="1:1" x14ac:dyDescent="0.15">
      <c r="A7504" t="s">
        <v>31</v>
      </c>
    </row>
    <row r="7505" spans="1:1" x14ac:dyDescent="0.15">
      <c r="A7505" t="s">
        <v>31</v>
      </c>
    </row>
    <row r="7506" spans="1:1" x14ac:dyDescent="0.15">
      <c r="A7506" t="s">
        <v>31</v>
      </c>
    </row>
    <row r="7507" spans="1:1" x14ac:dyDescent="0.15">
      <c r="A7507" t="s">
        <v>31</v>
      </c>
    </row>
    <row r="7508" spans="1:1" x14ac:dyDescent="0.15">
      <c r="A7508" t="s">
        <v>31</v>
      </c>
    </row>
    <row r="7509" spans="1:1" x14ac:dyDescent="0.15">
      <c r="A7509" t="s">
        <v>31</v>
      </c>
    </row>
    <row r="7510" spans="1:1" x14ac:dyDescent="0.15">
      <c r="A7510" t="s">
        <v>31</v>
      </c>
    </row>
    <row r="7511" spans="1:1" x14ac:dyDescent="0.15">
      <c r="A7511" t="s">
        <v>31</v>
      </c>
    </row>
    <row r="7512" spans="1:1" x14ac:dyDescent="0.15">
      <c r="A7512" t="s">
        <v>31</v>
      </c>
    </row>
    <row r="7513" spans="1:1" x14ac:dyDescent="0.15">
      <c r="A7513" t="s">
        <v>31</v>
      </c>
    </row>
    <row r="7514" spans="1:1" x14ac:dyDescent="0.15">
      <c r="A7514" t="s">
        <v>31</v>
      </c>
    </row>
    <row r="7515" spans="1:1" x14ac:dyDescent="0.15">
      <c r="A7515" t="s">
        <v>31</v>
      </c>
    </row>
    <row r="7516" spans="1:1" x14ac:dyDescent="0.15">
      <c r="A7516" t="s">
        <v>31</v>
      </c>
    </row>
    <row r="7517" spans="1:1" x14ac:dyDescent="0.15">
      <c r="A7517" t="s">
        <v>31</v>
      </c>
    </row>
    <row r="7518" spans="1:1" x14ac:dyDescent="0.15">
      <c r="A7518" t="s">
        <v>31</v>
      </c>
    </row>
    <row r="7519" spans="1:1" x14ac:dyDescent="0.15">
      <c r="A7519" t="s">
        <v>31</v>
      </c>
    </row>
    <row r="7520" spans="1:1" x14ac:dyDescent="0.15">
      <c r="A7520" t="s">
        <v>31</v>
      </c>
    </row>
    <row r="7521" spans="1:1" x14ac:dyDescent="0.15">
      <c r="A7521" t="s">
        <v>31</v>
      </c>
    </row>
    <row r="7522" spans="1:1" x14ac:dyDescent="0.15">
      <c r="A7522" t="s">
        <v>31</v>
      </c>
    </row>
    <row r="7523" spans="1:1" x14ac:dyDescent="0.15">
      <c r="A7523" t="s">
        <v>31</v>
      </c>
    </row>
    <row r="7524" spans="1:1" x14ac:dyDescent="0.15">
      <c r="A7524" t="s">
        <v>31</v>
      </c>
    </row>
    <row r="7525" spans="1:1" x14ac:dyDescent="0.15">
      <c r="A7525" t="s">
        <v>31</v>
      </c>
    </row>
    <row r="7526" spans="1:1" x14ac:dyDescent="0.15">
      <c r="A7526" t="s">
        <v>31</v>
      </c>
    </row>
    <row r="7527" spans="1:1" x14ac:dyDescent="0.15">
      <c r="A7527" t="s">
        <v>31</v>
      </c>
    </row>
    <row r="7528" spans="1:1" x14ac:dyDescent="0.15">
      <c r="A7528" t="s">
        <v>31</v>
      </c>
    </row>
    <row r="7529" spans="1:1" x14ac:dyDescent="0.15">
      <c r="A7529" t="s">
        <v>31</v>
      </c>
    </row>
    <row r="7530" spans="1:1" x14ac:dyDescent="0.15">
      <c r="A7530" t="s">
        <v>31</v>
      </c>
    </row>
    <row r="7531" spans="1:1" x14ac:dyDescent="0.15">
      <c r="A7531" t="s">
        <v>31</v>
      </c>
    </row>
    <row r="7532" spans="1:1" x14ac:dyDescent="0.15">
      <c r="A7532" t="s">
        <v>31</v>
      </c>
    </row>
    <row r="7533" spans="1:1" x14ac:dyDescent="0.15">
      <c r="A7533" t="s">
        <v>31</v>
      </c>
    </row>
    <row r="7534" spans="1:1" x14ac:dyDescent="0.15">
      <c r="A7534" t="s">
        <v>31</v>
      </c>
    </row>
    <row r="7535" spans="1:1" x14ac:dyDescent="0.15">
      <c r="A7535" t="s">
        <v>31</v>
      </c>
    </row>
    <row r="7536" spans="1:1" x14ac:dyDescent="0.15">
      <c r="A7536" t="s">
        <v>31</v>
      </c>
    </row>
    <row r="7537" spans="1:1" x14ac:dyDescent="0.15">
      <c r="A7537" t="s">
        <v>31</v>
      </c>
    </row>
    <row r="7538" spans="1:1" x14ac:dyDescent="0.15">
      <c r="A7538" t="s">
        <v>31</v>
      </c>
    </row>
    <row r="7539" spans="1:1" x14ac:dyDescent="0.15">
      <c r="A7539" t="s">
        <v>31</v>
      </c>
    </row>
    <row r="7540" spans="1:1" x14ac:dyDescent="0.15">
      <c r="A7540" t="s">
        <v>31</v>
      </c>
    </row>
    <row r="7541" spans="1:1" x14ac:dyDescent="0.15">
      <c r="A7541" t="s">
        <v>31</v>
      </c>
    </row>
    <row r="7542" spans="1:1" x14ac:dyDescent="0.15">
      <c r="A7542" t="s">
        <v>31</v>
      </c>
    </row>
    <row r="7543" spans="1:1" x14ac:dyDescent="0.15">
      <c r="A7543" t="s">
        <v>31</v>
      </c>
    </row>
    <row r="7544" spans="1:1" x14ac:dyDescent="0.15">
      <c r="A7544" t="s">
        <v>31</v>
      </c>
    </row>
  </sheetData>
  <sheetProtection selectLockedCells="1" selectUnlockedCells="1"/>
  <autoFilter ref="A1:U7544" xr:uid="{FB14D664-1DC0-4031-91B2-C77D3171EFF4}"/>
  <conditionalFormatting sqref="P94:P101">
    <cfRule type="duplicateValues" dxfId="6848" priority="3"/>
  </conditionalFormatting>
  <conditionalFormatting sqref="P114:P119 P121">
    <cfRule type="duplicateValues" dxfId="6847" priority="2"/>
  </conditionalFormatting>
  <conditionalFormatting sqref="P134:P146">
    <cfRule type="duplicateValues" dxfId="6846"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tabColor rgb="FFE27070"/>
  </sheetPr>
  <dimension ref="A1:V1"/>
  <sheetViews>
    <sheetView topLeftCell="D1" zoomScale="80" zoomScaleNormal="80" workbookViewId="0">
      <selection activeCell="B27" sqref="B27"/>
    </sheetView>
  </sheetViews>
  <sheetFormatPr baseColWidth="10" defaultColWidth="8.83203125" defaultRowHeight="14" x14ac:dyDescent="0.15"/>
  <cols>
    <col min="1" max="1" width="31.5" bestFit="1" customWidth="1"/>
    <col min="2" max="2" width="17.1640625" customWidth="1"/>
    <col min="3" max="3" width="31.5" bestFit="1" customWidth="1"/>
  </cols>
  <sheetData>
    <row r="1" spans="1:22" x14ac:dyDescent="0.15">
      <c r="A1" s="41" t="s">
        <v>891</v>
      </c>
      <c r="B1" s="41" t="s">
        <v>919</v>
      </c>
      <c r="C1" s="41" t="s">
        <v>920</v>
      </c>
      <c r="D1" s="41" t="s">
        <v>921</v>
      </c>
      <c r="E1" s="41" t="s">
        <v>922</v>
      </c>
      <c r="F1" s="41" t="s">
        <v>923</v>
      </c>
      <c r="G1" s="41" t="s">
        <v>924</v>
      </c>
      <c r="H1" s="41" t="s">
        <v>925</v>
      </c>
      <c r="I1" s="41" t="s">
        <v>926</v>
      </c>
      <c r="J1" s="41" t="s">
        <v>927</v>
      </c>
      <c r="K1" s="41" t="s">
        <v>928</v>
      </c>
      <c r="L1" s="41" t="s">
        <v>929</v>
      </c>
      <c r="M1" s="41" t="s">
        <v>930</v>
      </c>
      <c r="N1" s="41" t="s">
        <v>931</v>
      </c>
      <c r="O1" s="41" t="s">
        <v>932</v>
      </c>
      <c r="P1" s="41" t="s">
        <v>933</v>
      </c>
      <c r="Q1" s="41" t="s">
        <v>934</v>
      </c>
      <c r="R1" s="41" t="s">
        <v>935</v>
      </c>
      <c r="S1" s="41" t="s">
        <v>936</v>
      </c>
      <c r="T1" s="41" t="s">
        <v>937</v>
      </c>
      <c r="U1" s="41" t="s">
        <v>938</v>
      </c>
      <c r="V1" s="41" t="s">
        <v>939</v>
      </c>
    </row>
  </sheetData>
  <autoFilter ref="A1:X1630" xr:uid="{C6EF8DC2-A903-4871-892C-37BFFE8ED2D6}"/>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9">
    <tabColor rgb="FFE27070"/>
  </sheetPr>
  <dimension ref="A1:L1"/>
  <sheetViews>
    <sheetView zoomScale="70" zoomScaleNormal="70" workbookViewId="0">
      <pane ySplit="1" topLeftCell="A2" activePane="bottomLeft" state="frozen"/>
      <selection pane="bottomLeft" activeCell="A2" sqref="A2"/>
    </sheetView>
  </sheetViews>
  <sheetFormatPr baseColWidth="10" defaultColWidth="9.1640625" defaultRowHeight="14" x14ac:dyDescent="0.15"/>
  <cols>
    <col min="1" max="1" width="17.5" customWidth="1"/>
    <col min="2" max="2" width="26.1640625" customWidth="1"/>
    <col min="4" max="4" width="17.5" customWidth="1"/>
    <col min="5" max="5" width="12" customWidth="1"/>
    <col min="6" max="6" width="13.5" customWidth="1"/>
    <col min="7" max="7" width="43.5" bestFit="1" customWidth="1"/>
    <col min="8" max="11" width="9.1640625" customWidth="1"/>
    <col min="12" max="12" width="255.5" bestFit="1" customWidth="1"/>
    <col min="13" max="16384" width="9.1640625" style="3"/>
  </cols>
  <sheetData>
    <row r="1" spans="1:12" ht="30" x14ac:dyDescent="0.15">
      <c r="A1" s="22" t="s">
        <v>891</v>
      </c>
      <c r="B1" s="22" t="s">
        <v>892</v>
      </c>
      <c r="C1" s="22" t="s">
        <v>893</v>
      </c>
      <c r="D1" s="22" t="s">
        <v>894</v>
      </c>
      <c r="E1" s="22" t="s">
        <v>921</v>
      </c>
      <c r="F1" s="22" t="s">
        <v>899</v>
      </c>
      <c r="G1" s="22" t="s">
        <v>940</v>
      </c>
      <c r="H1" s="22" t="s">
        <v>941</v>
      </c>
      <c r="I1" s="22" t="s">
        <v>942</v>
      </c>
      <c r="J1" s="22" t="s">
        <v>943</v>
      </c>
      <c r="K1" s="22" t="s">
        <v>944</v>
      </c>
      <c r="L1" s="22" t="s">
        <v>945</v>
      </c>
    </row>
  </sheetData>
  <sheetProtection selectLockedCells="1" selectUnlockedCells="1"/>
  <autoFilter ref="A1:L4656" xr:uid="{00000000-0009-0000-0000-000004000000}"/>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E27070"/>
  </sheetPr>
  <dimension ref="A4:K116"/>
  <sheetViews>
    <sheetView zoomScale="80" zoomScaleNormal="80" workbookViewId="0">
      <selection activeCell="C50" sqref="C50"/>
    </sheetView>
  </sheetViews>
  <sheetFormatPr baseColWidth="10" defaultColWidth="8.83203125" defaultRowHeight="14" x14ac:dyDescent="0.15"/>
  <cols>
    <col min="1" max="1" width="43.5" style="9" customWidth="1"/>
    <col min="2" max="2" width="9.1640625" style="9"/>
    <col min="3" max="3" width="64.5" style="9" customWidth="1"/>
    <col min="4" max="4" width="5.5" style="29" customWidth="1"/>
    <col min="5" max="5" width="10" style="29" customWidth="1"/>
    <col min="6" max="6" width="9.1640625" style="9"/>
    <col min="7" max="7" width="51.1640625" style="9" customWidth="1"/>
    <col min="8" max="8" width="33.1640625" style="29" customWidth="1"/>
    <col min="9" max="9" width="32.83203125" style="29" customWidth="1"/>
    <col min="10" max="10" width="32.83203125" style="9" customWidth="1"/>
    <col min="11" max="11" width="9.1640625" style="9"/>
  </cols>
  <sheetData>
    <row r="4" spans="1:9" ht="16" x14ac:dyDescent="0.2">
      <c r="C4" s="14" t="s">
        <v>979</v>
      </c>
      <c r="D4" s="26"/>
      <c r="E4" s="35"/>
      <c r="G4" s="27" t="s">
        <v>980</v>
      </c>
      <c r="H4" s="231" t="s">
        <v>981</v>
      </c>
      <c r="I4" s="231" t="s">
        <v>982</v>
      </c>
    </row>
    <row r="5" spans="1:9" ht="16" x14ac:dyDescent="0.2">
      <c r="C5" s="14"/>
      <c r="D5" s="26"/>
      <c r="E5" s="35"/>
      <c r="G5" s="27"/>
      <c r="H5" s="231"/>
      <c r="I5" s="231"/>
    </row>
    <row r="6" spans="1:9" ht="16" x14ac:dyDescent="0.2">
      <c r="A6" s="25" t="s">
        <v>983</v>
      </c>
      <c r="C6" s="16" t="s">
        <v>983</v>
      </c>
      <c r="D6" s="38">
        <f>COUNTIF('reductions data'!G:G,'reductions workings'!C6)</f>
        <v>0</v>
      </c>
      <c r="E6" s="38">
        <f>D6+0.0001</f>
        <v>1E-4</v>
      </c>
      <c r="G6" s="16" t="s">
        <v>983</v>
      </c>
      <c r="H6" s="30">
        <f>SUMIF('reductions data'!G:G,'reductions workings'!G6,'reductions data'!H:H)</f>
        <v>0</v>
      </c>
      <c r="I6" s="24" t="e">
        <f>H6/H49</f>
        <v>#DIV/0!</v>
      </c>
    </row>
    <row r="7" spans="1:9" ht="16" x14ac:dyDescent="0.2">
      <c r="A7" s="25" t="s">
        <v>964</v>
      </c>
      <c r="C7" s="16" t="s">
        <v>964</v>
      </c>
      <c r="D7" s="38">
        <f>COUNTIF('reductions data'!G:G,'reductions workings'!C7)</f>
        <v>0</v>
      </c>
      <c r="E7" s="38">
        <f>D7+0.0002</f>
        <v>2.0000000000000001E-4</v>
      </c>
      <c r="G7" s="16" t="s">
        <v>964</v>
      </c>
      <c r="H7" s="30">
        <f>SUMIF('reductions data'!G:G,'reductions workings'!G7,'reductions data'!H:H)</f>
        <v>0</v>
      </c>
      <c r="I7" s="24" t="e">
        <f>H7/H49</f>
        <v>#DIV/0!</v>
      </c>
    </row>
    <row r="8" spans="1:9" ht="16" x14ac:dyDescent="0.2">
      <c r="A8" s="25" t="s">
        <v>962</v>
      </c>
      <c r="C8" s="16" t="s">
        <v>962</v>
      </c>
      <c r="D8" s="38">
        <f>COUNTIF('reductions data'!G:G,'reductions workings'!C8)</f>
        <v>0</v>
      </c>
      <c r="E8" s="38">
        <f>D8+0.0003</f>
        <v>2.9999999999999997E-4</v>
      </c>
      <c r="G8" s="16" t="s">
        <v>962</v>
      </c>
      <c r="H8" s="30">
        <f>SUMIF('reductions data'!G:G,'reductions workings'!G8,'reductions data'!H:H)</f>
        <v>0</v>
      </c>
      <c r="I8" s="24" t="e">
        <f>H8/H49</f>
        <v>#DIV/0!</v>
      </c>
    </row>
    <row r="9" spans="1:9" ht="16" x14ac:dyDescent="0.2">
      <c r="A9" s="25" t="s">
        <v>957</v>
      </c>
      <c r="C9" s="16" t="s">
        <v>957</v>
      </c>
      <c r="D9" s="38">
        <f>COUNTIF('reductions data'!G:G,'reductions workings'!C9)</f>
        <v>0</v>
      </c>
      <c r="E9" s="38">
        <f>D9+0.0004</f>
        <v>4.0000000000000002E-4</v>
      </c>
      <c r="G9" s="16" t="s">
        <v>957</v>
      </c>
      <c r="H9" s="30">
        <f>SUMIF('reductions data'!G:G,'reductions workings'!G9,'reductions data'!H:H)</f>
        <v>0</v>
      </c>
      <c r="I9" s="24" t="e">
        <f>H9/H49</f>
        <v>#DIV/0!</v>
      </c>
    </row>
    <row r="10" spans="1:9" ht="16" x14ac:dyDescent="0.2">
      <c r="A10" s="25" t="s">
        <v>984</v>
      </c>
      <c r="C10" s="16" t="s">
        <v>984</v>
      </c>
      <c r="D10" s="38">
        <f>COUNTIF('reductions data'!G:G,'reductions workings'!C10)</f>
        <v>0</v>
      </c>
      <c r="E10" s="38">
        <f>D10+0.0005</f>
        <v>5.0000000000000001E-4</v>
      </c>
      <c r="G10" s="16" t="s">
        <v>984</v>
      </c>
      <c r="H10" s="30">
        <f>SUMIF('reductions data'!G:G,'reductions workings'!G10,'reductions data'!H:H)</f>
        <v>0</v>
      </c>
      <c r="I10" s="24" t="e">
        <f>H10/H49</f>
        <v>#DIV/0!</v>
      </c>
    </row>
    <row r="11" spans="1:9" ht="16" x14ac:dyDescent="0.2">
      <c r="A11" s="25" t="s">
        <v>968</v>
      </c>
      <c r="C11" s="16" t="s">
        <v>968</v>
      </c>
      <c r="D11" s="38">
        <f>COUNTIF('reductions data'!G:G,'reductions workings'!C11)</f>
        <v>0</v>
      </c>
      <c r="E11" s="38">
        <f>D11+0.0006</f>
        <v>5.9999999999999995E-4</v>
      </c>
      <c r="G11" s="16" t="s">
        <v>968</v>
      </c>
      <c r="H11" s="30">
        <f>SUMIF('reductions data'!G:G,'reductions workings'!G11,'reductions data'!H:H)</f>
        <v>0</v>
      </c>
      <c r="I11" s="24" t="e">
        <f>H11/H49</f>
        <v>#DIV/0!</v>
      </c>
    </row>
    <row r="12" spans="1:9" ht="16" x14ac:dyDescent="0.2">
      <c r="A12" s="25"/>
      <c r="C12" s="16" t="s">
        <v>970</v>
      </c>
      <c r="D12" s="38">
        <f>COUNTIF('reductions data'!G:G,'reductions workings'!C12)</f>
        <v>0</v>
      </c>
      <c r="E12" s="38">
        <f>D12+0.0006</f>
        <v>5.9999999999999995E-4</v>
      </c>
      <c r="G12" s="16" t="s">
        <v>970</v>
      </c>
      <c r="H12" s="30">
        <f>SUMIF('reductions data'!G:G,'reductions workings'!G12,'reductions data'!H:H)</f>
        <v>0</v>
      </c>
      <c r="I12" s="24" t="e">
        <f>H12/H49</f>
        <v>#DIV/0!</v>
      </c>
    </row>
    <row r="13" spans="1:9" ht="16" x14ac:dyDescent="0.2">
      <c r="A13" s="25" t="s">
        <v>985</v>
      </c>
      <c r="C13" s="16" t="s">
        <v>985</v>
      </c>
      <c r="D13" s="38">
        <f>COUNTIF('reductions data'!G:G,'reductions workings'!C13)</f>
        <v>0</v>
      </c>
      <c r="E13" s="38">
        <f>D13+0.0008</f>
        <v>8.0000000000000004E-4</v>
      </c>
      <c r="G13" s="16" t="s">
        <v>985</v>
      </c>
      <c r="H13" s="30">
        <f>SUMIF('reductions data'!G:G,'reductions workings'!G13,'reductions data'!H:H)</f>
        <v>0</v>
      </c>
      <c r="I13" s="24" t="e">
        <f>H13/H49</f>
        <v>#DIV/0!</v>
      </c>
    </row>
    <row r="14" spans="1:9" ht="16" x14ac:dyDescent="0.2">
      <c r="A14" s="25" t="s">
        <v>958</v>
      </c>
      <c r="C14" s="16" t="s">
        <v>958</v>
      </c>
      <c r="D14" s="38">
        <f>COUNTIF('reductions data'!G:G,'reductions workings'!C14)</f>
        <v>0</v>
      </c>
      <c r="E14" s="38">
        <f>D14+0.0009</f>
        <v>8.9999999999999998E-4</v>
      </c>
      <c r="G14" s="16" t="s">
        <v>958</v>
      </c>
      <c r="H14" s="30">
        <f>SUMIF('reductions data'!G:G,'reductions workings'!G14,'reductions data'!H:H)</f>
        <v>0</v>
      </c>
      <c r="I14" s="24" t="e">
        <f>H14/H49</f>
        <v>#DIV/0!</v>
      </c>
    </row>
    <row r="15" spans="1:9" ht="16" x14ac:dyDescent="0.2">
      <c r="A15" s="25"/>
      <c r="C15" s="16" t="s">
        <v>949</v>
      </c>
      <c r="D15" s="38">
        <f>COUNTIF('reductions data'!G:G,'reductions workings'!C15)</f>
        <v>0</v>
      </c>
      <c r="E15" s="38">
        <f>D15+0.0009</f>
        <v>8.9999999999999998E-4</v>
      </c>
      <c r="G15" s="16" t="s">
        <v>949</v>
      </c>
      <c r="H15" s="30">
        <f>SUMIF('reductions data'!G:G,'reductions workings'!G15,'reductions data'!H:H)</f>
        <v>0</v>
      </c>
      <c r="I15" s="24" t="e">
        <f>H15/H49</f>
        <v>#DIV/0!</v>
      </c>
    </row>
    <row r="16" spans="1:9" ht="16" x14ac:dyDescent="0.2">
      <c r="A16" s="25"/>
      <c r="C16" s="16" t="s">
        <v>974</v>
      </c>
      <c r="D16" s="38">
        <f>COUNTIF('reductions data'!G:G,'reductions workings'!C16)</f>
        <v>0</v>
      </c>
      <c r="E16" s="38">
        <f>D16+0.00011</f>
        <v>1.1E-4</v>
      </c>
      <c r="G16" s="16" t="s">
        <v>974</v>
      </c>
      <c r="H16" s="30">
        <f>SUMIF('reductions data'!G:G,'reductions workings'!G16,'reductions data'!H:H)</f>
        <v>0</v>
      </c>
      <c r="I16" s="24" t="e">
        <f>H16/H49</f>
        <v>#DIV/0!</v>
      </c>
    </row>
    <row r="17" spans="1:9" ht="16" x14ac:dyDescent="0.2">
      <c r="A17" s="25" t="s">
        <v>974</v>
      </c>
      <c r="C17" s="16" t="s">
        <v>950</v>
      </c>
      <c r="D17" s="38">
        <f>COUNTIF('reductions data'!G:G,'reductions workings'!C17)</f>
        <v>0</v>
      </c>
      <c r="E17" s="38">
        <f>D17+0.00012</f>
        <v>1.2E-4</v>
      </c>
      <c r="G17" s="16" t="s">
        <v>950</v>
      </c>
      <c r="H17" s="30">
        <f>SUMIF('reductions data'!G:G,'reductions workings'!G17,'reductions data'!H:H)</f>
        <v>0</v>
      </c>
      <c r="I17" s="24" t="e">
        <f>H17/H49</f>
        <v>#DIV/0!</v>
      </c>
    </row>
    <row r="18" spans="1:9" ht="16" x14ac:dyDescent="0.2">
      <c r="A18" s="25" t="s">
        <v>950</v>
      </c>
      <c r="C18" s="16" t="s">
        <v>960</v>
      </c>
      <c r="D18" s="38">
        <f>COUNTIF('reductions data'!G:G,'reductions workings'!C18)</f>
        <v>0</v>
      </c>
      <c r="E18" s="38">
        <f>D18+0.00013</f>
        <v>1.2999999999999999E-4</v>
      </c>
      <c r="G18" s="16" t="s">
        <v>960</v>
      </c>
      <c r="H18" s="30">
        <f>SUMIF('reductions data'!G:G,'reductions workings'!G18,'reductions data'!H:H)</f>
        <v>0</v>
      </c>
      <c r="I18" s="24" t="e">
        <f>H18/H49</f>
        <v>#DIV/0!</v>
      </c>
    </row>
    <row r="19" spans="1:9" ht="16" x14ac:dyDescent="0.2">
      <c r="A19" s="25" t="s">
        <v>960</v>
      </c>
      <c r="C19" s="16" t="s">
        <v>986</v>
      </c>
      <c r="D19" s="38">
        <f>COUNTIF('reductions data'!G:G,'reductions workings'!C19)</f>
        <v>0</v>
      </c>
      <c r="E19" s="38">
        <f>D19+0.00014</f>
        <v>1.3999999999999999E-4</v>
      </c>
      <c r="G19" s="16" t="s">
        <v>986</v>
      </c>
      <c r="H19" s="30">
        <f>SUMIF('reductions data'!G:G,'reductions workings'!G19,'reductions data'!H:H)</f>
        <v>0</v>
      </c>
      <c r="I19" s="24" t="e">
        <f>H19/H49</f>
        <v>#DIV/0!</v>
      </c>
    </row>
    <row r="20" spans="1:9" ht="16" x14ac:dyDescent="0.2">
      <c r="A20" s="25" t="s">
        <v>986</v>
      </c>
      <c r="C20" s="16" t="s">
        <v>951</v>
      </c>
      <c r="D20" s="38">
        <f>COUNTIF('reductions data'!G:G,'reductions workings'!C20)</f>
        <v>0</v>
      </c>
      <c r="E20" s="38">
        <f>D20+0.00015</f>
        <v>1.4999999999999999E-4</v>
      </c>
      <c r="G20" s="16" t="s">
        <v>951</v>
      </c>
      <c r="H20" s="30">
        <f>SUMIF('reductions data'!G:G,'reductions workings'!G20,'reductions data'!H:H)</f>
        <v>0</v>
      </c>
      <c r="I20" s="24" t="e">
        <f>H20/H49</f>
        <v>#DIV/0!</v>
      </c>
    </row>
    <row r="21" spans="1:9" ht="16" x14ac:dyDescent="0.2">
      <c r="A21" s="25" t="s">
        <v>987</v>
      </c>
      <c r="C21" s="16" t="s">
        <v>988</v>
      </c>
      <c r="D21" s="38">
        <f>COUNTIF('reductions data'!G:G,'reductions workings'!C21)</f>
        <v>0</v>
      </c>
      <c r="E21" s="38">
        <f>D21+0.00016</f>
        <v>1.6000000000000001E-4</v>
      </c>
      <c r="G21" s="16" t="s">
        <v>988</v>
      </c>
      <c r="H21" s="30">
        <f>SUMIF('reductions data'!G:G,'reductions workings'!G21,'reductions data'!H:H)</f>
        <v>0</v>
      </c>
      <c r="I21" s="24" t="e">
        <f>H21/H49</f>
        <v>#DIV/0!</v>
      </c>
    </row>
    <row r="22" spans="1:9" ht="16" x14ac:dyDescent="0.2">
      <c r="A22" s="25" t="s">
        <v>988</v>
      </c>
      <c r="C22" s="16" t="s">
        <v>989</v>
      </c>
      <c r="D22" s="38">
        <f>COUNTIF('reductions data'!G:G,'reductions workings'!C22)</f>
        <v>0</v>
      </c>
      <c r="E22" s="38">
        <f>D22+0.00017</f>
        <v>1.7000000000000001E-4</v>
      </c>
      <c r="G22" s="16" t="s">
        <v>989</v>
      </c>
      <c r="H22" s="30">
        <f>SUMIF('reductions data'!G:G,'reductions workings'!G22,'reductions data'!H:H)</f>
        <v>0</v>
      </c>
      <c r="I22" s="24" t="e">
        <f>H22/H49</f>
        <v>#DIV/0!</v>
      </c>
    </row>
    <row r="23" spans="1:9" ht="16" x14ac:dyDescent="0.2">
      <c r="A23" s="25" t="s">
        <v>989</v>
      </c>
      <c r="C23" s="16" t="s">
        <v>947</v>
      </c>
      <c r="D23" s="38">
        <f>COUNTIF('reductions data'!G:G,'reductions workings'!C23)</f>
        <v>0</v>
      </c>
      <c r="E23" s="38">
        <f>D23+0.00018</f>
        <v>1.8000000000000001E-4</v>
      </c>
      <c r="G23" s="16" t="s">
        <v>947</v>
      </c>
      <c r="H23" s="30">
        <f>SUMIF('reductions data'!G:G,'reductions workings'!G23,'reductions data'!H:H)</f>
        <v>0</v>
      </c>
      <c r="I23" s="24" t="e">
        <f>H23/H49</f>
        <v>#DIV/0!</v>
      </c>
    </row>
    <row r="24" spans="1:9" ht="16" x14ac:dyDescent="0.2">
      <c r="A24" s="25" t="s">
        <v>947</v>
      </c>
      <c r="C24" s="16" t="s">
        <v>978</v>
      </c>
      <c r="D24" s="38">
        <f>COUNTIF('reductions data'!G:G,'reductions workings'!C24)</f>
        <v>0</v>
      </c>
      <c r="E24" s="38">
        <f>D24+0.00019</f>
        <v>1.9000000000000001E-4</v>
      </c>
      <c r="G24" s="16" t="s">
        <v>978</v>
      </c>
      <c r="H24" s="30">
        <f>SUMIF('reductions data'!G:G,'reductions workings'!G24,'reductions data'!H:H)</f>
        <v>0</v>
      </c>
      <c r="I24" s="24" t="e">
        <f>H24/H49</f>
        <v>#DIV/0!</v>
      </c>
    </row>
    <row r="25" spans="1:9" ht="16" x14ac:dyDescent="0.2">
      <c r="A25" s="25" t="s">
        <v>978</v>
      </c>
      <c r="C25" s="16" t="s">
        <v>963</v>
      </c>
      <c r="D25" s="38">
        <f>COUNTIF('reductions data'!G:G,'reductions workings'!C25)</f>
        <v>0</v>
      </c>
      <c r="E25" s="38">
        <f>D25+0.00021</f>
        <v>2.1000000000000001E-4</v>
      </c>
      <c r="G25" s="16" t="s">
        <v>963</v>
      </c>
      <c r="H25" s="30">
        <f>SUMIF('reductions data'!G:G,'reductions workings'!G25,'reductions data'!H:H)</f>
        <v>0</v>
      </c>
      <c r="I25" s="24" t="e">
        <f>H25/H49</f>
        <v>#DIV/0!</v>
      </c>
    </row>
    <row r="26" spans="1:9" ht="16" x14ac:dyDescent="0.2">
      <c r="A26" s="25" t="s">
        <v>963</v>
      </c>
      <c r="C26" s="16" t="s">
        <v>990</v>
      </c>
      <c r="D26" s="38">
        <f>COUNTIF('reductions data'!G:G,'reductions workings'!C26)</f>
        <v>0</v>
      </c>
      <c r="E26" s="38">
        <f>D26+0.00022</f>
        <v>2.2000000000000001E-4</v>
      </c>
      <c r="G26" s="16" t="s">
        <v>990</v>
      </c>
      <c r="H26" s="30">
        <f>SUMIF('reductions data'!G:G,'reductions workings'!G26,'reductions data'!H:H)</f>
        <v>0</v>
      </c>
      <c r="I26" s="24" t="e">
        <f>H26/H49</f>
        <v>#DIV/0!</v>
      </c>
    </row>
    <row r="27" spans="1:9" ht="16" x14ac:dyDescent="0.2">
      <c r="A27" s="25" t="s">
        <v>990</v>
      </c>
      <c r="C27" s="16" t="s">
        <v>991</v>
      </c>
      <c r="D27" s="38">
        <f>COUNTIF('reductions data'!G:G,'reductions workings'!C27)</f>
        <v>0</v>
      </c>
      <c r="E27" s="38">
        <f>D27+0.00023</f>
        <v>2.3000000000000001E-4</v>
      </c>
      <c r="G27" s="16" t="s">
        <v>991</v>
      </c>
      <c r="H27" s="30">
        <f>SUMIF('reductions data'!G:G,'reductions workings'!G27,'reductions data'!H:H)</f>
        <v>0</v>
      </c>
      <c r="I27" s="24" t="e">
        <f>H27/H49</f>
        <v>#DIV/0!</v>
      </c>
    </row>
    <row r="28" spans="1:9" ht="16" x14ac:dyDescent="0.2">
      <c r="A28" s="25" t="s">
        <v>991</v>
      </c>
      <c r="C28" s="16" t="s">
        <v>966</v>
      </c>
      <c r="D28" s="38">
        <f>COUNTIF('reductions data'!G:G,'reductions workings'!C28)</f>
        <v>0</v>
      </c>
      <c r="E28" s="38">
        <f>D28+0.00024</f>
        <v>2.4000000000000001E-4</v>
      </c>
      <c r="G28" s="16" t="s">
        <v>966</v>
      </c>
      <c r="H28" s="30">
        <f>SUMIF('reductions data'!G:G,'reductions workings'!G28,'reductions data'!H:H)</f>
        <v>0</v>
      </c>
      <c r="I28" s="24" t="e">
        <f>H28/H49</f>
        <v>#DIV/0!</v>
      </c>
    </row>
    <row r="29" spans="1:9" ht="16" x14ac:dyDescent="0.2">
      <c r="A29" s="25" t="s">
        <v>966</v>
      </c>
      <c r="C29" s="16" t="s">
        <v>992</v>
      </c>
      <c r="D29" s="38">
        <f>COUNTIF('reductions data'!G:G,'reductions workings'!C29)</f>
        <v>0</v>
      </c>
      <c r="E29" s="38">
        <f>D29+0.00025</f>
        <v>2.5000000000000001E-4</v>
      </c>
      <c r="G29" s="16" t="s">
        <v>992</v>
      </c>
      <c r="H29" s="30">
        <f>SUMIF('reductions data'!G:G,'reductions workings'!G29,'reductions data'!H:H)</f>
        <v>0</v>
      </c>
      <c r="I29" s="24" t="e">
        <f>H29/H49</f>
        <v>#DIV/0!</v>
      </c>
    </row>
    <row r="30" spans="1:9" ht="16" x14ac:dyDescent="0.2">
      <c r="A30" s="25" t="s">
        <v>992</v>
      </c>
      <c r="C30" s="16" t="s">
        <v>975</v>
      </c>
      <c r="D30" s="38">
        <f>COUNTIF('reductions data'!G:G,'reductions workings'!C30)</f>
        <v>0</v>
      </c>
      <c r="E30" s="38">
        <f>D30+0.00025</f>
        <v>2.5000000000000001E-4</v>
      </c>
      <c r="G30" s="16" t="s">
        <v>975</v>
      </c>
      <c r="H30" s="30">
        <f>SUMIF('reductions data'!G:G,'reductions workings'!G30,'reductions data'!H:H)</f>
        <v>0</v>
      </c>
      <c r="I30" s="24" t="e">
        <f>H30/H49</f>
        <v>#DIV/0!</v>
      </c>
    </row>
    <row r="31" spans="1:9" ht="16" x14ac:dyDescent="0.2">
      <c r="A31" s="25"/>
      <c r="C31" s="16" t="s">
        <v>972</v>
      </c>
      <c r="D31" s="38">
        <f>COUNTIF('reductions data'!G:G,'reductions workings'!C31)</f>
        <v>0</v>
      </c>
      <c r="E31" s="38">
        <f>D31+0.00026</f>
        <v>2.5999999999999998E-4</v>
      </c>
      <c r="G31" s="16" t="s">
        <v>972</v>
      </c>
      <c r="H31" s="30">
        <f>SUMIF('reductions data'!G:G,'reductions workings'!G31,'reductions data'!H:H)</f>
        <v>0</v>
      </c>
      <c r="I31" s="24" t="e">
        <f>H31/H49</f>
        <v>#DIV/0!</v>
      </c>
    </row>
    <row r="32" spans="1:9" ht="16" x14ac:dyDescent="0.2">
      <c r="A32" s="25" t="s">
        <v>972</v>
      </c>
      <c r="C32" s="16" t="s">
        <v>952</v>
      </c>
      <c r="D32" s="38">
        <f>COUNTIF('reductions data'!G:G,'reductions workings'!C32)</f>
        <v>0</v>
      </c>
      <c r="E32" s="38">
        <f>D32+0.00027</f>
        <v>2.7E-4</v>
      </c>
      <c r="G32" s="16" t="s">
        <v>952</v>
      </c>
      <c r="H32" s="30">
        <f>SUMIF('reductions data'!G:G,'reductions workings'!G32,'reductions data'!H:H)</f>
        <v>0</v>
      </c>
      <c r="I32" s="24" t="e">
        <f>H32/H49</f>
        <v>#DIV/0!</v>
      </c>
    </row>
    <row r="33" spans="1:9" ht="16" x14ac:dyDescent="0.2">
      <c r="A33" s="25" t="s">
        <v>952</v>
      </c>
      <c r="C33" s="16" t="s">
        <v>953</v>
      </c>
      <c r="D33" s="38">
        <f>COUNTIF('reductions data'!G:G,'reductions workings'!C33)</f>
        <v>0</v>
      </c>
      <c r="E33" s="38">
        <f>D33+0.00028</f>
        <v>2.7999999999999998E-4</v>
      </c>
      <c r="G33" s="16" t="s">
        <v>953</v>
      </c>
      <c r="H33" s="30">
        <f>SUMIF('reductions data'!G:G,'reductions workings'!G33,'reductions data'!H:H)</f>
        <v>0</v>
      </c>
      <c r="I33" s="24" t="e">
        <f>H33/H49</f>
        <v>#DIV/0!</v>
      </c>
    </row>
    <row r="34" spans="1:9" ht="16" x14ac:dyDescent="0.2">
      <c r="A34" s="25" t="s">
        <v>953</v>
      </c>
      <c r="C34" s="16" t="s">
        <v>959</v>
      </c>
      <c r="D34" s="38">
        <f>COUNTIF('reductions data'!G:G,'reductions workings'!C34)</f>
        <v>0</v>
      </c>
      <c r="E34" s="38">
        <f>D34+0.00029</f>
        <v>2.9E-4</v>
      </c>
      <c r="G34" s="16" t="s">
        <v>959</v>
      </c>
      <c r="H34" s="30">
        <f>SUMIF('reductions data'!G:G,'reductions workings'!G34,'reductions data'!H:H)</f>
        <v>0</v>
      </c>
      <c r="I34" s="24" t="e">
        <f>H34/H49</f>
        <v>#DIV/0!</v>
      </c>
    </row>
    <row r="35" spans="1:9" ht="16" x14ac:dyDescent="0.2">
      <c r="A35" s="25" t="s">
        <v>959</v>
      </c>
      <c r="C35" s="16" t="s">
        <v>948</v>
      </c>
      <c r="D35" s="38">
        <f>COUNTIF('reductions data'!G:G,'reductions workings'!C35)</f>
        <v>0</v>
      </c>
      <c r="E35" s="38">
        <f>D35+0.00031</f>
        <v>3.1E-4</v>
      </c>
      <c r="G35" s="16" t="s">
        <v>948</v>
      </c>
      <c r="H35" s="30">
        <f>SUMIF('reductions data'!G:G,'reductions workings'!G35,'reductions data'!H:H)</f>
        <v>0</v>
      </c>
      <c r="I35" s="24" t="e">
        <f>H35/H49</f>
        <v>#DIV/0!</v>
      </c>
    </row>
    <row r="36" spans="1:9" ht="16" x14ac:dyDescent="0.2">
      <c r="A36" s="25" t="s">
        <v>948</v>
      </c>
      <c r="C36" s="16" t="s">
        <v>956</v>
      </c>
      <c r="D36" s="38">
        <f>COUNTIF('reductions data'!G:G,'reductions workings'!C36)</f>
        <v>0</v>
      </c>
      <c r="E36" s="38">
        <f>D36+0.00032</f>
        <v>3.2000000000000003E-4</v>
      </c>
      <c r="G36" s="16" t="s">
        <v>956</v>
      </c>
      <c r="H36" s="30">
        <f>SUMIF('reductions data'!G:G,'reductions workings'!G36,'reductions data'!H:H)</f>
        <v>0</v>
      </c>
      <c r="I36" s="24" t="e">
        <f>H36/H49</f>
        <v>#DIV/0!</v>
      </c>
    </row>
    <row r="37" spans="1:9" ht="16" x14ac:dyDescent="0.2">
      <c r="A37" s="25" t="s">
        <v>956</v>
      </c>
      <c r="C37" s="16" t="s">
        <v>955</v>
      </c>
      <c r="D37" s="38">
        <f>COUNTIF('reductions data'!G:G,'reductions workings'!C37)</f>
        <v>0</v>
      </c>
      <c r="E37" s="38">
        <f>D37+0.00033</f>
        <v>3.3E-4</v>
      </c>
      <c r="G37" s="16" t="s">
        <v>955</v>
      </c>
      <c r="H37" s="30">
        <f>SUMIF('reductions data'!G:G,'reductions workings'!G37,'reductions data'!H:H)</f>
        <v>0</v>
      </c>
      <c r="I37" s="24" t="e">
        <f>H37/H49</f>
        <v>#DIV/0!</v>
      </c>
    </row>
    <row r="38" spans="1:9" ht="16" x14ac:dyDescent="0.2">
      <c r="A38" s="25" t="s">
        <v>993</v>
      </c>
      <c r="C38" s="16" t="s">
        <v>973</v>
      </c>
      <c r="D38" s="38">
        <f>COUNTIF('reductions data'!G:G,'reductions workings'!C38)</f>
        <v>0</v>
      </c>
      <c r="E38" s="38">
        <f t="shared" ref="E38:E40" si="0">D38+0.00033</f>
        <v>3.3E-4</v>
      </c>
      <c r="G38" s="16" t="s">
        <v>973</v>
      </c>
      <c r="H38" s="30">
        <f>SUMIF('reductions data'!G:G,'reductions workings'!G38,'reductions data'!H:H)</f>
        <v>0</v>
      </c>
      <c r="I38" s="24" t="e">
        <f>H38/H49</f>
        <v>#DIV/0!</v>
      </c>
    </row>
    <row r="39" spans="1:9" ht="16" x14ac:dyDescent="0.2">
      <c r="A39" s="25"/>
      <c r="C39" s="16" t="s">
        <v>965</v>
      </c>
      <c r="D39" s="38">
        <f>COUNTIF('reductions data'!G:G,'reductions workings'!C39)</f>
        <v>0</v>
      </c>
      <c r="E39" s="38">
        <f t="shared" si="0"/>
        <v>3.3E-4</v>
      </c>
      <c r="G39" s="16" t="s">
        <v>965</v>
      </c>
      <c r="H39" s="30">
        <f>SUMIF('reductions data'!G:G,'reductions workings'!G39,'reductions data'!H:H)</f>
        <v>0</v>
      </c>
      <c r="I39" s="24" t="e">
        <f>H39/H49</f>
        <v>#DIV/0!</v>
      </c>
    </row>
    <row r="40" spans="1:9" ht="16" x14ac:dyDescent="0.2">
      <c r="A40" s="25"/>
      <c r="C40" s="16" t="s">
        <v>976</v>
      </c>
      <c r="D40" s="38">
        <f>COUNTIF('reductions data'!G:G,'reductions workings'!C40)</f>
        <v>0</v>
      </c>
      <c r="E40" s="38">
        <f t="shared" si="0"/>
        <v>3.3E-4</v>
      </c>
      <c r="G40" s="16" t="s">
        <v>976</v>
      </c>
      <c r="H40" s="30">
        <f>SUMIF('reductions data'!G:G,'reductions workings'!G40,'reductions data'!H:H)</f>
        <v>0</v>
      </c>
      <c r="I40" s="24" t="e">
        <f>H40/H49</f>
        <v>#DIV/0!</v>
      </c>
    </row>
    <row r="41" spans="1:9" ht="16" x14ac:dyDescent="0.2">
      <c r="A41" s="25"/>
      <c r="C41" s="16" t="s">
        <v>954</v>
      </c>
      <c r="D41" s="38">
        <f>COUNTIF('reductions data'!G:G,'reductions workings'!C41)</f>
        <v>0</v>
      </c>
      <c r="E41" s="38">
        <f>D41+0.00034</f>
        <v>3.4000000000000002E-4</v>
      </c>
      <c r="G41" s="16" t="s">
        <v>954</v>
      </c>
      <c r="H41" s="30">
        <f>SUMIF('reductions data'!G:G,'reductions workings'!G41,'reductions data'!H:H)</f>
        <v>0</v>
      </c>
      <c r="I41" s="24" t="e">
        <f>H41/H49</f>
        <v>#DIV/0!</v>
      </c>
    </row>
    <row r="42" spans="1:9" ht="16" x14ac:dyDescent="0.2">
      <c r="A42" s="25" t="s">
        <v>954</v>
      </c>
      <c r="C42" s="16" t="s">
        <v>977</v>
      </c>
      <c r="D42" s="38">
        <f>COUNTIF('reductions data'!G:G,'reductions workings'!C42)</f>
        <v>0</v>
      </c>
      <c r="E42" s="38">
        <f>D42+0.00035</f>
        <v>3.5E-4</v>
      </c>
      <c r="G42" s="16" t="s">
        <v>977</v>
      </c>
      <c r="H42" s="30">
        <f>SUMIF('reductions data'!G:G,'reductions workings'!G42,'reductions data'!H:H)</f>
        <v>0</v>
      </c>
      <c r="I42" s="24" t="e">
        <f>H42/H49</f>
        <v>#DIV/0!</v>
      </c>
    </row>
    <row r="43" spans="1:9" ht="16" x14ac:dyDescent="0.2">
      <c r="A43" s="25" t="s">
        <v>977</v>
      </c>
      <c r="C43" s="16" t="s">
        <v>961</v>
      </c>
      <c r="D43" s="38">
        <f>COUNTIF('reductions data'!G:G,'reductions workings'!C43)</f>
        <v>0</v>
      </c>
      <c r="E43" s="38">
        <f>D43+0.00036</f>
        <v>3.6000000000000002E-4</v>
      </c>
      <c r="G43" s="16" t="s">
        <v>961</v>
      </c>
      <c r="H43" s="30">
        <f>SUMIF('reductions data'!G:G,'reductions workings'!G43,'reductions data'!H:H)</f>
        <v>0</v>
      </c>
      <c r="I43" s="24" t="e">
        <f>H43/H49</f>
        <v>#DIV/0!</v>
      </c>
    </row>
    <row r="44" spans="1:9" ht="16" x14ac:dyDescent="0.2">
      <c r="A44" s="25" t="s">
        <v>961</v>
      </c>
      <c r="C44" s="16" t="s">
        <v>994</v>
      </c>
      <c r="D44" s="38">
        <f>COUNTIF('reductions data'!G:G,'reductions workings'!C44)</f>
        <v>0</v>
      </c>
      <c r="E44" s="38">
        <f>D44+0.00037</f>
        <v>3.6999999999999999E-4</v>
      </c>
      <c r="G44" s="16" t="s">
        <v>994</v>
      </c>
      <c r="H44" s="30">
        <f>SUMIF('reductions data'!G:G,'reductions workings'!G44,'reductions data'!H:H)</f>
        <v>0</v>
      </c>
      <c r="I44" s="24" t="e">
        <f>H44/H49</f>
        <v>#DIV/0!</v>
      </c>
    </row>
    <row r="45" spans="1:9" ht="16" x14ac:dyDescent="0.2">
      <c r="A45" s="25" t="s">
        <v>994</v>
      </c>
      <c r="C45" s="16" t="s">
        <v>946</v>
      </c>
      <c r="D45" s="38">
        <f>COUNTIF('reductions data'!G:G,'reductions workings'!C45)</f>
        <v>0</v>
      </c>
      <c r="E45" s="38">
        <f>D45+0.00038</f>
        <v>3.8000000000000002E-4</v>
      </c>
      <c r="G45" s="16" t="s">
        <v>946</v>
      </c>
      <c r="H45" s="30">
        <f>SUMIF('reductions data'!G:G,'reductions workings'!G45,'reductions data'!H:H)</f>
        <v>0</v>
      </c>
      <c r="I45" s="24" t="e">
        <f>H45/H49</f>
        <v>#DIV/0!</v>
      </c>
    </row>
    <row r="46" spans="1:9" ht="16" x14ac:dyDescent="0.2">
      <c r="A46" s="25" t="s">
        <v>946</v>
      </c>
      <c r="C46" s="16" t="s">
        <v>969</v>
      </c>
      <c r="D46" s="38">
        <f>COUNTIF('reductions data'!G:G,'reductions workings'!C46)</f>
        <v>0</v>
      </c>
      <c r="E46" s="38">
        <f>D46+0.00039</f>
        <v>3.8999999999999999E-4</v>
      </c>
      <c r="G46" s="16" t="s">
        <v>969</v>
      </c>
      <c r="H46" s="30">
        <f>SUMIF('reductions data'!G:G,'reductions workings'!G46,'reductions data'!H:H)</f>
        <v>0</v>
      </c>
      <c r="I46" s="24" t="e">
        <f>H46/H49</f>
        <v>#DIV/0!</v>
      </c>
    </row>
    <row r="47" spans="1:9" ht="16" x14ac:dyDescent="0.2">
      <c r="A47" s="25" t="s">
        <v>969</v>
      </c>
      <c r="C47" s="16" t="s">
        <v>967</v>
      </c>
      <c r="D47" s="38">
        <f>COUNTIF('reductions data'!G:G,'reductions workings'!C47)</f>
        <v>0</v>
      </c>
      <c r="E47" s="38">
        <f>D47+0.00039</f>
        <v>3.8999999999999999E-4</v>
      </c>
      <c r="G47" s="16" t="s">
        <v>967</v>
      </c>
      <c r="H47" s="30">
        <f>SUMIF('reductions data'!G:G,'reductions workings'!G47,'reductions data'!H:H)</f>
        <v>0</v>
      </c>
      <c r="I47" s="24" t="e">
        <f>H47/H49</f>
        <v>#DIV/0!</v>
      </c>
    </row>
    <row r="48" spans="1:9" ht="16" x14ac:dyDescent="0.2">
      <c r="A48" s="25" t="s">
        <v>967</v>
      </c>
      <c r="C48" s="16" t="s">
        <v>971</v>
      </c>
      <c r="D48" s="38">
        <f>COUNTIF('reductions data'!G:G,'reductions workings'!C48)</f>
        <v>0</v>
      </c>
      <c r="E48" s="38">
        <f>D48+0.00041</f>
        <v>4.0999999999999999E-4</v>
      </c>
      <c r="G48" s="16" t="s">
        <v>971</v>
      </c>
      <c r="H48" s="30">
        <f>SUMIF('reductions data'!G:G,'reductions workings'!G48,'reductions data'!H:H)</f>
        <v>0</v>
      </c>
      <c r="I48" s="24" t="e">
        <f>H48/H49</f>
        <v>#DIV/0!</v>
      </c>
    </row>
    <row r="49" spans="1:9" ht="18" x14ac:dyDescent="0.2">
      <c r="A49" s="25" t="s">
        <v>971</v>
      </c>
      <c r="C49" s="28" t="s">
        <v>995</v>
      </c>
      <c r="D49" s="292">
        <f>SUM(D6:D48)</f>
        <v>0</v>
      </c>
      <c r="E49" s="293"/>
      <c r="G49" s="28" t="s">
        <v>996</v>
      </c>
      <c r="H49" s="292">
        <f>SUM(H6:H48)</f>
        <v>0</v>
      </c>
      <c r="I49" s="294"/>
    </row>
    <row r="87" spans="4:9" x14ac:dyDescent="0.15">
      <c r="D87" s="9"/>
      <c r="E87" s="9"/>
      <c r="H87" s="9"/>
      <c r="I87" s="9"/>
    </row>
    <row r="88" spans="4:9" x14ac:dyDescent="0.15">
      <c r="D88" s="9"/>
      <c r="E88" s="9"/>
      <c r="H88" s="9"/>
      <c r="I88" s="9"/>
    </row>
    <row r="89" spans="4:9" x14ac:dyDescent="0.15">
      <c r="D89" s="9"/>
      <c r="E89" s="9"/>
      <c r="H89" s="9"/>
      <c r="I89" s="9"/>
    </row>
    <row r="90" spans="4:9" x14ac:dyDescent="0.15">
      <c r="D90" s="9"/>
      <c r="E90" s="9"/>
      <c r="H90" s="9"/>
      <c r="I90" s="9"/>
    </row>
    <row r="91" spans="4:9" x14ac:dyDescent="0.15">
      <c r="D91" s="9"/>
      <c r="E91" s="9"/>
      <c r="H91" s="9"/>
      <c r="I91" s="9"/>
    </row>
    <row r="92" spans="4:9" x14ac:dyDescent="0.15">
      <c r="D92" s="9"/>
      <c r="E92" s="9"/>
      <c r="H92" s="9"/>
      <c r="I92" s="9"/>
    </row>
    <row r="93" spans="4:9" x14ac:dyDescent="0.15">
      <c r="D93" s="9"/>
      <c r="E93" s="9"/>
      <c r="H93" s="9"/>
      <c r="I93" s="9"/>
    </row>
    <row r="94" spans="4:9" x14ac:dyDescent="0.15">
      <c r="D94" s="9"/>
      <c r="E94" s="9"/>
      <c r="H94" s="9"/>
      <c r="I94" s="9"/>
    </row>
    <row r="95" spans="4:9" x14ac:dyDescent="0.15">
      <c r="D95" s="9"/>
      <c r="E95" s="9"/>
      <c r="H95" s="9"/>
      <c r="I95" s="9"/>
    </row>
    <row r="96" spans="4:9" x14ac:dyDescent="0.15">
      <c r="D96" s="9"/>
      <c r="E96" s="9"/>
      <c r="H96" s="9"/>
      <c r="I96" s="9"/>
    </row>
    <row r="97" spans="4:9" x14ac:dyDescent="0.15">
      <c r="D97" s="9"/>
      <c r="E97" s="9"/>
      <c r="H97" s="9"/>
      <c r="I97" s="9"/>
    </row>
    <row r="98" spans="4:9" x14ac:dyDescent="0.15">
      <c r="D98" s="9"/>
      <c r="E98" s="9"/>
      <c r="H98" s="9"/>
      <c r="I98" s="9"/>
    </row>
    <row r="99" spans="4:9" x14ac:dyDescent="0.15">
      <c r="D99" s="9"/>
      <c r="E99" s="9"/>
      <c r="H99" s="9"/>
      <c r="I99" s="9"/>
    </row>
    <row r="100" spans="4:9" x14ac:dyDescent="0.15">
      <c r="D100" s="9"/>
      <c r="E100" s="9"/>
      <c r="H100" s="9"/>
      <c r="I100" s="9"/>
    </row>
    <row r="115" spans="1:11" x14ac:dyDescent="0.15">
      <c r="C115" s="31"/>
      <c r="D115" s="32"/>
      <c r="E115" s="32"/>
      <c r="G115" s="31"/>
      <c r="H115" s="32"/>
      <c r="I115" s="32"/>
    </row>
    <row r="116" spans="1:11" x14ac:dyDescent="0.15">
      <c r="A116" s="31"/>
      <c r="B116" s="31"/>
      <c r="F116" s="31"/>
      <c r="J116" s="31"/>
      <c r="K116" s="31"/>
    </row>
  </sheetData>
  <sheetProtection selectLockedCells="1" selectUnlockedCells="1"/>
  <mergeCells count="2">
    <mergeCell ref="D49:E49"/>
    <mergeCell ref="H49:I49"/>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S1"/>
  <sheetViews>
    <sheetView showRowColHeaders="0" topLeftCell="A12" workbookViewId="0">
      <selection activeCell="B33" sqref="B33"/>
    </sheetView>
  </sheetViews>
  <sheetFormatPr baseColWidth="10" defaultColWidth="8.83203125" defaultRowHeight="14" x14ac:dyDescent="0.15"/>
  <sheetData>
    <row r="1" spans="1:19" ht="40.5" customHeight="1" x14ac:dyDescent="0.15">
      <c r="A1" s="295" t="s">
        <v>997</v>
      </c>
      <c r="B1" s="296"/>
      <c r="C1" s="296"/>
      <c r="D1" s="296"/>
      <c r="E1" s="296"/>
      <c r="F1" s="296"/>
      <c r="G1" s="296"/>
      <c r="H1" s="296"/>
      <c r="I1" s="296"/>
      <c r="J1" s="296"/>
      <c r="K1" s="296"/>
      <c r="L1" s="296"/>
      <c r="M1" s="296"/>
      <c r="N1" s="296"/>
      <c r="O1" s="296"/>
      <c r="P1" s="296"/>
      <c r="Q1" s="296"/>
      <c r="R1" s="296"/>
      <c r="S1" s="296"/>
    </row>
  </sheetData>
  <mergeCells count="1">
    <mergeCell ref="A1:S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K124"/>
  <sheetViews>
    <sheetView showGridLines="0" zoomScale="70" zoomScaleNormal="70" workbookViewId="0">
      <selection activeCell="B5" sqref="B5"/>
    </sheetView>
  </sheetViews>
  <sheetFormatPr baseColWidth="10" defaultColWidth="9.1640625" defaultRowHeight="14" x14ac:dyDescent="0.15"/>
  <cols>
    <col min="2" max="2" width="39.5" customWidth="1"/>
    <col min="3" max="3" width="14.5" bestFit="1" customWidth="1"/>
    <col min="4" max="4" width="17.5" customWidth="1"/>
    <col min="5" max="5" width="14.83203125" customWidth="1"/>
    <col min="6" max="6" width="17.1640625" customWidth="1"/>
    <col min="7" max="7" width="17.5" customWidth="1"/>
    <col min="8" max="8" width="22.1640625" bestFit="1" customWidth="1"/>
    <col min="9" max="9" width="17.5" customWidth="1"/>
    <col min="10" max="10" width="15.5" customWidth="1"/>
    <col min="11" max="11" width="35" bestFit="1" customWidth="1"/>
    <col min="12" max="12" width="16" customWidth="1"/>
    <col min="13" max="13" width="15.5" customWidth="1"/>
    <col min="21" max="21" width="43.5" bestFit="1" customWidth="1"/>
  </cols>
  <sheetData>
    <row r="1" spans="1:19" ht="60.75" customHeight="1" x14ac:dyDescent="0.15">
      <c r="A1" s="305" t="s">
        <v>998</v>
      </c>
      <c r="B1" s="306"/>
      <c r="C1" s="306"/>
      <c r="D1" s="306"/>
      <c r="E1" s="306"/>
      <c r="F1" s="306"/>
      <c r="G1" s="306"/>
      <c r="H1" s="306"/>
      <c r="I1" s="306"/>
      <c r="J1" s="306"/>
      <c r="K1" s="306"/>
      <c r="L1" s="306"/>
      <c r="M1" s="306"/>
      <c r="N1" s="306"/>
      <c r="O1" s="306"/>
      <c r="P1" s="306"/>
      <c r="Q1" s="306"/>
      <c r="R1" s="306"/>
      <c r="S1" s="306"/>
    </row>
    <row r="2" spans="1:19" ht="28.5" customHeight="1" x14ac:dyDescent="0.15">
      <c r="A2" s="307"/>
      <c r="B2" s="307"/>
      <c r="C2" s="307"/>
      <c r="D2" s="307"/>
      <c r="E2" s="307"/>
      <c r="F2" s="307"/>
      <c r="G2" s="307"/>
      <c r="H2" s="307"/>
      <c r="I2" s="307"/>
      <c r="J2" s="307"/>
      <c r="K2" s="307"/>
      <c r="L2" s="307"/>
      <c r="M2" s="307"/>
      <c r="N2" s="307"/>
      <c r="O2" s="307"/>
      <c r="P2" s="307"/>
      <c r="Q2" s="307"/>
      <c r="R2" s="307"/>
      <c r="S2" s="307"/>
    </row>
    <row r="4" spans="1:19" ht="36" customHeight="1" x14ac:dyDescent="0.15">
      <c r="B4" s="39" t="s">
        <v>999</v>
      </c>
    </row>
    <row r="5" spans="1:19" ht="39" customHeight="1" x14ac:dyDescent="0.15">
      <c r="B5" s="60" t="s">
        <v>24</v>
      </c>
      <c r="C5" s="43"/>
    </row>
    <row r="6" spans="1:19" x14ac:dyDescent="0.15">
      <c r="H6" s="55"/>
    </row>
    <row r="7" spans="1:19" ht="25" x14ac:dyDescent="0.15">
      <c r="B7" s="229" t="s">
        <v>1000</v>
      </c>
      <c r="C7" s="45"/>
      <c r="D7" s="45"/>
      <c r="E7" s="45"/>
      <c r="F7" s="46"/>
    </row>
    <row r="8" spans="1:19" ht="78.75" customHeight="1" x14ac:dyDescent="0.15">
      <c r="B8" s="71"/>
      <c r="C8" s="238" t="s">
        <v>1001</v>
      </c>
      <c r="D8" s="72" t="s">
        <v>1002</v>
      </c>
      <c r="E8" s="72" t="s">
        <v>1003</v>
      </c>
      <c r="F8" s="72" t="s">
        <v>1004</v>
      </c>
      <c r="G8" s="73"/>
      <c r="H8" s="238" t="s">
        <v>1005</v>
      </c>
      <c r="I8" s="238" t="s">
        <v>1006</v>
      </c>
      <c r="J8" s="73"/>
      <c r="K8" s="238" t="s">
        <v>1007</v>
      </c>
      <c r="L8" s="238" t="s">
        <v>1008</v>
      </c>
    </row>
    <row r="9" spans="1:19" x14ac:dyDescent="0.15">
      <c r="B9" s="74" t="str">
        <f>B5</f>
        <v>London</v>
      </c>
      <c r="C9" s="75" t="e">
        <f>SUM((SUMIFS('capacity data'!$G:$G,'capacity data'!$E:$E,"PO",'capacity data'!$A:$A,B5))-SUMIFS('capacity data'!$H:$H,'capacity data'!$E:$E,"PO",'capacity data'!$A:$A,B5))/SUMIFS('capacity data'!$G:$G,'capacity data'!$E:$E,"PO",'capacity data'!$A:$A,B5)</f>
        <v>#DIV/0!</v>
      </c>
      <c r="D9" s="76" t="e">
        <f>SUM((SUMIFS('capacity data'!$G:$G,'capacity data'!$E:$E,"PSO",'capacity data'!$A:$A,B5))-SUMIFS('capacity data'!$H:$H,'capacity data'!$E:$E,"PSO",'capacity data'!$A:$A,B5))/SUMIFS('capacity data'!$G:$G,'capacity data'!$E:$E,"PSO",'capacity data'!$A:$A,B5)</f>
        <v>#DIV/0!</v>
      </c>
      <c r="E9" s="76" t="e">
        <f>SUM((SUMIFS('capacity data'!$G:$G,'capacity data'!$E:$E,"TPO",'capacity data'!$A:$A,B5))-SUMIFS('capacity data'!$H:$H,'capacity data'!$E:$E,"TPO",'capacity data'!$A:$A,B5))/SUMIFS('capacity data'!$G:$G,'capacity data'!$E:$E,"TPO",'capacity data'!$A:$A,B5)</f>
        <v>#DIV/0!</v>
      </c>
      <c r="F9" s="75" t="e">
        <f>SUM((SUMIFS('capacity data'!G:G,'capacity data'!A:A,B5))-SUMIFS('capacity data'!H:H,'capacity data'!A:A,B5))/SUMIFS('capacity data'!G:G,'capacity data'!A:A,B5)</f>
        <v>#DIV/0!</v>
      </c>
      <c r="G9" s="73"/>
      <c r="H9" s="75" t="e">
        <f>SUMIFS('capacity data'!$L:$L,'capacity data'!$A:$A,$B$5,'capacity data'!$E:$E,"PSO")/SUM((SUMIFS('capacity data'!$G:$G,'capacity data'!$E:$E,"PSO",'capacity data'!$A:$A,$B$5))-SUMIFS('capacity data'!$H:$H,'capacity data'!$E:$E,"PSO",'capacity data'!$A:$A,$B$5))</f>
        <v>#DIV/0!</v>
      </c>
      <c r="I9" s="75" t="e">
        <f>SUMIFS('capacity data'!$L:$L,'capacity data'!$A:$A,$B$5,'capacity data'!$E:$E,"PSO")/SUMIFS('capacity data'!$G:$G,'capacity data'!$E:$E,"PSO",'capacity data'!$A:$A,$B$5)</f>
        <v>#DIV/0!</v>
      </c>
      <c r="J9" s="73"/>
      <c r="K9" s="75" t="e">
        <f>SUMIFS('capacity data'!$L:$L,'capacity data'!$A:$A,$B$5,'capacity data'!$E:$E,"TPO")/SUM((SUMIFS('capacity data'!$G:$G,'capacity data'!$E:$E,"TPO",'capacity data'!$A:$A,$B$5))-SUMIFS('capacity data'!$H:$H,'capacity data'!$E:$E,"TPO",'capacity data'!$A:$A,$B$5))</f>
        <v>#DIV/0!</v>
      </c>
      <c r="L9" s="75" t="e">
        <f>SUMIFS('capacity data'!$L:$L,'capacity data'!$A:$A,$B$5,'capacity data'!$E:$E,"TPO")/SUMIFS('capacity data'!$G:$G,'capacity data'!$E:$E,"TPO",'capacity data'!$A:$A,$B$5)</f>
        <v>#DIV/0!</v>
      </c>
    </row>
    <row r="10" spans="1:19" x14ac:dyDescent="0.15">
      <c r="B10" s="253" t="s">
        <v>1009</v>
      </c>
      <c r="C10" s="91" t="e">
        <f>SUM((SUMIF('capacity data'!E:E,"PO",'capacity data'!G:G))-SUMIF('capacity data'!E:E,"PO",'capacity data'!H:H))/SUMIF('capacity data'!E:E,"PO",'capacity data'!G:G)</f>
        <v>#DIV/0!</v>
      </c>
      <c r="D10" s="117" t="e">
        <f>SUM((SUMIF('capacity data'!E:E,"PSO",'capacity data'!G:G))-SUMIF('capacity data'!E:E,"PSO",'capacity data'!H:H))/SUMIF('capacity data'!E:E,"PSO",'capacity data'!G:G)</f>
        <v>#DIV/0!</v>
      </c>
      <c r="E10" s="117" t="e">
        <f>SUM((SUMIF('capacity data'!E:E,"TPO",'capacity data'!G:G))-SUMIF('capacity data'!E:E,"TPO",'capacity data'!H:H))/SUMIF('capacity data'!E:E,"TPO",'capacity data'!G:G)</f>
        <v>#DIV/0!</v>
      </c>
      <c r="F10" s="91" t="e">
        <f>SUM((SUM('capacity data'!G:G)-SUM('capacity data'!H:H))/SUM('capacity data'!G:G))</f>
        <v>#DIV/0!</v>
      </c>
      <c r="G10" s="73"/>
      <c r="H10" s="91" t="e">
        <f>SUMIF('capacity data'!$E:$E,"PSO",'capacity data'!$L:$L)/SUM(SUMIF('capacity data'!$E:$E,"PSO",'capacity data'!$G:$G)-SUMIF('capacity data'!$E:$E,"PSO",'capacity data'!$H:$H))</f>
        <v>#DIV/0!</v>
      </c>
      <c r="I10" s="91" t="e">
        <f>SUMIF('capacity data'!$E:$E,"PSO",'capacity data'!$L:$L)/SUMIF('capacity data'!$E:$E,"PSO",'capacity data'!$G:$G)</f>
        <v>#DIV/0!</v>
      </c>
      <c r="J10" s="73"/>
      <c r="K10" s="91" t="e">
        <f>SUMIF('capacity data'!$E:$E,"TPO",'capacity data'!$L:$L)/SUM(SUMIF('capacity data'!$E:$E,"TPO",'capacity data'!$G:$G)-SUMIF('capacity data'!$E:$E,"TPO",'capacity data'!$H:$H))</f>
        <v>#DIV/0!</v>
      </c>
      <c r="L10" s="91" t="e">
        <f>SUMIF('capacity data'!$E:$E,"TPO",'capacity data'!$L:$L)/SUMIF('capacity data'!$E:$E,"TPO",'capacity data'!$G:$G)</f>
        <v>#DIV/0!</v>
      </c>
    </row>
    <row r="11" spans="1:19" x14ac:dyDescent="0.15">
      <c r="B11" s="77" t="s">
        <v>1010</v>
      </c>
      <c r="C11" s="112" t="e">
        <f>+C9-C10</f>
        <v>#DIV/0!</v>
      </c>
      <c r="D11" s="113" t="e">
        <f>+D9-D10</f>
        <v>#DIV/0!</v>
      </c>
      <c r="E11" s="113" t="e">
        <f>+E9-E10</f>
        <v>#DIV/0!</v>
      </c>
      <c r="F11" s="112" t="e">
        <f>+F9-F10</f>
        <v>#DIV/0!</v>
      </c>
      <c r="G11" s="73"/>
      <c r="H11" s="112" t="e">
        <f>+H9-H10</f>
        <v>#DIV/0!</v>
      </c>
      <c r="I11" s="109" t="e">
        <f>+I9-I10</f>
        <v>#DIV/0!</v>
      </c>
      <c r="J11" s="73"/>
      <c r="K11" s="112" t="e">
        <f>+K9-K10</f>
        <v>#DIV/0!</v>
      </c>
      <c r="L11" s="109" t="e">
        <f>+L9-L10</f>
        <v>#DIV/0!</v>
      </c>
    </row>
    <row r="13" spans="1:19" ht="23" x14ac:dyDescent="0.15">
      <c r="B13" s="316" t="s">
        <v>1011</v>
      </c>
      <c r="C13" s="317"/>
      <c r="D13" s="317"/>
      <c r="E13" s="317"/>
      <c r="F13" s="317"/>
      <c r="G13" s="317"/>
      <c r="H13" s="317"/>
      <c r="I13" s="317"/>
      <c r="J13" s="317"/>
      <c r="K13" s="317"/>
      <c r="L13" s="317"/>
      <c r="M13" s="317"/>
    </row>
    <row r="14" spans="1:19" ht="63.75" customHeight="1" x14ac:dyDescent="0.15">
      <c r="B14" s="78"/>
      <c r="C14" s="79" t="s">
        <v>1012</v>
      </c>
      <c r="D14" s="79" t="s">
        <v>1013</v>
      </c>
      <c r="E14" s="79" t="s">
        <v>1014</v>
      </c>
      <c r="F14" s="79" t="s">
        <v>1015</v>
      </c>
      <c r="G14" s="79" t="s">
        <v>1016</v>
      </c>
      <c r="H14" s="79" t="s">
        <v>1017</v>
      </c>
      <c r="I14" s="79" t="s">
        <v>1018</v>
      </c>
      <c r="J14" s="80" t="s">
        <v>1019</v>
      </c>
      <c r="K14" s="79" t="s">
        <v>1020</v>
      </c>
      <c r="L14" s="79" t="s">
        <v>1021</v>
      </c>
      <c r="M14" s="79" t="s">
        <v>1022</v>
      </c>
    </row>
    <row r="15" spans="1:19" ht="20.25" customHeight="1" x14ac:dyDescent="0.15">
      <c r="B15" s="81" t="str">
        <f>B5</f>
        <v>London</v>
      </c>
      <c r="C15" s="232">
        <f>COUNTIFS('capacity data'!A:A,B5,'capacity data'!E:E,"PO")</f>
        <v>0</v>
      </c>
      <c r="D15" s="232">
        <f>COUNTIFS('capacity data'!A:A,B5,'capacity data'!E:E,"PO",'capacity data'!F:F,"&gt;110%")</f>
        <v>0</v>
      </c>
      <c r="E15" s="82" t="e">
        <f>D15/C15</f>
        <v>#DIV/0!</v>
      </c>
      <c r="F15" s="232">
        <f>COUNTIFS('capacity data'!A:A,'divisional &amp; regional overview'!B5,'capacity data'!E:E,"PSO")</f>
        <v>0</v>
      </c>
      <c r="G15" s="232">
        <f>COUNTIFS('capacity data'!A:A,B5,'capacity data'!E:E,"PSO",'capacity data'!F:F,"&gt;110%")</f>
        <v>0</v>
      </c>
      <c r="H15" s="83" t="e">
        <f>G15/F15</f>
        <v>#DIV/0!</v>
      </c>
      <c r="I15" s="232">
        <f>COUNTIFS('capacity data'!A:A,B5,'capacity data'!E:E,"PSO",'capacity data'!F:F,"&lt;90%")</f>
        <v>0</v>
      </c>
      <c r="J15" s="83" t="e">
        <f>I15/F15</f>
        <v>#DIV/0!</v>
      </c>
      <c r="K15" s="232">
        <f>COUNTIFS('capacity data'!A:A,'divisional &amp; regional overview'!B5,'capacity data'!E:E,"TPO")</f>
        <v>0</v>
      </c>
      <c r="L15" s="232">
        <f>COUNTIFS('capacity data'!A:A,B5,'capacity data'!E:E,"TPO",'capacity data'!F:F,"&gt;110%")</f>
        <v>0</v>
      </c>
      <c r="M15" s="76" t="e">
        <f>L15/K15</f>
        <v>#DIV/0!</v>
      </c>
    </row>
    <row r="16" spans="1:19" x14ac:dyDescent="0.15">
      <c r="B16" s="253" t="s">
        <v>1023</v>
      </c>
      <c r="C16" s="89">
        <f>COUNTIF('capacity data'!E:E,"PO")</f>
        <v>0</v>
      </c>
      <c r="D16" s="89">
        <f>COUNTIFS('capacity data'!E:E,"PO",'capacity data'!F:F,"&gt;110%")</f>
        <v>0</v>
      </c>
      <c r="E16" s="117" t="e">
        <f>D16/C16</f>
        <v>#DIV/0!</v>
      </c>
      <c r="F16" s="89">
        <f>COUNTIF('capacity data'!E:E,"PSO")</f>
        <v>0</v>
      </c>
      <c r="G16" s="89">
        <f>COUNTIFS('capacity data'!E:E,"PSO",'capacity data'!F:F,"&gt;110%")</f>
        <v>0</v>
      </c>
      <c r="H16" s="117" t="e">
        <f>G16/F16</f>
        <v>#DIV/0!</v>
      </c>
      <c r="I16" s="89">
        <f>COUNTIFS('capacity data'!E:E,"PSO",'capacity data'!F:F,"&lt;90%")</f>
        <v>0</v>
      </c>
      <c r="J16" s="117" t="e">
        <f>I16/F16</f>
        <v>#DIV/0!</v>
      </c>
      <c r="K16" s="89">
        <f>COUNTIF('capacity data'!E:E,"TPO")</f>
        <v>0</v>
      </c>
      <c r="L16" s="89">
        <f>COUNTIFS('capacity data'!E:E,"TPO",'capacity data'!F:F,"&gt;110%")</f>
        <v>0</v>
      </c>
      <c r="M16" s="117" t="e">
        <f>L16/K16</f>
        <v>#DIV/0!</v>
      </c>
    </row>
    <row r="17" spans="2:13" x14ac:dyDescent="0.15">
      <c r="B17" s="71" t="s">
        <v>1010</v>
      </c>
      <c r="C17" s="110" t="s">
        <v>1024</v>
      </c>
      <c r="D17" s="110" t="s">
        <v>1024</v>
      </c>
      <c r="E17" s="111" t="e">
        <f>+E15-E16</f>
        <v>#DIV/0!</v>
      </c>
      <c r="F17" s="110" t="s">
        <v>1024</v>
      </c>
      <c r="G17" s="110" t="s">
        <v>1024</v>
      </c>
      <c r="H17" s="111" t="e">
        <f>+H15-H16</f>
        <v>#DIV/0!</v>
      </c>
      <c r="I17" s="110" t="s">
        <v>1024</v>
      </c>
      <c r="J17" s="111" t="e">
        <f>+J15-J16</f>
        <v>#DIV/0!</v>
      </c>
      <c r="K17" s="110" t="s">
        <v>1024</v>
      </c>
      <c r="L17" s="110" t="s">
        <v>1024</v>
      </c>
      <c r="M17" s="111" t="e">
        <f>+M15-M16</f>
        <v>#DIV/0!</v>
      </c>
    </row>
    <row r="19" spans="2:13" ht="23" x14ac:dyDescent="0.25">
      <c r="B19" s="312" t="s">
        <v>1025</v>
      </c>
      <c r="C19" s="313"/>
      <c r="D19" s="313"/>
      <c r="E19" s="313"/>
      <c r="F19" s="313"/>
      <c r="G19" s="314"/>
      <c r="H19" s="315"/>
    </row>
    <row r="20" spans="2:13" ht="42" x14ac:dyDescent="0.15">
      <c r="B20" s="85"/>
      <c r="C20" s="72" t="s">
        <v>1026</v>
      </c>
      <c r="D20" s="72" t="s">
        <v>1027</v>
      </c>
      <c r="E20" s="72" t="s">
        <v>1028</v>
      </c>
      <c r="F20" s="72" t="s">
        <v>1029</v>
      </c>
      <c r="G20" s="238" t="s">
        <v>1030</v>
      </c>
      <c r="H20" s="238" t="s">
        <v>1031</v>
      </c>
    </row>
    <row r="21" spans="2:13" x14ac:dyDescent="0.15">
      <c r="B21" s="71" t="str">
        <f>B5</f>
        <v>London</v>
      </c>
      <c r="C21" s="84">
        <f>SUMIFS('capacity data'!K:K,'capacity data'!A:A,'divisional &amp; regional overview'!B5,'capacity data'!E:E,"SPO")</f>
        <v>0</v>
      </c>
      <c r="D21" s="84">
        <f>SUMIFS('capacity data'!K:K,'capacity data'!A:A,'divisional &amp; regional overview'!B21,'capacity data'!E:E,"DMY")</f>
        <v>0</v>
      </c>
      <c r="E21" s="84">
        <f>SUM(C21:D21)</f>
        <v>0</v>
      </c>
      <c r="F21" s="86">
        <f>SUMIF('capacity data'!A:A,B21,'capacity data'!K:K)</f>
        <v>0</v>
      </c>
      <c r="G21" s="75" t="e">
        <f>E21/F21</f>
        <v>#DIV/0!</v>
      </c>
      <c r="H21" s="87">
        <f>SUMIF('caseload data'!A:A,'divisional &amp; regional overview'!B98,'caseload data'!U:U)</f>
        <v>0</v>
      </c>
    </row>
    <row r="22" spans="2:13" x14ac:dyDescent="0.15">
      <c r="B22" s="254" t="s">
        <v>1023</v>
      </c>
      <c r="C22" s="89">
        <f>SUMIF('capacity data'!E:E,"SPO",'capacity data'!K:K)</f>
        <v>0</v>
      </c>
      <c r="D22" s="89">
        <f>SUMIF('capacity data'!E:E,"DMY",'capacity data'!K:K)</f>
        <v>0</v>
      </c>
      <c r="E22" s="89">
        <f>SUM(C22:D22)</f>
        <v>0</v>
      </c>
      <c r="F22" s="90">
        <f>SUM('capacity data'!K:K)</f>
        <v>0</v>
      </c>
      <c r="G22" s="91" t="e">
        <f>E22/F22</f>
        <v>#DIV/0!</v>
      </c>
      <c r="H22" s="89">
        <f>SUM('caseload data'!U:U)</f>
        <v>0</v>
      </c>
    </row>
    <row r="23" spans="2:13" x14ac:dyDescent="0.15">
      <c r="B23" s="92" t="s">
        <v>1010</v>
      </c>
      <c r="C23" s="110" t="s">
        <v>1024</v>
      </c>
      <c r="D23" s="110" t="s">
        <v>1024</v>
      </c>
      <c r="E23" s="110" t="s">
        <v>1024</v>
      </c>
      <c r="F23" s="114" t="s">
        <v>1024</v>
      </c>
      <c r="G23" s="114" t="e">
        <f>+G21-G22</f>
        <v>#DIV/0!</v>
      </c>
      <c r="H23" s="110" t="s">
        <v>1024</v>
      </c>
    </row>
    <row r="26" spans="2:13" ht="23" x14ac:dyDescent="0.25">
      <c r="B26" s="308" t="s">
        <v>1032</v>
      </c>
      <c r="C26" s="308"/>
      <c r="D26" s="308"/>
      <c r="E26" s="308"/>
      <c r="F26" s="308"/>
      <c r="G26" s="308"/>
      <c r="H26" s="308"/>
      <c r="I26" s="308"/>
      <c r="J26" s="308"/>
      <c r="K26" s="308"/>
    </row>
    <row r="27" spans="2:13" ht="83.25" customHeight="1" x14ac:dyDescent="0.15">
      <c r="B27" s="93"/>
      <c r="C27" s="238" t="s">
        <v>1033</v>
      </c>
      <c r="D27" s="238" t="s">
        <v>1034</v>
      </c>
      <c r="E27" s="238" t="s">
        <v>1035</v>
      </c>
      <c r="F27" s="238" t="s">
        <v>1036</v>
      </c>
      <c r="G27" s="238" t="s">
        <v>1037</v>
      </c>
      <c r="H27" s="238" t="s">
        <v>1038</v>
      </c>
      <c r="I27" s="238" t="s">
        <v>1039</v>
      </c>
      <c r="J27" s="238" t="s">
        <v>1040</v>
      </c>
      <c r="K27" s="238" t="s">
        <v>1041</v>
      </c>
    </row>
    <row r="28" spans="2:13" x14ac:dyDescent="0.15">
      <c r="B28" s="71" t="str">
        <f>B5</f>
        <v>London</v>
      </c>
      <c r="C28" s="94">
        <f>SUMIFS('capacity data'!I:I,'capacity data'!A:A,B28,'capacity data'!E:E,"PO")</f>
        <v>0</v>
      </c>
      <c r="D28" s="95">
        <f>SUMIFS('capacity data'!J:J,'capacity data'!A:A,B28,'capacity data'!E:E,"PO")</f>
        <v>0</v>
      </c>
      <c r="E28" s="96" t="e">
        <f>D28/C28</f>
        <v>#DIV/0!</v>
      </c>
      <c r="F28" s="95">
        <f>SUMIFS('capacity data'!I:I,'capacity data'!A:A,B28,'capacity data'!E:E,"PSO")</f>
        <v>0</v>
      </c>
      <c r="G28" s="95">
        <f>SUMIFS('capacity data'!J:J,'capacity data'!A:A,B28,'capacity data'!E:E,"PSO")</f>
        <v>0</v>
      </c>
      <c r="H28" s="96" t="e">
        <f>G28/F28</f>
        <v>#DIV/0!</v>
      </c>
      <c r="I28" s="95">
        <f>SUMIFS('capacity data'!I:I,'capacity data'!A:A,B28,'capacity data'!E:E,"TPO")</f>
        <v>0</v>
      </c>
      <c r="J28" s="97">
        <f>SUMIFS('capacity data'!J:J,'capacity data'!A:A,B28,'capacity data'!E:E,"TPO")</f>
        <v>0</v>
      </c>
      <c r="K28" s="96" t="e">
        <f>J28/I28</f>
        <v>#DIV/0!</v>
      </c>
    </row>
    <row r="29" spans="2:13" x14ac:dyDescent="0.15">
      <c r="B29" s="253" t="s">
        <v>1042</v>
      </c>
      <c r="C29" s="118">
        <f>SUMIF('capacity data'!E:E,"PO",'capacity data'!I:I)</f>
        <v>0</v>
      </c>
      <c r="D29" s="118">
        <f>SUMIF('capacity data'!E:E,"PO",'capacity data'!J:J)</f>
        <v>0</v>
      </c>
      <c r="E29" s="119" t="e">
        <f>D29/C29</f>
        <v>#DIV/0!</v>
      </c>
      <c r="F29" s="118">
        <f>SUMIF('capacity data'!E:E,"PSO",'capacity data'!I:I)</f>
        <v>0</v>
      </c>
      <c r="G29" s="118">
        <f>SUMIF('capacity data'!E:E,"PSO",'capacity data'!J:J)</f>
        <v>0</v>
      </c>
      <c r="H29" s="119" t="e">
        <f>G29/F29</f>
        <v>#DIV/0!</v>
      </c>
      <c r="I29" s="118">
        <f>SUMIF('capacity data'!E:E,"TPO",'capacity data'!I:I)</f>
        <v>0</v>
      </c>
      <c r="J29" s="118">
        <f>SUMIF('capacity data'!E:E,"TPO",'capacity data'!J:J)</f>
        <v>0</v>
      </c>
      <c r="K29" s="119" t="e">
        <f>J29/I29</f>
        <v>#DIV/0!</v>
      </c>
    </row>
    <row r="30" spans="2:13" x14ac:dyDescent="0.15">
      <c r="B30" s="115" t="s">
        <v>1010</v>
      </c>
      <c r="C30" s="110" t="s">
        <v>1024</v>
      </c>
      <c r="D30" s="110" t="s">
        <v>1024</v>
      </c>
      <c r="E30" s="109" t="e">
        <f>+E28-E29</f>
        <v>#DIV/0!</v>
      </c>
      <c r="F30" s="110" t="s">
        <v>1024</v>
      </c>
      <c r="G30" s="110" t="s">
        <v>1024</v>
      </c>
      <c r="H30" s="109" t="e">
        <f>+H28-H29</f>
        <v>#DIV/0!</v>
      </c>
      <c r="I30" s="110" t="s">
        <v>1024</v>
      </c>
      <c r="J30" s="110" t="s">
        <v>1024</v>
      </c>
      <c r="K30" s="109" t="e">
        <f>+K28-K29</f>
        <v>#DIV/0!</v>
      </c>
    </row>
    <row r="32" spans="2:13" ht="37.5" customHeight="1" x14ac:dyDescent="0.2">
      <c r="B32" s="309" t="s">
        <v>1043</v>
      </c>
      <c r="C32" s="310"/>
      <c r="D32" s="310"/>
      <c r="F32" s="311" t="s">
        <v>1044</v>
      </c>
      <c r="G32" s="311"/>
    </row>
    <row r="33" spans="2:7" ht="88.5" customHeight="1" x14ac:dyDescent="0.15">
      <c r="B33" s="85" t="s">
        <v>1045</v>
      </c>
      <c r="C33" s="238" t="s">
        <v>1046</v>
      </c>
      <c r="D33" s="238" t="s">
        <v>1047</v>
      </c>
      <c r="E33" s="73"/>
      <c r="F33" s="234" t="s">
        <v>1048</v>
      </c>
      <c r="G33" s="233">
        <f>COUNTIF('reductions data'!A:A,'divisional &amp; regional overview'!B5)</f>
        <v>0</v>
      </c>
    </row>
    <row r="34" spans="2:7" ht="28" x14ac:dyDescent="0.15">
      <c r="B34" s="122" t="s">
        <v>983</v>
      </c>
      <c r="C34" s="98">
        <f>COUNTIFS('reductions data'!A:A,B5,'reductions data'!G:G,'divisional &amp; regional overview'!B34)</f>
        <v>0</v>
      </c>
      <c r="D34" s="99">
        <f>SUMIFS('reductions data'!H:H,'reductions data'!A:A,B5,'reductions data'!G:G,'divisional &amp; regional overview'!B34)</f>
        <v>0</v>
      </c>
      <c r="E34" s="73"/>
      <c r="F34" s="234" t="s">
        <v>1049</v>
      </c>
      <c r="G34" s="233">
        <f>SUMIF('reductions data'!A:A,B5,'reductions data'!H:H)</f>
        <v>0</v>
      </c>
    </row>
    <row r="35" spans="2:7" ht="28" x14ac:dyDescent="0.15">
      <c r="B35" s="123" t="s">
        <v>964</v>
      </c>
      <c r="C35" s="100">
        <f>COUNTIFS('reductions data'!A:A,B5,'reductions data'!G:G,'divisional &amp; regional overview'!B35)</f>
        <v>0</v>
      </c>
      <c r="D35" s="99">
        <f>SUMIFS('reductions data'!H:H,'reductions data'!A:A,B5,'reductions data'!G:G,'divisional &amp; regional overview'!B35)</f>
        <v>0</v>
      </c>
      <c r="E35" s="73"/>
      <c r="F35" s="232" t="s">
        <v>1050</v>
      </c>
      <c r="G35" s="233">
        <f>SUMIF('capacity data'!A:A,B5,'capacity data'!I:I)</f>
        <v>0</v>
      </c>
    </row>
    <row r="36" spans="2:7" ht="42" x14ac:dyDescent="0.15">
      <c r="B36" s="123" t="s">
        <v>962</v>
      </c>
      <c r="C36" s="100">
        <f>COUNTIFS('reductions data'!A:A,B5,'reductions data'!G:G,'divisional &amp; regional overview'!B36)</f>
        <v>0</v>
      </c>
      <c r="D36" s="99">
        <f>SUMIFS('reductions data'!H:H,'reductions data'!A:A,B5,'reductions data'!G:G,'divisional &amp; regional overview'!B36)</f>
        <v>0</v>
      </c>
      <c r="E36" s="101"/>
      <c r="F36" s="232" t="s">
        <v>1051</v>
      </c>
      <c r="G36" s="102" t="e">
        <f>G34/G35</f>
        <v>#DIV/0!</v>
      </c>
    </row>
    <row r="37" spans="2:7" x14ac:dyDescent="0.15">
      <c r="B37" s="123" t="s">
        <v>957</v>
      </c>
      <c r="C37" s="100">
        <f>COUNTIFS('reductions data'!A:A,B5,'reductions data'!G:G,'divisional &amp; regional overview'!B37)</f>
        <v>0</v>
      </c>
      <c r="D37" s="99">
        <f>SUMIFS('reductions data'!H:H,'reductions data'!A:A,B5,'reductions data'!G:G,'divisional &amp; regional overview'!B37)</f>
        <v>0</v>
      </c>
      <c r="E37" s="101"/>
      <c r="F37" s="299" t="s">
        <v>1052</v>
      </c>
      <c r="G37" s="302" t="e">
        <f>+G36-'div &amp; regional reduction hours'!N18</f>
        <v>#DIV/0!</v>
      </c>
    </row>
    <row r="38" spans="2:7" ht="24" customHeight="1" x14ac:dyDescent="0.15">
      <c r="B38" s="123" t="s">
        <v>984</v>
      </c>
      <c r="C38" s="100">
        <f>COUNTIFS('reductions data'!A:A,B5,'reductions data'!G:G,'divisional &amp; regional overview'!B38)</f>
        <v>0</v>
      </c>
      <c r="D38" s="99">
        <f>SUMIFS('reductions data'!H:H,'reductions data'!A:A,B5,'reductions data'!G:G,'divisional &amp; regional overview'!B38)</f>
        <v>0</v>
      </c>
      <c r="E38" s="101"/>
      <c r="F38" s="300"/>
      <c r="G38" s="301"/>
    </row>
    <row r="39" spans="2:7" x14ac:dyDescent="0.15">
      <c r="B39" s="123" t="s">
        <v>968</v>
      </c>
      <c r="C39" s="100">
        <f>COUNTIFS('reductions data'!A:A,B5,'reductions data'!G:G,'divisional &amp; regional overview'!B39)</f>
        <v>0</v>
      </c>
      <c r="D39" s="99">
        <f>SUMIFS('reductions data'!H:H,'reductions data'!A:A,B5,'reductions data'!G:G,'divisional &amp; regional overview'!B39)</f>
        <v>0</v>
      </c>
      <c r="E39" s="101"/>
      <c r="F39" s="301"/>
      <c r="G39" s="301"/>
    </row>
    <row r="40" spans="2:7" x14ac:dyDescent="0.15">
      <c r="B40" s="123" t="s">
        <v>970</v>
      </c>
      <c r="C40" s="100">
        <f>COUNTIFS('reductions data'!A:A,B5,'reductions data'!G:G,'divisional &amp; regional overview'!B40)</f>
        <v>0</v>
      </c>
      <c r="D40" s="99">
        <f>SUMIFS('reductions data'!H:H,'reductions data'!A:A,B5,'reductions data'!G:G,'divisional &amp; regional overview'!B40)</f>
        <v>0</v>
      </c>
      <c r="E40" s="101"/>
      <c r="F40" s="301"/>
      <c r="G40" s="301"/>
    </row>
    <row r="41" spans="2:7" x14ac:dyDescent="0.15">
      <c r="B41" s="123" t="s">
        <v>985</v>
      </c>
      <c r="C41" s="100">
        <f>COUNTIFS('reductions data'!A:A,B5,'reductions data'!G:G,'divisional &amp; regional overview'!B41)</f>
        <v>0</v>
      </c>
      <c r="D41" s="99">
        <f>SUMIFS('reductions data'!H:H,'reductions data'!A:A,B5,'reductions data'!G:G,'divisional &amp; regional overview'!B41)</f>
        <v>0</v>
      </c>
      <c r="E41" s="101"/>
      <c r="F41" s="101"/>
      <c r="G41" s="73"/>
    </row>
    <row r="42" spans="2:7" x14ac:dyDescent="0.15">
      <c r="B42" s="123" t="s">
        <v>958</v>
      </c>
      <c r="C42" s="100">
        <f>COUNTIFS('reductions data'!A:A,B5,'reductions data'!G:G,'divisional &amp; regional overview'!B42)</f>
        <v>0</v>
      </c>
      <c r="D42" s="99">
        <f>SUMIFS('reductions data'!H:H,'reductions data'!A:A,B5,'reductions data'!G:G,'divisional &amp; regional overview'!B42)</f>
        <v>0</v>
      </c>
      <c r="E42" s="101"/>
      <c r="F42" s="101"/>
      <c r="G42" s="73"/>
    </row>
    <row r="43" spans="2:7" x14ac:dyDescent="0.15">
      <c r="B43" s="123" t="s">
        <v>949</v>
      </c>
      <c r="C43" s="100">
        <f>COUNTIFS('reductions data'!A:A,B5,'reductions data'!G:G,'divisional &amp; regional overview'!B43)</f>
        <v>0</v>
      </c>
      <c r="D43" s="99">
        <f>SUMIFS('reductions data'!H:H,'reductions data'!A:A,B5,'reductions data'!G:G,'divisional &amp; regional overview'!B43)</f>
        <v>0</v>
      </c>
      <c r="E43" s="101"/>
      <c r="F43" s="101"/>
      <c r="G43" s="73"/>
    </row>
    <row r="44" spans="2:7" x14ac:dyDescent="0.15">
      <c r="B44" s="123" t="s">
        <v>974</v>
      </c>
      <c r="C44" s="100">
        <f>COUNTIFS('reductions data'!A:A,B5,'reductions data'!G:G,'divisional &amp; regional overview'!B44)</f>
        <v>0</v>
      </c>
      <c r="D44" s="99">
        <f>SUMIFS('reductions data'!H:H,'reductions data'!A:A,B5,'reductions data'!G:G,'divisional &amp; regional overview'!B44)</f>
        <v>0</v>
      </c>
      <c r="E44" s="101"/>
      <c r="F44" s="101"/>
      <c r="G44" s="73"/>
    </row>
    <row r="45" spans="2:7" x14ac:dyDescent="0.15">
      <c r="B45" s="123" t="s">
        <v>950</v>
      </c>
      <c r="C45" s="100">
        <f>COUNTIFS('reductions data'!A:A,B5,'reductions data'!G:G,'divisional &amp; regional overview'!B45)</f>
        <v>0</v>
      </c>
      <c r="D45" s="99">
        <f>SUMIFS('reductions data'!H:H,'reductions data'!A:A,B5,'reductions data'!G:G,'divisional &amp; regional overview'!B45)</f>
        <v>0</v>
      </c>
      <c r="E45" s="101"/>
      <c r="F45" s="101"/>
      <c r="G45" s="73"/>
    </row>
    <row r="46" spans="2:7" x14ac:dyDescent="0.15">
      <c r="B46" s="123" t="s">
        <v>960</v>
      </c>
      <c r="C46" s="100">
        <f>COUNTIFS('reductions data'!A:A,B5,'reductions data'!G:G,'divisional &amp; regional overview'!B46)</f>
        <v>0</v>
      </c>
      <c r="D46" s="99">
        <f>SUMIFS('reductions data'!H:H,'reductions data'!A:A,B5,'reductions data'!G:G,'divisional &amp; regional overview'!B46)</f>
        <v>0</v>
      </c>
      <c r="E46" s="101"/>
      <c r="F46" s="101"/>
      <c r="G46" s="73"/>
    </row>
    <row r="47" spans="2:7" x14ac:dyDescent="0.15">
      <c r="B47" s="123" t="s">
        <v>986</v>
      </c>
      <c r="C47" s="100">
        <f>COUNTIFS('reductions data'!A:A,B5,'reductions data'!G:G,'divisional &amp; regional overview'!B47)</f>
        <v>0</v>
      </c>
      <c r="D47" s="99">
        <f>SUMIFS('reductions data'!H:H,'reductions data'!A:A,B5,'reductions data'!G:G,'divisional &amp; regional overview'!B47)</f>
        <v>0</v>
      </c>
      <c r="E47" s="101"/>
      <c r="F47" s="101"/>
      <c r="G47" s="73"/>
    </row>
    <row r="48" spans="2:7" x14ac:dyDescent="0.15">
      <c r="B48" s="123" t="s">
        <v>1053</v>
      </c>
      <c r="C48" s="100">
        <f>COUNTIFS('reductions data'!A:A,B5,'reductions data'!G:G,'divisional &amp; regional overview'!B48)</f>
        <v>0</v>
      </c>
      <c r="D48" s="99">
        <f>SUMIFS('reductions data'!H:H,'reductions data'!A:A,B5,'reductions data'!G:G,'divisional &amp; regional overview'!B48)</f>
        <v>0</v>
      </c>
      <c r="E48" s="101"/>
      <c r="F48" s="101"/>
      <c r="G48" s="73"/>
    </row>
    <row r="49" spans="2:7" x14ac:dyDescent="0.15">
      <c r="B49" s="123" t="s">
        <v>988</v>
      </c>
      <c r="C49" s="100">
        <f>COUNTIFS('reductions data'!A:A,B5,'reductions data'!G:G,'divisional &amp; regional overview'!B49)</f>
        <v>0</v>
      </c>
      <c r="D49" s="99">
        <f>SUMIFS('reductions data'!H:H,'reductions data'!A:A,B5,'reductions data'!G:G,'divisional &amp; regional overview'!B49)</f>
        <v>0</v>
      </c>
      <c r="E49" s="101"/>
      <c r="F49" s="101"/>
      <c r="G49" s="73"/>
    </row>
    <row r="50" spans="2:7" x14ac:dyDescent="0.15">
      <c r="B50" s="123" t="s">
        <v>989</v>
      </c>
      <c r="C50" s="100">
        <f>COUNTIFS('reductions data'!A:A,B5,'reductions data'!G:G,'divisional &amp; regional overview'!B50)</f>
        <v>0</v>
      </c>
      <c r="D50" s="99">
        <f>SUMIFS('reductions data'!H:H,'reductions data'!A:A,B5,'reductions data'!G:G,'divisional &amp; regional overview'!B50)</f>
        <v>0</v>
      </c>
      <c r="E50" s="101"/>
      <c r="F50" s="101"/>
      <c r="G50" s="73"/>
    </row>
    <row r="51" spans="2:7" x14ac:dyDescent="0.15">
      <c r="B51" s="123" t="s">
        <v>947</v>
      </c>
      <c r="C51" s="100">
        <f>COUNTIFS('reductions data'!A:A,B5,'reductions data'!G:G,'divisional &amp; regional overview'!B51)</f>
        <v>0</v>
      </c>
      <c r="D51" s="99">
        <f>SUMIFS('reductions data'!H:H,'reductions data'!A:A,B5,'reductions data'!G:G,'divisional &amp; regional overview'!B51)</f>
        <v>0</v>
      </c>
      <c r="E51" s="101"/>
      <c r="F51" s="101"/>
      <c r="G51" s="73"/>
    </row>
    <row r="52" spans="2:7" x14ac:dyDescent="0.15">
      <c r="B52" s="123" t="s">
        <v>978</v>
      </c>
      <c r="C52" s="100">
        <f>COUNTIFS('reductions data'!A:A,B5,'reductions data'!G:G,'divisional &amp; regional overview'!B52)</f>
        <v>0</v>
      </c>
      <c r="D52" s="99">
        <f>SUMIFS('reductions data'!H:H,'reductions data'!A:A,B5,'reductions data'!G:G,'divisional &amp; regional overview'!B52)</f>
        <v>0</v>
      </c>
      <c r="E52" s="101"/>
      <c r="F52" s="101"/>
      <c r="G52" s="73"/>
    </row>
    <row r="53" spans="2:7" x14ac:dyDescent="0.15">
      <c r="B53" s="123" t="s">
        <v>963</v>
      </c>
      <c r="C53" s="100">
        <f>COUNTIFS('reductions data'!A:A,B5,'reductions data'!G:G,'divisional &amp; regional overview'!B53)</f>
        <v>0</v>
      </c>
      <c r="D53" s="99">
        <f>SUMIFS('reductions data'!H:H,'reductions data'!A:A,B5,'reductions data'!G:G,'divisional &amp; regional overview'!B53)</f>
        <v>0</v>
      </c>
      <c r="E53" s="101"/>
      <c r="F53" s="101"/>
      <c r="G53" s="73"/>
    </row>
    <row r="54" spans="2:7" x14ac:dyDescent="0.15">
      <c r="B54" s="123" t="s">
        <v>990</v>
      </c>
      <c r="C54" s="100">
        <f>COUNTIFS('reductions data'!A:A,B5,'reductions data'!G:G,'divisional &amp; regional overview'!B54)</f>
        <v>0</v>
      </c>
      <c r="D54" s="99">
        <f>SUMIFS('reductions data'!H:H,'reductions data'!A:A,B5,'reductions data'!G:G,'divisional &amp; regional overview'!B54)</f>
        <v>0</v>
      </c>
      <c r="E54" s="101"/>
      <c r="F54" s="101"/>
      <c r="G54" s="73"/>
    </row>
    <row r="55" spans="2:7" x14ac:dyDescent="0.15">
      <c r="B55" s="123" t="s">
        <v>991</v>
      </c>
      <c r="C55" s="100">
        <f>COUNTIFS('reductions data'!A:A,B5,'reductions data'!G:G,'divisional &amp; regional overview'!B55)</f>
        <v>0</v>
      </c>
      <c r="D55" s="99">
        <f>SUMIFS('reductions data'!H:H,'reductions data'!A:A,B5,'reductions data'!G:G,'divisional &amp; regional overview'!B55)</f>
        <v>0</v>
      </c>
      <c r="E55" s="101"/>
      <c r="F55" s="101"/>
      <c r="G55" s="73"/>
    </row>
    <row r="56" spans="2:7" x14ac:dyDescent="0.15">
      <c r="B56" s="123" t="s">
        <v>966</v>
      </c>
      <c r="C56" s="100">
        <f>COUNTIFS('reductions data'!A:A,B5,'reductions data'!G:G,'divisional &amp; regional overview'!B56)</f>
        <v>0</v>
      </c>
      <c r="D56" s="99">
        <f>SUMIFS('reductions data'!H:H,'reductions data'!A:A,B5,'reductions data'!G:G,'divisional &amp; regional overview'!B56)</f>
        <v>0</v>
      </c>
      <c r="E56" s="101"/>
      <c r="F56" s="101"/>
      <c r="G56" s="73"/>
    </row>
    <row r="57" spans="2:7" ht="28" x14ac:dyDescent="0.15">
      <c r="B57" s="209" t="s">
        <v>1054</v>
      </c>
      <c r="C57" s="100">
        <f>COUNTIFS('reductions data'!A:A,B5,'reductions data'!G:G,'divisional &amp; regional overview'!B57)</f>
        <v>0</v>
      </c>
      <c r="D57" s="99">
        <f>SUMIFS('reductions data'!H:H,'reductions data'!A:A,B5,'reductions data'!G:G,'divisional &amp; regional overview'!B57)</f>
        <v>0</v>
      </c>
      <c r="E57" s="101"/>
      <c r="F57" s="101"/>
      <c r="G57" s="73"/>
    </row>
    <row r="58" spans="2:7" x14ac:dyDescent="0.15">
      <c r="B58" s="123" t="s">
        <v>972</v>
      </c>
      <c r="C58" s="100">
        <f>COUNTIFS('reductions data'!A:A,B5,'reductions data'!G:G,'divisional &amp; regional overview'!B58)</f>
        <v>0</v>
      </c>
      <c r="D58" s="99">
        <f>SUMIFS('reductions data'!H:H,'reductions data'!A:A,B5,'reductions data'!G:G,'divisional &amp; regional overview'!B58)</f>
        <v>0</v>
      </c>
      <c r="E58" s="101"/>
      <c r="F58" s="101"/>
      <c r="G58" s="73"/>
    </row>
    <row r="59" spans="2:7" x14ac:dyDescent="0.15">
      <c r="B59" s="123" t="s">
        <v>952</v>
      </c>
      <c r="C59" s="100">
        <f>COUNTIFS('reductions data'!A:A,B5,'reductions data'!G:G,'divisional &amp; regional overview'!B59)</f>
        <v>0</v>
      </c>
      <c r="D59" s="99">
        <f>SUMIFS('reductions data'!H:H,'reductions data'!A:A,B5,'reductions data'!G:G,'divisional &amp; regional overview'!B59)</f>
        <v>0</v>
      </c>
      <c r="E59" s="101"/>
      <c r="F59" s="101"/>
      <c r="G59" s="73"/>
    </row>
    <row r="60" spans="2:7" x14ac:dyDescent="0.15">
      <c r="B60" s="123" t="s">
        <v>953</v>
      </c>
      <c r="C60" s="100">
        <f>COUNTIFS('reductions data'!A:A,B5,'reductions data'!G:G,'divisional &amp; regional overview'!B60)</f>
        <v>0</v>
      </c>
      <c r="D60" s="99">
        <f>SUMIFS('reductions data'!H:H,'reductions data'!A:A,B5,'reductions data'!G:G,'divisional &amp; regional overview'!B60)</f>
        <v>0</v>
      </c>
      <c r="E60" s="101"/>
      <c r="F60" s="101"/>
      <c r="G60" s="73"/>
    </row>
    <row r="61" spans="2:7" x14ac:dyDescent="0.15">
      <c r="B61" s="123" t="s">
        <v>959</v>
      </c>
      <c r="C61" s="100">
        <f>COUNTIFS('reductions data'!A:A,B5,'reductions data'!G:G,'divisional &amp; regional overview'!B61)</f>
        <v>0</v>
      </c>
      <c r="D61" s="99">
        <f>SUMIFS('reductions data'!H:H,'reductions data'!A:A,B5,'reductions data'!G:G,'divisional &amp; regional overview'!B61)</f>
        <v>0</v>
      </c>
      <c r="E61" s="101"/>
      <c r="F61" s="101"/>
      <c r="G61" s="73"/>
    </row>
    <row r="62" spans="2:7" x14ac:dyDescent="0.15">
      <c r="B62" s="123" t="s">
        <v>955</v>
      </c>
      <c r="C62" s="100">
        <f>COUNTIFS('reductions data'!A:A,B5,'reductions data'!G:G,'divisional &amp; regional overview'!B62)</f>
        <v>0</v>
      </c>
      <c r="D62" s="99">
        <f>SUMIFS('reductions data'!H:H,'reductions data'!A:A,B5,'reductions data'!G:G,'divisional &amp; regional overview'!B62)</f>
        <v>0</v>
      </c>
      <c r="E62" s="101"/>
      <c r="F62" s="101"/>
      <c r="G62" s="73"/>
    </row>
    <row r="63" spans="2:7" x14ac:dyDescent="0.15">
      <c r="B63" s="123" t="s">
        <v>956</v>
      </c>
      <c r="C63" s="100">
        <f>COUNTIFS('reductions data'!A:A,B5,'reductions data'!G:G,'divisional &amp; regional overview'!B63)</f>
        <v>0</v>
      </c>
      <c r="D63" s="99">
        <f>SUMIFS('reductions data'!H:H,'reductions data'!A:A,B5,'reductions data'!G:G,'divisional &amp; regional overview'!B63)</f>
        <v>0</v>
      </c>
      <c r="E63" s="101"/>
      <c r="F63" s="101"/>
      <c r="G63" s="73"/>
    </row>
    <row r="64" spans="2:7" x14ac:dyDescent="0.15">
      <c r="B64" s="123" t="s">
        <v>948</v>
      </c>
      <c r="C64" s="100">
        <f>COUNTIFS('reductions data'!A:A,B5,'reductions data'!G:G,'divisional &amp; regional overview'!B64)</f>
        <v>0</v>
      </c>
      <c r="D64" s="99">
        <f>SUMIFS('reductions data'!H:H,'reductions data'!A:A,B5,'reductions data'!G:G,'divisional &amp; regional overview'!B64)</f>
        <v>0</v>
      </c>
      <c r="E64" s="101"/>
      <c r="F64" s="101"/>
      <c r="G64" s="73"/>
    </row>
    <row r="65" spans="1:19" x14ac:dyDescent="0.15">
      <c r="B65" s="123" t="s">
        <v>954</v>
      </c>
      <c r="C65" s="100">
        <f>COUNTIFS('reductions data'!A:A,B5,'reductions data'!G:G,'divisional &amp; regional overview'!B65)</f>
        <v>0</v>
      </c>
      <c r="D65" s="99">
        <f>SUMIFS('reductions data'!H:H,'reductions data'!A:A,B5,'reductions data'!G:G,'divisional &amp; regional overview'!B65)</f>
        <v>0</v>
      </c>
      <c r="E65" s="101"/>
      <c r="F65" s="101"/>
      <c r="G65" s="73"/>
    </row>
    <row r="66" spans="1:19" x14ac:dyDescent="0.15">
      <c r="B66" s="123" t="s">
        <v>973</v>
      </c>
      <c r="C66" s="100">
        <f>COUNTIFS('reductions data'!A:A,B5,'reductions data'!G:G,'divisional &amp; regional overview'!B66)</f>
        <v>0</v>
      </c>
      <c r="D66" s="99">
        <f>SUMIFS('reductions data'!H:H,'reductions data'!A:A,B5,'reductions data'!G:G,'divisional &amp; regional overview'!B66)</f>
        <v>0</v>
      </c>
      <c r="E66" s="101"/>
      <c r="F66" s="101"/>
      <c r="G66" s="73"/>
    </row>
    <row r="67" spans="1:19" x14ac:dyDescent="0.15">
      <c r="B67" s="123" t="s">
        <v>965</v>
      </c>
      <c r="C67" s="100">
        <f>COUNTIFS('reductions data'!A:A,B5,'reductions data'!G:G,'divisional &amp; regional overview'!B67)</f>
        <v>0</v>
      </c>
      <c r="D67" s="99">
        <f>SUMIFS('reductions data'!H:H,'reductions data'!A:A,B5,'reductions data'!G:G,'divisional &amp; regional overview'!B67)</f>
        <v>0</v>
      </c>
      <c r="E67" s="101"/>
      <c r="F67" s="101"/>
      <c r="G67" s="73"/>
    </row>
    <row r="68" spans="1:19" x14ac:dyDescent="0.15">
      <c r="B68" s="123" t="s">
        <v>976</v>
      </c>
      <c r="C68" s="100">
        <f>COUNTIFS('reductions data'!A:A,B5,'reductions data'!G:G,'divisional &amp; regional overview'!B68)</f>
        <v>0</v>
      </c>
      <c r="D68" s="99">
        <f>SUMIFS('reductions data'!H:H,'reductions data'!A:A,B5,'reductions data'!G:G,'divisional &amp; regional overview'!B68)</f>
        <v>0</v>
      </c>
      <c r="E68" s="101"/>
      <c r="F68" s="101"/>
      <c r="G68" s="73"/>
    </row>
    <row r="69" spans="1:19" x14ac:dyDescent="0.15">
      <c r="B69" s="123" t="s">
        <v>977</v>
      </c>
      <c r="C69" s="100">
        <f>COUNTIFS('reductions data'!A:A,B5,'reductions data'!G:G,'divisional &amp; regional overview'!B69)</f>
        <v>0</v>
      </c>
      <c r="D69" s="99">
        <f>SUMIFS('reductions data'!H:H,'reductions data'!A:A,B5,'reductions data'!G:G,'divisional &amp; regional overview'!B69)</f>
        <v>0</v>
      </c>
      <c r="E69" s="101"/>
      <c r="F69" s="101"/>
      <c r="G69" s="73"/>
    </row>
    <row r="70" spans="1:19" x14ac:dyDescent="0.15">
      <c r="B70" s="123" t="s">
        <v>961</v>
      </c>
      <c r="C70" s="100">
        <f>COUNTIFS('reductions data'!A:A,B5,'reductions data'!G:G,'divisional &amp; regional overview'!B70)</f>
        <v>0</v>
      </c>
      <c r="D70" s="99">
        <f>SUMIFS('reductions data'!H:H,'reductions data'!A:A,B5,'reductions data'!G:G,'divisional &amp; regional overview'!B70)</f>
        <v>0</v>
      </c>
      <c r="E70" s="101"/>
      <c r="F70" s="101"/>
      <c r="G70" s="73"/>
    </row>
    <row r="71" spans="1:19" x14ac:dyDescent="0.15">
      <c r="B71" s="123" t="s">
        <v>994</v>
      </c>
      <c r="C71" s="100">
        <f>COUNTIFS('reductions data'!A:A,B5,'reductions data'!G:G,'divisional &amp; regional overview'!B71)</f>
        <v>0</v>
      </c>
      <c r="D71" s="233">
        <f>SUMIFS('reductions data'!H:H,'reductions data'!A:A,B5,'reductions data'!G:G,'divisional &amp; regional overview'!B71)</f>
        <v>0</v>
      </c>
      <c r="E71" s="101"/>
      <c r="F71" s="101"/>
      <c r="G71" s="73"/>
    </row>
    <row r="72" spans="1:19" x14ac:dyDescent="0.15">
      <c r="B72" s="123" t="s">
        <v>946</v>
      </c>
      <c r="C72" s="100">
        <f>COUNTIFS('reductions data'!A:A,B5,'reductions data'!G:G,'divisional &amp; regional overview'!B72)</f>
        <v>0</v>
      </c>
      <c r="D72" s="233">
        <f>SUMIFS('reductions data'!H:H,'reductions data'!A:A,B5,'reductions data'!G:G,'divisional &amp; regional overview'!B72)</f>
        <v>0</v>
      </c>
      <c r="E72" s="101"/>
      <c r="F72" s="101"/>
      <c r="G72" s="73"/>
    </row>
    <row r="73" spans="1:19" x14ac:dyDescent="0.15">
      <c r="B73" s="123" t="s">
        <v>969</v>
      </c>
      <c r="C73" s="100">
        <f>COUNTIFS('reductions data'!A:A,B5,'reductions data'!G:G,'divisional &amp; regional overview'!B73)</f>
        <v>0</v>
      </c>
      <c r="D73" s="233">
        <f>SUMIFS('reductions data'!H:H,'reductions data'!A:A,B5,'reductions data'!G:G,'divisional &amp; regional overview'!B73)</f>
        <v>0</v>
      </c>
      <c r="E73" s="101"/>
      <c r="F73" s="101"/>
      <c r="G73" s="73"/>
    </row>
    <row r="74" spans="1:19" x14ac:dyDescent="0.15">
      <c r="B74" s="123" t="s">
        <v>967</v>
      </c>
      <c r="C74" s="100">
        <f>COUNTIFS('reductions data'!A:A,B5,'reductions data'!G:G,'divisional &amp; regional overview'!B74)</f>
        <v>0</v>
      </c>
      <c r="D74" s="233">
        <f>SUMIFS('reductions data'!H:H,'reductions data'!A:A,B5,'reductions data'!G:G,'divisional &amp; regional overview'!B74)</f>
        <v>0</v>
      </c>
      <c r="E74" s="101"/>
      <c r="F74" s="101"/>
      <c r="G74" s="73"/>
    </row>
    <row r="75" spans="1:19" x14ac:dyDescent="0.15">
      <c r="B75" s="123" t="s">
        <v>971</v>
      </c>
      <c r="C75" s="100">
        <f>COUNTIFS('reductions data'!A:A,B5,'reductions data'!G:G,'divisional &amp; regional overview'!B75)</f>
        <v>0</v>
      </c>
      <c r="D75" s="233">
        <f>SUMIFS('reductions data'!H:H,'reductions data'!A:A,B5,'reductions data'!G:G,'divisional &amp; regional overview'!B75)</f>
        <v>0</v>
      </c>
      <c r="E75" s="101"/>
      <c r="F75" s="101"/>
      <c r="G75" s="73"/>
    </row>
    <row r="76" spans="1:19" x14ac:dyDescent="0.15">
      <c r="A76" s="101"/>
      <c r="B76" s="101"/>
      <c r="C76" s="101"/>
      <c r="D76" s="101"/>
      <c r="E76" s="101"/>
      <c r="F76" s="101"/>
      <c r="G76" s="73"/>
    </row>
    <row r="77" spans="1:19" x14ac:dyDescent="0.15">
      <c r="A77" s="101"/>
      <c r="B77" s="101"/>
      <c r="C77" s="101"/>
      <c r="D77" s="101"/>
      <c r="E77" s="101"/>
      <c r="F77" s="101"/>
      <c r="G77" s="73"/>
    </row>
    <row r="78" spans="1:19" x14ac:dyDescent="0.15">
      <c r="A78" s="101"/>
      <c r="B78" s="101"/>
      <c r="C78" s="101"/>
      <c r="D78" s="101"/>
      <c r="E78" s="101"/>
      <c r="F78" s="101"/>
      <c r="G78" s="73"/>
    </row>
    <row r="79" spans="1:19" ht="16" x14ac:dyDescent="0.2">
      <c r="E79" s="1"/>
      <c r="F79" s="1"/>
    </row>
    <row r="80" spans="1:19" ht="16.5" customHeight="1" x14ac:dyDescent="0.2">
      <c r="B80" s="23"/>
      <c r="C80" s="303" t="s">
        <v>1055</v>
      </c>
      <c r="D80" s="304"/>
      <c r="E80" s="304"/>
      <c r="F80" s="304"/>
      <c r="G80" s="304"/>
      <c r="H80" s="304"/>
      <c r="I80" s="304"/>
      <c r="J80" s="304"/>
      <c r="K80" s="304"/>
      <c r="L80" s="304"/>
      <c r="M80" s="304"/>
      <c r="N80" s="304"/>
      <c r="O80" s="304"/>
      <c r="P80" s="304"/>
      <c r="Q80" s="304"/>
      <c r="R80" s="304"/>
      <c r="S80" s="304"/>
    </row>
    <row r="81" spans="2:37" x14ac:dyDescent="0.15">
      <c r="B81" s="103" t="str">
        <f>B5</f>
        <v>London</v>
      </c>
      <c r="C81" s="41" t="s">
        <v>922</v>
      </c>
      <c r="D81" s="41" t="s">
        <v>923</v>
      </c>
      <c r="E81" s="41" t="s">
        <v>924</v>
      </c>
      <c r="F81" s="41" t="s">
        <v>925</v>
      </c>
      <c r="G81" s="41" t="s">
        <v>926</v>
      </c>
      <c r="H81" s="41" t="s">
        <v>927</v>
      </c>
      <c r="I81" s="41" t="s">
        <v>928</v>
      </c>
      <c r="J81" s="41" t="s">
        <v>929</v>
      </c>
      <c r="K81" s="41" t="s">
        <v>930</v>
      </c>
      <c r="L81" s="41" t="s">
        <v>931</v>
      </c>
      <c r="M81" s="41" t="s">
        <v>932</v>
      </c>
      <c r="N81" s="41" t="s">
        <v>933</v>
      </c>
      <c r="O81" s="41" t="s">
        <v>934</v>
      </c>
      <c r="P81" s="41" t="s">
        <v>935</v>
      </c>
      <c r="Q81" s="41" t="s">
        <v>936</v>
      </c>
      <c r="R81" s="41" t="s">
        <v>937</v>
      </c>
      <c r="S81" s="41" t="s">
        <v>939</v>
      </c>
    </row>
    <row r="82" spans="2:37" x14ac:dyDescent="0.15">
      <c r="B82" s="84" t="s">
        <v>1056</v>
      </c>
      <c r="C82" s="104">
        <f>SUMIFS('caseload data'!E:E,'caseload data'!$B:$B,"custody",'caseload data'!$A:$A,$B$81)</f>
        <v>0</v>
      </c>
      <c r="D82" s="104">
        <f>SUMIFS('caseload data'!F:F,'caseload data'!$B:$B,"custody",'caseload data'!$A:$A,$B$81)</f>
        <v>0</v>
      </c>
      <c r="E82" s="104">
        <f>SUMIFS('caseload data'!G:G,'caseload data'!$B:$B,"custody",'caseload data'!$A:$A,$B$81)</f>
        <v>0</v>
      </c>
      <c r="F82" s="104">
        <f>SUMIFS('caseload data'!H:H,'caseload data'!$B:$B,"custody",'caseload data'!$A:$A,$B$81)</f>
        <v>0</v>
      </c>
      <c r="G82" s="104">
        <f>SUMIFS('caseload data'!I:I,'caseload data'!$B:$B,"custody",'caseload data'!$A:$A,$B$81)</f>
        <v>0</v>
      </c>
      <c r="H82" s="104">
        <f>SUMIFS('caseload data'!J:J,'caseload data'!$B:$B,"custody",'caseload data'!$A:$A,$B$81)</f>
        <v>0</v>
      </c>
      <c r="I82" s="104">
        <f>SUMIFS('caseload data'!K:K,'caseload data'!$B:$B,"custody",'caseload data'!$A:$A,$B$81)</f>
        <v>0</v>
      </c>
      <c r="J82" s="104">
        <f>SUMIFS('caseload data'!L:L,'caseload data'!$B:$B,"custody",'caseload data'!$A:$A,$B$81)</f>
        <v>0</v>
      </c>
      <c r="K82" s="104">
        <f>SUMIFS('caseload data'!M:M,'caseload data'!$B:$B,"custody",'caseload data'!$A:$A,$B$81)</f>
        <v>0</v>
      </c>
      <c r="L82" s="104">
        <f>SUMIFS('caseload data'!N:N,'caseload data'!$B:$B,"custody",'caseload data'!$A:$A,$B$81)</f>
        <v>0</v>
      </c>
      <c r="M82" s="104">
        <f>SUMIFS('caseload data'!O:O,'caseload data'!$B:$B,"custody",'caseload data'!$A:$A,$B$81)</f>
        <v>0</v>
      </c>
      <c r="N82" s="104">
        <f>SUMIFS('caseload data'!P:P,'caseload data'!$B:$B,"custody",'caseload data'!$A:$A,$B$81)</f>
        <v>0</v>
      </c>
      <c r="O82" s="104">
        <f>SUMIFS('caseload data'!Q:Q,'caseload data'!$B:$B,"custody",'caseload data'!$A:$A,$B$81)</f>
        <v>0</v>
      </c>
      <c r="P82" s="104">
        <f>SUMIFS('caseload data'!R:R,'caseload data'!$B:$B,"custody",'caseload data'!$A:$A,$B$81)</f>
        <v>0</v>
      </c>
      <c r="Q82" s="104">
        <f>SUMIFS('caseload data'!S:S,'caseload data'!$B:$B,"custody",'caseload data'!$A:$A,$B$81)</f>
        <v>0</v>
      </c>
      <c r="R82" s="104">
        <f>SUMIFS('caseload data'!T:T,'caseload data'!$B:$B,"custody",'caseload data'!$A:$A,$B$81)</f>
        <v>0</v>
      </c>
      <c r="S82" s="104">
        <f>SUMIFS('caseload data'!V:V,'caseload data'!A:A,B81,'caseload data'!B:B,"custody")</f>
        <v>0</v>
      </c>
    </row>
    <row r="83" spans="2:37" x14ac:dyDescent="0.15">
      <c r="B83" s="84" t="s">
        <v>1057</v>
      </c>
      <c r="C83" s="84">
        <f>SUMIFS('caseload data'!E:E,'caseload data'!$B:$B,"licence",'caseload data'!$A:$A,$B$81)</f>
        <v>0</v>
      </c>
      <c r="D83" s="84">
        <f>SUMIFS('caseload data'!F:F,'caseload data'!$B:$B,"licence",'caseload data'!$A:$A,$B$81)</f>
        <v>0</v>
      </c>
      <c r="E83" s="84">
        <f>SUMIFS('caseload data'!G:G,'caseload data'!$B:$B,"licence",'caseload data'!$A:$A,$B$81)</f>
        <v>0</v>
      </c>
      <c r="F83" s="84">
        <f>SUMIFS('caseload data'!H:H,'caseload data'!$B:$B,"licence",'caseload data'!$A:$A,$B$81)</f>
        <v>0</v>
      </c>
      <c r="G83" s="84">
        <f>SUMIFS('caseload data'!I:I,'caseload data'!$B:$B,"licence",'caseload data'!$A:$A,$B$81)</f>
        <v>0</v>
      </c>
      <c r="H83" s="84">
        <f>SUMIFS('caseload data'!J:J,'caseload data'!$B:$B,"licence",'caseload data'!$A:$A,$B$81)</f>
        <v>0</v>
      </c>
      <c r="I83" s="84">
        <f>SUMIFS('caseload data'!K:K,'caseload data'!$B:$B,"licence",'caseload data'!$A:$A,$B$81)</f>
        <v>0</v>
      </c>
      <c r="J83" s="84">
        <f>SUMIFS('caseload data'!L:L,'caseload data'!$B:$B,"licence",'caseload data'!$A:$A,$B$81)</f>
        <v>0</v>
      </c>
      <c r="K83" s="84">
        <f>SUMIFS('caseload data'!M:M,'caseload data'!$B:$B,"licence",'caseload data'!$A:$A,$B$81)</f>
        <v>0</v>
      </c>
      <c r="L83" s="84">
        <f>SUMIFS('caseload data'!N:N,'caseload data'!$B:$B,"licence",'caseload data'!$A:$A,$B$81)</f>
        <v>0</v>
      </c>
      <c r="M83" s="84">
        <f>SUMIFS('caseload data'!O:O,'caseload data'!$B:$B,"licence",'caseload data'!$A:$A,$B$81)</f>
        <v>0</v>
      </c>
      <c r="N83" s="84">
        <f>SUMIFS('caseload data'!P:P,'caseload data'!$B:$B,"licence",'caseload data'!$A:$A,$B$81)</f>
        <v>0</v>
      </c>
      <c r="O83" s="84">
        <f>SUMIFS('caseload data'!Q:Q,'caseload data'!$B:$B,"licence",'caseload data'!$A:$A,$B$81)</f>
        <v>0</v>
      </c>
      <c r="P83" s="84">
        <f>SUMIFS('caseload data'!R:R,'caseload data'!$B:$B,"licence",'caseload data'!$A:$A,$B$81)</f>
        <v>0</v>
      </c>
      <c r="Q83" s="84">
        <f>SUMIFS('caseload data'!S:S,'caseload data'!$B:$B,"licence",'caseload data'!$A:$A,$B$81)</f>
        <v>0</v>
      </c>
      <c r="R83" s="84">
        <f>SUMIFS('caseload data'!T:T,'caseload data'!$B:$B,"licence",'caseload data'!$A:$A,$B$81)</f>
        <v>0</v>
      </c>
      <c r="S83" s="84">
        <f>SUMIFS('caseload data'!V:V,'caseload data'!A:A,B81,'caseload data'!B:B,"licence")</f>
        <v>0</v>
      </c>
    </row>
    <row r="84" spans="2:37" x14ac:dyDescent="0.15">
      <c r="B84" s="84" t="s">
        <v>1058</v>
      </c>
      <c r="C84" s="84">
        <f>SUMIFS('caseload data'!E:E,'caseload data'!$B:$B,"community",'caseload data'!$A:$A,$B$81)</f>
        <v>0</v>
      </c>
      <c r="D84" s="84">
        <f>SUMIFS('caseload data'!F:F,'caseload data'!$B:$B,"community",'caseload data'!$A:$A,$B$81)</f>
        <v>0</v>
      </c>
      <c r="E84" s="84">
        <f>SUMIFS('caseload data'!G:G,'caseload data'!$B:$B,"community",'caseload data'!$A:$A,$B$81)</f>
        <v>0</v>
      </c>
      <c r="F84" s="84">
        <f>SUMIFS('caseload data'!H:H,'caseload data'!$B:$B,"community",'caseload data'!$A:$A,$B$81)</f>
        <v>0</v>
      </c>
      <c r="G84" s="84">
        <f>SUMIFS('caseload data'!I:I,'caseload data'!$B:$B,"community",'caseload data'!$A:$A,$B$81)</f>
        <v>0</v>
      </c>
      <c r="H84" s="84">
        <f>SUMIFS('caseload data'!J:J,'caseload data'!$B:$B,"community",'caseload data'!$A:$A,$B$81)</f>
        <v>0</v>
      </c>
      <c r="I84" s="84">
        <f>SUMIFS('caseload data'!K:K,'caseload data'!$B:$B,"community",'caseload data'!$A:$A,$B$81)</f>
        <v>0</v>
      </c>
      <c r="J84" s="84">
        <f>SUMIFS('caseload data'!L:L,'caseload data'!$B:$B,"community",'caseload data'!$A:$A,$B$81)</f>
        <v>0</v>
      </c>
      <c r="K84" s="84">
        <f>SUMIFS('caseload data'!M:M,'caseload data'!$B:$B,"community",'caseload data'!$A:$A,$B$81)</f>
        <v>0</v>
      </c>
      <c r="L84" s="84">
        <f>SUMIFS('caseload data'!N:N,'caseload data'!$B:$B,"community",'caseload data'!$A:$A,$B$81)</f>
        <v>0</v>
      </c>
      <c r="M84" s="84">
        <f>SUMIFS('caseload data'!O:O,'caseload data'!$B:$B,"community",'caseload data'!$A:$A,$B$81)</f>
        <v>0</v>
      </c>
      <c r="N84" s="84">
        <f>SUMIFS('caseload data'!P:P,'caseload data'!$B:$B,"community",'caseload data'!$A:$A,$B$81)</f>
        <v>0</v>
      </c>
      <c r="O84" s="84">
        <f>SUMIFS('caseload data'!Q:Q,'caseload data'!$B:$B,"community",'caseload data'!$A:$A,$B$81)</f>
        <v>0</v>
      </c>
      <c r="P84" s="84">
        <f>SUMIFS('caseload data'!R:R,'caseload data'!$B:$B,"community",'caseload data'!$A:$A,$B$81)</f>
        <v>0</v>
      </c>
      <c r="Q84" s="84">
        <f>SUMIFS('caseload data'!S:S,'caseload data'!$B:$B,"community",'caseload data'!$A:$A,$B$81)</f>
        <v>0</v>
      </c>
      <c r="R84" s="84">
        <f>SUMIFS('caseload data'!T:T,'caseload data'!$B:$B,"community",'caseload data'!$A:$A,$B$81)</f>
        <v>0</v>
      </c>
      <c r="S84" s="84">
        <f>SUMIFS('caseload data'!V:V,'caseload data'!A:A,B81,'caseload data'!B:B,"community")</f>
        <v>0</v>
      </c>
    </row>
    <row r="85" spans="2:37" x14ac:dyDescent="0.15">
      <c r="B85" s="120" t="s">
        <v>939</v>
      </c>
      <c r="C85" s="120">
        <f>SUMIF('caseload data'!$A:$A,$B$81,'caseload data'!E:E)</f>
        <v>0</v>
      </c>
      <c r="D85" s="120">
        <f>SUMIF('caseload data'!$A:$A,$B$81,'caseload data'!F:F)</f>
        <v>0</v>
      </c>
      <c r="E85" s="120">
        <f>SUMIF('caseload data'!$A:$A,$B$81,'caseload data'!G:G)</f>
        <v>0</v>
      </c>
      <c r="F85" s="120">
        <f>SUMIF('caseload data'!$A:$A,$B$81,'caseload data'!H:H)</f>
        <v>0</v>
      </c>
      <c r="G85" s="120">
        <f>SUMIF('caseload data'!$A:$A,$B$81,'caseload data'!I:I)</f>
        <v>0</v>
      </c>
      <c r="H85" s="120">
        <f>SUMIF('caseload data'!$A:$A,$B$81,'caseload data'!J:J)</f>
        <v>0</v>
      </c>
      <c r="I85" s="120">
        <f>SUMIF('caseload data'!$A:$A,$B$81,'caseload data'!K:K)</f>
        <v>0</v>
      </c>
      <c r="J85" s="120">
        <f>SUMIF('caseload data'!$A:$A,$B$81,'caseload data'!L:L)</f>
        <v>0</v>
      </c>
      <c r="K85" s="120">
        <f>SUMIF('caseload data'!$A:$A,$B$81,'caseload data'!M:M)</f>
        <v>0</v>
      </c>
      <c r="L85" s="120">
        <f>SUMIF('caseload data'!$A:$A,$B$81,'caseload data'!N:N)</f>
        <v>0</v>
      </c>
      <c r="M85" s="120">
        <f>SUMIF('caseload data'!$A:$A,$B$81,'caseload data'!O:O)</f>
        <v>0</v>
      </c>
      <c r="N85" s="120">
        <f>SUMIF('caseload data'!$A:$A,$B$81,'caseload data'!P:P)</f>
        <v>0</v>
      </c>
      <c r="O85" s="120">
        <f>SUMIF('caseload data'!$A:$A,$B$81,'caseload data'!Q:Q)</f>
        <v>0</v>
      </c>
      <c r="P85" s="120">
        <f>SUMIF('caseload data'!$A:$A,$B$81,'caseload data'!R:R)</f>
        <v>0</v>
      </c>
      <c r="Q85" s="120">
        <f>SUMIF('caseload data'!$A:$A,$B$81,'caseload data'!S:S)</f>
        <v>0</v>
      </c>
      <c r="R85" s="120">
        <f>SUMIF('caseload data'!$A:$A,$B$81,'caseload data'!T:T)</f>
        <v>0</v>
      </c>
      <c r="S85" s="120">
        <f>SUMIF('caseload data'!A:A,B81,'caseload data'!V:V)</f>
        <v>0</v>
      </c>
    </row>
    <row r="86" spans="2:37" x14ac:dyDescent="0.15">
      <c r="B86" s="23"/>
      <c r="C86" s="23"/>
      <c r="D86" s="23"/>
      <c r="E86" s="23"/>
      <c r="F86" s="23"/>
      <c r="G86" s="23"/>
      <c r="H86" s="23"/>
      <c r="I86" s="23"/>
      <c r="J86" s="23"/>
    </row>
    <row r="87" spans="2:37" ht="16" x14ac:dyDescent="0.2">
      <c r="B87" s="23"/>
      <c r="C87" s="303" t="s">
        <v>1059</v>
      </c>
      <c r="D87" s="304"/>
      <c r="E87" s="304"/>
      <c r="F87" s="304"/>
      <c r="G87" s="304"/>
      <c r="H87" s="304"/>
      <c r="I87" s="304"/>
      <c r="J87" s="304"/>
      <c r="K87" s="304"/>
      <c r="L87" s="304"/>
      <c r="M87" s="304"/>
      <c r="N87" s="304"/>
      <c r="O87" s="304"/>
      <c r="P87" s="304"/>
      <c r="Q87" s="304"/>
      <c r="R87" s="304"/>
    </row>
    <row r="88" spans="2:37" x14ac:dyDescent="0.15">
      <c r="B88" s="103" t="str">
        <f>B5</f>
        <v>London</v>
      </c>
      <c r="C88" s="41" t="s">
        <v>922</v>
      </c>
      <c r="D88" s="41" t="s">
        <v>923</v>
      </c>
      <c r="E88" s="41" t="s">
        <v>924</v>
      </c>
      <c r="F88" s="41" t="s">
        <v>925</v>
      </c>
      <c r="G88" s="41" t="s">
        <v>926</v>
      </c>
      <c r="H88" s="41" t="s">
        <v>927</v>
      </c>
      <c r="I88" s="41" t="s">
        <v>928</v>
      </c>
      <c r="J88" s="41" t="s">
        <v>929</v>
      </c>
      <c r="K88" s="41" t="s">
        <v>930</v>
      </c>
      <c r="L88" s="41" t="s">
        <v>931</v>
      </c>
      <c r="M88" s="41" t="s">
        <v>932</v>
      </c>
      <c r="N88" s="41" t="s">
        <v>933</v>
      </c>
      <c r="O88" s="41" t="s">
        <v>934</v>
      </c>
      <c r="P88" s="41" t="s">
        <v>935</v>
      </c>
      <c r="Q88" s="41" t="s">
        <v>936</v>
      </c>
      <c r="R88" s="41" t="s">
        <v>937</v>
      </c>
    </row>
    <row r="89" spans="2:37" x14ac:dyDescent="0.15">
      <c r="B89" s="84" t="s">
        <v>1056</v>
      </c>
      <c r="C89" s="75" t="e">
        <f t="shared" ref="C89:R89" si="0">C82/$S$82</f>
        <v>#DIV/0!</v>
      </c>
      <c r="D89" s="75" t="e">
        <f t="shared" si="0"/>
        <v>#DIV/0!</v>
      </c>
      <c r="E89" s="75" t="e">
        <f t="shared" si="0"/>
        <v>#DIV/0!</v>
      </c>
      <c r="F89" s="75" t="e">
        <f t="shared" si="0"/>
        <v>#DIV/0!</v>
      </c>
      <c r="G89" s="75" t="e">
        <f t="shared" si="0"/>
        <v>#DIV/0!</v>
      </c>
      <c r="H89" s="75" t="e">
        <f t="shared" si="0"/>
        <v>#DIV/0!</v>
      </c>
      <c r="I89" s="75" t="e">
        <f t="shared" si="0"/>
        <v>#DIV/0!</v>
      </c>
      <c r="J89" s="75" t="e">
        <f t="shared" si="0"/>
        <v>#DIV/0!</v>
      </c>
      <c r="K89" s="75" t="e">
        <f t="shared" si="0"/>
        <v>#DIV/0!</v>
      </c>
      <c r="L89" s="75" t="e">
        <f t="shared" si="0"/>
        <v>#DIV/0!</v>
      </c>
      <c r="M89" s="75" t="e">
        <f t="shared" si="0"/>
        <v>#DIV/0!</v>
      </c>
      <c r="N89" s="75" t="e">
        <f t="shared" si="0"/>
        <v>#DIV/0!</v>
      </c>
      <c r="O89" s="75" t="e">
        <f t="shared" si="0"/>
        <v>#DIV/0!</v>
      </c>
      <c r="P89" s="75" t="e">
        <f t="shared" si="0"/>
        <v>#DIV/0!</v>
      </c>
      <c r="Q89" s="75" t="e">
        <f t="shared" si="0"/>
        <v>#DIV/0!</v>
      </c>
      <c r="R89" s="75" t="e">
        <f t="shared" si="0"/>
        <v>#DIV/0!</v>
      </c>
    </row>
    <row r="90" spans="2:37" x14ac:dyDescent="0.15">
      <c r="B90" s="84" t="s">
        <v>1057</v>
      </c>
      <c r="C90" s="75" t="e">
        <f t="shared" ref="C90:R90" si="1">C83/$S$83</f>
        <v>#DIV/0!</v>
      </c>
      <c r="D90" s="75" t="e">
        <f t="shared" si="1"/>
        <v>#DIV/0!</v>
      </c>
      <c r="E90" s="75" t="e">
        <f t="shared" si="1"/>
        <v>#DIV/0!</v>
      </c>
      <c r="F90" s="75" t="e">
        <f t="shared" si="1"/>
        <v>#DIV/0!</v>
      </c>
      <c r="G90" s="75" t="e">
        <f t="shared" si="1"/>
        <v>#DIV/0!</v>
      </c>
      <c r="H90" s="75" t="e">
        <f t="shared" si="1"/>
        <v>#DIV/0!</v>
      </c>
      <c r="I90" s="75" t="e">
        <f t="shared" si="1"/>
        <v>#DIV/0!</v>
      </c>
      <c r="J90" s="75" t="e">
        <f t="shared" si="1"/>
        <v>#DIV/0!</v>
      </c>
      <c r="K90" s="75" t="e">
        <f t="shared" si="1"/>
        <v>#DIV/0!</v>
      </c>
      <c r="L90" s="75" t="e">
        <f t="shared" si="1"/>
        <v>#DIV/0!</v>
      </c>
      <c r="M90" s="75" t="e">
        <f t="shared" si="1"/>
        <v>#DIV/0!</v>
      </c>
      <c r="N90" s="75" t="e">
        <f t="shared" si="1"/>
        <v>#DIV/0!</v>
      </c>
      <c r="O90" s="75" t="e">
        <f t="shared" si="1"/>
        <v>#DIV/0!</v>
      </c>
      <c r="P90" s="75" t="e">
        <f t="shared" si="1"/>
        <v>#DIV/0!</v>
      </c>
      <c r="Q90" s="75" t="e">
        <f t="shared" si="1"/>
        <v>#DIV/0!</v>
      </c>
      <c r="R90" s="75" t="e">
        <f t="shared" si="1"/>
        <v>#DIV/0!</v>
      </c>
    </row>
    <row r="91" spans="2:37" x14ac:dyDescent="0.15">
      <c r="B91" s="84" t="s">
        <v>1058</v>
      </c>
      <c r="C91" s="75" t="e">
        <f t="shared" ref="C91:R91" si="2">C84/$S$84</f>
        <v>#DIV/0!</v>
      </c>
      <c r="D91" s="75" t="e">
        <f t="shared" si="2"/>
        <v>#DIV/0!</v>
      </c>
      <c r="E91" s="75" t="e">
        <f t="shared" si="2"/>
        <v>#DIV/0!</v>
      </c>
      <c r="F91" s="75" t="e">
        <f t="shared" si="2"/>
        <v>#DIV/0!</v>
      </c>
      <c r="G91" s="75" t="e">
        <f t="shared" si="2"/>
        <v>#DIV/0!</v>
      </c>
      <c r="H91" s="75" t="e">
        <f t="shared" si="2"/>
        <v>#DIV/0!</v>
      </c>
      <c r="I91" s="75" t="e">
        <f t="shared" si="2"/>
        <v>#DIV/0!</v>
      </c>
      <c r="J91" s="75" t="e">
        <f t="shared" si="2"/>
        <v>#DIV/0!</v>
      </c>
      <c r="K91" s="75" t="e">
        <f t="shared" si="2"/>
        <v>#DIV/0!</v>
      </c>
      <c r="L91" s="75" t="e">
        <f t="shared" si="2"/>
        <v>#DIV/0!</v>
      </c>
      <c r="M91" s="75" t="e">
        <f t="shared" si="2"/>
        <v>#DIV/0!</v>
      </c>
      <c r="N91" s="75" t="e">
        <f t="shared" si="2"/>
        <v>#DIV/0!</v>
      </c>
      <c r="O91" s="75" t="e">
        <f t="shared" si="2"/>
        <v>#DIV/0!</v>
      </c>
      <c r="P91" s="75" t="e">
        <f t="shared" si="2"/>
        <v>#DIV/0!</v>
      </c>
      <c r="Q91" s="75" t="e">
        <f t="shared" si="2"/>
        <v>#DIV/0!</v>
      </c>
      <c r="R91" s="75" t="e">
        <f t="shared" si="2"/>
        <v>#DIV/0!</v>
      </c>
    </row>
    <row r="92" spans="2:37" x14ac:dyDescent="0.15">
      <c r="B92" s="125" t="s">
        <v>939</v>
      </c>
      <c r="C92" s="109" t="e">
        <f>C85/$S$85</f>
        <v>#DIV/0!</v>
      </c>
      <c r="D92" s="109" t="e">
        <f t="shared" ref="D92:R92" si="3">D85/$S$85</f>
        <v>#DIV/0!</v>
      </c>
      <c r="E92" s="109" t="e">
        <f t="shared" si="3"/>
        <v>#DIV/0!</v>
      </c>
      <c r="F92" s="109" t="e">
        <f t="shared" si="3"/>
        <v>#DIV/0!</v>
      </c>
      <c r="G92" s="109" t="e">
        <f t="shared" si="3"/>
        <v>#DIV/0!</v>
      </c>
      <c r="H92" s="109" t="e">
        <f t="shared" si="3"/>
        <v>#DIV/0!</v>
      </c>
      <c r="I92" s="109" t="e">
        <f t="shared" si="3"/>
        <v>#DIV/0!</v>
      </c>
      <c r="J92" s="109" t="e">
        <f t="shared" si="3"/>
        <v>#DIV/0!</v>
      </c>
      <c r="K92" s="109" t="e">
        <f t="shared" si="3"/>
        <v>#DIV/0!</v>
      </c>
      <c r="L92" s="109" t="e">
        <f t="shared" si="3"/>
        <v>#DIV/0!</v>
      </c>
      <c r="M92" s="109" t="e">
        <f t="shared" si="3"/>
        <v>#DIV/0!</v>
      </c>
      <c r="N92" s="109" t="e">
        <f t="shared" si="3"/>
        <v>#DIV/0!</v>
      </c>
      <c r="O92" s="109" t="e">
        <f t="shared" si="3"/>
        <v>#DIV/0!</v>
      </c>
      <c r="P92" s="109" t="e">
        <f t="shared" si="3"/>
        <v>#DIV/0!</v>
      </c>
      <c r="Q92" s="109" t="e">
        <f t="shared" si="3"/>
        <v>#DIV/0!</v>
      </c>
      <c r="R92" s="109" t="e">
        <f t="shared" si="3"/>
        <v>#DIV/0!</v>
      </c>
    </row>
    <row r="93" spans="2:37" x14ac:dyDescent="0.15">
      <c r="U93" s="244" t="s">
        <v>1060</v>
      </c>
      <c r="V93" s="245"/>
      <c r="W93" s="245"/>
      <c r="X93" s="245"/>
      <c r="Y93" s="245"/>
      <c r="Z93" s="245"/>
      <c r="AA93" s="245"/>
      <c r="AB93" s="245"/>
      <c r="AC93" s="245"/>
      <c r="AD93" s="245"/>
      <c r="AE93" s="245"/>
      <c r="AF93" s="245"/>
      <c r="AG93" s="245"/>
      <c r="AH93" s="245"/>
      <c r="AI93" s="245"/>
      <c r="AJ93" s="245"/>
      <c r="AK93" s="245"/>
    </row>
    <row r="94" spans="2:37" x14ac:dyDescent="0.15">
      <c r="U94" s="42" t="s">
        <v>1061</v>
      </c>
      <c r="V94" s="41" t="s">
        <v>922</v>
      </c>
      <c r="W94" s="41" t="s">
        <v>923</v>
      </c>
      <c r="X94" s="41" t="s">
        <v>924</v>
      </c>
      <c r="Y94" s="41" t="s">
        <v>925</v>
      </c>
      <c r="Z94" s="41" t="s">
        <v>926</v>
      </c>
      <c r="AA94" s="41" t="s">
        <v>927</v>
      </c>
      <c r="AB94" s="41" t="s">
        <v>928</v>
      </c>
      <c r="AC94" s="41" t="s">
        <v>929</v>
      </c>
      <c r="AD94" s="41" t="s">
        <v>930</v>
      </c>
      <c r="AE94" s="41" t="s">
        <v>931</v>
      </c>
      <c r="AF94" s="41" t="s">
        <v>932</v>
      </c>
      <c r="AG94" s="41" t="s">
        <v>933</v>
      </c>
      <c r="AH94" s="41" t="s">
        <v>934</v>
      </c>
      <c r="AI94" s="41" t="s">
        <v>935</v>
      </c>
      <c r="AJ94" s="41" t="s">
        <v>936</v>
      </c>
      <c r="AK94" s="41" t="s">
        <v>937</v>
      </c>
    </row>
    <row r="95" spans="2:37" x14ac:dyDescent="0.15">
      <c r="B95" s="23"/>
      <c r="C95" s="64"/>
      <c r="D95" s="64"/>
      <c r="E95" s="64"/>
      <c r="F95" s="64"/>
      <c r="G95" s="64"/>
      <c r="H95" s="64"/>
      <c r="I95" s="64"/>
      <c r="J95" s="23"/>
      <c r="U95" s="34" t="s">
        <v>911</v>
      </c>
      <c r="V95" s="18">
        <v>1</v>
      </c>
      <c r="W95" s="18">
        <v>1</v>
      </c>
      <c r="X95" s="18">
        <v>1</v>
      </c>
      <c r="Y95" s="18">
        <v>0.75</v>
      </c>
      <c r="Z95" s="18">
        <v>0.1</v>
      </c>
      <c r="AA95" s="18">
        <v>0</v>
      </c>
      <c r="AB95" s="18">
        <v>0</v>
      </c>
    </row>
    <row r="96" spans="2:37" x14ac:dyDescent="0.15">
      <c r="B96" s="23"/>
      <c r="C96" s="23"/>
      <c r="D96" s="23"/>
      <c r="E96" s="23"/>
      <c r="F96" s="23"/>
      <c r="G96" s="23"/>
      <c r="H96" s="23"/>
      <c r="I96" s="23"/>
      <c r="J96" s="23"/>
      <c r="U96" s="47" t="s">
        <v>1062</v>
      </c>
      <c r="V96" s="18">
        <v>0</v>
      </c>
      <c r="W96" s="18">
        <v>0</v>
      </c>
      <c r="X96" s="18">
        <v>0</v>
      </c>
      <c r="Y96" s="18">
        <v>0.25</v>
      </c>
      <c r="Z96" s="18">
        <v>0.9</v>
      </c>
      <c r="AA96" s="18">
        <v>1</v>
      </c>
      <c r="AB96" s="18">
        <v>1</v>
      </c>
    </row>
    <row r="97" spans="2:37" x14ac:dyDescent="0.15">
      <c r="B97" s="23"/>
      <c r="C97" s="23"/>
      <c r="D97" s="23"/>
      <c r="E97" s="23"/>
      <c r="F97" s="23"/>
      <c r="G97" s="23"/>
      <c r="H97" s="23"/>
      <c r="I97" s="23"/>
      <c r="J97" s="23"/>
    </row>
    <row r="98" spans="2:37" x14ac:dyDescent="0.15">
      <c r="B98" s="58" t="str">
        <f>B5</f>
        <v>London</v>
      </c>
      <c r="C98" s="297" t="s">
        <v>1063</v>
      </c>
      <c r="D98" s="298"/>
      <c r="E98" s="298"/>
      <c r="F98" s="298"/>
      <c r="G98" s="298"/>
      <c r="H98" s="298"/>
      <c r="I98" s="298"/>
      <c r="J98" s="298"/>
      <c r="K98" s="298"/>
      <c r="L98" s="298"/>
      <c r="M98" s="298"/>
      <c r="N98" s="298"/>
      <c r="O98" s="298"/>
      <c r="P98" s="298"/>
      <c r="Q98" s="298"/>
      <c r="R98" s="298"/>
      <c r="U98" s="58" t="str">
        <f>B5</f>
        <v>London</v>
      </c>
      <c r="V98" s="297" t="s">
        <v>1064</v>
      </c>
      <c r="W98" s="298"/>
      <c r="X98" s="298"/>
      <c r="Y98" s="298"/>
      <c r="Z98" s="298"/>
      <c r="AA98" s="298"/>
      <c r="AB98" s="298"/>
      <c r="AC98" s="298"/>
      <c r="AD98" s="298"/>
      <c r="AE98" s="298"/>
      <c r="AF98" s="298"/>
      <c r="AG98" s="298"/>
      <c r="AH98" s="298"/>
      <c r="AI98" s="298"/>
      <c r="AJ98" s="298"/>
      <c r="AK98" s="298"/>
    </row>
    <row r="99" spans="2:37" x14ac:dyDescent="0.15">
      <c r="B99" s="105" t="s">
        <v>1065</v>
      </c>
      <c r="C99" s="41" t="s">
        <v>922</v>
      </c>
      <c r="D99" s="41" t="s">
        <v>923</v>
      </c>
      <c r="E99" s="41" t="s">
        <v>924</v>
      </c>
      <c r="F99" s="41" t="s">
        <v>925</v>
      </c>
      <c r="G99" s="41" t="s">
        <v>926</v>
      </c>
      <c r="H99" s="41" t="s">
        <v>927</v>
      </c>
      <c r="I99" s="41" t="s">
        <v>928</v>
      </c>
      <c r="J99" s="41" t="s">
        <v>929</v>
      </c>
      <c r="K99" s="41" t="s">
        <v>930</v>
      </c>
      <c r="L99" s="41" t="s">
        <v>931</v>
      </c>
      <c r="M99" s="41" t="s">
        <v>932</v>
      </c>
      <c r="N99" s="41" t="s">
        <v>933</v>
      </c>
      <c r="O99" s="41" t="s">
        <v>934</v>
      </c>
      <c r="P99" s="41" t="s">
        <v>935</v>
      </c>
      <c r="Q99" s="41" t="s">
        <v>936</v>
      </c>
      <c r="R99" s="41" t="s">
        <v>937</v>
      </c>
      <c r="U99" s="105" t="s">
        <v>1065</v>
      </c>
      <c r="V99" s="41" t="s">
        <v>922</v>
      </c>
      <c r="W99" s="41" t="s">
        <v>923</v>
      </c>
      <c r="X99" s="41" t="s">
        <v>924</v>
      </c>
      <c r="Y99" s="41" t="s">
        <v>925</v>
      </c>
      <c r="Z99" s="41" t="s">
        <v>926</v>
      </c>
      <c r="AA99" s="41" t="s">
        <v>927</v>
      </c>
      <c r="AB99" s="41" t="s">
        <v>928</v>
      </c>
      <c r="AC99" s="41" t="s">
        <v>929</v>
      </c>
      <c r="AD99" s="41" t="s">
        <v>930</v>
      </c>
      <c r="AE99" s="41" t="s">
        <v>931</v>
      </c>
      <c r="AF99" s="41" t="s">
        <v>932</v>
      </c>
      <c r="AG99" s="41" t="s">
        <v>933</v>
      </c>
      <c r="AH99" s="41" t="s">
        <v>934</v>
      </c>
      <c r="AI99" s="41" t="s">
        <v>935</v>
      </c>
      <c r="AJ99" s="41" t="s">
        <v>936</v>
      </c>
      <c r="AK99" s="41" t="s">
        <v>937</v>
      </c>
    </row>
    <row r="100" spans="2:37" x14ac:dyDescent="0.15">
      <c r="B100" s="106" t="s">
        <v>911</v>
      </c>
      <c r="C100" s="104">
        <f>SUMIFS('caseload data'!E:E,'caseload data'!$D:$D,"PO",'caseload data'!$A:$A,'divisional &amp; regional overview'!$B$98,'caseload data'!$B:$B,"community")</f>
        <v>0</v>
      </c>
      <c r="D100" s="104">
        <f>SUMIFS('caseload data'!F:F,'caseload data'!$D:$D,"PO",'caseload data'!$A:$A,'divisional &amp; regional overview'!$B$98,'caseload data'!$B:$B,"community")</f>
        <v>0</v>
      </c>
      <c r="E100" s="104">
        <f>SUMIFS('caseload data'!G:G,'caseload data'!$D:$D,"PO",'caseload data'!$A:$A,'divisional &amp; regional overview'!$B$98,'caseload data'!$B:$B,"community")</f>
        <v>0</v>
      </c>
      <c r="F100" s="104">
        <f>SUMIFS('caseload data'!H:H,'caseload data'!$D:$D,"PO",'caseload data'!$A:$A,'divisional &amp; regional overview'!$B$98,'caseload data'!$B:$B,"community")</f>
        <v>0</v>
      </c>
      <c r="G100" s="104">
        <f>SUMIFS('caseload data'!I:I,'caseload data'!$D:$D,"PO",'caseload data'!$A:$A,'divisional &amp; regional overview'!$B$98,'caseload data'!$B:$B,"community")</f>
        <v>0</v>
      </c>
      <c r="H100" s="104">
        <f>SUMIFS('caseload data'!J:J,'caseload data'!$D:$D,"PO",'caseload data'!$A:$A,'divisional &amp; regional overview'!$B$98,'caseload data'!$B:$B,"community")</f>
        <v>0</v>
      </c>
      <c r="I100" s="104">
        <f>SUMIFS('caseload data'!K:K,'caseload data'!$D:$D,"PO",'caseload data'!$A:$A,'divisional &amp; regional overview'!$B$98,'caseload data'!$B:$B,"community")</f>
        <v>0</v>
      </c>
      <c r="J100" s="104">
        <f>SUMIFS('caseload data'!L:L,'caseload data'!$D:$D,"PO",'caseload data'!$A:$A,'divisional &amp; regional overview'!$B$98,'caseload data'!$B:$B,"community")</f>
        <v>0</v>
      </c>
      <c r="K100" s="104">
        <f>SUMIFS('caseload data'!M:M,'caseload data'!$D:$D,"PO",'caseload data'!$A:$A,'divisional &amp; regional overview'!$B$98,'caseload data'!$B:$B,"community")</f>
        <v>0</v>
      </c>
      <c r="L100" s="104">
        <f>SUMIFS('caseload data'!N:N,'caseload data'!$D:$D,"PO",'caseload data'!$A:$A,'divisional &amp; regional overview'!$B$98,'caseload data'!$B:$B,"community")</f>
        <v>0</v>
      </c>
      <c r="M100" s="104">
        <f>SUMIFS('caseload data'!O:O,'caseload data'!$D:$D,"PO",'caseload data'!$A:$A,'divisional &amp; regional overview'!$B$98,'caseload data'!$B:$B,"community")</f>
        <v>0</v>
      </c>
      <c r="N100" s="104">
        <f>SUMIFS('caseload data'!P:P,'caseload data'!$D:$D,"PO",'caseload data'!$A:$A,'divisional &amp; regional overview'!$B$98,'caseload data'!$B:$B,"community")</f>
        <v>0</v>
      </c>
      <c r="O100" s="104">
        <f>SUMIFS('caseload data'!Q:Q,'caseload data'!$D:$D,"PO",'caseload data'!$A:$A,'divisional &amp; regional overview'!$B$98,'caseload data'!$B:$B,"community")</f>
        <v>0</v>
      </c>
      <c r="P100" s="104">
        <f>SUMIFS('caseload data'!R:R,'caseload data'!$D:$D,"PO",'caseload data'!$A:$A,'divisional &amp; regional overview'!$B$98,'caseload data'!$B:$B,"community")</f>
        <v>0</v>
      </c>
      <c r="Q100" s="104">
        <f>SUMIFS('caseload data'!S:S,'caseload data'!$D:$D,"PO",'caseload data'!$A:$A,'divisional &amp; regional overview'!$B$98,'caseload data'!$B:$B,"community")</f>
        <v>0</v>
      </c>
      <c r="R100" s="104">
        <f>SUMIFS('caseload data'!T:T,'caseload data'!$D:$D,"PO",'caseload data'!$A:$A,'divisional &amp; regional overview'!$B$98,'caseload data'!$B:$B,"community")</f>
        <v>0</v>
      </c>
      <c r="U100" s="106" t="s">
        <v>911</v>
      </c>
      <c r="V100" s="181" t="e">
        <f>C$100/SUM(C$100:C$103)</f>
        <v>#DIV/0!</v>
      </c>
      <c r="W100" s="181" t="e">
        <f t="shared" ref="W100:AK100" si="4">D$100/SUM(D$100:D$103)</f>
        <v>#DIV/0!</v>
      </c>
      <c r="X100" s="181" t="e">
        <f t="shared" si="4"/>
        <v>#DIV/0!</v>
      </c>
      <c r="Y100" s="181" t="e">
        <f t="shared" si="4"/>
        <v>#DIV/0!</v>
      </c>
      <c r="Z100" s="181" t="e">
        <f t="shared" si="4"/>
        <v>#DIV/0!</v>
      </c>
      <c r="AA100" s="181" t="e">
        <f t="shared" si="4"/>
        <v>#DIV/0!</v>
      </c>
      <c r="AB100" s="181" t="e">
        <f t="shared" si="4"/>
        <v>#DIV/0!</v>
      </c>
      <c r="AC100" s="181" t="e">
        <f t="shared" si="4"/>
        <v>#DIV/0!</v>
      </c>
      <c r="AD100" s="181" t="e">
        <f t="shared" si="4"/>
        <v>#DIV/0!</v>
      </c>
      <c r="AE100" s="181" t="e">
        <f t="shared" si="4"/>
        <v>#DIV/0!</v>
      </c>
      <c r="AF100" s="181" t="e">
        <f t="shared" si="4"/>
        <v>#DIV/0!</v>
      </c>
      <c r="AG100" s="181" t="e">
        <f t="shared" si="4"/>
        <v>#DIV/0!</v>
      </c>
      <c r="AH100" s="181" t="e">
        <f t="shared" si="4"/>
        <v>#DIV/0!</v>
      </c>
      <c r="AI100" s="181" t="e">
        <f t="shared" si="4"/>
        <v>#DIV/0!</v>
      </c>
      <c r="AJ100" s="181" t="e">
        <f t="shared" si="4"/>
        <v>#DIV/0!</v>
      </c>
      <c r="AK100" s="181" t="e">
        <f t="shared" si="4"/>
        <v>#DIV/0!</v>
      </c>
    </row>
    <row r="101" spans="2:37" x14ac:dyDescent="0.15">
      <c r="B101" s="107" t="s">
        <v>912</v>
      </c>
      <c r="C101" s="104">
        <f>SUMIFS('caseload data'!E:E,'caseload data'!$D:$D,"PSO",'caseload data'!$A:$A,'divisional &amp; regional overview'!$B$98,'caseload data'!$B:$B,"community")</f>
        <v>0</v>
      </c>
      <c r="D101" s="104">
        <f>SUMIFS('caseload data'!F:F,'caseload data'!$D:$D,"PSO",'caseload data'!$A:$A,'divisional &amp; regional overview'!$B$98,'caseload data'!$B:$B,"community")</f>
        <v>0</v>
      </c>
      <c r="E101" s="104">
        <f>SUMIFS('caseload data'!G:G,'caseload data'!$D:$D,"PSO",'caseload data'!$A:$A,'divisional &amp; regional overview'!$B$98,'caseload data'!$B:$B,"community")</f>
        <v>0</v>
      </c>
      <c r="F101" s="104">
        <f>SUMIFS('caseload data'!H:H,'caseload data'!$D:$D,"PSO",'caseload data'!$A:$A,'divisional &amp; regional overview'!$B$98,'caseload data'!$B:$B,"community")</f>
        <v>0</v>
      </c>
      <c r="G101" s="104">
        <f>SUMIFS('caseload data'!I:I,'caseload data'!$D:$D,"PSO",'caseload data'!$A:$A,'divisional &amp; regional overview'!$B$98,'caseload data'!$B:$B,"community")</f>
        <v>0</v>
      </c>
      <c r="H101" s="104">
        <f>SUMIFS('caseload data'!J:J,'caseload data'!$D:$D,"PSO",'caseload data'!$A:$A,'divisional &amp; regional overview'!$B$98,'caseload data'!$B:$B,"community")</f>
        <v>0</v>
      </c>
      <c r="I101" s="104">
        <f>SUMIFS('caseload data'!K:K,'caseload data'!$D:$D,"PSO",'caseload data'!$A:$A,'divisional &amp; regional overview'!$B$98,'caseload data'!$B:$B,"community")</f>
        <v>0</v>
      </c>
      <c r="J101" s="104">
        <f>SUMIFS('caseload data'!L:L,'caseload data'!$D:$D,"PSO",'caseload data'!$A:$A,'divisional &amp; regional overview'!$B$98,'caseload data'!$B:$B,"community")</f>
        <v>0</v>
      </c>
      <c r="K101" s="104">
        <f>SUMIFS('caseload data'!M:M,'caseload data'!$D:$D,"PSO",'caseload data'!$A:$A,'divisional &amp; regional overview'!$B$98,'caseload data'!$B:$B,"community")</f>
        <v>0</v>
      </c>
      <c r="L101" s="104">
        <f>SUMIFS('caseload data'!N:N,'caseload data'!$D:$D,"PSO",'caseload data'!$A:$A,'divisional &amp; regional overview'!$B$98,'caseload data'!$B:$B,"community")</f>
        <v>0</v>
      </c>
      <c r="M101" s="104">
        <f>SUMIFS('caseload data'!O:O,'caseload data'!$D:$D,"PSO",'caseload data'!$A:$A,'divisional &amp; regional overview'!$B$98,'caseload data'!$B:$B,"community")</f>
        <v>0</v>
      </c>
      <c r="N101" s="104">
        <f>SUMIFS('caseload data'!P:P,'caseload data'!$D:$D,"PSO",'caseload data'!$A:$A,'divisional &amp; regional overview'!$B$98,'caseload data'!$B:$B,"community")</f>
        <v>0</v>
      </c>
      <c r="O101" s="104">
        <f>SUMIFS('caseload data'!Q:Q,'caseload data'!$D:$D,"PSO",'caseload data'!$A:$A,'divisional &amp; regional overview'!$B$98,'caseload data'!$B:$B,"community")</f>
        <v>0</v>
      </c>
      <c r="P101" s="104">
        <f>SUMIFS('caseload data'!R:R,'caseload data'!$D:$D,"PSO",'caseload data'!$A:$A,'divisional &amp; regional overview'!$B$98,'caseload data'!$B:$B,"community")</f>
        <v>0</v>
      </c>
      <c r="Q101" s="104">
        <f>SUMIFS('caseload data'!S:S,'caseload data'!$D:$D,"PSO",'caseload data'!$A:$A,'divisional &amp; regional overview'!$B$98,'caseload data'!$B:$B,"community")</f>
        <v>0</v>
      </c>
      <c r="R101" s="104">
        <f>SUMIFS('caseload data'!T:T,'caseload data'!$D:$D,"PSO",'caseload data'!$A:$A,'divisional &amp; regional overview'!$B$98,'caseload data'!$B:$B,"community")</f>
        <v>0</v>
      </c>
      <c r="U101" s="107" t="s">
        <v>912</v>
      </c>
      <c r="V101" s="181" t="e">
        <f>C$101/SUM(C$100:C$103)</f>
        <v>#DIV/0!</v>
      </c>
      <c r="W101" s="181" t="e">
        <f t="shared" ref="W101:AK101" si="5">D$101/SUM(D$100:D$103)</f>
        <v>#DIV/0!</v>
      </c>
      <c r="X101" s="181" t="e">
        <f t="shared" si="5"/>
        <v>#DIV/0!</v>
      </c>
      <c r="Y101" s="181" t="e">
        <f t="shared" si="5"/>
        <v>#DIV/0!</v>
      </c>
      <c r="Z101" s="181" t="e">
        <f t="shared" si="5"/>
        <v>#DIV/0!</v>
      </c>
      <c r="AA101" s="181" t="e">
        <f t="shared" si="5"/>
        <v>#DIV/0!</v>
      </c>
      <c r="AB101" s="181" t="e">
        <f t="shared" si="5"/>
        <v>#DIV/0!</v>
      </c>
      <c r="AC101" s="181" t="e">
        <f t="shared" si="5"/>
        <v>#DIV/0!</v>
      </c>
      <c r="AD101" s="181" t="e">
        <f t="shared" si="5"/>
        <v>#DIV/0!</v>
      </c>
      <c r="AE101" s="181" t="e">
        <f t="shared" si="5"/>
        <v>#DIV/0!</v>
      </c>
      <c r="AF101" s="181" t="e">
        <f t="shared" si="5"/>
        <v>#DIV/0!</v>
      </c>
      <c r="AG101" s="181" t="e">
        <f t="shared" si="5"/>
        <v>#DIV/0!</v>
      </c>
      <c r="AH101" s="181" t="e">
        <f t="shared" si="5"/>
        <v>#DIV/0!</v>
      </c>
      <c r="AI101" s="181" t="e">
        <f t="shared" si="5"/>
        <v>#DIV/0!</v>
      </c>
      <c r="AJ101" s="181" t="e">
        <f t="shared" si="5"/>
        <v>#DIV/0!</v>
      </c>
      <c r="AK101" s="181" t="e">
        <f t="shared" si="5"/>
        <v>#DIV/0!</v>
      </c>
    </row>
    <row r="102" spans="2:37" x14ac:dyDescent="0.15">
      <c r="B102" s="107" t="s">
        <v>913</v>
      </c>
      <c r="C102" s="104">
        <f>SUMIFS('caseload data'!E:E,'caseload data'!$D:$D,"TPO",'caseload data'!$A:$A,'divisional &amp; regional overview'!$B$98,'caseload data'!$B:$B,"community")</f>
        <v>0</v>
      </c>
      <c r="D102" s="104">
        <f>SUMIFS('caseload data'!F:F,'caseload data'!$D:$D,"TPO",'caseload data'!$A:$A,'divisional &amp; regional overview'!$B$98,'caseload data'!$B:$B,"community")</f>
        <v>0</v>
      </c>
      <c r="E102" s="104">
        <f>SUMIFS('caseload data'!G:G,'caseload data'!$D:$D,"TPO",'caseload data'!$A:$A,'divisional &amp; regional overview'!$B$98,'caseload data'!$B:$B,"community")</f>
        <v>0</v>
      </c>
      <c r="F102" s="104">
        <f>SUMIFS('caseload data'!H:H,'caseload data'!$D:$D,"TPO",'caseload data'!$A:$A,'divisional &amp; regional overview'!$B$98,'caseload data'!$B:$B,"community")</f>
        <v>0</v>
      </c>
      <c r="G102" s="104">
        <f>SUMIFS('caseload data'!I:I,'caseload data'!$D:$D,"TPO",'caseload data'!$A:$A,'divisional &amp; regional overview'!$B$98,'caseload data'!$B:$B,"community")</f>
        <v>0</v>
      </c>
      <c r="H102" s="104">
        <f>SUMIFS('caseload data'!J:J,'caseload data'!$D:$D,"TPO",'caseload data'!$A:$A,'divisional &amp; regional overview'!$B$98,'caseload data'!$B:$B,"community")</f>
        <v>0</v>
      </c>
      <c r="I102" s="104">
        <f>SUMIFS('caseload data'!K:K,'caseload data'!$D:$D,"TPO",'caseload data'!$A:$A,'divisional &amp; regional overview'!$B$98,'caseload data'!$B:$B,"community")</f>
        <v>0</v>
      </c>
      <c r="J102" s="104">
        <f>SUMIFS('caseload data'!L:L,'caseload data'!$D:$D,"TPO",'caseload data'!$A:$A,'divisional &amp; regional overview'!$B$98,'caseload data'!$B:$B,"community")</f>
        <v>0</v>
      </c>
      <c r="K102" s="104">
        <f>SUMIFS('caseload data'!M:M,'caseload data'!$D:$D,"TPO",'caseload data'!$A:$A,'divisional &amp; regional overview'!$B$98,'caseload data'!$B:$B,"community")</f>
        <v>0</v>
      </c>
      <c r="L102" s="104">
        <f>SUMIFS('caseload data'!N:N,'caseload data'!$D:$D,"TPO",'caseload data'!$A:$A,'divisional &amp; regional overview'!$B$98,'caseload data'!$B:$B,"community")</f>
        <v>0</v>
      </c>
      <c r="M102" s="104">
        <f>SUMIFS('caseload data'!O:O,'caseload data'!$D:$D,"TPO",'caseload data'!$A:$A,'divisional &amp; regional overview'!$B$98,'caseload data'!$B:$B,"community")</f>
        <v>0</v>
      </c>
      <c r="N102" s="104">
        <f>SUMIFS('caseload data'!P:P,'caseload data'!$D:$D,"TPO",'caseload data'!$A:$A,'divisional &amp; regional overview'!$B$98,'caseload data'!$B:$B,"community")</f>
        <v>0</v>
      </c>
      <c r="O102" s="104">
        <f>SUMIFS('caseload data'!Q:Q,'caseload data'!$D:$D,"TPO",'caseload data'!$A:$A,'divisional &amp; regional overview'!$B$98,'caseload data'!$B:$B,"community")</f>
        <v>0</v>
      </c>
      <c r="P102" s="104">
        <f>SUMIFS('caseload data'!R:R,'caseload data'!$D:$D,"TPO",'caseload data'!$A:$A,'divisional &amp; regional overview'!$B$98,'caseload data'!$B:$B,"community")</f>
        <v>0</v>
      </c>
      <c r="Q102" s="104">
        <f>SUMIFS('caseload data'!S:S,'caseload data'!$D:$D,"TPO",'caseload data'!$A:$A,'divisional &amp; regional overview'!$B$98,'caseload data'!$B:$B,"community")</f>
        <v>0</v>
      </c>
      <c r="R102" s="104">
        <f>SUMIFS('caseload data'!T:T,'caseload data'!$D:$D,"TPO",'caseload data'!$A:$A,'divisional &amp; regional overview'!$B$98,'caseload data'!$B:$B,"community")</f>
        <v>0</v>
      </c>
      <c r="U102" s="107" t="s">
        <v>913</v>
      </c>
      <c r="V102" s="181" t="e">
        <f>C$102/SUM(C$100:C$103)</f>
        <v>#DIV/0!</v>
      </c>
      <c r="W102" s="181" t="e">
        <f t="shared" ref="W102:AK102" si="6">D$102/SUM(D$100:D$103)</f>
        <v>#DIV/0!</v>
      </c>
      <c r="X102" s="181" t="e">
        <f t="shared" si="6"/>
        <v>#DIV/0!</v>
      </c>
      <c r="Y102" s="181" t="e">
        <f t="shared" si="6"/>
        <v>#DIV/0!</v>
      </c>
      <c r="Z102" s="181" t="e">
        <f t="shared" si="6"/>
        <v>#DIV/0!</v>
      </c>
      <c r="AA102" s="181" t="e">
        <f t="shared" si="6"/>
        <v>#DIV/0!</v>
      </c>
      <c r="AB102" s="181" t="e">
        <f t="shared" si="6"/>
        <v>#DIV/0!</v>
      </c>
      <c r="AC102" s="181" t="e">
        <f t="shared" si="6"/>
        <v>#DIV/0!</v>
      </c>
      <c r="AD102" s="181" t="e">
        <f t="shared" si="6"/>
        <v>#DIV/0!</v>
      </c>
      <c r="AE102" s="181" t="e">
        <f t="shared" si="6"/>
        <v>#DIV/0!</v>
      </c>
      <c r="AF102" s="181" t="e">
        <f t="shared" si="6"/>
        <v>#DIV/0!</v>
      </c>
      <c r="AG102" s="181" t="e">
        <f t="shared" si="6"/>
        <v>#DIV/0!</v>
      </c>
      <c r="AH102" s="181" t="e">
        <f t="shared" si="6"/>
        <v>#DIV/0!</v>
      </c>
      <c r="AI102" s="181" t="e">
        <f t="shared" si="6"/>
        <v>#DIV/0!</v>
      </c>
      <c r="AJ102" s="181" t="e">
        <f t="shared" si="6"/>
        <v>#DIV/0!</v>
      </c>
      <c r="AK102" s="181" t="e">
        <f t="shared" si="6"/>
        <v>#DIV/0!</v>
      </c>
    </row>
    <row r="103" spans="2:37" x14ac:dyDescent="0.15">
      <c r="B103" s="108" t="s">
        <v>914</v>
      </c>
      <c r="C103" s="104">
        <f>SUMIFS('caseload data'!E:E,'caseload data'!$D:$D,"SPO",'caseload data'!$A:$A,'divisional &amp; regional overview'!$B$98,'caseload data'!$B:$B,"community")</f>
        <v>0</v>
      </c>
      <c r="D103" s="104">
        <f>SUMIFS('caseload data'!F:F,'caseload data'!$D:$D,"SPO",'caseload data'!$A:$A,'divisional &amp; regional overview'!$B$98,'caseload data'!$B:$B,"community")</f>
        <v>0</v>
      </c>
      <c r="E103" s="104">
        <f>SUMIFS('caseload data'!G:G,'caseload data'!$D:$D,"SPO",'caseload data'!$A:$A,'divisional &amp; regional overview'!$B$98,'caseload data'!$B:$B,"community")</f>
        <v>0</v>
      </c>
      <c r="F103" s="104">
        <f>SUMIFS('caseload data'!H:H,'caseload data'!$D:$D,"SPO",'caseload data'!$A:$A,'divisional &amp; regional overview'!$B$98,'caseload data'!$B:$B,"community")</f>
        <v>0</v>
      </c>
      <c r="G103" s="104">
        <f>SUMIFS('caseload data'!I:I,'caseload data'!$D:$D,"SPO",'caseload data'!$A:$A,'divisional &amp; regional overview'!$B$98,'caseload data'!$B:$B,"community")</f>
        <v>0</v>
      </c>
      <c r="H103" s="104">
        <f>SUMIFS('caseload data'!J:J,'caseload data'!$D:$D,"SPO",'caseload data'!$A:$A,'divisional &amp; regional overview'!$B$98,'caseload data'!$B:$B,"community")</f>
        <v>0</v>
      </c>
      <c r="I103" s="104">
        <f>SUMIFS('caseload data'!K:K,'caseload data'!$D:$D,"SPO",'caseload data'!$A:$A,'divisional &amp; regional overview'!$B$98,'caseload data'!$B:$B,"community")</f>
        <v>0</v>
      </c>
      <c r="J103" s="104">
        <f>SUMIFS('caseload data'!L:L,'caseload data'!$D:$D,"SPO",'caseload data'!$A:$A,'divisional &amp; regional overview'!$B$98,'caseload data'!$B:$B,"community")</f>
        <v>0</v>
      </c>
      <c r="K103" s="104">
        <f>SUMIFS('caseload data'!M:M,'caseload data'!$D:$D,"SPO",'caseload data'!$A:$A,'divisional &amp; regional overview'!$B$98,'caseload data'!$B:$B,"community")</f>
        <v>0</v>
      </c>
      <c r="L103" s="104">
        <f>SUMIFS('caseload data'!N:N,'caseload data'!$D:$D,"SPO",'caseload data'!$A:$A,'divisional &amp; regional overview'!$B$98,'caseload data'!$B:$B,"community")</f>
        <v>0</v>
      </c>
      <c r="M103" s="104">
        <f>SUMIFS('caseload data'!O:O,'caseload data'!$D:$D,"SPO",'caseload data'!$A:$A,'divisional &amp; regional overview'!$B$98,'caseload data'!$B:$B,"community")</f>
        <v>0</v>
      </c>
      <c r="N103" s="104">
        <f>SUMIFS('caseload data'!P:P,'caseload data'!$D:$D,"SPO",'caseload data'!$A:$A,'divisional &amp; regional overview'!$B$98,'caseload data'!$B:$B,"community")</f>
        <v>0</v>
      </c>
      <c r="O103" s="104">
        <f>SUMIFS('caseload data'!Q:Q,'caseload data'!$D:$D,"SPO",'caseload data'!$A:$A,'divisional &amp; regional overview'!$B$98,'caseload data'!$B:$B,"community")</f>
        <v>0</v>
      </c>
      <c r="P103" s="104">
        <f>SUMIFS('caseload data'!R:R,'caseload data'!$D:$D,"SPO",'caseload data'!$A:$A,'divisional &amp; regional overview'!$B$98,'caseload data'!$B:$B,"community")</f>
        <v>0</v>
      </c>
      <c r="Q103" s="104">
        <f>SUMIFS('caseload data'!S:S,'caseload data'!$D:$D,"SPO",'caseload data'!$A:$A,'divisional &amp; regional overview'!$B$98,'caseload data'!$B:$B,"community")</f>
        <v>0</v>
      </c>
      <c r="R103" s="104">
        <f>SUMIFS('caseload data'!T:T,'caseload data'!$D:$D,"SPO",'caseload data'!$A:$A,'divisional &amp; regional overview'!$B$98,'caseload data'!$B:$B,"community")</f>
        <v>0</v>
      </c>
      <c r="U103" s="108" t="s">
        <v>914</v>
      </c>
      <c r="V103" s="181" t="e">
        <f>C$103/SUM(C$100:C$103)</f>
        <v>#DIV/0!</v>
      </c>
      <c r="W103" s="181" t="e">
        <f t="shared" ref="W103:AK103" si="7">D$103/SUM(D$100:D$103)</f>
        <v>#DIV/0!</v>
      </c>
      <c r="X103" s="181" t="e">
        <f t="shared" si="7"/>
        <v>#DIV/0!</v>
      </c>
      <c r="Y103" s="181" t="e">
        <f t="shared" si="7"/>
        <v>#DIV/0!</v>
      </c>
      <c r="Z103" s="181" t="e">
        <f t="shared" si="7"/>
        <v>#DIV/0!</v>
      </c>
      <c r="AA103" s="181" t="e">
        <f t="shared" si="7"/>
        <v>#DIV/0!</v>
      </c>
      <c r="AB103" s="181" t="e">
        <f t="shared" si="7"/>
        <v>#DIV/0!</v>
      </c>
      <c r="AC103" s="181" t="e">
        <f t="shared" si="7"/>
        <v>#DIV/0!</v>
      </c>
      <c r="AD103" s="181" t="e">
        <f t="shared" si="7"/>
        <v>#DIV/0!</v>
      </c>
      <c r="AE103" s="181" t="e">
        <f t="shared" si="7"/>
        <v>#DIV/0!</v>
      </c>
      <c r="AF103" s="181" t="e">
        <f t="shared" si="7"/>
        <v>#DIV/0!</v>
      </c>
      <c r="AG103" s="181" t="e">
        <f t="shared" si="7"/>
        <v>#DIV/0!</v>
      </c>
      <c r="AH103" s="181" t="e">
        <f t="shared" si="7"/>
        <v>#DIV/0!</v>
      </c>
      <c r="AI103" s="181" t="e">
        <f t="shared" si="7"/>
        <v>#DIV/0!</v>
      </c>
      <c r="AJ103" s="181" t="e">
        <f t="shared" si="7"/>
        <v>#DIV/0!</v>
      </c>
      <c r="AK103" s="181" t="e">
        <f t="shared" si="7"/>
        <v>#DIV/0!</v>
      </c>
    </row>
    <row r="104" spans="2:37" x14ac:dyDescent="0.15">
      <c r="B104" s="23"/>
    </row>
    <row r="105" spans="2:37" x14ac:dyDescent="0.15">
      <c r="B105" s="58" t="str">
        <f>B5</f>
        <v>London</v>
      </c>
      <c r="C105" s="297" t="s">
        <v>1066</v>
      </c>
      <c r="D105" s="298"/>
      <c r="E105" s="298"/>
      <c r="F105" s="298"/>
      <c r="G105" s="298"/>
      <c r="H105" s="298"/>
      <c r="I105" s="298"/>
      <c r="J105" s="298"/>
      <c r="K105" s="298"/>
      <c r="L105" s="298"/>
      <c r="M105" s="298"/>
      <c r="N105" s="298"/>
      <c r="O105" s="298"/>
      <c r="P105" s="298"/>
      <c r="Q105" s="298"/>
      <c r="R105" s="298"/>
      <c r="S105" s="43"/>
      <c r="U105" s="58" t="str">
        <f>B5</f>
        <v>London</v>
      </c>
      <c r="V105" s="297" t="s">
        <v>1067</v>
      </c>
      <c r="W105" s="298"/>
      <c r="X105" s="298"/>
      <c r="Y105" s="298"/>
      <c r="Z105" s="298"/>
      <c r="AA105" s="298"/>
      <c r="AB105" s="298"/>
      <c r="AC105" s="298"/>
      <c r="AD105" s="298"/>
      <c r="AE105" s="298"/>
      <c r="AF105" s="298"/>
      <c r="AG105" s="298"/>
      <c r="AH105" s="298"/>
      <c r="AI105" s="298"/>
      <c r="AJ105" s="298"/>
      <c r="AK105" s="298"/>
    </row>
    <row r="106" spans="2:37" x14ac:dyDescent="0.15">
      <c r="B106" s="105" t="s">
        <v>1065</v>
      </c>
      <c r="C106" s="41" t="s">
        <v>922</v>
      </c>
      <c r="D106" s="41" t="s">
        <v>923</v>
      </c>
      <c r="E106" s="41" t="s">
        <v>924</v>
      </c>
      <c r="F106" s="41" t="s">
        <v>925</v>
      </c>
      <c r="G106" s="41" t="s">
        <v>926</v>
      </c>
      <c r="H106" s="41" t="s">
        <v>927</v>
      </c>
      <c r="I106" s="41" t="s">
        <v>928</v>
      </c>
      <c r="J106" s="41" t="s">
        <v>929</v>
      </c>
      <c r="K106" s="41" t="s">
        <v>930</v>
      </c>
      <c r="L106" s="41" t="s">
        <v>931</v>
      </c>
      <c r="M106" s="41" t="s">
        <v>932</v>
      </c>
      <c r="N106" s="41" t="s">
        <v>933</v>
      </c>
      <c r="O106" s="41" t="s">
        <v>934</v>
      </c>
      <c r="P106" s="41" t="s">
        <v>935</v>
      </c>
      <c r="Q106" s="41" t="s">
        <v>936</v>
      </c>
      <c r="R106" s="41" t="s">
        <v>937</v>
      </c>
      <c r="S106" s="43"/>
      <c r="U106" s="105" t="s">
        <v>1065</v>
      </c>
      <c r="V106" s="41" t="s">
        <v>922</v>
      </c>
      <c r="W106" s="41" t="s">
        <v>923</v>
      </c>
      <c r="X106" s="41" t="s">
        <v>924</v>
      </c>
      <c r="Y106" s="41" t="s">
        <v>925</v>
      </c>
      <c r="Z106" s="41" t="s">
        <v>926</v>
      </c>
      <c r="AA106" s="41" t="s">
        <v>927</v>
      </c>
      <c r="AB106" s="41" t="s">
        <v>928</v>
      </c>
      <c r="AC106" s="41" t="s">
        <v>929</v>
      </c>
      <c r="AD106" s="41" t="s">
        <v>930</v>
      </c>
      <c r="AE106" s="41" t="s">
        <v>931</v>
      </c>
      <c r="AF106" s="41" t="s">
        <v>932</v>
      </c>
      <c r="AG106" s="41" t="s">
        <v>933</v>
      </c>
      <c r="AH106" s="41" t="s">
        <v>934</v>
      </c>
      <c r="AI106" s="41" t="s">
        <v>935</v>
      </c>
      <c r="AJ106" s="41" t="s">
        <v>936</v>
      </c>
      <c r="AK106" s="41" t="s">
        <v>937</v>
      </c>
    </row>
    <row r="107" spans="2:37" x14ac:dyDescent="0.15">
      <c r="B107" s="106" t="s">
        <v>911</v>
      </c>
      <c r="C107" s="104">
        <f>SUMIFS('caseload data'!E:E,'caseload data'!$D:$D,"PO",'caseload data'!$A:$A,'divisional &amp; regional overview'!$B$98,'caseload data'!$B:$B,"licence")</f>
        <v>0</v>
      </c>
      <c r="D107" s="104">
        <f>SUMIFS('caseload data'!F:F,'caseload data'!$D:$D,"PO",'caseload data'!$A:$A,'divisional &amp; regional overview'!$B$98,'caseload data'!$B:$B,"licence")</f>
        <v>0</v>
      </c>
      <c r="E107" s="104">
        <f>SUMIFS('caseload data'!G:G,'caseload data'!$D:$D,"PO",'caseload data'!$A:$A,'divisional &amp; regional overview'!$B$98,'caseload data'!$B:$B,"licence")</f>
        <v>0</v>
      </c>
      <c r="F107" s="104">
        <f>SUMIFS('caseload data'!H:H,'caseload data'!$D:$D,"PO",'caseload data'!$A:$A,'divisional &amp; regional overview'!$B$98,'caseload data'!$B:$B,"licence")</f>
        <v>0</v>
      </c>
      <c r="G107" s="104">
        <f>SUMIFS('caseload data'!I:I,'caseload data'!$D:$D,"PO",'caseload data'!$A:$A,'divisional &amp; regional overview'!$B$98,'caseload data'!$B:$B,"licence")</f>
        <v>0</v>
      </c>
      <c r="H107" s="104">
        <f>SUMIFS('caseload data'!J:J,'caseload data'!$D:$D,"PO",'caseload data'!$A:$A,'divisional &amp; regional overview'!$B$98,'caseload data'!$B:$B,"licence")</f>
        <v>0</v>
      </c>
      <c r="I107" s="104">
        <f>SUMIFS('caseload data'!K:K,'caseload data'!$D:$D,"PO",'caseload data'!$A:$A,'divisional &amp; regional overview'!$B$98,'caseload data'!$B:$B,"licence")</f>
        <v>0</v>
      </c>
      <c r="J107" s="104">
        <f>SUMIFS('caseload data'!L:L,'caseload data'!$D:$D,"PO",'caseload data'!$A:$A,'divisional &amp; regional overview'!$B$98,'caseload data'!$B:$B,"licence")</f>
        <v>0</v>
      </c>
      <c r="K107" s="104">
        <f>SUMIFS('caseload data'!M:M,'caseload data'!$D:$D,"PO",'caseload data'!$A:$A,'divisional &amp; regional overview'!$B$98,'caseload data'!$B:$B,"licence")</f>
        <v>0</v>
      </c>
      <c r="L107" s="104">
        <f>SUMIFS('caseload data'!N:N,'caseload data'!$D:$D,"PO",'caseload data'!$A:$A,'divisional &amp; regional overview'!$B$98,'caseload data'!$B:$B,"licence")</f>
        <v>0</v>
      </c>
      <c r="M107" s="104">
        <f>SUMIFS('caseload data'!O:O,'caseload data'!$D:$D,"PO",'caseload data'!$A:$A,'divisional &amp; regional overview'!$B$98,'caseload data'!$B:$B,"licence")</f>
        <v>0</v>
      </c>
      <c r="N107" s="104">
        <f>SUMIFS('caseload data'!P:P,'caseload data'!$D:$D,"PO",'caseload data'!$A:$A,'divisional &amp; regional overview'!$B$98,'caseload data'!$B:$B,"licence")</f>
        <v>0</v>
      </c>
      <c r="O107" s="104">
        <f>SUMIFS('caseload data'!Q:Q,'caseload data'!$D:$D,"PO",'caseload data'!$A:$A,'divisional &amp; regional overview'!$B$98,'caseload data'!$B:$B,"licence")</f>
        <v>0</v>
      </c>
      <c r="P107" s="104">
        <f>SUMIFS('caseload data'!R:R,'caseload data'!$D:$D,"PO",'caseload data'!$A:$A,'divisional &amp; regional overview'!$B$98,'caseload data'!$B:$B,"licence")</f>
        <v>0</v>
      </c>
      <c r="Q107" s="104">
        <f>SUMIFS('caseload data'!S:S,'caseload data'!$D:$D,"PO",'caseload data'!$A:$A,'divisional &amp; regional overview'!$B$98,'caseload data'!$B:$B,"licence")</f>
        <v>0</v>
      </c>
      <c r="R107" s="104">
        <f>SUMIFS('caseload data'!T:T,'caseload data'!$D:$D,"PO",'caseload data'!$A:$A,'divisional &amp; regional overview'!$B$98,'caseload data'!$B:$B,"licence")</f>
        <v>0</v>
      </c>
      <c r="U107" s="106" t="s">
        <v>911</v>
      </c>
      <c r="V107" s="181" t="e">
        <f>C$107/SUM(C$107:C$110)</f>
        <v>#DIV/0!</v>
      </c>
      <c r="W107" s="181" t="e">
        <f t="shared" ref="W107:AK107" si="8">D$107/SUM(D$107:D$110)</f>
        <v>#DIV/0!</v>
      </c>
      <c r="X107" s="181" t="e">
        <f t="shared" si="8"/>
        <v>#DIV/0!</v>
      </c>
      <c r="Y107" s="181" t="e">
        <f t="shared" si="8"/>
        <v>#DIV/0!</v>
      </c>
      <c r="Z107" s="181" t="e">
        <f t="shared" si="8"/>
        <v>#DIV/0!</v>
      </c>
      <c r="AA107" s="181" t="e">
        <f t="shared" si="8"/>
        <v>#DIV/0!</v>
      </c>
      <c r="AB107" s="181" t="e">
        <f t="shared" si="8"/>
        <v>#DIV/0!</v>
      </c>
      <c r="AC107" s="181" t="e">
        <f t="shared" si="8"/>
        <v>#DIV/0!</v>
      </c>
      <c r="AD107" s="181" t="e">
        <f t="shared" si="8"/>
        <v>#DIV/0!</v>
      </c>
      <c r="AE107" s="181" t="e">
        <f t="shared" si="8"/>
        <v>#DIV/0!</v>
      </c>
      <c r="AF107" s="181" t="e">
        <f t="shared" si="8"/>
        <v>#DIV/0!</v>
      </c>
      <c r="AG107" s="181" t="e">
        <f t="shared" si="8"/>
        <v>#DIV/0!</v>
      </c>
      <c r="AH107" s="181" t="e">
        <f t="shared" si="8"/>
        <v>#DIV/0!</v>
      </c>
      <c r="AI107" s="181" t="e">
        <f t="shared" si="8"/>
        <v>#DIV/0!</v>
      </c>
      <c r="AJ107" s="181" t="e">
        <f t="shared" si="8"/>
        <v>#DIV/0!</v>
      </c>
      <c r="AK107" s="181" t="e">
        <f t="shared" si="8"/>
        <v>#DIV/0!</v>
      </c>
    </row>
    <row r="108" spans="2:37" x14ac:dyDescent="0.15">
      <c r="B108" s="107" t="s">
        <v>912</v>
      </c>
      <c r="C108" s="104">
        <f>SUMIFS('caseload data'!E:E,'caseload data'!$D:$D,"PSO",'caseload data'!$A:$A,'divisional &amp; regional overview'!$B$98,'caseload data'!$B:$B,"licence")</f>
        <v>0</v>
      </c>
      <c r="D108" s="104">
        <f>SUMIFS('caseload data'!F:F,'caseload data'!$D:$D,"PSO",'caseload data'!$A:$A,'divisional &amp; regional overview'!$B$98,'caseload data'!$B:$B,"licence")</f>
        <v>0</v>
      </c>
      <c r="E108" s="104">
        <f>SUMIFS('caseload data'!G:G,'caseload data'!$D:$D,"PSO",'caseload data'!$A:$A,'divisional &amp; regional overview'!$B$98,'caseload data'!$B:$B,"licence")</f>
        <v>0</v>
      </c>
      <c r="F108" s="104">
        <f>SUMIFS('caseload data'!H:H,'caseload data'!$D:$D,"PSO",'caseload data'!$A:$A,'divisional &amp; regional overview'!$B$98,'caseload data'!$B:$B,"licence")</f>
        <v>0</v>
      </c>
      <c r="G108" s="104">
        <f>SUMIFS('caseload data'!I:I,'caseload data'!$D:$D,"PSO",'caseload data'!$A:$A,'divisional &amp; regional overview'!$B$98,'caseload data'!$B:$B,"licence")</f>
        <v>0</v>
      </c>
      <c r="H108" s="104">
        <f>SUMIFS('caseload data'!J:J,'caseload data'!$D:$D,"PSO",'caseload data'!$A:$A,'divisional &amp; regional overview'!$B$98,'caseload data'!$B:$B,"licence")</f>
        <v>0</v>
      </c>
      <c r="I108" s="104">
        <f>SUMIFS('caseload data'!K:K,'caseload data'!$D:$D,"PSO",'caseload data'!$A:$A,'divisional &amp; regional overview'!$B$98,'caseload data'!$B:$B,"licence")</f>
        <v>0</v>
      </c>
      <c r="J108" s="104">
        <f>SUMIFS('caseload data'!L:L,'caseload data'!$D:$D,"PSO",'caseload data'!$A:$A,'divisional &amp; regional overview'!$B$98,'caseload data'!$B:$B,"licence")</f>
        <v>0</v>
      </c>
      <c r="K108" s="104">
        <f>SUMIFS('caseload data'!M:M,'caseload data'!$D:$D,"PSO",'caseload data'!$A:$A,'divisional &amp; regional overview'!$B$98,'caseload data'!$B:$B,"licence")</f>
        <v>0</v>
      </c>
      <c r="L108" s="104">
        <f>SUMIFS('caseload data'!N:N,'caseload data'!$D:$D,"PSO",'caseload data'!$A:$A,'divisional &amp; regional overview'!$B$98,'caseload data'!$B:$B,"licence")</f>
        <v>0</v>
      </c>
      <c r="M108" s="104">
        <f>SUMIFS('caseload data'!O:O,'caseload data'!$D:$D,"PSO",'caseload data'!$A:$A,'divisional &amp; regional overview'!$B$98,'caseload data'!$B:$B,"licence")</f>
        <v>0</v>
      </c>
      <c r="N108" s="104">
        <f>SUMIFS('caseload data'!P:P,'caseload data'!$D:$D,"PSO",'caseload data'!$A:$A,'divisional &amp; regional overview'!$B$98,'caseload data'!$B:$B,"licence")</f>
        <v>0</v>
      </c>
      <c r="O108" s="104">
        <f>SUMIFS('caseload data'!Q:Q,'caseload data'!$D:$D,"PSO",'caseload data'!$A:$A,'divisional &amp; regional overview'!$B$98,'caseload data'!$B:$B,"licence")</f>
        <v>0</v>
      </c>
      <c r="P108" s="104">
        <f>SUMIFS('caseload data'!R:R,'caseload data'!$D:$D,"PSO",'caseload data'!$A:$A,'divisional &amp; regional overview'!$B$98,'caseload data'!$B:$B,"licence")</f>
        <v>0</v>
      </c>
      <c r="Q108" s="104">
        <f>SUMIFS('caseload data'!S:S,'caseload data'!$D:$D,"PSO",'caseload data'!$A:$A,'divisional &amp; regional overview'!$B$98,'caseload data'!$B:$B,"licence")</f>
        <v>0</v>
      </c>
      <c r="R108" s="104">
        <f>SUMIFS('caseload data'!T:T,'caseload data'!$D:$D,"PSO",'caseload data'!$A:$A,'divisional &amp; regional overview'!$B$98,'caseload data'!$B:$B,"licence")</f>
        <v>0</v>
      </c>
      <c r="U108" s="107" t="s">
        <v>912</v>
      </c>
      <c r="V108" s="181" t="e">
        <f>C$108/SUM(C$107:C$110)</f>
        <v>#DIV/0!</v>
      </c>
      <c r="W108" s="181" t="e">
        <f t="shared" ref="W108:AK108" si="9">D$108/SUM(D$107:D$110)</f>
        <v>#DIV/0!</v>
      </c>
      <c r="X108" s="181" t="e">
        <f t="shared" si="9"/>
        <v>#DIV/0!</v>
      </c>
      <c r="Y108" s="181" t="e">
        <f t="shared" si="9"/>
        <v>#DIV/0!</v>
      </c>
      <c r="Z108" s="181" t="e">
        <f t="shared" si="9"/>
        <v>#DIV/0!</v>
      </c>
      <c r="AA108" s="181" t="e">
        <f t="shared" si="9"/>
        <v>#DIV/0!</v>
      </c>
      <c r="AB108" s="181" t="e">
        <f t="shared" si="9"/>
        <v>#DIV/0!</v>
      </c>
      <c r="AC108" s="181" t="e">
        <f t="shared" si="9"/>
        <v>#DIV/0!</v>
      </c>
      <c r="AD108" s="181" t="e">
        <f t="shared" si="9"/>
        <v>#DIV/0!</v>
      </c>
      <c r="AE108" s="181" t="e">
        <f t="shared" si="9"/>
        <v>#DIV/0!</v>
      </c>
      <c r="AF108" s="181" t="e">
        <f t="shared" si="9"/>
        <v>#DIV/0!</v>
      </c>
      <c r="AG108" s="181" t="e">
        <f t="shared" si="9"/>
        <v>#DIV/0!</v>
      </c>
      <c r="AH108" s="181" t="e">
        <f t="shared" si="9"/>
        <v>#DIV/0!</v>
      </c>
      <c r="AI108" s="181" t="e">
        <f t="shared" si="9"/>
        <v>#DIV/0!</v>
      </c>
      <c r="AJ108" s="181" t="e">
        <f t="shared" si="9"/>
        <v>#DIV/0!</v>
      </c>
      <c r="AK108" s="181" t="e">
        <f t="shared" si="9"/>
        <v>#DIV/0!</v>
      </c>
    </row>
    <row r="109" spans="2:37" x14ac:dyDescent="0.15">
      <c r="B109" s="107" t="s">
        <v>913</v>
      </c>
      <c r="C109" s="104">
        <f>SUMIFS('caseload data'!E:E,'caseload data'!$D:$D,"TPO",'caseload data'!$A:$A,'divisional &amp; regional overview'!$B$98,'caseload data'!$B:$B,"licence")</f>
        <v>0</v>
      </c>
      <c r="D109" s="104">
        <f>SUMIFS('caseload data'!F:F,'caseload data'!$D:$D,"TPO",'caseload data'!$A:$A,'divisional &amp; regional overview'!$B$98,'caseload data'!$B:$B,"licence")</f>
        <v>0</v>
      </c>
      <c r="E109" s="104">
        <f>SUMIFS('caseload data'!G:G,'caseload data'!$D:$D,"TPO",'caseload data'!$A:$A,'divisional &amp; regional overview'!$B$98,'caseload data'!$B:$B,"licence")</f>
        <v>0</v>
      </c>
      <c r="F109" s="104">
        <f>SUMIFS('caseload data'!H:H,'caseload data'!$D:$D,"TPO",'caseload data'!$A:$A,'divisional &amp; regional overview'!$B$98,'caseload data'!$B:$B,"licence")</f>
        <v>0</v>
      </c>
      <c r="G109" s="104">
        <f>SUMIFS('caseload data'!I:I,'caseload data'!$D:$D,"TPO",'caseload data'!$A:$A,'divisional &amp; regional overview'!$B$98,'caseload data'!$B:$B,"licence")</f>
        <v>0</v>
      </c>
      <c r="H109" s="104">
        <f>SUMIFS('caseload data'!J:J,'caseload data'!$D:$D,"TPO",'caseload data'!$A:$A,'divisional &amp; regional overview'!$B$98,'caseload data'!$B:$B,"licence")</f>
        <v>0</v>
      </c>
      <c r="I109" s="104">
        <f>SUMIFS('caseload data'!K:K,'caseload data'!$D:$D,"TPO",'caseload data'!$A:$A,'divisional &amp; regional overview'!$B$98,'caseload data'!$B:$B,"licence")</f>
        <v>0</v>
      </c>
      <c r="J109" s="104">
        <f>SUMIFS('caseload data'!L:L,'caseload data'!$D:$D,"TPO",'caseload data'!$A:$A,'divisional &amp; regional overview'!$B$98,'caseload data'!$B:$B,"licence")</f>
        <v>0</v>
      </c>
      <c r="K109" s="104">
        <f>SUMIFS('caseload data'!M:M,'caseload data'!$D:$D,"TPO",'caseload data'!$A:$A,'divisional &amp; regional overview'!$B$98,'caseload data'!$B:$B,"licence")</f>
        <v>0</v>
      </c>
      <c r="L109" s="104">
        <f>SUMIFS('caseload data'!N:N,'caseload data'!$D:$D,"TPO",'caseload data'!$A:$A,'divisional &amp; regional overview'!$B$98,'caseload data'!$B:$B,"licence")</f>
        <v>0</v>
      </c>
      <c r="M109" s="104">
        <f>SUMIFS('caseload data'!O:O,'caseload data'!$D:$D,"TPO",'caseload data'!$A:$A,'divisional &amp; regional overview'!$B$98,'caseload data'!$B:$B,"licence")</f>
        <v>0</v>
      </c>
      <c r="N109" s="104">
        <f>SUMIFS('caseload data'!P:P,'caseload data'!$D:$D,"TPO",'caseload data'!$A:$A,'divisional &amp; regional overview'!$B$98,'caseload data'!$B:$B,"licence")</f>
        <v>0</v>
      </c>
      <c r="O109" s="104">
        <f>SUMIFS('caseload data'!Q:Q,'caseload data'!$D:$D,"TPO",'caseload data'!$A:$A,'divisional &amp; regional overview'!$B$98,'caseload data'!$B:$B,"licence")</f>
        <v>0</v>
      </c>
      <c r="P109" s="104">
        <f>SUMIFS('caseload data'!R:R,'caseload data'!$D:$D,"TPO",'caseload data'!$A:$A,'divisional &amp; regional overview'!$B$98,'caseload data'!$B:$B,"licence")</f>
        <v>0</v>
      </c>
      <c r="Q109" s="104">
        <f>SUMIFS('caseload data'!S:S,'caseload data'!$D:$D,"TPO",'caseload data'!$A:$A,'divisional &amp; regional overview'!$B$98,'caseload data'!$B:$B,"licence")</f>
        <v>0</v>
      </c>
      <c r="R109" s="104">
        <f>SUMIFS('caseload data'!T:T,'caseload data'!$D:$D,"TPO",'caseload data'!$A:$A,'divisional &amp; regional overview'!$B$98,'caseload data'!$B:$B,"licence")</f>
        <v>0</v>
      </c>
      <c r="U109" s="107" t="s">
        <v>913</v>
      </c>
      <c r="V109" s="181" t="e">
        <f>C$109/SUM(C$107:C$110)</f>
        <v>#DIV/0!</v>
      </c>
      <c r="W109" s="181" t="e">
        <f t="shared" ref="W109:AK109" si="10">D$109/SUM(D$107:D$110)</f>
        <v>#DIV/0!</v>
      </c>
      <c r="X109" s="181" t="e">
        <f t="shared" si="10"/>
        <v>#DIV/0!</v>
      </c>
      <c r="Y109" s="181" t="e">
        <f t="shared" si="10"/>
        <v>#DIV/0!</v>
      </c>
      <c r="Z109" s="181" t="e">
        <f t="shared" si="10"/>
        <v>#DIV/0!</v>
      </c>
      <c r="AA109" s="181" t="e">
        <f t="shared" si="10"/>
        <v>#DIV/0!</v>
      </c>
      <c r="AB109" s="181" t="e">
        <f t="shared" si="10"/>
        <v>#DIV/0!</v>
      </c>
      <c r="AC109" s="181" t="e">
        <f t="shared" si="10"/>
        <v>#DIV/0!</v>
      </c>
      <c r="AD109" s="181" t="e">
        <f t="shared" si="10"/>
        <v>#DIV/0!</v>
      </c>
      <c r="AE109" s="181" t="e">
        <f t="shared" si="10"/>
        <v>#DIV/0!</v>
      </c>
      <c r="AF109" s="181" t="e">
        <f t="shared" si="10"/>
        <v>#DIV/0!</v>
      </c>
      <c r="AG109" s="181" t="e">
        <f t="shared" si="10"/>
        <v>#DIV/0!</v>
      </c>
      <c r="AH109" s="181" t="e">
        <f t="shared" si="10"/>
        <v>#DIV/0!</v>
      </c>
      <c r="AI109" s="181" t="e">
        <f t="shared" si="10"/>
        <v>#DIV/0!</v>
      </c>
      <c r="AJ109" s="181" t="e">
        <f t="shared" si="10"/>
        <v>#DIV/0!</v>
      </c>
      <c r="AK109" s="181" t="e">
        <f t="shared" si="10"/>
        <v>#DIV/0!</v>
      </c>
    </row>
    <row r="110" spans="2:37" x14ac:dyDescent="0.15">
      <c r="B110" s="108" t="s">
        <v>914</v>
      </c>
      <c r="C110" s="104">
        <f>SUMIFS('caseload data'!E:E,'caseload data'!$D:$D,"SPO",'caseload data'!$A:$A,'divisional &amp; regional overview'!$B$98,'caseload data'!$B:$B,"licence")</f>
        <v>0</v>
      </c>
      <c r="D110" s="104">
        <f>SUMIFS('caseload data'!F:F,'caseload data'!$D:$D,"SPO",'caseload data'!$A:$A,'divisional &amp; regional overview'!$B$98,'caseload data'!$B:$B,"licence")</f>
        <v>0</v>
      </c>
      <c r="E110" s="104">
        <f>SUMIFS('caseload data'!G:G,'caseload data'!$D:$D,"SPO",'caseload data'!$A:$A,'divisional &amp; regional overview'!$B$98,'caseload data'!$B:$B,"licence")</f>
        <v>0</v>
      </c>
      <c r="F110" s="104">
        <f>SUMIFS('caseload data'!H:H,'caseload data'!$D:$D,"SPO",'caseload data'!$A:$A,'divisional &amp; regional overview'!$B$98,'caseload data'!$B:$B,"licence")</f>
        <v>0</v>
      </c>
      <c r="G110" s="104">
        <f>SUMIFS('caseload data'!I:I,'caseload data'!$D:$D,"SPO",'caseload data'!$A:$A,'divisional &amp; regional overview'!$B$98,'caseload data'!$B:$B,"licence")</f>
        <v>0</v>
      </c>
      <c r="H110" s="104">
        <f>SUMIFS('caseload data'!J:J,'caseload data'!$D:$D,"SPO",'caseload data'!$A:$A,'divisional &amp; regional overview'!$B$98,'caseload data'!$B:$B,"licence")</f>
        <v>0</v>
      </c>
      <c r="I110" s="104">
        <f>SUMIFS('caseload data'!K:K,'caseload data'!$D:$D,"SPO",'caseload data'!$A:$A,'divisional &amp; regional overview'!$B$98,'caseload data'!$B:$B,"licence")</f>
        <v>0</v>
      </c>
      <c r="J110" s="104">
        <f>SUMIFS('caseload data'!L:L,'caseload data'!$D:$D,"SPO",'caseload data'!$A:$A,'divisional &amp; regional overview'!$B$98,'caseload data'!$B:$B,"licence")</f>
        <v>0</v>
      </c>
      <c r="K110" s="104">
        <f>SUMIFS('caseload data'!M:M,'caseload data'!$D:$D,"SPO",'caseload data'!$A:$A,'divisional &amp; regional overview'!$B$98,'caseload data'!$B:$B,"licence")</f>
        <v>0</v>
      </c>
      <c r="L110" s="104">
        <f>SUMIFS('caseload data'!N:N,'caseload data'!$D:$D,"SPO",'caseload data'!$A:$A,'divisional &amp; regional overview'!$B$98,'caseload data'!$B:$B,"licence")</f>
        <v>0</v>
      </c>
      <c r="M110" s="104">
        <f>SUMIFS('caseload data'!O:O,'caseload data'!$D:$D,"SPO",'caseload data'!$A:$A,'divisional &amp; regional overview'!$B$98,'caseload data'!$B:$B,"licence")</f>
        <v>0</v>
      </c>
      <c r="N110" s="104">
        <f>SUMIFS('caseload data'!P:P,'caseload data'!$D:$D,"SPO",'caseload data'!$A:$A,'divisional &amp; regional overview'!$B$98,'caseload data'!$B:$B,"licence")</f>
        <v>0</v>
      </c>
      <c r="O110" s="104">
        <f>SUMIFS('caseload data'!Q:Q,'caseload data'!$D:$D,"SPO",'caseload data'!$A:$A,'divisional &amp; regional overview'!$B$98,'caseload data'!$B:$B,"licence")</f>
        <v>0</v>
      </c>
      <c r="P110" s="104">
        <f>SUMIFS('caseload data'!R:R,'caseload data'!$D:$D,"SPO",'caseload data'!$A:$A,'divisional &amp; regional overview'!$B$98,'caseload data'!$B:$B,"licence")</f>
        <v>0</v>
      </c>
      <c r="Q110" s="104">
        <f>SUMIFS('caseload data'!S:S,'caseload data'!$D:$D,"SPO",'caseload data'!$A:$A,'divisional &amp; regional overview'!$B$98,'caseload data'!$B:$B,"licence")</f>
        <v>0</v>
      </c>
      <c r="R110" s="104">
        <f>SUMIFS('caseload data'!T:T,'caseload data'!$D:$D,"SPO",'caseload data'!$A:$A,'divisional &amp; regional overview'!$B$98,'caseload data'!$B:$B,"licence")</f>
        <v>0</v>
      </c>
      <c r="U110" s="108" t="s">
        <v>914</v>
      </c>
      <c r="V110" s="181" t="e">
        <f>C$110/SUM(C$107:C$110)</f>
        <v>#DIV/0!</v>
      </c>
      <c r="W110" s="181" t="e">
        <f t="shared" ref="W110:AK110" si="11">D$110/SUM(D$107:D$110)</f>
        <v>#DIV/0!</v>
      </c>
      <c r="X110" s="181" t="e">
        <f t="shared" si="11"/>
        <v>#DIV/0!</v>
      </c>
      <c r="Y110" s="181" t="e">
        <f t="shared" si="11"/>
        <v>#DIV/0!</v>
      </c>
      <c r="Z110" s="181" t="e">
        <f t="shared" si="11"/>
        <v>#DIV/0!</v>
      </c>
      <c r="AA110" s="181" t="e">
        <f t="shared" si="11"/>
        <v>#DIV/0!</v>
      </c>
      <c r="AB110" s="181" t="e">
        <f t="shared" si="11"/>
        <v>#DIV/0!</v>
      </c>
      <c r="AC110" s="181" t="e">
        <f t="shared" si="11"/>
        <v>#DIV/0!</v>
      </c>
      <c r="AD110" s="181" t="e">
        <f t="shared" si="11"/>
        <v>#DIV/0!</v>
      </c>
      <c r="AE110" s="181" t="e">
        <f t="shared" si="11"/>
        <v>#DIV/0!</v>
      </c>
      <c r="AF110" s="181" t="e">
        <f t="shared" si="11"/>
        <v>#DIV/0!</v>
      </c>
      <c r="AG110" s="181" t="e">
        <f t="shared" si="11"/>
        <v>#DIV/0!</v>
      </c>
      <c r="AH110" s="181" t="e">
        <f t="shared" si="11"/>
        <v>#DIV/0!</v>
      </c>
      <c r="AI110" s="181" t="e">
        <f t="shared" si="11"/>
        <v>#DIV/0!</v>
      </c>
      <c r="AJ110" s="181" t="e">
        <f t="shared" si="11"/>
        <v>#DIV/0!</v>
      </c>
      <c r="AK110" s="181" t="e">
        <f t="shared" si="11"/>
        <v>#DIV/0!</v>
      </c>
    </row>
    <row r="111" spans="2:37" x14ac:dyDescent="0.15">
      <c r="B111" s="23"/>
    </row>
    <row r="112" spans="2:37" x14ac:dyDescent="0.15">
      <c r="B112" s="58" t="str">
        <f>B5</f>
        <v>London</v>
      </c>
      <c r="C112" s="297" t="s">
        <v>1068</v>
      </c>
      <c r="D112" s="298"/>
      <c r="E112" s="298"/>
      <c r="F112" s="298"/>
      <c r="G112" s="298"/>
      <c r="H112" s="298"/>
      <c r="I112" s="298"/>
      <c r="J112" s="298"/>
      <c r="K112" s="298"/>
      <c r="L112" s="298"/>
      <c r="M112" s="298"/>
      <c r="N112" s="298"/>
      <c r="O112" s="298"/>
      <c r="P112" s="298"/>
      <c r="Q112" s="298"/>
      <c r="R112" s="298"/>
      <c r="U112" s="58" t="str">
        <f>B5</f>
        <v>London</v>
      </c>
      <c r="V112" s="297" t="s">
        <v>1069</v>
      </c>
      <c r="W112" s="298"/>
      <c r="X112" s="298"/>
      <c r="Y112" s="298"/>
      <c r="Z112" s="298"/>
      <c r="AA112" s="298"/>
      <c r="AB112" s="298"/>
      <c r="AC112" s="298"/>
      <c r="AD112" s="298"/>
      <c r="AE112" s="298"/>
      <c r="AF112" s="298"/>
      <c r="AG112" s="298"/>
      <c r="AH112" s="298"/>
      <c r="AI112" s="298"/>
      <c r="AJ112" s="298"/>
      <c r="AK112" s="298"/>
    </row>
    <row r="113" spans="2:37" x14ac:dyDescent="0.15">
      <c r="B113" s="105" t="s">
        <v>1065</v>
      </c>
      <c r="C113" s="41" t="s">
        <v>922</v>
      </c>
      <c r="D113" s="41" t="s">
        <v>923</v>
      </c>
      <c r="E113" s="41" t="s">
        <v>924</v>
      </c>
      <c r="F113" s="41" t="s">
        <v>925</v>
      </c>
      <c r="G113" s="41" t="s">
        <v>926</v>
      </c>
      <c r="H113" s="41" t="s">
        <v>927</v>
      </c>
      <c r="I113" s="41" t="s">
        <v>928</v>
      </c>
      <c r="J113" s="41" t="s">
        <v>929</v>
      </c>
      <c r="K113" s="41" t="s">
        <v>930</v>
      </c>
      <c r="L113" s="41" t="s">
        <v>931</v>
      </c>
      <c r="M113" s="41" t="s">
        <v>932</v>
      </c>
      <c r="N113" s="41" t="s">
        <v>933</v>
      </c>
      <c r="O113" s="41" t="s">
        <v>934</v>
      </c>
      <c r="P113" s="41" t="s">
        <v>935</v>
      </c>
      <c r="Q113" s="41" t="s">
        <v>936</v>
      </c>
      <c r="R113" s="41" t="s">
        <v>937</v>
      </c>
      <c r="U113" s="105" t="s">
        <v>1065</v>
      </c>
      <c r="V113" s="41" t="s">
        <v>922</v>
      </c>
      <c r="W113" s="41" t="s">
        <v>923</v>
      </c>
      <c r="X113" s="41" t="s">
        <v>924</v>
      </c>
      <c r="Y113" s="41" t="s">
        <v>925</v>
      </c>
      <c r="Z113" s="41" t="s">
        <v>926</v>
      </c>
      <c r="AA113" s="41" t="s">
        <v>927</v>
      </c>
      <c r="AB113" s="41" t="s">
        <v>928</v>
      </c>
      <c r="AC113" s="41" t="s">
        <v>929</v>
      </c>
      <c r="AD113" s="41" t="s">
        <v>930</v>
      </c>
      <c r="AE113" s="41" t="s">
        <v>931</v>
      </c>
      <c r="AF113" s="41" t="s">
        <v>932</v>
      </c>
      <c r="AG113" s="41" t="s">
        <v>933</v>
      </c>
      <c r="AH113" s="41" t="s">
        <v>934</v>
      </c>
      <c r="AI113" s="41" t="s">
        <v>935</v>
      </c>
      <c r="AJ113" s="41" t="s">
        <v>936</v>
      </c>
      <c r="AK113" s="41" t="s">
        <v>937</v>
      </c>
    </row>
    <row r="114" spans="2:37" x14ac:dyDescent="0.15">
      <c r="B114" s="106" t="s">
        <v>911</v>
      </c>
      <c r="C114" s="104">
        <f>SUMIFS('caseload data'!E:E,'caseload data'!$D:$D,"PO",'caseload data'!$A:$A,'divisional &amp; regional overview'!$B$98,'caseload data'!$B:$B,"custody")</f>
        <v>0</v>
      </c>
      <c r="D114" s="104">
        <f>SUMIFS('caseload data'!F:F,'caseload data'!$D:$D,"PO",'caseload data'!$A:$A,'divisional &amp; regional overview'!$B$98,'caseload data'!$B:$B,"custody")</f>
        <v>0</v>
      </c>
      <c r="E114" s="104">
        <f>SUMIFS('caseload data'!G:G,'caseload data'!$D:$D,"PO",'caseload data'!$A:$A,'divisional &amp; regional overview'!$B$98,'caseload data'!$B:$B,"custody")</f>
        <v>0</v>
      </c>
      <c r="F114" s="104">
        <f>SUMIFS('caseload data'!H:H,'caseload data'!$D:$D,"PO",'caseload data'!$A:$A,'divisional &amp; regional overview'!$B$98,'caseload data'!$B:$B,"custody")</f>
        <v>0</v>
      </c>
      <c r="G114" s="104">
        <f>SUMIFS('caseload data'!I:I,'caseload data'!$D:$D,"PO",'caseload data'!$A:$A,'divisional &amp; regional overview'!$B$98,'caseload data'!$B:$B,"custody")</f>
        <v>0</v>
      </c>
      <c r="H114" s="104">
        <f>SUMIFS('caseload data'!J:J,'caseload data'!$D:$D,"PO",'caseload data'!$A:$A,'divisional &amp; regional overview'!$B$98,'caseload data'!$B:$B,"custody")</f>
        <v>0</v>
      </c>
      <c r="I114" s="104">
        <f>SUMIFS('caseload data'!K:K,'caseload data'!$D:$D,"PO",'caseload data'!$A:$A,'divisional &amp; regional overview'!$B$98,'caseload data'!$B:$B,"custody")</f>
        <v>0</v>
      </c>
      <c r="J114" s="104">
        <f>SUMIFS('caseload data'!L:L,'caseload data'!$D:$D,"PO",'caseload data'!$A:$A,'divisional &amp; regional overview'!$B$98,'caseload data'!$B:$B,"custody")</f>
        <v>0</v>
      </c>
      <c r="K114" s="104">
        <f>SUMIFS('caseload data'!M:M,'caseload data'!$D:$D,"PO",'caseload data'!$A:$A,'divisional &amp; regional overview'!$B$98,'caseload data'!$B:$B,"custody")</f>
        <v>0</v>
      </c>
      <c r="L114" s="104">
        <f>SUMIFS('caseload data'!N:N,'caseload data'!$D:$D,"PO",'caseload data'!$A:$A,'divisional &amp; regional overview'!$B$98,'caseload data'!$B:$B,"custody")</f>
        <v>0</v>
      </c>
      <c r="M114" s="104">
        <f>SUMIFS('caseload data'!O:O,'caseload data'!$D:$D,"PO",'caseload data'!$A:$A,'divisional &amp; regional overview'!$B$98,'caseload data'!$B:$B,"custody")</f>
        <v>0</v>
      </c>
      <c r="N114" s="104">
        <f>SUMIFS('caseload data'!P:P,'caseload data'!$D:$D,"PO",'caseload data'!$A:$A,'divisional &amp; regional overview'!$B$98,'caseload data'!$B:$B,"custody")</f>
        <v>0</v>
      </c>
      <c r="O114" s="104">
        <f>SUMIFS('caseload data'!Q:Q,'caseload data'!$D:$D,"PO",'caseload data'!$A:$A,'divisional &amp; regional overview'!$B$98,'caseload data'!$B:$B,"custody")</f>
        <v>0</v>
      </c>
      <c r="P114" s="104">
        <f>SUMIFS('caseload data'!R:R,'caseload data'!$D:$D,"PO",'caseload data'!$A:$A,'divisional &amp; regional overview'!$B$98,'caseload data'!$B:$B,"custody")</f>
        <v>0</v>
      </c>
      <c r="Q114" s="104">
        <f>SUMIFS('caseload data'!S:S,'caseload data'!$D:$D,"PO",'caseload data'!$A:$A,'divisional &amp; regional overview'!$B$98,'caseload data'!$B:$B,"custody")</f>
        <v>0</v>
      </c>
      <c r="R114" s="104">
        <f>SUMIFS('caseload data'!T:T,'caseload data'!$D:$D,"PO",'caseload data'!$A:$A,'divisional &amp; regional overview'!$B$98,'caseload data'!$B:$B,"custody")</f>
        <v>0</v>
      </c>
      <c r="U114" s="106" t="s">
        <v>911</v>
      </c>
      <c r="V114" s="181" t="e">
        <f>C$114/SUM(C$114:C$117)</f>
        <v>#DIV/0!</v>
      </c>
      <c r="W114" s="181" t="e">
        <f t="shared" ref="W114:AK114" si="12">D$114/SUM(D$114:D$117)</f>
        <v>#DIV/0!</v>
      </c>
      <c r="X114" s="181" t="e">
        <f t="shared" si="12"/>
        <v>#DIV/0!</v>
      </c>
      <c r="Y114" s="181" t="e">
        <f t="shared" si="12"/>
        <v>#DIV/0!</v>
      </c>
      <c r="Z114" s="181" t="e">
        <f t="shared" si="12"/>
        <v>#DIV/0!</v>
      </c>
      <c r="AA114" s="181" t="e">
        <f t="shared" si="12"/>
        <v>#DIV/0!</v>
      </c>
      <c r="AB114" s="181" t="e">
        <f t="shared" si="12"/>
        <v>#DIV/0!</v>
      </c>
      <c r="AC114" s="181" t="e">
        <f t="shared" si="12"/>
        <v>#DIV/0!</v>
      </c>
      <c r="AD114" s="181" t="e">
        <f t="shared" si="12"/>
        <v>#DIV/0!</v>
      </c>
      <c r="AE114" s="181" t="e">
        <f t="shared" si="12"/>
        <v>#DIV/0!</v>
      </c>
      <c r="AF114" s="181" t="e">
        <f t="shared" si="12"/>
        <v>#DIV/0!</v>
      </c>
      <c r="AG114" s="181" t="e">
        <f t="shared" si="12"/>
        <v>#DIV/0!</v>
      </c>
      <c r="AH114" s="181" t="e">
        <f t="shared" si="12"/>
        <v>#DIV/0!</v>
      </c>
      <c r="AI114" s="181" t="e">
        <f t="shared" si="12"/>
        <v>#DIV/0!</v>
      </c>
      <c r="AJ114" s="181" t="e">
        <f t="shared" si="12"/>
        <v>#DIV/0!</v>
      </c>
      <c r="AK114" s="181" t="e">
        <f t="shared" si="12"/>
        <v>#DIV/0!</v>
      </c>
    </row>
    <row r="115" spans="2:37" x14ac:dyDescent="0.15">
      <c r="B115" s="107" t="s">
        <v>912</v>
      </c>
      <c r="C115" s="104">
        <f>SUMIFS('caseload data'!E:E,'caseload data'!$D:$D,"PSO",'caseload data'!$A:$A,'divisional &amp; regional overview'!$B$98,'caseload data'!$B:$B,"custody")</f>
        <v>0</v>
      </c>
      <c r="D115" s="104">
        <f>SUMIFS('caseload data'!F:F,'caseload data'!$D:$D,"PSO",'caseload data'!$A:$A,'divisional &amp; regional overview'!$B$98,'caseload data'!$B:$B,"custody")</f>
        <v>0</v>
      </c>
      <c r="E115" s="104">
        <f>SUMIFS('caseload data'!G:G,'caseload data'!$D:$D,"PSO",'caseload data'!$A:$A,'divisional &amp; regional overview'!$B$98,'caseload data'!$B:$B,"custody")</f>
        <v>0</v>
      </c>
      <c r="F115" s="104">
        <f>SUMIFS('caseload data'!H:H,'caseload data'!$D:$D,"PSO",'caseload data'!$A:$A,'divisional &amp; regional overview'!$B$98,'caseload data'!$B:$B,"custody")</f>
        <v>0</v>
      </c>
      <c r="G115" s="104">
        <f>SUMIFS('caseload data'!I:I,'caseload data'!$D:$D,"PSO",'caseload data'!$A:$A,'divisional &amp; regional overview'!$B$98,'caseload data'!$B:$B,"custody")</f>
        <v>0</v>
      </c>
      <c r="H115" s="104">
        <f>SUMIFS('caseload data'!J:J,'caseload data'!$D:$D,"PSO",'caseload data'!$A:$A,'divisional &amp; regional overview'!$B$98,'caseload data'!$B:$B,"custody")</f>
        <v>0</v>
      </c>
      <c r="I115" s="104">
        <f>SUMIFS('caseload data'!K:K,'caseload data'!$D:$D,"PSO",'caseload data'!$A:$A,'divisional &amp; regional overview'!$B$98,'caseload data'!$B:$B,"custody")</f>
        <v>0</v>
      </c>
      <c r="J115" s="104">
        <f>SUMIFS('caseload data'!L:L,'caseload data'!$D:$D,"PSO",'caseload data'!$A:$A,'divisional &amp; regional overview'!$B$98,'caseload data'!$B:$B,"custody")</f>
        <v>0</v>
      </c>
      <c r="K115" s="104">
        <f>SUMIFS('caseload data'!M:M,'caseload data'!$D:$D,"PSO",'caseload data'!$A:$A,'divisional &amp; regional overview'!$B$98,'caseload data'!$B:$B,"custody")</f>
        <v>0</v>
      </c>
      <c r="L115" s="104">
        <f>SUMIFS('caseload data'!N:N,'caseload data'!$D:$D,"PSO",'caseload data'!$A:$A,'divisional &amp; regional overview'!$B$98,'caseload data'!$B:$B,"custody")</f>
        <v>0</v>
      </c>
      <c r="M115" s="104">
        <f>SUMIFS('caseload data'!O:O,'caseload data'!$D:$D,"PSO",'caseload data'!$A:$A,'divisional &amp; regional overview'!$B$98,'caseload data'!$B:$B,"custody")</f>
        <v>0</v>
      </c>
      <c r="N115" s="104">
        <f>SUMIFS('caseload data'!P:P,'caseload data'!$D:$D,"PSO",'caseload data'!$A:$A,'divisional &amp; regional overview'!$B$98,'caseload data'!$B:$B,"custody")</f>
        <v>0</v>
      </c>
      <c r="O115" s="104">
        <f>SUMIFS('caseload data'!Q:Q,'caseload data'!$D:$D,"PSO",'caseload data'!$A:$A,'divisional &amp; regional overview'!$B$98,'caseload data'!$B:$B,"custody")</f>
        <v>0</v>
      </c>
      <c r="P115" s="104">
        <f>SUMIFS('caseload data'!R:R,'caseload data'!$D:$D,"PSO",'caseload data'!$A:$A,'divisional &amp; regional overview'!$B$98,'caseload data'!$B:$B,"custody")</f>
        <v>0</v>
      </c>
      <c r="Q115" s="104">
        <f>SUMIFS('caseload data'!S:S,'caseload data'!$D:$D,"PSO",'caseload data'!$A:$A,'divisional &amp; regional overview'!$B$98,'caseload data'!$B:$B,"custody")</f>
        <v>0</v>
      </c>
      <c r="R115" s="104">
        <f>SUMIFS('caseload data'!T:T,'caseload data'!$D:$D,"PSO",'caseload data'!$A:$A,'divisional &amp; regional overview'!$B$98,'caseload data'!$B:$B,"custody")</f>
        <v>0</v>
      </c>
      <c r="U115" s="107" t="s">
        <v>912</v>
      </c>
      <c r="V115" s="181" t="e">
        <f>C$115/SUM(C$114:C$117)</f>
        <v>#DIV/0!</v>
      </c>
      <c r="W115" s="181" t="e">
        <f t="shared" ref="W115:AK115" si="13">D$115/SUM(D$114:D$117)</f>
        <v>#DIV/0!</v>
      </c>
      <c r="X115" s="181" t="e">
        <f t="shared" si="13"/>
        <v>#DIV/0!</v>
      </c>
      <c r="Y115" s="181" t="e">
        <f t="shared" si="13"/>
        <v>#DIV/0!</v>
      </c>
      <c r="Z115" s="181" t="e">
        <f t="shared" si="13"/>
        <v>#DIV/0!</v>
      </c>
      <c r="AA115" s="181" t="e">
        <f t="shared" si="13"/>
        <v>#DIV/0!</v>
      </c>
      <c r="AB115" s="181" t="e">
        <f t="shared" si="13"/>
        <v>#DIV/0!</v>
      </c>
      <c r="AC115" s="181" t="e">
        <f t="shared" si="13"/>
        <v>#DIV/0!</v>
      </c>
      <c r="AD115" s="181" t="e">
        <f t="shared" si="13"/>
        <v>#DIV/0!</v>
      </c>
      <c r="AE115" s="181" t="e">
        <f t="shared" si="13"/>
        <v>#DIV/0!</v>
      </c>
      <c r="AF115" s="181" t="e">
        <f t="shared" si="13"/>
        <v>#DIV/0!</v>
      </c>
      <c r="AG115" s="181" t="e">
        <f t="shared" si="13"/>
        <v>#DIV/0!</v>
      </c>
      <c r="AH115" s="181" t="e">
        <f t="shared" si="13"/>
        <v>#DIV/0!</v>
      </c>
      <c r="AI115" s="181" t="e">
        <f t="shared" si="13"/>
        <v>#DIV/0!</v>
      </c>
      <c r="AJ115" s="181" t="e">
        <f t="shared" si="13"/>
        <v>#DIV/0!</v>
      </c>
      <c r="AK115" s="181" t="e">
        <f t="shared" si="13"/>
        <v>#DIV/0!</v>
      </c>
    </row>
    <row r="116" spans="2:37" x14ac:dyDescent="0.15">
      <c r="B116" s="107" t="s">
        <v>913</v>
      </c>
      <c r="C116" s="104">
        <f>SUMIFS('caseload data'!E:E,'caseload data'!$D:$D,"TPO",'caseload data'!$A:$A,'divisional &amp; regional overview'!$B$98,'caseload data'!$B:$B,"custody")</f>
        <v>0</v>
      </c>
      <c r="D116" s="104">
        <f>SUMIFS('caseload data'!F:F,'caseload data'!$D:$D,"TPO",'caseload data'!$A:$A,'divisional &amp; regional overview'!$B$98,'caseload data'!$B:$B,"custody")</f>
        <v>0</v>
      </c>
      <c r="E116" s="104">
        <f>SUMIFS('caseload data'!G:G,'caseload data'!$D:$D,"TPO",'caseload data'!$A:$A,'divisional &amp; regional overview'!$B$98,'caseload data'!$B:$B,"custody")</f>
        <v>0</v>
      </c>
      <c r="F116" s="104">
        <f>SUMIFS('caseload data'!H:H,'caseload data'!$D:$D,"TPO",'caseload data'!$A:$A,'divisional &amp; regional overview'!$B$98,'caseload data'!$B:$B,"custody")</f>
        <v>0</v>
      </c>
      <c r="G116" s="104">
        <f>SUMIFS('caseload data'!I:I,'caseload data'!$D:$D,"TPO",'caseload data'!$A:$A,'divisional &amp; regional overview'!$B$98,'caseload data'!$B:$B,"custody")</f>
        <v>0</v>
      </c>
      <c r="H116" s="104">
        <f>SUMIFS('caseload data'!J:J,'caseload data'!$D:$D,"TPO",'caseload data'!$A:$A,'divisional &amp; regional overview'!$B$98,'caseload data'!$B:$B,"custody")</f>
        <v>0</v>
      </c>
      <c r="I116" s="104">
        <f>SUMIFS('caseload data'!K:K,'caseload data'!$D:$D,"TPO",'caseload data'!$A:$A,'divisional &amp; regional overview'!$B$98,'caseload data'!$B:$B,"custody")</f>
        <v>0</v>
      </c>
      <c r="J116" s="104">
        <f>SUMIFS('caseload data'!L:L,'caseload data'!$D:$D,"TPO",'caseload data'!$A:$A,'divisional &amp; regional overview'!$B$98,'caseload data'!$B:$B,"custody")</f>
        <v>0</v>
      </c>
      <c r="K116" s="104">
        <f>SUMIFS('caseload data'!M:M,'caseload data'!$D:$D,"TPO",'caseload data'!$A:$A,'divisional &amp; regional overview'!$B$98,'caseload data'!$B:$B,"custody")</f>
        <v>0</v>
      </c>
      <c r="L116" s="104">
        <f>SUMIFS('caseload data'!N:N,'caseload data'!$D:$D,"TPO",'caseload data'!$A:$A,'divisional &amp; regional overview'!$B$98,'caseload data'!$B:$B,"custody")</f>
        <v>0</v>
      </c>
      <c r="M116" s="104">
        <f>SUMIFS('caseload data'!O:O,'caseload data'!$D:$D,"TPO",'caseload data'!$A:$A,'divisional &amp; regional overview'!$B$98,'caseload data'!$B:$B,"custody")</f>
        <v>0</v>
      </c>
      <c r="N116" s="104">
        <f>SUMIFS('caseload data'!P:P,'caseload data'!$D:$D,"TPO",'caseload data'!$A:$A,'divisional &amp; regional overview'!$B$98,'caseload data'!$B:$B,"custody")</f>
        <v>0</v>
      </c>
      <c r="O116" s="104">
        <f>SUMIFS('caseload data'!Q:Q,'caseload data'!$D:$D,"TPO",'caseload data'!$A:$A,'divisional &amp; regional overview'!$B$98,'caseload data'!$B:$B,"custody")</f>
        <v>0</v>
      </c>
      <c r="P116" s="104">
        <f>SUMIFS('caseload data'!R:R,'caseload data'!$D:$D,"TPO",'caseload data'!$A:$A,'divisional &amp; regional overview'!$B$98,'caseload data'!$B:$B,"custody")</f>
        <v>0</v>
      </c>
      <c r="Q116" s="104">
        <f>SUMIFS('caseload data'!S:S,'caseload data'!$D:$D,"TPO",'caseload data'!$A:$A,'divisional &amp; regional overview'!$B$98,'caseload data'!$B:$B,"custody")</f>
        <v>0</v>
      </c>
      <c r="R116" s="104">
        <f>SUMIFS('caseload data'!T:T,'caseload data'!$D:$D,"TPO",'caseload data'!$A:$A,'divisional &amp; regional overview'!$B$98,'caseload data'!$B:$B,"custody")</f>
        <v>0</v>
      </c>
      <c r="U116" s="107" t="s">
        <v>913</v>
      </c>
      <c r="V116" s="181" t="e">
        <f>C$116/SUM(C$114:C$117)</f>
        <v>#DIV/0!</v>
      </c>
      <c r="W116" s="181" t="e">
        <f t="shared" ref="W116:AK116" si="14">D$116/SUM(D$114:D$117)</f>
        <v>#DIV/0!</v>
      </c>
      <c r="X116" s="181" t="e">
        <f t="shared" si="14"/>
        <v>#DIV/0!</v>
      </c>
      <c r="Y116" s="181" t="e">
        <f t="shared" si="14"/>
        <v>#DIV/0!</v>
      </c>
      <c r="Z116" s="181" t="e">
        <f t="shared" si="14"/>
        <v>#DIV/0!</v>
      </c>
      <c r="AA116" s="181" t="e">
        <f t="shared" si="14"/>
        <v>#DIV/0!</v>
      </c>
      <c r="AB116" s="181" t="e">
        <f t="shared" si="14"/>
        <v>#DIV/0!</v>
      </c>
      <c r="AC116" s="181" t="e">
        <f t="shared" si="14"/>
        <v>#DIV/0!</v>
      </c>
      <c r="AD116" s="181" t="e">
        <f t="shared" si="14"/>
        <v>#DIV/0!</v>
      </c>
      <c r="AE116" s="181" t="e">
        <f t="shared" si="14"/>
        <v>#DIV/0!</v>
      </c>
      <c r="AF116" s="181" t="e">
        <f t="shared" si="14"/>
        <v>#DIV/0!</v>
      </c>
      <c r="AG116" s="181" t="e">
        <f t="shared" si="14"/>
        <v>#DIV/0!</v>
      </c>
      <c r="AH116" s="181" t="e">
        <f t="shared" si="14"/>
        <v>#DIV/0!</v>
      </c>
      <c r="AI116" s="181" t="e">
        <f t="shared" si="14"/>
        <v>#DIV/0!</v>
      </c>
      <c r="AJ116" s="181" t="e">
        <f t="shared" si="14"/>
        <v>#DIV/0!</v>
      </c>
      <c r="AK116" s="181" t="e">
        <f t="shared" si="14"/>
        <v>#DIV/0!</v>
      </c>
    </row>
    <row r="117" spans="2:37" x14ac:dyDescent="0.15">
      <c r="B117" s="108" t="s">
        <v>914</v>
      </c>
      <c r="C117" s="104">
        <f>SUMIFS('caseload data'!E:E,'caseload data'!$D:$D,"SPO",'caseload data'!$A:$A,'divisional &amp; regional overview'!$B$98,'caseload data'!$B:$B,"custody")</f>
        <v>0</v>
      </c>
      <c r="D117" s="104">
        <f>SUMIFS('caseload data'!F:F,'caseload data'!$D:$D,"SPO",'caseload data'!$A:$A,'divisional &amp; regional overview'!$B$98,'caseload data'!$B:$B,"custody")</f>
        <v>0</v>
      </c>
      <c r="E117" s="104">
        <f>SUMIFS('caseload data'!G:G,'caseload data'!$D:$D,"SPO",'caseload data'!$A:$A,'divisional &amp; regional overview'!$B$98,'caseload data'!$B:$B,"custody")</f>
        <v>0</v>
      </c>
      <c r="F117" s="104">
        <f>SUMIFS('caseload data'!H:H,'caseload data'!$D:$D,"SPO",'caseload data'!$A:$A,'divisional &amp; regional overview'!$B$98,'caseload data'!$B:$B,"custody")</f>
        <v>0</v>
      </c>
      <c r="G117" s="104">
        <f>SUMIFS('caseload data'!I:I,'caseload data'!$D:$D,"SPO",'caseload data'!$A:$A,'divisional &amp; regional overview'!$B$98,'caseload data'!$B:$B,"custody")</f>
        <v>0</v>
      </c>
      <c r="H117" s="104">
        <f>SUMIFS('caseload data'!J:J,'caseload data'!$D:$D,"SPO",'caseload data'!$A:$A,'divisional &amp; regional overview'!$B$98,'caseload data'!$B:$B,"custody")</f>
        <v>0</v>
      </c>
      <c r="I117" s="104">
        <f>SUMIFS('caseload data'!K:K,'caseload data'!$D:$D,"SPO",'caseload data'!$A:$A,'divisional &amp; regional overview'!$B$98,'caseload data'!$B:$B,"custody")</f>
        <v>0</v>
      </c>
      <c r="J117" s="104">
        <f>SUMIFS('caseload data'!L:L,'caseload data'!$D:$D,"SPO",'caseload data'!$A:$A,'divisional &amp; regional overview'!$B$98,'caseload data'!$B:$B,"custody")</f>
        <v>0</v>
      </c>
      <c r="K117" s="104">
        <f>SUMIFS('caseload data'!M:M,'caseload data'!$D:$D,"SPO",'caseload data'!$A:$A,'divisional &amp; regional overview'!$B$98,'caseload data'!$B:$B,"custody")</f>
        <v>0</v>
      </c>
      <c r="L117" s="104">
        <f>SUMIFS('caseload data'!N:N,'caseload data'!$D:$D,"SPO",'caseload data'!$A:$A,'divisional &amp; regional overview'!$B$98,'caseload data'!$B:$B,"custody")</f>
        <v>0</v>
      </c>
      <c r="M117" s="104">
        <f>SUMIFS('caseload data'!O:O,'caseload data'!$D:$D,"SPO",'caseload data'!$A:$A,'divisional &amp; regional overview'!$B$98,'caseload data'!$B:$B,"custody")</f>
        <v>0</v>
      </c>
      <c r="N117" s="104">
        <f>SUMIFS('caseload data'!P:P,'caseload data'!$D:$D,"SPO",'caseload data'!$A:$A,'divisional &amp; regional overview'!$B$98,'caseload data'!$B:$B,"custody")</f>
        <v>0</v>
      </c>
      <c r="O117" s="104">
        <f>SUMIFS('caseload data'!Q:Q,'caseload data'!$D:$D,"SPO",'caseload data'!$A:$A,'divisional &amp; regional overview'!$B$98,'caseload data'!$B:$B,"custody")</f>
        <v>0</v>
      </c>
      <c r="P117" s="104">
        <f>SUMIFS('caseload data'!R:R,'caseload data'!$D:$D,"SPO",'caseload data'!$A:$A,'divisional &amp; regional overview'!$B$98,'caseload data'!$B:$B,"custody")</f>
        <v>0</v>
      </c>
      <c r="Q117" s="104">
        <f>SUMIFS('caseload data'!S:S,'caseload data'!$D:$D,"SPO",'caseload data'!$A:$A,'divisional &amp; regional overview'!$B$98,'caseload data'!$B:$B,"custody")</f>
        <v>0</v>
      </c>
      <c r="R117" s="104">
        <f>SUMIFS('caseload data'!T:T,'caseload data'!$D:$D,"SPO",'caseload data'!$A:$A,'divisional &amp; regional overview'!$B$98,'caseload data'!$B:$B,"custody")</f>
        <v>0</v>
      </c>
      <c r="U117" s="108" t="s">
        <v>914</v>
      </c>
      <c r="V117" s="181" t="e">
        <f>C$117/SUM(C$114:C$117)</f>
        <v>#DIV/0!</v>
      </c>
      <c r="W117" s="181" t="e">
        <f t="shared" ref="W117:AK117" si="15">D$117/SUM(D$114:D$117)</f>
        <v>#DIV/0!</v>
      </c>
      <c r="X117" s="181" t="e">
        <f t="shared" si="15"/>
        <v>#DIV/0!</v>
      </c>
      <c r="Y117" s="181" t="e">
        <f t="shared" si="15"/>
        <v>#DIV/0!</v>
      </c>
      <c r="Z117" s="181" t="e">
        <f t="shared" si="15"/>
        <v>#DIV/0!</v>
      </c>
      <c r="AA117" s="181" t="e">
        <f t="shared" si="15"/>
        <v>#DIV/0!</v>
      </c>
      <c r="AB117" s="181" t="e">
        <f t="shared" si="15"/>
        <v>#DIV/0!</v>
      </c>
      <c r="AC117" s="181" t="e">
        <f t="shared" si="15"/>
        <v>#DIV/0!</v>
      </c>
      <c r="AD117" s="181" t="e">
        <f t="shared" si="15"/>
        <v>#DIV/0!</v>
      </c>
      <c r="AE117" s="181" t="e">
        <f t="shared" si="15"/>
        <v>#DIV/0!</v>
      </c>
      <c r="AF117" s="181" t="e">
        <f t="shared" si="15"/>
        <v>#DIV/0!</v>
      </c>
      <c r="AG117" s="181" t="e">
        <f t="shared" si="15"/>
        <v>#DIV/0!</v>
      </c>
      <c r="AH117" s="181" t="e">
        <f t="shared" si="15"/>
        <v>#DIV/0!</v>
      </c>
      <c r="AI117" s="181" t="e">
        <f t="shared" si="15"/>
        <v>#DIV/0!</v>
      </c>
      <c r="AJ117" s="181" t="e">
        <f t="shared" si="15"/>
        <v>#DIV/0!</v>
      </c>
      <c r="AK117" s="181" t="e">
        <f t="shared" si="15"/>
        <v>#DIV/0!</v>
      </c>
    </row>
    <row r="118" spans="2:37" x14ac:dyDescent="0.15">
      <c r="B118" s="23"/>
    </row>
    <row r="119" spans="2:37" x14ac:dyDescent="0.15">
      <c r="B119" s="58" t="str">
        <f>B5</f>
        <v>London</v>
      </c>
      <c r="C119" s="297" t="s">
        <v>1070</v>
      </c>
      <c r="D119" s="298"/>
      <c r="E119" s="298"/>
      <c r="F119" s="298"/>
      <c r="G119" s="298"/>
      <c r="H119" s="298"/>
      <c r="I119" s="298"/>
      <c r="J119" s="298"/>
      <c r="K119" s="298"/>
      <c r="L119" s="298"/>
      <c r="M119" s="298"/>
      <c r="N119" s="298"/>
      <c r="O119" s="298"/>
      <c r="P119" s="298"/>
      <c r="Q119" s="298"/>
      <c r="R119" s="298"/>
      <c r="U119" s="58" t="str">
        <f>B5</f>
        <v>London</v>
      </c>
      <c r="V119" s="297" t="s">
        <v>1071</v>
      </c>
      <c r="W119" s="298"/>
      <c r="X119" s="298"/>
      <c r="Y119" s="298"/>
      <c r="Z119" s="298"/>
      <c r="AA119" s="298"/>
      <c r="AB119" s="298"/>
      <c r="AC119" s="298"/>
      <c r="AD119" s="298"/>
      <c r="AE119" s="298"/>
      <c r="AF119" s="298"/>
      <c r="AG119" s="298"/>
      <c r="AH119" s="298"/>
      <c r="AI119" s="298"/>
      <c r="AJ119" s="298"/>
      <c r="AK119" s="298"/>
    </row>
    <row r="120" spans="2:37" x14ac:dyDescent="0.15">
      <c r="B120" s="105" t="s">
        <v>1065</v>
      </c>
      <c r="C120" s="41" t="s">
        <v>922</v>
      </c>
      <c r="D120" s="41" t="s">
        <v>923</v>
      </c>
      <c r="E120" s="41" t="s">
        <v>924</v>
      </c>
      <c r="F120" s="41" t="s">
        <v>925</v>
      </c>
      <c r="G120" s="41" t="s">
        <v>926</v>
      </c>
      <c r="H120" s="41" t="s">
        <v>927</v>
      </c>
      <c r="I120" s="41" t="s">
        <v>928</v>
      </c>
      <c r="J120" s="41" t="s">
        <v>929</v>
      </c>
      <c r="K120" s="41" t="s">
        <v>930</v>
      </c>
      <c r="L120" s="41" t="s">
        <v>931</v>
      </c>
      <c r="M120" s="41" t="s">
        <v>932</v>
      </c>
      <c r="N120" s="41" t="s">
        <v>933</v>
      </c>
      <c r="O120" s="41" t="s">
        <v>934</v>
      </c>
      <c r="P120" s="41" t="s">
        <v>935</v>
      </c>
      <c r="Q120" s="41" t="s">
        <v>936</v>
      </c>
      <c r="R120" s="41" t="s">
        <v>937</v>
      </c>
      <c r="U120" s="105" t="s">
        <v>1065</v>
      </c>
      <c r="V120" s="41" t="s">
        <v>922</v>
      </c>
      <c r="W120" s="41" t="s">
        <v>923</v>
      </c>
      <c r="X120" s="41" t="s">
        <v>924</v>
      </c>
      <c r="Y120" s="41" t="s">
        <v>925</v>
      </c>
      <c r="Z120" s="41" t="s">
        <v>926</v>
      </c>
      <c r="AA120" s="41" t="s">
        <v>927</v>
      </c>
      <c r="AB120" s="41" t="s">
        <v>928</v>
      </c>
      <c r="AC120" s="41" t="s">
        <v>929</v>
      </c>
      <c r="AD120" s="41" t="s">
        <v>930</v>
      </c>
      <c r="AE120" s="41" t="s">
        <v>931</v>
      </c>
      <c r="AF120" s="41" t="s">
        <v>932</v>
      </c>
      <c r="AG120" s="41" t="s">
        <v>933</v>
      </c>
      <c r="AH120" s="41" t="s">
        <v>934</v>
      </c>
      <c r="AI120" s="41" t="s">
        <v>935</v>
      </c>
      <c r="AJ120" s="41" t="s">
        <v>936</v>
      </c>
      <c r="AK120" s="41" t="s">
        <v>937</v>
      </c>
    </row>
    <row r="121" spans="2:37" x14ac:dyDescent="0.15">
      <c r="B121" s="106" t="s">
        <v>911</v>
      </c>
      <c r="C121" s="104">
        <f>SUMIFS('caseload data'!E:E,'caseload data'!$D:$D,"PO",'caseload data'!$A:$A,'divisional &amp; regional overview'!$B$105)</f>
        <v>0</v>
      </c>
      <c r="D121" s="104">
        <f>SUMIFS('caseload data'!F:F,'caseload data'!$D:$D,"PO",'caseload data'!$A:$A,'divisional &amp; regional overview'!$B$105)</f>
        <v>0</v>
      </c>
      <c r="E121" s="104">
        <f>SUMIFS('caseload data'!G:G,'caseload data'!$D:$D,"PO",'caseload data'!$A:$A,'divisional &amp; regional overview'!$B$105)</f>
        <v>0</v>
      </c>
      <c r="F121" s="104">
        <f>SUMIFS('caseload data'!H:H,'caseload data'!$D:$D,"PO",'caseload data'!$A:$A,'divisional &amp; regional overview'!$B$105)</f>
        <v>0</v>
      </c>
      <c r="G121" s="104">
        <f>SUMIFS('caseload data'!I:I,'caseload data'!$D:$D,"PO",'caseload data'!$A:$A,'divisional &amp; regional overview'!$B$105)</f>
        <v>0</v>
      </c>
      <c r="H121" s="104">
        <f>SUMIFS('caseload data'!J:J,'caseload data'!$D:$D,"PO",'caseload data'!$A:$A,'divisional &amp; regional overview'!$B$105)</f>
        <v>0</v>
      </c>
      <c r="I121" s="104">
        <f>SUMIFS('caseload data'!K:K,'caseload data'!$D:$D,"PO",'caseload data'!$A:$A,'divisional &amp; regional overview'!$B$105)</f>
        <v>0</v>
      </c>
      <c r="J121" s="104">
        <f>SUMIFS('caseload data'!L:L,'caseload data'!$D:$D,"PO",'caseload data'!$A:$A,'divisional &amp; regional overview'!$B$105)</f>
        <v>0</v>
      </c>
      <c r="K121" s="104">
        <f>SUMIFS('caseload data'!M:M,'caseload data'!$D:$D,"PO",'caseload data'!$A:$A,'divisional &amp; regional overview'!$B$105)</f>
        <v>0</v>
      </c>
      <c r="L121" s="104">
        <f>SUMIFS('caseload data'!N:N,'caseload data'!$D:$D,"PO",'caseload data'!$A:$A,'divisional &amp; regional overview'!$B$105)</f>
        <v>0</v>
      </c>
      <c r="M121" s="104">
        <f>SUMIFS('caseload data'!O:O,'caseload data'!$D:$D,"PO",'caseload data'!$A:$A,'divisional &amp; regional overview'!$B$105)</f>
        <v>0</v>
      </c>
      <c r="N121" s="104">
        <f>SUMIFS('caseload data'!P:P,'caseload data'!$D:$D,"PO",'caseload data'!$A:$A,'divisional &amp; regional overview'!$B$105)</f>
        <v>0</v>
      </c>
      <c r="O121" s="104">
        <f>SUMIFS('caseload data'!Q:Q,'caseload data'!$D:$D,"PO",'caseload data'!$A:$A,'divisional &amp; regional overview'!$B$105)</f>
        <v>0</v>
      </c>
      <c r="P121" s="104">
        <f>SUMIFS('caseload data'!R:R,'caseload data'!$D:$D,"PO",'caseload data'!$A:$A,'divisional &amp; regional overview'!$B$105)</f>
        <v>0</v>
      </c>
      <c r="Q121" s="104">
        <f>SUMIFS('caseload data'!S:S,'caseload data'!$D:$D,"PO",'caseload data'!$A:$A,'divisional &amp; regional overview'!$B$105)</f>
        <v>0</v>
      </c>
      <c r="R121" s="104">
        <f>SUMIFS('caseload data'!T:T,'caseload data'!$D:$D,"PO",'caseload data'!$A:$A,'divisional &amp; regional overview'!$B$105)</f>
        <v>0</v>
      </c>
      <c r="U121" s="106" t="s">
        <v>911</v>
      </c>
      <c r="V121" s="181" t="e">
        <f>C$121/SUM(C$121:C$124)</f>
        <v>#DIV/0!</v>
      </c>
      <c r="W121" s="181" t="e">
        <f t="shared" ref="W121:AK121" si="16">D$121/SUM(D$121:D$124)</f>
        <v>#DIV/0!</v>
      </c>
      <c r="X121" s="181" t="e">
        <f t="shared" si="16"/>
        <v>#DIV/0!</v>
      </c>
      <c r="Y121" s="181" t="e">
        <f t="shared" si="16"/>
        <v>#DIV/0!</v>
      </c>
      <c r="Z121" s="181" t="e">
        <f t="shared" si="16"/>
        <v>#DIV/0!</v>
      </c>
      <c r="AA121" s="181" t="e">
        <f t="shared" si="16"/>
        <v>#DIV/0!</v>
      </c>
      <c r="AB121" s="181" t="e">
        <f t="shared" si="16"/>
        <v>#DIV/0!</v>
      </c>
      <c r="AC121" s="181" t="e">
        <f t="shared" si="16"/>
        <v>#DIV/0!</v>
      </c>
      <c r="AD121" s="181" t="e">
        <f t="shared" si="16"/>
        <v>#DIV/0!</v>
      </c>
      <c r="AE121" s="181" t="e">
        <f t="shared" si="16"/>
        <v>#DIV/0!</v>
      </c>
      <c r="AF121" s="181" t="e">
        <f t="shared" si="16"/>
        <v>#DIV/0!</v>
      </c>
      <c r="AG121" s="181" t="e">
        <f t="shared" si="16"/>
        <v>#DIV/0!</v>
      </c>
      <c r="AH121" s="181" t="e">
        <f t="shared" si="16"/>
        <v>#DIV/0!</v>
      </c>
      <c r="AI121" s="181" t="e">
        <f t="shared" si="16"/>
        <v>#DIV/0!</v>
      </c>
      <c r="AJ121" s="181" t="e">
        <f t="shared" si="16"/>
        <v>#DIV/0!</v>
      </c>
      <c r="AK121" s="181" t="e">
        <f t="shared" si="16"/>
        <v>#DIV/0!</v>
      </c>
    </row>
    <row r="122" spans="2:37" x14ac:dyDescent="0.15">
      <c r="B122" s="107" t="s">
        <v>912</v>
      </c>
      <c r="C122" s="104">
        <f>SUMIFS('caseload data'!E:E,'caseload data'!$D:$D,"PSO",'caseload data'!$A:$A,'divisional &amp; regional overview'!$B$105)</f>
        <v>0</v>
      </c>
      <c r="D122" s="104">
        <f>SUMIFS('caseload data'!F:F,'caseload data'!$D:$D,"PSO",'caseload data'!$A:$A,'divisional &amp; regional overview'!$B$105)</f>
        <v>0</v>
      </c>
      <c r="E122" s="104">
        <f>SUMIFS('caseload data'!G:G,'caseload data'!$D:$D,"PSO",'caseload data'!$A:$A,'divisional &amp; regional overview'!$B$105)</f>
        <v>0</v>
      </c>
      <c r="F122" s="104">
        <f>SUMIFS('caseload data'!H:H,'caseload data'!$D:$D,"PSO",'caseload data'!$A:$A,'divisional &amp; regional overview'!$B$105)</f>
        <v>0</v>
      </c>
      <c r="G122" s="104">
        <f>SUMIFS('caseload data'!I:I,'caseload data'!$D:$D,"PSO",'caseload data'!$A:$A,'divisional &amp; regional overview'!$B$105)</f>
        <v>0</v>
      </c>
      <c r="H122" s="104">
        <f>SUMIFS('caseload data'!J:J,'caseload data'!$D:$D,"PSO",'caseload data'!$A:$A,'divisional &amp; regional overview'!$B$105)</f>
        <v>0</v>
      </c>
      <c r="I122" s="104">
        <f>SUMIFS('caseload data'!K:K,'caseload data'!$D:$D,"PSO",'caseload data'!$A:$A,'divisional &amp; regional overview'!$B$105)</f>
        <v>0</v>
      </c>
      <c r="J122" s="104">
        <f>SUMIFS('caseload data'!L:L,'caseload data'!$D:$D,"PSO",'caseload data'!$A:$A,'divisional &amp; regional overview'!$B$105)</f>
        <v>0</v>
      </c>
      <c r="K122" s="104">
        <f>SUMIFS('caseload data'!M:M,'caseload data'!$D:$D,"PSO",'caseload data'!$A:$A,'divisional &amp; regional overview'!$B$105)</f>
        <v>0</v>
      </c>
      <c r="L122" s="104">
        <f>SUMIFS('caseload data'!N:N,'caseload data'!$D:$D,"PSO",'caseload data'!$A:$A,'divisional &amp; regional overview'!$B$105)</f>
        <v>0</v>
      </c>
      <c r="M122" s="104">
        <f>SUMIFS('caseload data'!O:O,'caseload data'!$D:$D,"PSO",'caseload data'!$A:$A,'divisional &amp; regional overview'!$B$105)</f>
        <v>0</v>
      </c>
      <c r="N122" s="104">
        <f>SUMIFS('caseload data'!P:P,'caseload data'!$D:$D,"PSO",'caseload data'!$A:$A,'divisional &amp; regional overview'!$B$105)</f>
        <v>0</v>
      </c>
      <c r="O122" s="104">
        <f>SUMIFS('caseload data'!Q:Q,'caseload data'!$D:$D,"PSO",'caseload data'!$A:$A,'divisional &amp; regional overview'!$B$105)</f>
        <v>0</v>
      </c>
      <c r="P122" s="104">
        <f>SUMIFS('caseload data'!R:R,'caseload data'!$D:$D,"PSO",'caseload data'!$A:$A,'divisional &amp; regional overview'!$B$105)</f>
        <v>0</v>
      </c>
      <c r="Q122" s="104">
        <f>SUMIFS('caseload data'!S:S,'caseload data'!$D:$D,"PSO",'caseload data'!$A:$A,'divisional &amp; regional overview'!$B$105)</f>
        <v>0</v>
      </c>
      <c r="R122" s="104">
        <f>SUMIFS('caseload data'!T:T,'caseload data'!$D:$D,"PSO",'caseload data'!$A:$A,'divisional &amp; regional overview'!$B$105)</f>
        <v>0</v>
      </c>
      <c r="U122" s="107" t="s">
        <v>912</v>
      </c>
      <c r="V122" s="181" t="e">
        <f>C$122/SUM(C$121:C$124)</f>
        <v>#DIV/0!</v>
      </c>
      <c r="W122" s="181" t="e">
        <f t="shared" ref="W122:AK122" si="17">D$122/SUM(D$121:D$124)</f>
        <v>#DIV/0!</v>
      </c>
      <c r="X122" s="181" t="e">
        <f t="shared" si="17"/>
        <v>#DIV/0!</v>
      </c>
      <c r="Y122" s="181" t="e">
        <f t="shared" si="17"/>
        <v>#DIV/0!</v>
      </c>
      <c r="Z122" s="181" t="e">
        <f t="shared" si="17"/>
        <v>#DIV/0!</v>
      </c>
      <c r="AA122" s="181" t="e">
        <f t="shared" si="17"/>
        <v>#DIV/0!</v>
      </c>
      <c r="AB122" s="181" t="e">
        <f t="shared" si="17"/>
        <v>#DIV/0!</v>
      </c>
      <c r="AC122" s="181" t="e">
        <f t="shared" si="17"/>
        <v>#DIV/0!</v>
      </c>
      <c r="AD122" s="181" t="e">
        <f t="shared" si="17"/>
        <v>#DIV/0!</v>
      </c>
      <c r="AE122" s="181" t="e">
        <f t="shared" si="17"/>
        <v>#DIV/0!</v>
      </c>
      <c r="AF122" s="181" t="e">
        <f t="shared" si="17"/>
        <v>#DIV/0!</v>
      </c>
      <c r="AG122" s="181" t="e">
        <f t="shared" si="17"/>
        <v>#DIV/0!</v>
      </c>
      <c r="AH122" s="181" t="e">
        <f t="shared" si="17"/>
        <v>#DIV/0!</v>
      </c>
      <c r="AI122" s="181" t="e">
        <f t="shared" si="17"/>
        <v>#DIV/0!</v>
      </c>
      <c r="AJ122" s="181" t="e">
        <f t="shared" si="17"/>
        <v>#DIV/0!</v>
      </c>
      <c r="AK122" s="181" t="e">
        <f t="shared" si="17"/>
        <v>#DIV/0!</v>
      </c>
    </row>
    <row r="123" spans="2:37" x14ac:dyDescent="0.15">
      <c r="B123" s="107" t="s">
        <v>913</v>
      </c>
      <c r="C123" s="104">
        <f>SUMIFS('caseload data'!E:E,'caseload data'!$D:$D,"TPO",'caseload data'!$A:$A,'divisional &amp; regional overview'!$B$105)</f>
        <v>0</v>
      </c>
      <c r="D123" s="104">
        <f>SUMIFS('caseload data'!F:F,'caseload data'!$D:$D,"TPO",'caseload data'!$A:$A,'divisional &amp; regional overview'!$B$105)</f>
        <v>0</v>
      </c>
      <c r="E123" s="104">
        <f>SUMIFS('caseload data'!G:G,'caseload data'!$D:$D,"TPO",'caseload data'!$A:$A,'divisional &amp; regional overview'!$B$105)</f>
        <v>0</v>
      </c>
      <c r="F123" s="104">
        <f>SUMIFS('caseload data'!H:H,'caseload data'!$D:$D,"TPO",'caseload data'!$A:$A,'divisional &amp; regional overview'!$B$105)</f>
        <v>0</v>
      </c>
      <c r="G123" s="104">
        <f>SUMIFS('caseload data'!I:I,'caseload data'!$D:$D,"TPO",'caseload data'!$A:$A,'divisional &amp; regional overview'!$B$105)</f>
        <v>0</v>
      </c>
      <c r="H123" s="104">
        <f>SUMIFS('caseload data'!J:J,'caseload data'!$D:$D,"TPO",'caseload data'!$A:$A,'divisional &amp; regional overview'!$B$105)</f>
        <v>0</v>
      </c>
      <c r="I123" s="104">
        <f>SUMIFS('caseload data'!K:K,'caseload data'!$D:$D,"TPO",'caseload data'!$A:$A,'divisional &amp; regional overview'!$B$105)</f>
        <v>0</v>
      </c>
      <c r="J123" s="104">
        <f>SUMIFS('caseload data'!L:L,'caseload data'!$D:$D,"TPO",'caseload data'!$A:$A,'divisional &amp; regional overview'!$B$105)</f>
        <v>0</v>
      </c>
      <c r="K123" s="104">
        <f>SUMIFS('caseload data'!M:M,'caseload data'!$D:$D,"TPO",'caseload data'!$A:$A,'divisional &amp; regional overview'!$B$105)</f>
        <v>0</v>
      </c>
      <c r="L123" s="104">
        <f>SUMIFS('caseload data'!N:N,'caseload data'!$D:$D,"TPO",'caseload data'!$A:$A,'divisional &amp; regional overview'!$B$105)</f>
        <v>0</v>
      </c>
      <c r="M123" s="104">
        <f>SUMIFS('caseload data'!O:O,'caseload data'!$D:$D,"TPO",'caseload data'!$A:$A,'divisional &amp; regional overview'!$B$105)</f>
        <v>0</v>
      </c>
      <c r="N123" s="104">
        <f>SUMIFS('caseload data'!P:P,'caseload data'!$D:$D,"TPO",'caseload data'!$A:$A,'divisional &amp; regional overview'!$B$105)</f>
        <v>0</v>
      </c>
      <c r="O123" s="104">
        <f>SUMIFS('caseload data'!Q:Q,'caseload data'!$D:$D,"TPO",'caseload data'!$A:$A,'divisional &amp; regional overview'!$B$105)</f>
        <v>0</v>
      </c>
      <c r="P123" s="104">
        <f>SUMIFS('caseload data'!R:R,'caseload data'!$D:$D,"TPO",'caseload data'!$A:$A,'divisional &amp; regional overview'!$B$105)</f>
        <v>0</v>
      </c>
      <c r="Q123" s="104">
        <f>SUMIFS('caseload data'!S:S,'caseload data'!$D:$D,"TPO",'caseload data'!$A:$A,'divisional &amp; regional overview'!$B$105)</f>
        <v>0</v>
      </c>
      <c r="R123" s="104">
        <f>SUMIFS('caseload data'!T:T,'caseload data'!$D:$D,"TPO",'caseload data'!$A:$A,'divisional &amp; regional overview'!$B$105)</f>
        <v>0</v>
      </c>
      <c r="U123" s="107" t="s">
        <v>913</v>
      </c>
      <c r="V123" s="181" t="e">
        <f>C$123/SUM(C$121:C$124)</f>
        <v>#DIV/0!</v>
      </c>
      <c r="W123" s="181" t="e">
        <f t="shared" ref="W123:AK123" si="18">D$123/SUM(D$121:D$124)</f>
        <v>#DIV/0!</v>
      </c>
      <c r="X123" s="181" t="e">
        <f t="shared" si="18"/>
        <v>#DIV/0!</v>
      </c>
      <c r="Y123" s="181" t="e">
        <f t="shared" si="18"/>
        <v>#DIV/0!</v>
      </c>
      <c r="Z123" s="181" t="e">
        <f t="shared" si="18"/>
        <v>#DIV/0!</v>
      </c>
      <c r="AA123" s="181" t="e">
        <f t="shared" si="18"/>
        <v>#DIV/0!</v>
      </c>
      <c r="AB123" s="181" t="e">
        <f t="shared" si="18"/>
        <v>#DIV/0!</v>
      </c>
      <c r="AC123" s="181" t="e">
        <f t="shared" si="18"/>
        <v>#DIV/0!</v>
      </c>
      <c r="AD123" s="181" t="e">
        <f t="shared" si="18"/>
        <v>#DIV/0!</v>
      </c>
      <c r="AE123" s="181" t="e">
        <f t="shared" si="18"/>
        <v>#DIV/0!</v>
      </c>
      <c r="AF123" s="181" t="e">
        <f t="shared" si="18"/>
        <v>#DIV/0!</v>
      </c>
      <c r="AG123" s="181" t="e">
        <f t="shared" si="18"/>
        <v>#DIV/0!</v>
      </c>
      <c r="AH123" s="181" t="e">
        <f t="shared" si="18"/>
        <v>#DIV/0!</v>
      </c>
      <c r="AI123" s="181" t="e">
        <f t="shared" si="18"/>
        <v>#DIV/0!</v>
      </c>
      <c r="AJ123" s="181" t="e">
        <f t="shared" si="18"/>
        <v>#DIV/0!</v>
      </c>
      <c r="AK123" s="181" t="e">
        <f t="shared" si="18"/>
        <v>#DIV/0!</v>
      </c>
    </row>
    <row r="124" spans="2:37" x14ac:dyDescent="0.15">
      <c r="B124" s="108" t="s">
        <v>914</v>
      </c>
      <c r="C124" s="104">
        <f>SUMIFS('caseload data'!E:E,'caseload data'!$D:$D,"SPO",'caseload data'!$A:$A,$B$98)</f>
        <v>0</v>
      </c>
      <c r="D124" s="104">
        <f>SUMIFS('caseload data'!F:F,'caseload data'!$D:$D,"SPO",'caseload data'!$A:$A,$B$98)</f>
        <v>0</v>
      </c>
      <c r="E124" s="104">
        <f>SUMIFS('caseload data'!G:G,'caseload data'!$D:$D,"SPO",'caseload data'!$A:$A,$B$98)</f>
        <v>0</v>
      </c>
      <c r="F124" s="104">
        <f>SUMIFS('caseload data'!H:H,'caseload data'!$D:$D,"SPO",'caseload data'!$A:$A,$B$98)</f>
        <v>0</v>
      </c>
      <c r="G124" s="104">
        <f>SUMIFS('caseload data'!I:I,'caseload data'!$D:$D,"SPO",'caseload data'!$A:$A,$B$98)</f>
        <v>0</v>
      </c>
      <c r="H124" s="104">
        <f>SUMIFS('caseload data'!J:J,'caseload data'!$D:$D,"SPO",'caseload data'!$A:$A,$B$98)</f>
        <v>0</v>
      </c>
      <c r="I124" s="104">
        <f>SUMIFS('caseload data'!K:K,'caseload data'!$D:$D,"SPO",'caseload data'!$A:$A,$B$98)</f>
        <v>0</v>
      </c>
      <c r="J124" s="104">
        <f>SUMIFS('caseload data'!L:L,'caseload data'!$D:$D,"SPO",'caseload data'!$A:$A,$B$98)</f>
        <v>0</v>
      </c>
      <c r="K124" s="104">
        <f>SUMIFS('caseload data'!M:M,'caseload data'!$D:$D,"SPO",'caseload data'!$A:$A,$B$98)</f>
        <v>0</v>
      </c>
      <c r="L124" s="104">
        <f>SUMIFS('caseload data'!N:N,'caseload data'!$D:$D,"SPO",'caseload data'!$A:$A,$B$98)</f>
        <v>0</v>
      </c>
      <c r="M124" s="104">
        <f>SUMIFS('caseload data'!O:O,'caseload data'!$D:$D,"SPO",'caseload data'!$A:$A,$B$98)</f>
        <v>0</v>
      </c>
      <c r="N124" s="104">
        <f>SUMIFS('caseload data'!P:P,'caseload data'!$D:$D,"SPO",'caseload data'!$A:$A,$B$98)</f>
        <v>0</v>
      </c>
      <c r="O124" s="104">
        <f>SUMIFS('caseload data'!Q:Q,'caseload data'!$D:$D,"SPO",'caseload data'!$A:$A,$B$98)</f>
        <v>0</v>
      </c>
      <c r="P124" s="104">
        <f>SUMIFS('caseload data'!R:R,'caseload data'!$D:$D,"SPO",'caseload data'!$A:$A,$B$98)</f>
        <v>0</v>
      </c>
      <c r="Q124" s="104">
        <f>SUMIFS('caseload data'!S:S,'caseload data'!$D:$D,"SPO",'caseload data'!$A:$A,$B$98)</f>
        <v>0</v>
      </c>
      <c r="R124" s="104">
        <f>SUMIFS('caseload data'!T:T,'caseload data'!$D:$D,"SPO",'caseload data'!$A:$A,$B$98)</f>
        <v>0</v>
      </c>
      <c r="U124" s="108" t="s">
        <v>914</v>
      </c>
      <c r="V124" s="181" t="e">
        <f>C$124/SUM(C$121:C$124)</f>
        <v>#DIV/0!</v>
      </c>
      <c r="W124" s="181" t="e">
        <f t="shared" ref="W124:AK124" si="19">D$124/SUM(D$121:D$124)</f>
        <v>#DIV/0!</v>
      </c>
      <c r="X124" s="181" t="e">
        <f t="shared" si="19"/>
        <v>#DIV/0!</v>
      </c>
      <c r="Y124" s="181" t="e">
        <f t="shared" si="19"/>
        <v>#DIV/0!</v>
      </c>
      <c r="Z124" s="181" t="e">
        <f t="shared" si="19"/>
        <v>#DIV/0!</v>
      </c>
      <c r="AA124" s="181" t="e">
        <f t="shared" si="19"/>
        <v>#DIV/0!</v>
      </c>
      <c r="AB124" s="181" t="e">
        <f t="shared" si="19"/>
        <v>#DIV/0!</v>
      </c>
      <c r="AC124" s="181" t="e">
        <f t="shared" si="19"/>
        <v>#DIV/0!</v>
      </c>
      <c r="AD124" s="181" t="e">
        <f t="shared" si="19"/>
        <v>#DIV/0!</v>
      </c>
      <c r="AE124" s="181" t="e">
        <f t="shared" si="19"/>
        <v>#DIV/0!</v>
      </c>
      <c r="AF124" s="181" t="e">
        <f t="shared" si="19"/>
        <v>#DIV/0!</v>
      </c>
      <c r="AG124" s="181" t="e">
        <f t="shared" si="19"/>
        <v>#DIV/0!</v>
      </c>
      <c r="AH124" s="181" t="e">
        <f t="shared" si="19"/>
        <v>#DIV/0!</v>
      </c>
      <c r="AI124" s="181" t="e">
        <f t="shared" si="19"/>
        <v>#DIV/0!</v>
      </c>
      <c r="AJ124" s="181" t="e">
        <f t="shared" si="19"/>
        <v>#DIV/0!</v>
      </c>
      <c r="AK124" s="181" t="e">
        <f t="shared" si="19"/>
        <v>#DIV/0!</v>
      </c>
    </row>
  </sheetData>
  <mergeCells count="19">
    <mergeCell ref="F37:F40"/>
    <mergeCell ref="G37:G40"/>
    <mergeCell ref="C80:S80"/>
    <mergeCell ref="C87:R87"/>
    <mergeCell ref="A1:S1"/>
    <mergeCell ref="A2:S2"/>
    <mergeCell ref="B26:K26"/>
    <mergeCell ref="B32:D32"/>
    <mergeCell ref="F32:G32"/>
    <mergeCell ref="B19:H19"/>
    <mergeCell ref="B13:M13"/>
    <mergeCell ref="V98:AK98"/>
    <mergeCell ref="V105:AK105"/>
    <mergeCell ref="V112:AK112"/>
    <mergeCell ref="V119:AK119"/>
    <mergeCell ref="C98:R98"/>
    <mergeCell ref="C105:R105"/>
    <mergeCell ref="C112:R112"/>
    <mergeCell ref="C119:R119"/>
  </mergeCells>
  <conditionalFormatting sqref="C9:F10">
    <cfRule type="cellIs" dxfId="6845" priority="351" operator="lessThan">
      <formula>0.9</formula>
    </cfRule>
    <cfRule type="cellIs" dxfId="6844" priority="352" operator="greaterThanOrEqual">
      <formula>1.1</formula>
    </cfRule>
  </conditionalFormatting>
  <conditionalFormatting sqref="C101:F102">
    <cfRule type="cellIs" dxfId="6843" priority="337" operator="equal">
      <formula>0</formula>
    </cfRule>
    <cfRule type="cellIs" dxfId="6842" priority="338" operator="notEqual">
      <formula>0</formula>
    </cfRule>
  </conditionalFormatting>
  <conditionalFormatting sqref="G101:G102">
    <cfRule type="cellIs" dxfId="6841" priority="255" operator="equal">
      <formula>0</formula>
    </cfRule>
    <cfRule type="cellIs" dxfId="6840" priority="256" operator="notEqual">
      <formula>0</formula>
    </cfRule>
  </conditionalFormatting>
  <conditionalFormatting sqref="H101:H102">
    <cfRule type="cellIs" dxfId="6839" priority="253" operator="equal">
      <formula>0</formula>
    </cfRule>
    <cfRule type="cellIs" dxfId="6838" priority="254" operator="notEqual">
      <formula>0</formula>
    </cfRule>
  </conditionalFormatting>
  <conditionalFormatting sqref="I101:I102">
    <cfRule type="cellIs" dxfId="6837" priority="251" operator="equal">
      <formula>0</formula>
    </cfRule>
    <cfRule type="cellIs" dxfId="6836" priority="252" operator="notEqual">
      <formula>0</formula>
    </cfRule>
  </conditionalFormatting>
  <conditionalFormatting sqref="J101:J102">
    <cfRule type="cellIs" dxfId="6835" priority="249" operator="equal">
      <formula>0</formula>
    </cfRule>
    <cfRule type="cellIs" dxfId="6834" priority="250" operator="notEqual">
      <formula>0</formula>
    </cfRule>
  </conditionalFormatting>
  <conditionalFormatting sqref="O100">
    <cfRule type="cellIs" dxfId="6833" priority="247" operator="equal">
      <formula>0</formula>
    </cfRule>
    <cfRule type="cellIs" dxfId="6832" priority="248" operator="notEqual">
      <formula>0</formula>
    </cfRule>
  </conditionalFormatting>
  <conditionalFormatting sqref="O103">
    <cfRule type="cellIs" dxfId="6831" priority="245" operator="equal">
      <formula>0</formula>
    </cfRule>
    <cfRule type="cellIs" dxfId="6830" priority="246" operator="notEqual">
      <formula>0</formula>
    </cfRule>
  </conditionalFormatting>
  <conditionalFormatting sqref="P100">
    <cfRule type="cellIs" dxfId="6829" priority="243" operator="equal">
      <formula>0</formula>
    </cfRule>
    <cfRule type="cellIs" dxfId="6828" priority="244" operator="notEqual">
      <formula>0</formula>
    </cfRule>
  </conditionalFormatting>
  <conditionalFormatting sqref="P103">
    <cfRule type="cellIs" dxfId="6827" priority="241" operator="equal">
      <formula>0</formula>
    </cfRule>
    <cfRule type="cellIs" dxfId="6826" priority="242" operator="notEqual">
      <formula>0</formula>
    </cfRule>
  </conditionalFormatting>
  <conditionalFormatting sqref="Q100">
    <cfRule type="cellIs" dxfId="6825" priority="239" operator="equal">
      <formula>0</formula>
    </cfRule>
    <cfRule type="cellIs" dxfId="6824" priority="240" operator="notEqual">
      <formula>0</formula>
    </cfRule>
  </conditionalFormatting>
  <conditionalFormatting sqref="Q103">
    <cfRule type="cellIs" dxfId="6823" priority="237" operator="equal">
      <formula>0</formula>
    </cfRule>
    <cfRule type="cellIs" dxfId="6822" priority="238" operator="notEqual">
      <formula>0</formula>
    </cfRule>
  </conditionalFormatting>
  <conditionalFormatting sqref="R100">
    <cfRule type="cellIs" dxfId="6821" priority="235" operator="equal">
      <formula>0</formula>
    </cfRule>
    <cfRule type="cellIs" dxfId="6820" priority="236" operator="notEqual">
      <formula>0</formula>
    </cfRule>
  </conditionalFormatting>
  <conditionalFormatting sqref="R103">
    <cfRule type="cellIs" dxfId="6819" priority="233" operator="equal">
      <formula>0</formula>
    </cfRule>
    <cfRule type="cellIs" dxfId="6818" priority="234" operator="notEqual">
      <formula>0</formula>
    </cfRule>
  </conditionalFormatting>
  <conditionalFormatting sqref="C115:F116">
    <cfRule type="cellIs" dxfId="6817" priority="205" operator="equal">
      <formula>0</formula>
    </cfRule>
    <cfRule type="cellIs" dxfId="6816" priority="206" operator="notEqual">
      <formula>0</formula>
    </cfRule>
  </conditionalFormatting>
  <conditionalFormatting sqref="G115:G116">
    <cfRule type="cellIs" dxfId="6815" priority="203" operator="equal">
      <formula>0</formula>
    </cfRule>
    <cfRule type="cellIs" dxfId="6814" priority="204" operator="notEqual">
      <formula>0</formula>
    </cfRule>
  </conditionalFormatting>
  <conditionalFormatting sqref="H115:H116">
    <cfRule type="cellIs" dxfId="6813" priority="201" operator="equal">
      <formula>0</formula>
    </cfRule>
    <cfRule type="cellIs" dxfId="6812" priority="202" operator="notEqual">
      <formula>0</formula>
    </cfRule>
  </conditionalFormatting>
  <conditionalFormatting sqref="I115:I116">
    <cfRule type="cellIs" dxfId="6811" priority="199" operator="equal">
      <formula>0</formula>
    </cfRule>
    <cfRule type="cellIs" dxfId="6810" priority="200" operator="notEqual">
      <formula>0</formula>
    </cfRule>
  </conditionalFormatting>
  <conditionalFormatting sqref="J115:J116">
    <cfRule type="cellIs" dxfId="6809" priority="197" operator="equal">
      <formula>0</formula>
    </cfRule>
    <cfRule type="cellIs" dxfId="6808" priority="198" operator="notEqual">
      <formula>0</formula>
    </cfRule>
  </conditionalFormatting>
  <conditionalFormatting sqref="O114">
    <cfRule type="cellIs" dxfId="6807" priority="195" operator="equal">
      <formula>0</formula>
    </cfRule>
    <cfRule type="cellIs" dxfId="6806" priority="196" operator="notEqual">
      <formula>0</formula>
    </cfRule>
  </conditionalFormatting>
  <conditionalFormatting sqref="O117">
    <cfRule type="cellIs" dxfId="6805" priority="193" operator="equal">
      <formula>0</formula>
    </cfRule>
    <cfRule type="cellIs" dxfId="6804" priority="194" operator="notEqual">
      <formula>0</formula>
    </cfRule>
  </conditionalFormatting>
  <conditionalFormatting sqref="P114">
    <cfRule type="cellIs" dxfId="6803" priority="191" operator="equal">
      <formula>0</formula>
    </cfRule>
    <cfRule type="cellIs" dxfId="6802" priority="192" operator="notEqual">
      <formula>0</formula>
    </cfRule>
  </conditionalFormatting>
  <conditionalFormatting sqref="P117">
    <cfRule type="cellIs" dxfId="6801" priority="189" operator="equal">
      <formula>0</formula>
    </cfRule>
    <cfRule type="cellIs" dxfId="6800" priority="190" operator="notEqual">
      <formula>0</formula>
    </cfRule>
  </conditionalFormatting>
  <conditionalFormatting sqref="Q114">
    <cfRule type="cellIs" dxfId="6799" priority="187" operator="equal">
      <formula>0</formula>
    </cfRule>
    <cfRule type="cellIs" dxfId="6798" priority="188" operator="notEqual">
      <formula>0</formula>
    </cfRule>
  </conditionalFormatting>
  <conditionalFormatting sqref="Q117">
    <cfRule type="cellIs" dxfId="6797" priority="185" operator="equal">
      <formula>0</formula>
    </cfRule>
    <cfRule type="cellIs" dxfId="6796" priority="186" operator="notEqual">
      <formula>0</formula>
    </cfRule>
  </conditionalFormatting>
  <conditionalFormatting sqref="R114">
    <cfRule type="cellIs" dxfId="6795" priority="183" operator="equal">
      <formula>0</formula>
    </cfRule>
    <cfRule type="cellIs" dxfId="6794" priority="184" operator="notEqual">
      <formula>0</formula>
    </cfRule>
  </conditionalFormatting>
  <conditionalFormatting sqref="R117">
    <cfRule type="cellIs" dxfId="6793" priority="181" operator="equal">
      <formula>0</formula>
    </cfRule>
    <cfRule type="cellIs" dxfId="6792" priority="182" operator="notEqual">
      <formula>0</formula>
    </cfRule>
  </conditionalFormatting>
  <conditionalFormatting sqref="C122:F123">
    <cfRule type="cellIs" dxfId="6791" priority="179" operator="equal">
      <formula>0</formula>
    </cfRule>
    <cfRule type="cellIs" dxfId="6790" priority="180" operator="notEqual">
      <formula>0</formula>
    </cfRule>
  </conditionalFormatting>
  <conditionalFormatting sqref="G122:G123">
    <cfRule type="cellIs" dxfId="6789" priority="177" operator="equal">
      <formula>0</formula>
    </cfRule>
    <cfRule type="cellIs" dxfId="6788" priority="178" operator="notEqual">
      <formula>0</formula>
    </cfRule>
  </conditionalFormatting>
  <conditionalFormatting sqref="H122:H123">
    <cfRule type="cellIs" dxfId="6787" priority="175" operator="equal">
      <formula>0</formula>
    </cfRule>
    <cfRule type="cellIs" dxfId="6786" priority="176" operator="notEqual">
      <formula>0</formula>
    </cfRule>
  </conditionalFormatting>
  <conditionalFormatting sqref="I122:I123">
    <cfRule type="cellIs" dxfId="6785" priority="173" operator="equal">
      <formula>0</formula>
    </cfRule>
    <cfRule type="cellIs" dxfId="6784" priority="174" operator="notEqual">
      <formula>0</formula>
    </cfRule>
  </conditionalFormatting>
  <conditionalFormatting sqref="J122:J123">
    <cfRule type="cellIs" dxfId="6783" priority="171" operator="equal">
      <formula>0</formula>
    </cfRule>
    <cfRule type="cellIs" dxfId="6782" priority="172" operator="notEqual">
      <formula>0</formula>
    </cfRule>
  </conditionalFormatting>
  <conditionalFormatting sqref="O121">
    <cfRule type="cellIs" dxfId="6781" priority="169" operator="equal">
      <formula>0</formula>
    </cfRule>
    <cfRule type="cellIs" dxfId="6780" priority="170" operator="notEqual">
      <formula>0</formula>
    </cfRule>
  </conditionalFormatting>
  <conditionalFormatting sqref="O124">
    <cfRule type="cellIs" dxfId="6779" priority="167" operator="equal">
      <formula>0</formula>
    </cfRule>
    <cfRule type="cellIs" dxfId="6778" priority="168" operator="notEqual">
      <formula>0</formula>
    </cfRule>
  </conditionalFormatting>
  <conditionalFormatting sqref="P121">
    <cfRule type="cellIs" dxfId="6777" priority="165" operator="equal">
      <formula>0</formula>
    </cfRule>
    <cfRule type="cellIs" dxfId="6776" priority="166" operator="notEqual">
      <formula>0</formula>
    </cfRule>
  </conditionalFormatting>
  <conditionalFormatting sqref="P124">
    <cfRule type="cellIs" dxfId="6775" priority="163" operator="equal">
      <formula>0</formula>
    </cfRule>
    <cfRule type="cellIs" dxfId="6774" priority="164" operator="notEqual">
      <formula>0</formula>
    </cfRule>
  </conditionalFormatting>
  <conditionalFormatting sqref="Q121">
    <cfRule type="cellIs" dxfId="6773" priority="161" operator="equal">
      <formula>0</formula>
    </cfRule>
    <cfRule type="cellIs" dxfId="6772" priority="162" operator="notEqual">
      <formula>0</formula>
    </cfRule>
  </conditionalFormatting>
  <conditionalFormatting sqref="Q124">
    <cfRule type="cellIs" dxfId="6771" priority="159" operator="equal">
      <formula>0</formula>
    </cfRule>
    <cfRule type="cellIs" dxfId="6770" priority="160" operator="notEqual">
      <formula>0</formula>
    </cfRule>
  </conditionalFormatting>
  <conditionalFormatting sqref="R121">
    <cfRule type="cellIs" dxfId="6769" priority="157" operator="equal">
      <formula>0</formula>
    </cfRule>
    <cfRule type="cellIs" dxfId="6768" priority="158" operator="notEqual">
      <formula>0</formula>
    </cfRule>
  </conditionalFormatting>
  <conditionalFormatting sqref="R124">
    <cfRule type="cellIs" dxfId="6767" priority="155" operator="equal">
      <formula>0</formula>
    </cfRule>
    <cfRule type="cellIs" dxfId="6766" priority="156" operator="notEqual">
      <formula>0</formula>
    </cfRule>
  </conditionalFormatting>
  <conditionalFormatting sqref="V101:V102">
    <cfRule type="cellIs" dxfId="6765" priority="153" operator="equal">
      <formula>0</formula>
    </cfRule>
    <cfRule type="cellIs" dxfId="6764" priority="154" operator="notEqual">
      <formula>0</formula>
    </cfRule>
  </conditionalFormatting>
  <conditionalFormatting sqref="W101:W102">
    <cfRule type="cellIs" dxfId="6763" priority="151" operator="equal">
      <formula>0</formula>
    </cfRule>
    <cfRule type="cellIs" dxfId="6762" priority="152" operator="notEqual">
      <formula>0</formula>
    </cfRule>
  </conditionalFormatting>
  <conditionalFormatting sqref="X101:X102">
    <cfRule type="cellIs" dxfId="6761" priority="149" operator="equal">
      <formula>0</formula>
    </cfRule>
    <cfRule type="cellIs" dxfId="6760" priority="150" operator="notEqual">
      <formula>0</formula>
    </cfRule>
  </conditionalFormatting>
  <conditionalFormatting sqref="Y101:Y102">
    <cfRule type="cellIs" dxfId="6759" priority="147" operator="equal">
      <formula>0</formula>
    </cfRule>
    <cfRule type="cellIs" dxfId="6758" priority="148" operator="notEqual">
      <formula>0</formula>
    </cfRule>
  </conditionalFormatting>
  <conditionalFormatting sqref="Z101:Z102">
    <cfRule type="cellIs" dxfId="6757" priority="145" operator="equal">
      <formula>0</formula>
    </cfRule>
    <cfRule type="cellIs" dxfId="6756" priority="146" operator="notEqual">
      <formula>0</formula>
    </cfRule>
  </conditionalFormatting>
  <conditionalFormatting sqref="AA101:AA102">
    <cfRule type="cellIs" dxfId="6755" priority="143" operator="equal">
      <formula>0</formula>
    </cfRule>
    <cfRule type="cellIs" dxfId="6754" priority="144" operator="notEqual">
      <formula>0</formula>
    </cfRule>
  </conditionalFormatting>
  <conditionalFormatting sqref="AB101:AB102">
    <cfRule type="cellIs" dxfId="6753" priority="141" operator="equal">
      <formula>0</formula>
    </cfRule>
    <cfRule type="cellIs" dxfId="6752" priority="142" operator="notEqual">
      <formula>0</formula>
    </cfRule>
  </conditionalFormatting>
  <conditionalFormatting sqref="AC101:AC102">
    <cfRule type="cellIs" dxfId="6751" priority="139" operator="equal">
      <formula>0</formula>
    </cfRule>
    <cfRule type="cellIs" dxfId="6750" priority="140" operator="notEqual">
      <formula>0</formula>
    </cfRule>
  </conditionalFormatting>
  <conditionalFormatting sqref="AH100">
    <cfRule type="cellIs" dxfId="6749" priority="137" operator="equal">
      <formula>0</formula>
    </cfRule>
    <cfRule type="cellIs" dxfId="6748" priority="138" operator="notEqual">
      <formula>0</formula>
    </cfRule>
  </conditionalFormatting>
  <conditionalFormatting sqref="AH103">
    <cfRule type="cellIs" dxfId="6747" priority="135" operator="equal">
      <formula>0</formula>
    </cfRule>
    <cfRule type="cellIs" dxfId="6746" priority="136" operator="notEqual">
      <formula>0</formula>
    </cfRule>
  </conditionalFormatting>
  <conditionalFormatting sqref="AI100">
    <cfRule type="cellIs" dxfId="6745" priority="133" operator="equal">
      <formula>0</formula>
    </cfRule>
    <cfRule type="cellIs" dxfId="6744" priority="134" operator="notEqual">
      <formula>0</formula>
    </cfRule>
  </conditionalFormatting>
  <conditionalFormatting sqref="AI103">
    <cfRule type="cellIs" dxfId="6743" priority="131" operator="equal">
      <formula>0</formula>
    </cfRule>
    <cfRule type="cellIs" dxfId="6742" priority="132" operator="notEqual">
      <formula>0</formula>
    </cfRule>
  </conditionalFormatting>
  <conditionalFormatting sqref="AJ100">
    <cfRule type="cellIs" dxfId="6741" priority="129" operator="equal">
      <formula>0</formula>
    </cfRule>
    <cfRule type="cellIs" dxfId="6740" priority="130" operator="notEqual">
      <formula>0</formula>
    </cfRule>
  </conditionalFormatting>
  <conditionalFormatting sqref="AJ103">
    <cfRule type="cellIs" dxfId="6739" priority="127" operator="equal">
      <formula>0</formula>
    </cfRule>
    <cfRule type="cellIs" dxfId="6738" priority="128" operator="notEqual">
      <formula>0</formula>
    </cfRule>
  </conditionalFormatting>
  <conditionalFormatting sqref="AK100">
    <cfRule type="cellIs" dxfId="6737" priority="125" operator="equal">
      <formula>0</formula>
    </cfRule>
    <cfRule type="cellIs" dxfId="6736" priority="126" operator="notEqual">
      <formula>0</formula>
    </cfRule>
  </conditionalFormatting>
  <conditionalFormatting sqref="AK103">
    <cfRule type="cellIs" dxfId="6735" priority="123" operator="equal">
      <formula>0</formula>
    </cfRule>
    <cfRule type="cellIs" dxfId="6734" priority="124" operator="notEqual">
      <formula>0</formula>
    </cfRule>
  </conditionalFormatting>
  <conditionalFormatting sqref="V108:V109">
    <cfRule type="cellIs" dxfId="6733" priority="121" operator="equal">
      <formula>0</formula>
    </cfRule>
    <cfRule type="cellIs" dxfId="6732" priority="122" operator="notEqual">
      <formula>0</formula>
    </cfRule>
  </conditionalFormatting>
  <conditionalFormatting sqref="W108:W109">
    <cfRule type="cellIs" dxfId="6731" priority="119" operator="equal">
      <formula>0</formula>
    </cfRule>
    <cfRule type="cellIs" dxfId="6730" priority="120" operator="notEqual">
      <formula>0</formula>
    </cfRule>
  </conditionalFormatting>
  <conditionalFormatting sqref="X108:X109">
    <cfRule type="cellIs" dxfId="6729" priority="117" operator="equal">
      <formula>0</formula>
    </cfRule>
    <cfRule type="cellIs" dxfId="6728" priority="118" operator="notEqual">
      <formula>0</formula>
    </cfRule>
  </conditionalFormatting>
  <conditionalFormatting sqref="Y108:Y109">
    <cfRule type="cellIs" dxfId="6727" priority="115" operator="equal">
      <formula>0</formula>
    </cfRule>
    <cfRule type="cellIs" dxfId="6726" priority="116" operator="notEqual">
      <formula>0</formula>
    </cfRule>
  </conditionalFormatting>
  <conditionalFormatting sqref="Z108:Z109">
    <cfRule type="cellIs" dxfId="6725" priority="113" operator="equal">
      <formula>0</formula>
    </cfRule>
    <cfRule type="cellIs" dxfId="6724" priority="114" operator="notEqual">
      <formula>0</formula>
    </cfRule>
  </conditionalFormatting>
  <conditionalFormatting sqref="AA108:AA109">
    <cfRule type="cellIs" dxfId="6723" priority="111" operator="equal">
      <formula>0</formula>
    </cfRule>
    <cfRule type="cellIs" dxfId="6722" priority="112" operator="notEqual">
      <formula>0</formula>
    </cfRule>
  </conditionalFormatting>
  <conditionalFormatting sqref="AB108:AB109">
    <cfRule type="cellIs" dxfId="6721" priority="109" operator="equal">
      <formula>0</formula>
    </cfRule>
    <cfRule type="cellIs" dxfId="6720" priority="110" operator="notEqual">
      <formula>0</formula>
    </cfRule>
  </conditionalFormatting>
  <conditionalFormatting sqref="AC108:AC109">
    <cfRule type="cellIs" dxfId="6719" priority="107" operator="equal">
      <formula>0</formula>
    </cfRule>
    <cfRule type="cellIs" dxfId="6718" priority="108" operator="notEqual">
      <formula>0</formula>
    </cfRule>
  </conditionalFormatting>
  <conditionalFormatting sqref="AH107">
    <cfRule type="cellIs" dxfId="6717" priority="105" operator="equal">
      <formula>0</formula>
    </cfRule>
    <cfRule type="cellIs" dxfId="6716" priority="106" operator="notEqual">
      <formula>0</formula>
    </cfRule>
  </conditionalFormatting>
  <conditionalFormatting sqref="AH110">
    <cfRule type="cellIs" dxfId="6715" priority="103" operator="equal">
      <formula>0</formula>
    </cfRule>
    <cfRule type="cellIs" dxfId="6714" priority="104" operator="notEqual">
      <formula>0</formula>
    </cfRule>
  </conditionalFormatting>
  <conditionalFormatting sqref="AI107">
    <cfRule type="cellIs" dxfId="6713" priority="101" operator="equal">
      <formula>0</formula>
    </cfRule>
    <cfRule type="cellIs" dxfId="6712" priority="102" operator="notEqual">
      <formula>0</formula>
    </cfRule>
  </conditionalFormatting>
  <conditionalFormatting sqref="AI110">
    <cfRule type="cellIs" dxfId="6711" priority="99" operator="equal">
      <formula>0</formula>
    </cfRule>
    <cfRule type="cellIs" dxfId="6710" priority="100" operator="notEqual">
      <formula>0</formula>
    </cfRule>
  </conditionalFormatting>
  <conditionalFormatting sqref="AJ107">
    <cfRule type="cellIs" dxfId="6709" priority="97" operator="equal">
      <formula>0</formula>
    </cfRule>
    <cfRule type="cellIs" dxfId="6708" priority="98" operator="notEqual">
      <formula>0</formula>
    </cfRule>
  </conditionalFormatting>
  <conditionalFormatting sqref="AJ110">
    <cfRule type="cellIs" dxfId="6707" priority="95" operator="equal">
      <formula>0</formula>
    </cfRule>
    <cfRule type="cellIs" dxfId="6706" priority="96" operator="notEqual">
      <formula>0</formula>
    </cfRule>
  </conditionalFormatting>
  <conditionalFormatting sqref="AK107">
    <cfRule type="cellIs" dxfId="6705" priority="93" operator="equal">
      <formula>0</formula>
    </cfRule>
    <cfRule type="cellIs" dxfId="6704" priority="94" operator="notEqual">
      <formula>0</formula>
    </cfRule>
  </conditionalFormatting>
  <conditionalFormatting sqref="AK110">
    <cfRule type="cellIs" dxfId="6703" priority="91" operator="equal">
      <formula>0</formula>
    </cfRule>
    <cfRule type="cellIs" dxfId="6702" priority="92" operator="notEqual">
      <formula>0</formula>
    </cfRule>
  </conditionalFormatting>
  <conditionalFormatting sqref="V115:V116">
    <cfRule type="cellIs" dxfId="6701" priority="89" operator="equal">
      <formula>0</formula>
    </cfRule>
    <cfRule type="cellIs" dxfId="6700" priority="90" operator="notEqual">
      <formula>0</formula>
    </cfRule>
  </conditionalFormatting>
  <conditionalFormatting sqref="W115:W116">
    <cfRule type="cellIs" dxfId="6699" priority="87" operator="equal">
      <formula>0</formula>
    </cfRule>
    <cfRule type="cellIs" dxfId="6698" priority="88" operator="notEqual">
      <formula>0</formula>
    </cfRule>
  </conditionalFormatting>
  <conditionalFormatting sqref="X115:X116">
    <cfRule type="cellIs" dxfId="6697" priority="85" operator="equal">
      <formula>0</formula>
    </cfRule>
    <cfRule type="cellIs" dxfId="6696" priority="86" operator="notEqual">
      <formula>0</formula>
    </cfRule>
  </conditionalFormatting>
  <conditionalFormatting sqref="Y115:Y116">
    <cfRule type="cellIs" dxfId="6695" priority="83" operator="equal">
      <formula>0</formula>
    </cfRule>
    <cfRule type="cellIs" dxfId="6694" priority="84" operator="notEqual">
      <formula>0</formula>
    </cfRule>
  </conditionalFormatting>
  <conditionalFormatting sqref="Z115:Z116">
    <cfRule type="cellIs" dxfId="6693" priority="81" operator="equal">
      <formula>0</formula>
    </cfRule>
    <cfRule type="cellIs" dxfId="6692" priority="82" operator="notEqual">
      <formula>0</formula>
    </cfRule>
  </conditionalFormatting>
  <conditionalFormatting sqref="AA115:AA116">
    <cfRule type="cellIs" dxfId="6691" priority="79" operator="equal">
      <formula>0</formula>
    </cfRule>
    <cfRule type="cellIs" dxfId="6690" priority="80" operator="notEqual">
      <formula>0</formula>
    </cfRule>
  </conditionalFormatting>
  <conditionalFormatting sqref="AB115:AB116">
    <cfRule type="cellIs" dxfId="6689" priority="77" operator="equal">
      <formula>0</formula>
    </cfRule>
    <cfRule type="cellIs" dxfId="6688" priority="78" operator="notEqual">
      <formula>0</formula>
    </cfRule>
  </conditionalFormatting>
  <conditionalFormatting sqref="AC115:AC116">
    <cfRule type="cellIs" dxfId="6687" priority="75" operator="equal">
      <formula>0</formula>
    </cfRule>
    <cfRule type="cellIs" dxfId="6686" priority="76" operator="notEqual">
      <formula>0</formula>
    </cfRule>
  </conditionalFormatting>
  <conditionalFormatting sqref="AH114">
    <cfRule type="cellIs" dxfId="6685" priority="73" operator="equal">
      <formula>0</formula>
    </cfRule>
    <cfRule type="cellIs" dxfId="6684" priority="74" operator="notEqual">
      <formula>0</formula>
    </cfRule>
  </conditionalFormatting>
  <conditionalFormatting sqref="AH117">
    <cfRule type="cellIs" dxfId="6683" priority="71" operator="equal">
      <formula>0</formula>
    </cfRule>
    <cfRule type="cellIs" dxfId="6682" priority="72" operator="notEqual">
      <formula>0</formula>
    </cfRule>
  </conditionalFormatting>
  <conditionalFormatting sqref="AI114">
    <cfRule type="cellIs" dxfId="6681" priority="69" operator="equal">
      <formula>0</formula>
    </cfRule>
    <cfRule type="cellIs" dxfId="6680" priority="70" operator="notEqual">
      <formula>0</formula>
    </cfRule>
  </conditionalFormatting>
  <conditionalFormatting sqref="AI117">
    <cfRule type="cellIs" dxfId="6679" priority="67" operator="equal">
      <formula>0</formula>
    </cfRule>
    <cfRule type="cellIs" dxfId="6678" priority="68" operator="notEqual">
      <formula>0</formula>
    </cfRule>
  </conditionalFormatting>
  <conditionalFormatting sqref="AJ114">
    <cfRule type="cellIs" dxfId="6677" priority="65" operator="equal">
      <formula>0</formula>
    </cfRule>
    <cfRule type="cellIs" dxfId="6676" priority="66" operator="notEqual">
      <formula>0</formula>
    </cfRule>
  </conditionalFormatting>
  <conditionalFormatting sqref="AJ117">
    <cfRule type="cellIs" dxfId="6675" priority="63" operator="equal">
      <formula>0</formula>
    </cfRule>
    <cfRule type="cellIs" dxfId="6674" priority="64" operator="notEqual">
      <formula>0</formula>
    </cfRule>
  </conditionalFormatting>
  <conditionalFormatting sqref="AK114">
    <cfRule type="cellIs" dxfId="6673" priority="61" operator="equal">
      <formula>0</formula>
    </cfRule>
    <cfRule type="cellIs" dxfId="6672" priority="62" operator="notEqual">
      <formula>0</formula>
    </cfRule>
  </conditionalFormatting>
  <conditionalFormatting sqref="AK117">
    <cfRule type="cellIs" dxfId="6671" priority="59" operator="equal">
      <formula>0</formula>
    </cfRule>
    <cfRule type="cellIs" dxfId="6670" priority="60" operator="notEqual">
      <formula>0</formula>
    </cfRule>
  </conditionalFormatting>
  <conditionalFormatting sqref="V122:V123">
    <cfRule type="cellIs" dxfId="6669" priority="57" operator="equal">
      <formula>0</formula>
    </cfRule>
    <cfRule type="cellIs" dxfId="6668" priority="58" operator="notEqual">
      <formula>0</formula>
    </cfRule>
  </conditionalFormatting>
  <conditionalFormatting sqref="W122:W123">
    <cfRule type="cellIs" dxfId="6667" priority="55" operator="equal">
      <formula>0</formula>
    </cfRule>
    <cfRule type="cellIs" dxfId="6666" priority="56" operator="notEqual">
      <formula>0</formula>
    </cfRule>
  </conditionalFormatting>
  <conditionalFormatting sqref="X122:X123">
    <cfRule type="cellIs" dxfId="6665" priority="53" operator="equal">
      <formula>0</formula>
    </cfRule>
    <cfRule type="cellIs" dxfId="6664" priority="54" operator="notEqual">
      <formula>0</formula>
    </cfRule>
  </conditionalFormatting>
  <conditionalFormatting sqref="Y122:Y123">
    <cfRule type="cellIs" dxfId="6663" priority="51" operator="equal">
      <formula>0</formula>
    </cfRule>
    <cfRule type="cellIs" dxfId="6662" priority="52" operator="notEqual">
      <formula>0</formula>
    </cfRule>
  </conditionalFormatting>
  <conditionalFormatting sqref="Z122:Z123">
    <cfRule type="cellIs" dxfId="6661" priority="49" operator="equal">
      <formula>0</formula>
    </cfRule>
    <cfRule type="cellIs" dxfId="6660" priority="50" operator="notEqual">
      <formula>0</formula>
    </cfRule>
  </conditionalFormatting>
  <conditionalFormatting sqref="AA122:AA123">
    <cfRule type="cellIs" dxfId="6659" priority="47" operator="equal">
      <formula>0</formula>
    </cfRule>
    <cfRule type="cellIs" dxfId="6658" priority="48" operator="notEqual">
      <formula>0</formula>
    </cfRule>
  </conditionalFormatting>
  <conditionalFormatting sqref="AB122:AB123">
    <cfRule type="cellIs" dxfId="6657" priority="45" operator="equal">
      <formula>0</formula>
    </cfRule>
    <cfRule type="cellIs" dxfId="6656" priority="46" operator="notEqual">
      <formula>0</formula>
    </cfRule>
  </conditionalFormatting>
  <conditionalFormatting sqref="AC122:AC123">
    <cfRule type="cellIs" dxfId="6655" priority="43" operator="equal">
      <formula>0</formula>
    </cfRule>
    <cfRule type="cellIs" dxfId="6654" priority="44" operator="notEqual">
      <formula>0</formula>
    </cfRule>
  </conditionalFormatting>
  <conditionalFormatting sqref="AH121">
    <cfRule type="cellIs" dxfId="6653" priority="41" operator="equal">
      <formula>0</formula>
    </cfRule>
    <cfRule type="cellIs" dxfId="6652" priority="42" operator="notEqual">
      <formula>0</formula>
    </cfRule>
  </conditionalFormatting>
  <conditionalFormatting sqref="AH124">
    <cfRule type="cellIs" dxfId="6651" priority="39" operator="equal">
      <formula>0</formula>
    </cfRule>
    <cfRule type="cellIs" dxfId="6650" priority="40" operator="notEqual">
      <formula>0</formula>
    </cfRule>
  </conditionalFormatting>
  <conditionalFormatting sqref="AI121">
    <cfRule type="cellIs" dxfId="6649" priority="37" operator="equal">
      <formula>0</formula>
    </cfRule>
    <cfRule type="cellIs" dxfId="6648" priority="38" operator="notEqual">
      <formula>0</formula>
    </cfRule>
  </conditionalFormatting>
  <conditionalFormatting sqref="AI124">
    <cfRule type="cellIs" dxfId="6647" priority="35" operator="equal">
      <formula>0</formula>
    </cfRule>
    <cfRule type="cellIs" dxfId="6646" priority="36" operator="notEqual">
      <formula>0</formula>
    </cfRule>
  </conditionalFormatting>
  <conditionalFormatting sqref="AJ121">
    <cfRule type="cellIs" dxfId="6645" priority="33" operator="equal">
      <formula>0</formula>
    </cfRule>
    <cfRule type="cellIs" dxfId="6644" priority="34" operator="notEqual">
      <formula>0</formula>
    </cfRule>
  </conditionalFormatting>
  <conditionalFormatting sqref="AJ124">
    <cfRule type="cellIs" dxfId="6643" priority="31" operator="equal">
      <formula>0</formula>
    </cfRule>
    <cfRule type="cellIs" dxfId="6642" priority="32" operator="notEqual">
      <formula>0</formula>
    </cfRule>
  </conditionalFormatting>
  <conditionalFormatting sqref="AK121">
    <cfRule type="cellIs" dxfId="6641" priority="29" operator="equal">
      <formula>0</formula>
    </cfRule>
    <cfRule type="cellIs" dxfId="6640" priority="30" operator="notEqual">
      <formula>0</formula>
    </cfRule>
  </conditionalFormatting>
  <conditionalFormatting sqref="AK124">
    <cfRule type="cellIs" dxfId="6639" priority="27" operator="equal">
      <formula>0</formula>
    </cfRule>
    <cfRule type="cellIs" dxfId="6638" priority="28" operator="notEqual">
      <formula>0</formula>
    </cfRule>
  </conditionalFormatting>
  <conditionalFormatting sqref="C108:F109">
    <cfRule type="cellIs" dxfId="6637" priority="25" operator="equal">
      <formula>0</formula>
    </cfRule>
    <cfRule type="cellIs" dxfId="6636" priority="26" operator="notEqual">
      <formula>0</formula>
    </cfRule>
  </conditionalFormatting>
  <conditionalFormatting sqref="G108:G109">
    <cfRule type="cellIs" dxfId="6635" priority="23" operator="equal">
      <formula>0</formula>
    </cfRule>
    <cfRule type="cellIs" dxfId="6634" priority="24" operator="notEqual">
      <formula>0</formula>
    </cfRule>
  </conditionalFormatting>
  <conditionalFormatting sqref="H108:H109">
    <cfRule type="cellIs" dxfId="6633" priority="21" operator="equal">
      <formula>0</formula>
    </cfRule>
    <cfRule type="cellIs" dxfId="6632" priority="22" operator="notEqual">
      <formula>0</formula>
    </cfRule>
  </conditionalFormatting>
  <conditionalFormatting sqref="I108:I109">
    <cfRule type="cellIs" dxfId="6631" priority="19" operator="equal">
      <formula>0</formula>
    </cfRule>
    <cfRule type="cellIs" dxfId="6630" priority="20" operator="notEqual">
      <formula>0</formula>
    </cfRule>
  </conditionalFormatting>
  <conditionalFormatting sqref="J108:J109">
    <cfRule type="cellIs" dxfId="6629" priority="17" operator="equal">
      <formula>0</formula>
    </cfRule>
    <cfRule type="cellIs" dxfId="6628" priority="18" operator="notEqual">
      <formula>0</formula>
    </cfRule>
  </conditionalFormatting>
  <conditionalFormatting sqref="O107">
    <cfRule type="cellIs" dxfId="6627" priority="15" operator="equal">
      <formula>0</formula>
    </cfRule>
    <cfRule type="cellIs" dxfId="6626" priority="16" operator="notEqual">
      <formula>0</formula>
    </cfRule>
  </conditionalFormatting>
  <conditionalFormatting sqref="O110">
    <cfRule type="cellIs" dxfId="6625" priority="13" operator="equal">
      <formula>0</formula>
    </cfRule>
    <cfRule type="cellIs" dxfId="6624" priority="14" operator="notEqual">
      <formula>0</formula>
    </cfRule>
  </conditionalFormatting>
  <conditionalFormatting sqref="P107">
    <cfRule type="cellIs" dxfId="6623" priority="11" operator="equal">
      <formula>0</formula>
    </cfRule>
    <cfRule type="cellIs" dxfId="6622" priority="12" operator="notEqual">
      <formula>0</formula>
    </cfRule>
  </conditionalFormatting>
  <conditionalFormatting sqref="P110">
    <cfRule type="cellIs" dxfId="6621" priority="9" operator="equal">
      <formula>0</formula>
    </cfRule>
    <cfRule type="cellIs" dxfId="6620" priority="10" operator="notEqual">
      <formula>0</formula>
    </cfRule>
  </conditionalFormatting>
  <conditionalFormatting sqref="Q107">
    <cfRule type="cellIs" dxfId="6619" priority="7" operator="equal">
      <formula>0</formula>
    </cfRule>
    <cfRule type="cellIs" dxfId="6618" priority="8" operator="notEqual">
      <formula>0</formula>
    </cfRule>
  </conditionalFormatting>
  <conditionalFormatting sqref="Q110">
    <cfRule type="cellIs" dxfId="6617" priority="5" operator="equal">
      <formula>0</formula>
    </cfRule>
    <cfRule type="cellIs" dxfId="6616" priority="6" operator="notEqual">
      <formula>0</formula>
    </cfRule>
  </conditionalFormatting>
  <conditionalFormatting sqref="R107">
    <cfRule type="cellIs" dxfId="6615" priority="3" operator="equal">
      <formula>0</formula>
    </cfRule>
    <cfRule type="cellIs" dxfId="6614" priority="4" operator="notEqual">
      <formula>0</formula>
    </cfRule>
  </conditionalFormatting>
  <conditionalFormatting sqref="R110">
    <cfRule type="cellIs" dxfId="6613" priority="1" operator="equal">
      <formula>0</formula>
    </cfRule>
    <cfRule type="cellIs" dxfId="6612" priority="2" operator="notEqual">
      <formula>0</formula>
    </cfRule>
  </conditionalFormatting>
  <dataValidations count="1">
    <dataValidation type="list" allowBlank="1" showInputMessage="1" showErrorMessage="1" sqref="B5" xr:uid="{00000000-0002-0000-0700-000000000000}">
      <formula1>Regions</formula1>
    </dataValidation>
  </dataValidation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D34A3-A5CE-4D1F-AD50-D1B5C6322BD0}">
  <sheetPr>
    <tabColor rgb="FFFFFF00"/>
  </sheetPr>
  <dimension ref="A1:V75"/>
  <sheetViews>
    <sheetView showGridLines="0" topLeftCell="C1" zoomScale="76" zoomScaleNormal="82" workbookViewId="0">
      <selection activeCell="H11" sqref="H11"/>
    </sheetView>
  </sheetViews>
  <sheetFormatPr baseColWidth="10" defaultColWidth="9.1640625" defaultRowHeight="14" x14ac:dyDescent="0.15"/>
  <cols>
    <col min="2" max="2" width="58.33203125" bestFit="1" customWidth="1"/>
    <col min="3" max="3" width="14.83203125" customWidth="1"/>
    <col min="4" max="4" width="15.83203125" customWidth="1"/>
    <col min="5" max="5" width="14.83203125" customWidth="1"/>
    <col min="6" max="6" width="17.1640625" customWidth="1"/>
    <col min="7" max="7" width="17.5" customWidth="1"/>
    <col min="8" max="8" width="32.1640625" bestFit="1" customWidth="1"/>
    <col min="9" max="9" width="20.5" customWidth="1"/>
    <col min="10" max="10" width="15.5" customWidth="1"/>
    <col min="11" max="11" width="35" bestFit="1" customWidth="1"/>
    <col min="12" max="12" width="16" customWidth="1"/>
    <col min="13" max="13" width="15.5" customWidth="1"/>
    <col min="21" max="21" width="9.83203125" customWidth="1"/>
    <col min="22" max="22" width="43.6640625" bestFit="1" customWidth="1"/>
  </cols>
  <sheetData>
    <row r="1" spans="1:22" ht="60.75" customHeight="1" x14ac:dyDescent="0.15">
      <c r="A1" s="305" t="s">
        <v>1299</v>
      </c>
      <c r="B1" s="306"/>
      <c r="C1" s="306"/>
      <c r="D1" s="306"/>
      <c r="E1" s="306"/>
      <c r="F1" s="306"/>
      <c r="G1" s="306"/>
      <c r="H1" s="306"/>
      <c r="I1" s="306"/>
      <c r="J1" s="306"/>
      <c r="K1" s="306"/>
      <c r="L1" s="306"/>
      <c r="M1" s="306"/>
      <c r="N1" s="306"/>
      <c r="O1" s="306"/>
      <c r="P1" s="306"/>
      <c r="Q1" s="306"/>
      <c r="R1" s="306"/>
      <c r="S1" s="306"/>
    </row>
    <row r="2" spans="1:22" ht="28.5" customHeight="1" x14ac:dyDescent="0.15">
      <c r="A2" s="307"/>
      <c r="B2" s="307"/>
      <c r="C2" s="307"/>
      <c r="D2" s="307"/>
      <c r="E2" s="307"/>
      <c r="F2" s="307"/>
      <c r="G2" s="307"/>
      <c r="H2" s="307"/>
      <c r="I2" s="307"/>
      <c r="J2" s="307"/>
      <c r="K2" s="307"/>
      <c r="L2" s="307"/>
      <c r="M2" s="307"/>
      <c r="N2" s="307"/>
      <c r="O2" s="307"/>
      <c r="P2" s="307"/>
      <c r="Q2" s="307"/>
      <c r="R2" s="307"/>
      <c r="S2" s="307"/>
    </row>
    <row r="4" spans="1:22" ht="36" customHeight="1" x14ac:dyDescent="0.15">
      <c r="B4" s="39" t="s">
        <v>999</v>
      </c>
      <c r="H4" s="39"/>
      <c r="I4" s="280"/>
      <c r="J4" s="280"/>
      <c r="K4" s="280"/>
      <c r="L4" s="280"/>
      <c r="M4" s="280"/>
      <c r="N4" s="280"/>
      <c r="O4" s="280"/>
      <c r="P4" s="280"/>
      <c r="Q4" s="280"/>
      <c r="R4" s="280"/>
    </row>
    <row r="5" spans="1:22" ht="38" customHeight="1" x14ac:dyDescent="0.15">
      <c r="B5" s="60" t="s">
        <v>24</v>
      </c>
      <c r="C5" s="43"/>
      <c r="H5" s="43"/>
      <c r="I5" s="43"/>
      <c r="J5" s="280"/>
      <c r="K5" s="280"/>
      <c r="L5" s="280"/>
      <c r="M5" s="280"/>
      <c r="N5" s="280"/>
      <c r="O5" s="280"/>
      <c r="P5" s="280"/>
      <c r="Q5" s="280"/>
      <c r="R5" s="280"/>
    </row>
    <row r="6" spans="1:22" ht="38" customHeight="1" x14ac:dyDescent="0.15">
      <c r="C6" s="43"/>
      <c r="H6" s="280"/>
      <c r="I6" s="280"/>
      <c r="J6" s="280"/>
      <c r="K6" s="280"/>
      <c r="L6" s="280"/>
      <c r="M6" s="280"/>
      <c r="N6" s="280"/>
      <c r="O6" s="280"/>
      <c r="P6" s="280"/>
      <c r="Q6" s="280"/>
      <c r="R6" s="280"/>
    </row>
    <row r="7" spans="1:22" ht="28" customHeight="1" x14ac:dyDescent="0.15">
      <c r="B7" s="263" t="s">
        <v>1263</v>
      </c>
      <c r="C7" s="45"/>
      <c r="D7" s="45"/>
      <c r="E7" s="45"/>
      <c r="F7" s="263"/>
      <c r="H7" s="287" t="s">
        <v>1000</v>
      </c>
      <c r="I7" s="45"/>
      <c r="J7" s="45"/>
      <c r="K7" s="45"/>
      <c r="L7" s="46"/>
      <c r="M7" s="280"/>
      <c r="N7" s="280"/>
      <c r="O7" s="280"/>
      <c r="P7" s="280"/>
      <c r="Q7" s="280"/>
      <c r="R7" s="280"/>
    </row>
    <row r="8" spans="1:22" ht="43.5" customHeight="1" x14ac:dyDescent="0.15">
      <c r="B8" s="71"/>
      <c r="C8" s="266" t="s">
        <v>1273</v>
      </c>
      <c r="D8" s="275" t="s">
        <v>1274</v>
      </c>
      <c r="E8" s="275" t="s">
        <v>1275</v>
      </c>
      <c r="F8" s="275" t="s">
        <v>1276</v>
      </c>
      <c r="H8" s="71"/>
      <c r="I8" s="290" t="s">
        <v>1327</v>
      </c>
      <c r="J8" s="72" t="s">
        <v>1328</v>
      </c>
      <c r="K8" s="72" t="s">
        <v>1329</v>
      </c>
      <c r="L8" s="72" t="s">
        <v>1330</v>
      </c>
      <c r="M8" s="280"/>
      <c r="N8" s="280"/>
      <c r="O8" s="280"/>
      <c r="P8" s="280"/>
      <c r="Q8" s="280"/>
      <c r="R8" s="280"/>
    </row>
    <row r="9" spans="1:22" ht="20" customHeight="1" x14ac:dyDescent="0.15">
      <c r="B9" s="74" t="str">
        <f>B5</f>
        <v>London</v>
      </c>
      <c r="C9" s="269" t="e">
        <f>SUMIFS('capacity data'!K:K,'capacity data'!A:A,B5,'capacity data'!E:E,"PO")/((SUMIFS('capacity data'!I:I,'capacity data'!A:A,B5,'capacity data'!E:E,"PO")-(SUMIFS('capacity data'!J:J,'capacity data'!A:A,B5,'capacity data'!E:E,"PO")))/37)</f>
        <v>#DIV/0!</v>
      </c>
      <c r="D9" s="270" t="e">
        <f>SUMIFS('capacity data'!K:K,'capacity data'!A:A,B5,'capacity data'!E:E,"PSO")/((SUMIFS('capacity data'!I:I,'capacity data'!A:A,B5,'capacity data'!E:E,"PSO")-(SUMIFS('capacity data'!J:J,'capacity data'!A:A,B5,'capacity data'!E:E,"PSO")))/37)</f>
        <v>#DIV/0!</v>
      </c>
      <c r="E9" s="270" t="e">
        <f>SUMIFS('capacity data'!K:K,'capacity data'!A:A,B5,'capacity data'!E:E,"TPO")/((SUMIFS('capacity data'!I:I,'capacity data'!A:A,B5,'capacity data'!E:E,"TPO")-(SUMIFS('capacity data'!J:J,'capacity data'!A:A,B5,'capacity data'!E:E,"TPO")))/37)</f>
        <v>#DIV/0!</v>
      </c>
      <c r="F9" s="270" t="e">
        <f>SUMIFS('capacity data'!K:K,'capacity data'!A:A,B5,'capacity data'!E:E,"&lt;&gt;DMY")/((SUMIFS('capacity data'!I:I,'capacity data'!A:A,B5,'capacity data'!E:E,"&lt;&gt;DMY")-(SUMIFS('capacity data'!J:J,'capacity data'!A:A,B5,'capacity data'!E:E,"&lt;&gt;DMY")))/37)</f>
        <v>#DIV/0!</v>
      </c>
      <c r="H9" s="74" t="str">
        <f>B5</f>
        <v>London</v>
      </c>
      <c r="I9" s="91" t="e">
        <f>SUMIFS('capacity data'!F:F, 'capacity data'!E:E, "PO",'capacity data'!F:F, "&lt;&gt;0", 'capacity data'!A:A, B5) / COUNTIFS('capacity data'!E:E, "PO",'capacity data'!F:F, "&lt;&gt;0",'capacity data'!A:A, B5)</f>
        <v>#DIV/0!</v>
      </c>
      <c r="J9" s="91" t="e">
        <f>SUMIFS('capacity data'!F:F, 'capacity data'!E:E, "PSO",'capacity data'!F:F, "&lt;&gt;0", 'capacity data'!A:A, B5) / COUNTIFS('capacity data'!E:E, "PSO",'capacity data'!F:F, "&lt;&gt;0",'capacity data'!A:A, B5)</f>
        <v>#DIV/0!</v>
      </c>
      <c r="K9" s="91" t="e">
        <f>SUMIFS('capacity data'!F:F, 'capacity data'!E:E, "TPO",'capacity data'!F:F, "&lt;&gt;0", 'capacity data'!A:A, B5) / COUNTIFS('capacity data'!E:E, "TPO",'capacity data'!F:F, "&lt;&gt;0",'capacity data'!A:A, B5)</f>
        <v>#DIV/0!</v>
      </c>
      <c r="L9" s="91">
        <f>SUMIFS('capacity data'!F:F, 'capacity data'!E:E, "&lt;&gt;DMY",'capacity data'!F:F, "&lt;&gt;0", 'capacity data'!A:A, B5) / COUNTIFS('capacity data'!E:E, "&lt;&gt;DMY",'capacity data'!F:F, "&lt;&gt;0",'capacity data'!A:A, B5)</f>
        <v>0</v>
      </c>
      <c r="M9" s="280"/>
      <c r="N9" s="280"/>
      <c r="O9" s="280"/>
      <c r="P9" s="280"/>
      <c r="Q9" s="280"/>
      <c r="R9" s="280"/>
    </row>
    <row r="10" spans="1:22" ht="18" customHeight="1" x14ac:dyDescent="0.15">
      <c r="B10" s="253" t="s">
        <v>1139</v>
      </c>
      <c r="C10" s="269" t="e">
        <f>SUMIFS('capacity data'!K:K,'capacity data'!E:E,"PO")/((SUMIFS('capacity data'!I:I,'capacity data'!E:E,"PO")-(SUMIFS('capacity data'!J:J,'capacity data'!E:E,"PO")))/37)</f>
        <v>#DIV/0!</v>
      </c>
      <c r="D10" s="270" t="e">
        <f>SUMIFS('capacity data'!K:K,'capacity data'!E:E,"PSO")/((SUMIFS('capacity data'!I:I,'capacity data'!E:E,"PSO")-(SUMIFS('capacity data'!J:J,'capacity data'!E:E,"PSO")))/37)</f>
        <v>#DIV/0!</v>
      </c>
      <c r="E10" s="270" t="e">
        <f>SUMIFS('capacity data'!K:K,'capacity data'!E:E,"TPO")/((SUMIFS('capacity data'!I:I,'capacity data'!E:E,"TPO")-(SUMIFS('capacity data'!J:J,'capacity data'!E:E,"TPO")))/37)</f>
        <v>#DIV/0!</v>
      </c>
      <c r="F10" s="270" t="e">
        <f>SUMIFS('capacity data'!K:K,'capacity data'!E:E,"&lt;&gt;DMY")/((SUMIFS('capacity data'!I:I,'capacity data'!E:E,"&lt;&gt;DMY")-(SUMIFS('capacity data'!J:J,'capacity data'!E:E,"&lt;&gt;DMY")))/37)</f>
        <v>#DIV/0!</v>
      </c>
      <c r="H10" s="253" t="s">
        <v>1139</v>
      </c>
      <c r="I10" s="91" t="e">
        <f>SUMIFS('capacity data'!F:F, 'capacity data'!E:E, "PO",'capacity data'!F:F, "&lt;&gt;0") / COUNTIFS('capacity data'!E:E, "PO",'capacity data'!F:F, "&lt;&gt;0")</f>
        <v>#DIV/0!</v>
      </c>
      <c r="J10" s="91" t="e">
        <f>SUMIFS('capacity data'!F:F, 'capacity data'!E:E, "PSO",'capacity data'!F:F, "&lt;&gt;0") / COUNTIFS('capacity data'!E:E, "PSO",'capacity data'!F:F, "&lt;&gt;0")</f>
        <v>#DIV/0!</v>
      </c>
      <c r="K10" s="91" t="e">
        <f>SUMIFS('capacity data'!F:F, 'capacity data'!E:E, "TPO",'capacity data'!F:F, "&lt;&gt;0") / COUNTIFS('capacity data'!E:E, "TPO",'capacity data'!F:F, "&lt;&gt;0")</f>
        <v>#DIV/0!</v>
      </c>
      <c r="L10" s="91">
        <f>SUMIFS('capacity data'!F:F, 'capacity data'!E:E, "&lt;&gt;DMY",'capacity data'!F:F, "&lt;&gt;0") / COUNTIFS('capacity data'!E:E, "&lt;&gt;DMY",'capacity data'!F:F, "&lt;&gt;0", 'capacity data'!A:A, "&lt;&gt;")</f>
        <v>0</v>
      </c>
      <c r="M10" s="280"/>
      <c r="N10" s="280"/>
      <c r="O10" s="280"/>
      <c r="P10" s="280"/>
      <c r="Q10" s="280"/>
      <c r="R10" s="280"/>
    </row>
    <row r="11" spans="1:22" ht="17" customHeight="1" x14ac:dyDescent="0.15">
      <c r="B11" s="77" t="s">
        <v>1010</v>
      </c>
      <c r="C11" s="269" t="e">
        <f>C9-C10</f>
        <v>#DIV/0!</v>
      </c>
      <c r="D11" s="269" t="e">
        <f t="shared" ref="D11:F11" si="0">D9-D10</f>
        <v>#DIV/0!</v>
      </c>
      <c r="E11" s="269" t="e">
        <f t="shared" si="0"/>
        <v>#DIV/0!</v>
      </c>
      <c r="F11" s="269" t="e">
        <f t="shared" si="0"/>
        <v>#DIV/0!</v>
      </c>
      <c r="H11" s="77" t="s">
        <v>1010</v>
      </c>
      <c r="I11" s="112" t="e">
        <f>I9-I10</f>
        <v>#DIV/0!</v>
      </c>
      <c r="J11" s="112" t="e">
        <f t="shared" ref="J11:K11" si="1">J9-J10</f>
        <v>#DIV/0!</v>
      </c>
      <c r="K11" s="112" t="e">
        <f t="shared" si="1"/>
        <v>#DIV/0!</v>
      </c>
      <c r="L11" s="112">
        <f>L9-L10</f>
        <v>0</v>
      </c>
      <c r="M11" s="280"/>
      <c r="N11" s="280"/>
      <c r="O11" s="280"/>
      <c r="P11" s="280"/>
      <c r="Q11" s="280"/>
      <c r="R11" s="280"/>
    </row>
    <row r="12" spans="1:22" ht="17" customHeight="1" x14ac:dyDescent="0.15">
      <c r="D12" s="273"/>
      <c r="E12" s="273"/>
      <c r="F12" s="273"/>
      <c r="M12" s="280"/>
      <c r="N12" s="280"/>
      <c r="O12" s="280"/>
      <c r="P12" s="280"/>
      <c r="Q12" s="280"/>
      <c r="R12" s="280"/>
      <c r="S12" s="273"/>
      <c r="T12" s="273"/>
      <c r="U12" s="273"/>
      <c r="V12" s="273"/>
    </row>
    <row r="13" spans="1:22" ht="17" customHeight="1" x14ac:dyDescent="0.15">
      <c r="D13" s="273"/>
      <c r="E13" s="273"/>
      <c r="F13" s="273"/>
      <c r="H13" s="280"/>
      <c r="I13" s="280"/>
      <c r="J13" s="280"/>
      <c r="K13" s="280"/>
      <c r="L13" s="280"/>
      <c r="M13" s="280"/>
      <c r="N13" s="280"/>
      <c r="O13" s="280"/>
      <c r="P13" s="280"/>
      <c r="Q13" s="280"/>
      <c r="R13" s="280"/>
      <c r="S13" s="273"/>
      <c r="T13" s="273"/>
      <c r="U13" s="273"/>
      <c r="V13" s="273"/>
    </row>
    <row r="14" spans="1:22" ht="25" customHeight="1" x14ac:dyDescent="0.15">
      <c r="B14" s="263" t="s">
        <v>1264</v>
      </c>
      <c r="C14" s="45"/>
      <c r="D14" s="45"/>
      <c r="E14" s="45"/>
      <c r="F14" s="263"/>
      <c r="J14" s="273"/>
      <c r="K14" s="273"/>
      <c r="L14" s="273"/>
      <c r="M14" s="273"/>
      <c r="N14" s="273"/>
      <c r="Q14" s="280"/>
      <c r="R14" s="273"/>
      <c r="S14" s="273"/>
      <c r="T14" s="273"/>
      <c r="U14" s="273"/>
      <c r="V14" s="273"/>
    </row>
    <row r="15" spans="1:22" ht="39.5" customHeight="1" x14ac:dyDescent="0.15">
      <c r="B15" s="71"/>
      <c r="C15" s="275" t="s">
        <v>1273</v>
      </c>
      <c r="D15" s="275" t="s">
        <v>1274</v>
      </c>
      <c r="E15" s="275" t="s">
        <v>1275</v>
      </c>
      <c r="F15" s="275" t="s">
        <v>1276</v>
      </c>
      <c r="J15" s="273"/>
      <c r="K15" s="273"/>
      <c r="L15" s="273"/>
      <c r="M15" s="273"/>
      <c r="N15" s="273"/>
      <c r="Q15" s="280"/>
      <c r="R15" s="273"/>
      <c r="S15" s="273"/>
      <c r="T15" s="273"/>
      <c r="U15" s="273"/>
      <c r="V15" s="273"/>
    </row>
    <row r="16" spans="1:22" ht="17" customHeight="1" x14ac:dyDescent="0.15">
      <c r="B16" s="74" t="str">
        <f>B5</f>
        <v>London</v>
      </c>
      <c r="C16" s="269" t="e">
        <f>SUMIFS('caseload data'!V:V,'caseload data'!A:A, B5, 'caseload data'!D:D, "PO", 'caseload data'!B:B, "Community")/((SUMIFS('capacity data'!I:I,'capacity data'!A:A,B5,'capacity data'!E:E,"PO")-(SUMIFS('capacity data'!J:J,'capacity data'!A:A,B5,'capacity data'!E:E,"PO")))/37)</f>
        <v>#DIV/0!</v>
      </c>
      <c r="D16" s="269" t="e">
        <f>SUMIFS('caseload data'!V:V,'caseload data'!A:A, B5, 'caseload data'!D:D, "PSO", 'caseload data'!B:B, "Community")/((SUMIFS('capacity data'!I:I,'capacity data'!A:A,B5,'capacity data'!E:E,"PSO")-(SUMIFS('capacity data'!J:J,'capacity data'!A:A,B5,'capacity data'!E:E,"PSO")))/37)</f>
        <v>#DIV/0!</v>
      </c>
      <c r="E16" s="269" t="e">
        <f>SUMIFS('caseload data'!V:V,'caseload data'!A:A, B5, 'caseload data'!D:D, "TPO", 'caseload data'!B:B, "Community")/((SUMIFS('capacity data'!I:I,'capacity data'!A:A,B5,'capacity data'!E:E,"TPO")-(SUMIFS('capacity data'!J:J,'capacity data'!A:A,B5,'capacity data'!E:E,"TPO")))/37)</f>
        <v>#DIV/0!</v>
      </c>
      <c r="F16" s="269" t="e">
        <f>SUMIFS('caseload data'!V:V,'caseload data'!B:B, "Community", 'caseload data'!D:D, "&lt;&gt;DMY", 'caseload data'!A:A, B5) /((SUMIFS('capacity data'!I:I,'capacity data'!A:A,B5,'capacity data'!E:E,"&lt;&gt;DMY")-(SUMIFS('capacity data'!J:J,'capacity data'!A:A,B5,'capacity data'!E:E,"&lt;&gt;DMY")))/37)</f>
        <v>#DIV/0!</v>
      </c>
      <c r="J16" s="273"/>
      <c r="K16" s="273"/>
      <c r="L16" s="273"/>
      <c r="M16" s="273"/>
      <c r="N16" s="273"/>
      <c r="Q16" s="280"/>
      <c r="R16" s="273"/>
      <c r="S16" s="273"/>
      <c r="T16" s="273"/>
      <c r="U16" s="273"/>
      <c r="V16" s="273"/>
    </row>
    <row r="17" spans="2:22" ht="17" customHeight="1" x14ac:dyDescent="0.15">
      <c r="B17" s="253" t="s">
        <v>1139</v>
      </c>
      <c r="C17" s="269" t="e">
        <f>SUMIFS('caseload data'!V:V, 'caseload data'!D:D, "PO", 'caseload data'!B:B, "Community")/((SUMIFS('capacity data'!I:I,'capacity data'!E:E,"PO")-(SUMIFS('capacity data'!J:J,'capacity data'!E:E,"PO")))/37)</f>
        <v>#DIV/0!</v>
      </c>
      <c r="D17" s="269" t="e">
        <f>SUMIFS('caseload data'!V:V, 'caseload data'!D:D, "PSO", 'caseload data'!B:B, "Community")/((SUMIFS('capacity data'!I:I,'capacity data'!E:E,"PSO")-(SUMIFS('capacity data'!J:J,'capacity data'!E:E,"PSO")))/37)</f>
        <v>#DIV/0!</v>
      </c>
      <c r="E17" s="269" t="e">
        <f>SUMIFS('caseload data'!V:V, 'caseload data'!D:D, "TPO", 'caseload data'!B:B, "Community")/((SUMIFS('capacity data'!I:I,'capacity data'!E:E,"TPO")-(SUMIFS('capacity data'!J:J,'capacity data'!E:E,"TPO")))/37)</f>
        <v>#DIV/0!</v>
      </c>
      <c r="F17" s="269" t="e">
        <f>SUMIFS('caseload data'!V:V, 'caseload data'!D:D, "&lt;&gt;DMY", 'caseload data'!B:B, "Community")/((SUMIFS('capacity data'!I:I,'capacity data'!E:E,"&lt;&gt;DMY")-(SUMIFS('capacity data'!J:J,'capacity data'!E:E,"&lt;&gt;DMY")))/37)</f>
        <v>#DIV/0!</v>
      </c>
      <c r="Q17" s="280"/>
      <c r="R17" s="273"/>
      <c r="S17" s="273"/>
      <c r="T17" s="273"/>
      <c r="U17" s="273"/>
      <c r="V17" s="273"/>
    </row>
    <row r="18" spans="2:22" ht="17" customHeight="1" x14ac:dyDescent="0.15">
      <c r="B18" s="77" t="s">
        <v>1010</v>
      </c>
      <c r="C18" s="269" t="e">
        <f>C16-C17</f>
        <v>#DIV/0!</v>
      </c>
      <c r="D18" s="269" t="e">
        <f t="shared" ref="D18:F18" si="2">D16-D17</f>
        <v>#DIV/0!</v>
      </c>
      <c r="E18" s="269" t="e">
        <f t="shared" si="2"/>
        <v>#DIV/0!</v>
      </c>
      <c r="F18" s="269" t="e">
        <f t="shared" si="2"/>
        <v>#DIV/0!</v>
      </c>
      <c r="Q18" s="280"/>
      <c r="R18" s="273"/>
      <c r="S18" s="273"/>
      <c r="T18" s="273"/>
      <c r="U18" s="273"/>
      <c r="V18" s="273"/>
    </row>
    <row r="19" spans="2:22" ht="17" customHeight="1" x14ac:dyDescent="0.15">
      <c r="C19" s="273"/>
      <c r="Q19" s="280"/>
      <c r="R19" s="273"/>
      <c r="S19" s="273"/>
      <c r="T19" s="273"/>
      <c r="U19" s="273"/>
      <c r="V19" s="273"/>
    </row>
    <row r="20" spans="2:22" ht="32" customHeight="1" x14ac:dyDescent="0.15">
      <c r="B20" s="263" t="s">
        <v>1267</v>
      </c>
      <c r="C20" s="45"/>
      <c r="D20" s="45"/>
      <c r="E20" s="45"/>
      <c r="F20" s="263"/>
      <c r="H20" s="55"/>
      <c r="Q20" s="280"/>
    </row>
    <row r="21" spans="2:22" ht="43.5" customHeight="1" x14ac:dyDescent="0.15">
      <c r="B21" s="71"/>
      <c r="C21" s="275" t="s">
        <v>1273</v>
      </c>
      <c r="D21" s="275" t="s">
        <v>1274</v>
      </c>
      <c r="E21" s="275" t="s">
        <v>1275</v>
      </c>
      <c r="F21" s="275" t="s">
        <v>1276</v>
      </c>
      <c r="Q21" s="280"/>
    </row>
    <row r="22" spans="2:22" ht="15" customHeight="1" x14ac:dyDescent="0.15">
      <c r="B22" s="74" t="str">
        <f>B5</f>
        <v>London</v>
      </c>
      <c r="C22" s="269" t="e">
        <f>SUMIFS('caseload data'!V:V,'caseload data'!A:A, B5, 'caseload data'!D:D, "PO", 'caseload data'!B:B, "Licence")/((SUMIFS('capacity data'!I:I,'capacity data'!A:A,B5,'capacity data'!E:E,"PO")-(SUMIFS('capacity data'!J:J,'capacity data'!A:A,B5,'capacity data'!E:E,"PO")))/37)</f>
        <v>#DIV/0!</v>
      </c>
      <c r="D22" s="269" t="e">
        <f>SUMIFS('caseload data'!V:V,'caseload data'!A:A, B5, 'caseload data'!D:D, "PSO", 'caseload data'!B:B, "Licence")/((SUMIFS('capacity data'!I:I,'capacity data'!A:A,B5,'capacity data'!E:E,"PSO")-(SUMIFS('capacity data'!J:J,'capacity data'!A:A,B5,'capacity data'!E:E,"PSO")))/37)</f>
        <v>#DIV/0!</v>
      </c>
      <c r="E22" s="269" t="e">
        <f>SUMIFS('caseload data'!V:V,'caseload data'!A:A, B5, 'caseload data'!D:D, "TPO", 'caseload data'!B:B, "Licence")/((SUMIFS('capacity data'!I:I,'capacity data'!A:A,B5,'capacity data'!E:E,"TPO")-(SUMIFS('capacity data'!J:J,'capacity data'!A:A,B5,'capacity data'!E:E,"TPO")))/37)</f>
        <v>#DIV/0!</v>
      </c>
      <c r="F22" s="269" t="e">
        <f>SUMIFS('caseload data'!V:V,'caseload data'!B:B, "Licence", 'caseload data'!D:D, "&lt;&gt;DMY", 'caseload data'!A:A, B5) /((SUMIFS('capacity data'!I:I,'capacity data'!A:A,B5,'capacity data'!E:E,"&lt;&gt;DMY")-(SUMIFS('capacity data'!J:J,'capacity data'!A:A,B5,'capacity data'!E:E,"&lt;&gt;DMY")))/37)</f>
        <v>#DIV/0!</v>
      </c>
      <c r="J22" s="273"/>
      <c r="K22" s="273"/>
      <c r="L22" s="273"/>
      <c r="M22" s="273"/>
      <c r="N22" s="273"/>
      <c r="Q22" s="280"/>
    </row>
    <row r="23" spans="2:22" ht="15" customHeight="1" x14ac:dyDescent="0.15">
      <c r="B23" s="253" t="s">
        <v>1139</v>
      </c>
      <c r="C23" s="269" t="e">
        <f>SUMIFS('caseload data'!V:V, 'caseload data'!D:D, "PO", 'caseload data'!B:B, "Licence")/((SUMIFS('capacity data'!I:I,'capacity data'!E:E,"PO")-(SUMIFS('capacity data'!J:J,'capacity data'!E:E,"PO")))/37)</f>
        <v>#DIV/0!</v>
      </c>
      <c r="D23" s="269" t="e">
        <f>SUMIFS('caseload data'!V:V, 'caseload data'!D:D, "PSO", 'caseload data'!B:B, "Licence")/((SUMIFS('capacity data'!I:I,'capacity data'!E:E,"PSO")-(SUMIFS('capacity data'!J:J,'capacity data'!E:E,"PSO")))/37)</f>
        <v>#DIV/0!</v>
      </c>
      <c r="E23" s="269" t="e">
        <f>SUMIFS('caseload data'!V:V, 'caseload data'!D:D, "TPO", 'caseload data'!B:B, "Licence")/((SUMIFS('capacity data'!I:I,'capacity data'!E:E,"TPO")-(SUMIFS('capacity data'!J:J,'capacity data'!E:E,"TPO")))/37)</f>
        <v>#DIV/0!</v>
      </c>
      <c r="F23" s="269" t="e">
        <f>SUMIFS('caseload data'!V:V, 'caseload data'!D:D, "&lt;&gt;DMY", 'caseload data'!B:B, "Licence")/((SUMIFS('capacity data'!I:I,'capacity data'!E:E,"&lt;&gt;DMY")-(SUMIFS('capacity data'!J:J,'capacity data'!E:E,"&lt;&gt;DMY")))/37)</f>
        <v>#DIV/0!</v>
      </c>
      <c r="J23" s="273"/>
      <c r="K23" s="273"/>
      <c r="L23" s="273"/>
      <c r="M23" s="273"/>
      <c r="N23" s="273"/>
    </row>
    <row r="24" spans="2:22" ht="15" customHeight="1" x14ac:dyDescent="0.15">
      <c r="B24" s="77" t="s">
        <v>1010</v>
      </c>
      <c r="C24" s="269" t="e">
        <f>C22-C23</f>
        <v>#DIV/0!</v>
      </c>
      <c r="D24" s="269" t="e">
        <f t="shared" ref="D24:F24" si="3">D22-D23</f>
        <v>#DIV/0!</v>
      </c>
      <c r="E24" s="269" t="e">
        <f t="shared" si="3"/>
        <v>#DIV/0!</v>
      </c>
      <c r="F24" s="269" t="e">
        <f t="shared" si="3"/>
        <v>#DIV/0!</v>
      </c>
      <c r="J24" s="273"/>
      <c r="K24" s="273"/>
      <c r="L24" s="273"/>
      <c r="M24" s="273"/>
      <c r="N24" s="273"/>
    </row>
    <row r="25" spans="2:22" ht="15" customHeight="1" x14ac:dyDescent="0.15">
      <c r="J25" s="273"/>
      <c r="K25" s="273"/>
      <c r="L25" s="273"/>
      <c r="M25" s="273"/>
      <c r="N25" s="273"/>
    </row>
    <row r="26" spans="2:22" ht="28.5" customHeight="1" x14ac:dyDescent="0.15">
      <c r="B26" s="263" t="s">
        <v>1269</v>
      </c>
      <c r="C26" s="45"/>
      <c r="D26" s="45"/>
      <c r="E26" s="45"/>
      <c r="F26" s="263"/>
      <c r="J26" s="273"/>
      <c r="K26" s="273"/>
      <c r="L26" s="273"/>
      <c r="M26" s="273"/>
      <c r="N26" s="273"/>
    </row>
    <row r="27" spans="2:22" ht="49" customHeight="1" x14ac:dyDescent="0.15">
      <c r="B27" s="71"/>
      <c r="C27" s="275" t="s">
        <v>1273</v>
      </c>
      <c r="D27" s="275" t="s">
        <v>1274</v>
      </c>
      <c r="E27" s="275" t="s">
        <v>1275</v>
      </c>
      <c r="F27" s="275" t="s">
        <v>1276</v>
      </c>
      <c r="J27" s="273"/>
      <c r="K27" s="273"/>
      <c r="L27" s="273"/>
      <c r="M27" s="273"/>
      <c r="N27" s="273"/>
    </row>
    <row r="28" spans="2:22" ht="15" customHeight="1" x14ac:dyDescent="0.15">
      <c r="B28" s="74" t="str">
        <f>B11</f>
        <v>Variance</v>
      </c>
      <c r="C28" s="269" t="e">
        <f>SUMIFS('caseload data'!V:V,'caseload data'!A:A, B5, 'caseload data'!D:D, "PO", 'caseload data'!B:B, "Custody")/((SUMIFS('capacity data'!I:I,'capacity data'!A:A,B5,'capacity data'!E:E,"PO")-(SUMIFS('capacity data'!J:J,'capacity data'!A:A,B5,'capacity data'!E:E,"PO")))/37)</f>
        <v>#DIV/0!</v>
      </c>
      <c r="D28" s="269" t="e">
        <f>SUMIFS('caseload data'!V:V,'caseload data'!A:A, B5, 'caseload data'!D:D, "PSO", 'caseload data'!B:B, "Custody")/((SUMIFS('capacity data'!I:I,'capacity data'!A:A,B5,'capacity data'!E:E,"PSO")-(SUMIFS('capacity data'!J:J,'capacity data'!A:A,B5,'capacity data'!E:E,"PSO")))/37)</f>
        <v>#DIV/0!</v>
      </c>
      <c r="E28" s="269" t="e">
        <f>SUMIFS('caseload data'!V:V,'caseload data'!A:A, B5, 'caseload data'!D:D, "TPO", 'caseload data'!B:B, "Custody")/((SUMIFS('capacity data'!I:I,'capacity data'!A:A,B5,'capacity data'!E:E,"TPO")-(SUMIFS('capacity data'!J:J,'capacity data'!A:A,B5,'capacity data'!E:E,"TPO")))/37)</f>
        <v>#DIV/0!</v>
      </c>
      <c r="F28" s="269" t="e">
        <f>SUMIFS('caseload data'!V:V,'caseload data'!B:B, "Custody", 'caseload data'!D:D, "&lt;&gt;DMY", 'caseload data'!A:A, B5) /((SUMIFS('capacity data'!I:I,'capacity data'!A:A,B5,'capacity data'!E:E,"&lt;&gt;DMY")-(SUMIFS('capacity data'!J:J,'capacity data'!A:A,B5,'capacity data'!E:E,"&lt;&gt;DMY")))/37)</f>
        <v>#DIV/0!</v>
      </c>
      <c r="J28" s="273"/>
      <c r="K28" s="273"/>
      <c r="L28" s="273"/>
      <c r="M28" s="273"/>
      <c r="N28" s="273"/>
    </row>
    <row r="29" spans="2:22" ht="15" customHeight="1" x14ac:dyDescent="0.15">
      <c r="B29" s="253" t="s">
        <v>1139</v>
      </c>
      <c r="C29" s="269" t="e">
        <f>SUMIFS('caseload data'!V:V, 'caseload data'!D:D, "PO", 'caseload data'!B:B, "Custody")/((SUMIFS('capacity data'!I:I,'capacity data'!E:E,"PO")-(SUMIFS('capacity data'!J:J,'capacity data'!E:E,"PO")))/37)</f>
        <v>#DIV/0!</v>
      </c>
      <c r="D29" s="269" t="e">
        <f>SUMIFS('caseload data'!V:V, 'caseload data'!D:D, "PSO", 'caseload data'!B:B, "Custody")/((SUMIFS('capacity data'!I:I,'capacity data'!E:E,"PSO")-(SUMIFS('capacity data'!J:J,'capacity data'!E:E,"PSO")))/37)</f>
        <v>#DIV/0!</v>
      </c>
      <c r="E29" s="269" t="e">
        <f>SUMIFS('caseload data'!V:V, 'caseload data'!D:D, "TPO", 'caseload data'!B:B, "Custody")/((SUMIFS('capacity data'!I:I,'capacity data'!E:E,"TPO")-(SUMIFS('capacity data'!J:J,'capacity data'!E:E,"TPO")))/37)</f>
        <v>#DIV/0!</v>
      </c>
      <c r="F29" s="269" t="e">
        <f>SUMIFS('caseload data'!V:V, 'caseload data'!D:D, "&lt;&gt;DMY", 'caseload data'!B:B, "Custody")/((SUMIFS('capacity data'!I:I,'capacity data'!E:E,"&lt;&gt;DMY")-(SUMIFS('capacity data'!J:J,'capacity data'!E:E,"&lt;&gt;DMY")))/37)</f>
        <v>#DIV/0!</v>
      </c>
      <c r="J29" s="273"/>
      <c r="K29" s="273"/>
      <c r="L29" s="273"/>
      <c r="M29" s="273"/>
      <c r="N29" s="273"/>
    </row>
    <row r="30" spans="2:22" ht="15" customHeight="1" x14ac:dyDescent="0.15">
      <c r="B30" s="77" t="s">
        <v>1010</v>
      </c>
      <c r="C30" s="269" t="e">
        <f>C28-C29</f>
        <v>#DIV/0!</v>
      </c>
      <c r="D30" s="269" t="e">
        <f t="shared" ref="D30:F30" si="4">D28-D29</f>
        <v>#DIV/0!</v>
      </c>
      <c r="E30" s="269" t="e">
        <f t="shared" si="4"/>
        <v>#DIV/0!</v>
      </c>
      <c r="F30" s="269" t="e">
        <f t="shared" si="4"/>
        <v>#DIV/0!</v>
      </c>
      <c r="J30" s="273"/>
      <c r="K30" s="273"/>
      <c r="L30" s="273"/>
      <c r="M30" s="273"/>
      <c r="N30" s="273"/>
    </row>
    <row r="31" spans="2:22" ht="15" customHeight="1" x14ac:dyDescent="0.15">
      <c r="J31" s="273"/>
      <c r="K31" s="273"/>
      <c r="L31" s="273"/>
      <c r="M31" s="273"/>
      <c r="N31" s="273"/>
    </row>
    <row r="32" spans="2:22" s="280" customFormat="1" ht="15" customHeight="1" x14ac:dyDescent="0.15">
      <c r="J32" s="273"/>
      <c r="K32" s="273"/>
      <c r="L32" s="273"/>
      <c r="M32" s="273"/>
      <c r="N32" s="273"/>
    </row>
    <row r="33" spans="2:22" s="280" customFormat="1" ht="15" customHeight="1" x14ac:dyDescent="0.15">
      <c r="J33" s="273"/>
      <c r="K33" s="273"/>
      <c r="L33" s="273"/>
      <c r="M33" s="273"/>
      <c r="N33" s="273"/>
    </row>
    <row r="34" spans="2:22" s="280" customFormat="1" ht="26.5" customHeight="1" x14ac:dyDescent="0.15">
      <c r="B34" s="285" t="s">
        <v>1316</v>
      </c>
      <c r="C34" s="45"/>
      <c r="D34" s="45"/>
      <c r="E34" s="45"/>
      <c r="F34" s="285"/>
      <c r="J34" s="273"/>
      <c r="K34" s="273"/>
      <c r="L34" s="273"/>
      <c r="M34" s="273"/>
      <c r="N34" s="273"/>
    </row>
    <row r="35" spans="2:22" s="280" customFormat="1" ht="15" customHeight="1" x14ac:dyDescent="0.15">
      <c r="B35" s="71"/>
      <c r="C35" s="286" t="s">
        <v>1314</v>
      </c>
      <c r="D35" s="286" t="s">
        <v>1312</v>
      </c>
      <c r="E35" s="286" t="s">
        <v>1313</v>
      </c>
      <c r="F35" s="286" t="s">
        <v>1089</v>
      </c>
      <c r="J35" s="273"/>
      <c r="K35" s="273"/>
      <c r="L35" s="273"/>
      <c r="M35" s="273"/>
      <c r="N35" s="273"/>
    </row>
    <row r="36" spans="2:22" s="280" customFormat="1" ht="15" customHeight="1" x14ac:dyDescent="0.15">
      <c r="B36" s="74" t="s">
        <v>1317</v>
      </c>
      <c r="C36" s="268">
        <f>SUM(T49:T52)</f>
        <v>0</v>
      </c>
      <c r="D36" s="268">
        <f>SUM(T56:T59)</f>
        <v>0</v>
      </c>
      <c r="E36" s="268">
        <f>SUM(T63:T66)</f>
        <v>0</v>
      </c>
      <c r="F36" s="268">
        <f>SUM(T42:T45)</f>
        <v>0</v>
      </c>
      <c r="J36" s="273"/>
      <c r="K36" s="273"/>
      <c r="L36" s="273"/>
      <c r="M36" s="273"/>
      <c r="N36" s="273"/>
    </row>
    <row r="37" spans="2:22" ht="15" customHeight="1" x14ac:dyDescent="0.15">
      <c r="J37" s="273"/>
      <c r="K37" s="273"/>
      <c r="L37" s="273"/>
      <c r="M37" s="273"/>
      <c r="N37" s="273"/>
    </row>
    <row r="38" spans="2:22" ht="15" customHeight="1" x14ac:dyDescent="0.15">
      <c r="J38" s="273"/>
      <c r="K38" s="273"/>
      <c r="L38" s="273"/>
      <c r="M38" s="273"/>
      <c r="N38" s="273"/>
    </row>
    <row r="39" spans="2:22" ht="15.5" customHeight="1" x14ac:dyDescent="0.15"/>
    <row r="40" spans="2:22" x14ac:dyDescent="0.15">
      <c r="B40" s="58" t="str">
        <f>B5</f>
        <v>London</v>
      </c>
      <c r="C40" s="297" t="s">
        <v>1070</v>
      </c>
      <c r="D40" s="318"/>
      <c r="E40" s="318"/>
      <c r="F40" s="318"/>
      <c r="G40" s="318"/>
      <c r="H40" s="318"/>
      <c r="I40" s="318"/>
      <c r="J40" s="318"/>
      <c r="K40" s="318"/>
      <c r="L40" s="318"/>
      <c r="M40" s="318"/>
      <c r="N40" s="318"/>
      <c r="O40" s="318"/>
      <c r="P40" s="318"/>
      <c r="Q40" s="318"/>
      <c r="R40" s="318"/>
      <c r="S40" s="318"/>
      <c r="T40" s="318"/>
      <c r="V40" s="280"/>
    </row>
    <row r="41" spans="2:22" x14ac:dyDescent="0.15">
      <c r="B41" s="105" t="s">
        <v>1065</v>
      </c>
      <c r="C41" s="262" t="s">
        <v>922</v>
      </c>
      <c r="D41" s="262" t="s">
        <v>923</v>
      </c>
      <c r="E41" s="262" t="s">
        <v>924</v>
      </c>
      <c r="F41" s="262" t="s">
        <v>925</v>
      </c>
      <c r="G41" s="262" t="s">
        <v>926</v>
      </c>
      <c r="H41" s="262" t="s">
        <v>927</v>
      </c>
      <c r="I41" s="262" t="s">
        <v>928</v>
      </c>
      <c r="J41" s="262" t="s">
        <v>929</v>
      </c>
      <c r="K41" s="262" t="s">
        <v>930</v>
      </c>
      <c r="L41" s="262" t="s">
        <v>931</v>
      </c>
      <c r="M41" s="262" t="s">
        <v>932</v>
      </c>
      <c r="N41" s="262" t="s">
        <v>933</v>
      </c>
      <c r="O41" s="262" t="s">
        <v>934</v>
      </c>
      <c r="P41" s="262" t="s">
        <v>935</v>
      </c>
      <c r="Q41" s="262" t="s">
        <v>936</v>
      </c>
      <c r="R41" s="262" t="s">
        <v>937</v>
      </c>
      <c r="S41" s="265" t="s">
        <v>1262</v>
      </c>
      <c r="T41" s="283" t="s">
        <v>1023</v>
      </c>
      <c r="V41" s="280"/>
    </row>
    <row r="42" spans="2:22" x14ac:dyDescent="0.15">
      <c r="B42" s="106" t="s">
        <v>911</v>
      </c>
      <c r="C42" s="268">
        <f>SUMIFS('caseload data'!E:E,'caseload data'!$D:$D,"PO",'caseload data'!$A:$A,'HMIP caseload divisional'!$B$5)</f>
        <v>0</v>
      </c>
      <c r="D42" s="268">
        <f>SUMIFS('caseload data'!F:F,'caseload data'!$D:$D,"PO",'caseload data'!$A:$A,'HMIP caseload divisional'!$B$5)</f>
        <v>0</v>
      </c>
      <c r="E42" s="268">
        <f>SUMIFS('caseload data'!G:G,'caseload data'!$D:$D,"PO",'caseload data'!$A:$A,'HMIP caseload divisional'!$B$5)</f>
        <v>0</v>
      </c>
      <c r="F42" s="268">
        <f>SUMIFS('caseload data'!H:H,'caseload data'!$D:$D,"PO",'caseload data'!$A:$A,'HMIP caseload divisional'!$B$5)</f>
        <v>0</v>
      </c>
      <c r="G42" s="268">
        <f>SUMIFS('caseload data'!I:I,'caseload data'!$D:$D,"PO",'caseload data'!$A:$A,'HMIP caseload divisional'!$B$5)</f>
        <v>0</v>
      </c>
      <c r="H42" s="268">
        <f>SUMIFS('caseload data'!J:J,'caseload data'!$D:$D,"PO",'caseload data'!$A:$A,'HMIP caseload divisional'!$B$5)</f>
        <v>0</v>
      </c>
      <c r="I42" s="268">
        <f>SUMIFS('caseload data'!K:K,'caseload data'!$D:$D,"PO",'caseload data'!$A:$A,'HMIP caseload divisional'!$B$5)</f>
        <v>0</v>
      </c>
      <c r="J42" s="268">
        <f>SUMIFS('caseload data'!L:L,'caseload data'!$D:$D,"PO",'caseload data'!$A:$A,'HMIP caseload divisional'!$B$5)</f>
        <v>0</v>
      </c>
      <c r="K42" s="268">
        <f>SUMIFS('caseload data'!M:M,'caseload data'!$D:$D,"PO",'caseload data'!$A:$A,'HMIP caseload divisional'!$B$5)</f>
        <v>0</v>
      </c>
      <c r="L42" s="268">
        <f>SUMIFS('caseload data'!N:N,'caseload data'!$D:$D,"PO",'caseload data'!$A:$A,'HMIP caseload divisional'!$B$5)</f>
        <v>0</v>
      </c>
      <c r="M42" s="268">
        <f>SUMIFS('caseload data'!O:O,'caseload data'!$D:$D,"PO",'caseload data'!$A:$A,'HMIP caseload divisional'!$B$5)</f>
        <v>0</v>
      </c>
      <c r="N42" s="268">
        <f>SUMIFS('caseload data'!P:P,'caseload data'!$D:$D,"PO",'caseload data'!$A:$A,'HMIP caseload divisional'!$B$5)</f>
        <v>0</v>
      </c>
      <c r="O42" s="268">
        <f>SUMIFS('caseload data'!Q:Q,'caseload data'!$D:$D,"PO",'caseload data'!$A:$A,'HMIP caseload divisional'!$B$5)</f>
        <v>0</v>
      </c>
      <c r="P42" s="268">
        <f>SUMIFS('caseload data'!R:R,'caseload data'!$D:$D,"PO",'caseload data'!$A:$A,'HMIP caseload divisional'!$B$5)</f>
        <v>0</v>
      </c>
      <c r="Q42" s="268">
        <f>SUMIFS('caseload data'!S:S,'caseload data'!$D:$D,"PO",'caseload data'!$A:$A,'HMIP caseload divisional'!$B$5)</f>
        <v>0</v>
      </c>
      <c r="R42" s="268">
        <f>SUMIFS('caseload data'!T:T,'caseload data'!$D:$D,"PO",'caseload data'!$A:$A,'HMIP caseload divisional'!$B$5)</f>
        <v>0</v>
      </c>
      <c r="S42" s="268">
        <f>SUMIFS('caseload data'!U:U,'caseload data'!$D:$D,"PO",'caseload data'!$A:$A,'HMIP caseload divisional'!$B$5)</f>
        <v>0</v>
      </c>
      <c r="T42" s="268">
        <f>SUM(C42:S42)</f>
        <v>0</v>
      </c>
    </row>
    <row r="43" spans="2:22" x14ac:dyDescent="0.15">
      <c r="B43" s="107" t="s">
        <v>912</v>
      </c>
      <c r="C43" s="268">
        <f>SUMIFS('caseload data'!E:E,'caseload data'!$D:$D,"PSO",'caseload data'!$A:$A,'HMIP caseload divisional'!$B$5)</f>
        <v>0</v>
      </c>
      <c r="D43" s="268">
        <f>SUMIFS('caseload data'!F:F,'caseload data'!$D:$D,"PSO",'caseload data'!$A:$A,'HMIP caseload divisional'!$B$5)</f>
        <v>0</v>
      </c>
      <c r="E43" s="268">
        <f>SUMIFS('caseload data'!G:G,'caseload data'!$D:$D,"PSO",'caseload data'!$A:$A,'HMIP caseload divisional'!$B$5)</f>
        <v>0</v>
      </c>
      <c r="F43" s="268">
        <f>SUMIFS('caseload data'!H:H,'caseload data'!$D:$D,"PSO",'caseload data'!$A:$A,'HMIP caseload divisional'!$B$5)</f>
        <v>0</v>
      </c>
      <c r="G43" s="268">
        <f>SUMIFS('caseload data'!I:I,'caseload data'!$D:$D,"PSO",'caseload data'!$A:$A,'HMIP caseload divisional'!$B$5)</f>
        <v>0</v>
      </c>
      <c r="H43" s="268">
        <f>SUMIFS('caseload data'!J:J,'caseload data'!$D:$D,"PSO",'caseload data'!$A:$A,'HMIP caseload divisional'!$B$5)</f>
        <v>0</v>
      </c>
      <c r="I43" s="268">
        <f>SUMIFS('caseload data'!K:K,'caseload data'!$D:$D,"PSO",'caseload data'!$A:$A,'HMIP caseload divisional'!$B$5)</f>
        <v>0</v>
      </c>
      <c r="J43" s="268">
        <f>SUMIFS('caseload data'!L:L,'caseload data'!$D:$D,"PSO",'caseload data'!$A:$A,'HMIP caseload divisional'!$B$5)</f>
        <v>0</v>
      </c>
      <c r="K43" s="268">
        <f>SUMIFS('caseload data'!M:M,'caseload data'!$D:$D,"PSO",'caseload data'!$A:$A,'HMIP caseload divisional'!$B$5)</f>
        <v>0</v>
      </c>
      <c r="L43" s="268">
        <f>SUMIFS('caseload data'!N:N,'caseload data'!$D:$D,"PSO",'caseload data'!$A:$A,'HMIP caseload divisional'!$B$5)</f>
        <v>0</v>
      </c>
      <c r="M43" s="268">
        <f>SUMIFS('caseload data'!O:O,'caseload data'!$D:$D,"PSO",'caseload data'!$A:$A,'HMIP caseload divisional'!$B$5)</f>
        <v>0</v>
      </c>
      <c r="N43" s="268">
        <f>SUMIFS('caseload data'!P:P,'caseload data'!$D:$D,"PSO",'caseload data'!$A:$A,'HMIP caseload divisional'!$B$5)</f>
        <v>0</v>
      </c>
      <c r="O43" s="268">
        <f>SUMIFS('caseload data'!Q:Q,'caseload data'!$D:$D,"PSO",'caseload data'!$A:$A,'HMIP caseload divisional'!$B$5)</f>
        <v>0</v>
      </c>
      <c r="P43" s="268">
        <f>SUMIFS('caseload data'!R:R,'caseload data'!$D:$D,"PSO",'caseload data'!$A:$A,'HMIP caseload divisional'!$B$5)</f>
        <v>0</v>
      </c>
      <c r="Q43" s="268">
        <f>SUMIFS('caseload data'!S:S,'caseload data'!$D:$D,"PSO",'caseload data'!$A:$A,'HMIP caseload divisional'!$B$5)</f>
        <v>0</v>
      </c>
      <c r="R43" s="268">
        <f>SUMIFS('caseload data'!T:T,'caseload data'!$D:$D,"PSO",'caseload data'!$A:$A,'HMIP caseload divisional'!$B$5)</f>
        <v>0</v>
      </c>
      <c r="S43" s="268">
        <f>SUMIFS('caseload data'!U:U,'caseload data'!$D:$D,"PSO",'caseload data'!$A:$A,'HMIP caseload divisional'!$B$5)</f>
        <v>0</v>
      </c>
      <c r="T43" s="268">
        <f t="shared" ref="T43:T45" si="5">SUM(C43:S43)</f>
        <v>0</v>
      </c>
    </row>
    <row r="44" spans="2:22" x14ac:dyDescent="0.15">
      <c r="B44" s="107" t="s">
        <v>913</v>
      </c>
      <c r="C44" s="268">
        <f>SUMIFS('caseload data'!E:E,'caseload data'!$D:$D,"TPO",'caseload data'!$A:$A,'HMIP caseload divisional'!$B$5)</f>
        <v>0</v>
      </c>
      <c r="D44" s="268">
        <f>SUMIFS('caseload data'!F:F,'caseload data'!$D:$D,"TPO",'caseload data'!$A:$A,'HMIP caseload divisional'!$B$5)</f>
        <v>0</v>
      </c>
      <c r="E44" s="268">
        <f>SUMIFS('caseload data'!G:G,'caseload data'!$D:$D,"TPO",'caseload data'!$A:$A,'HMIP caseload divisional'!$B$5)</f>
        <v>0</v>
      </c>
      <c r="F44" s="268">
        <f>SUMIFS('caseload data'!H:H,'caseload data'!$D:$D,"TPO",'caseload data'!$A:$A,'HMIP caseload divisional'!$B$5)</f>
        <v>0</v>
      </c>
      <c r="G44" s="268">
        <f>SUMIFS('caseload data'!I:I,'caseload data'!$D:$D,"TPO",'caseload data'!$A:$A,'HMIP caseload divisional'!$B$5)</f>
        <v>0</v>
      </c>
      <c r="H44" s="268">
        <f>SUMIFS('caseload data'!J:J,'caseload data'!$D:$D,"TPO",'caseload data'!$A:$A,'HMIP caseload divisional'!$B$5)</f>
        <v>0</v>
      </c>
      <c r="I44" s="268">
        <f>SUMIFS('caseload data'!K:K,'caseload data'!$D:$D,"TPO",'caseload data'!$A:$A,'HMIP caseload divisional'!$B$5)</f>
        <v>0</v>
      </c>
      <c r="J44" s="268">
        <f>SUMIFS('caseload data'!L:L,'caseload data'!$D:$D,"TPO",'caseload data'!$A:$A,'HMIP caseload divisional'!$B$5)</f>
        <v>0</v>
      </c>
      <c r="K44" s="268">
        <f>SUMIFS('caseload data'!M:M,'caseload data'!$D:$D,"TPO",'caseload data'!$A:$A,'HMIP caseload divisional'!$B$5)</f>
        <v>0</v>
      </c>
      <c r="L44" s="268">
        <f>SUMIFS('caseload data'!N:N,'caseload data'!$D:$D,"TPO",'caseload data'!$A:$A,'HMIP caseload divisional'!$B$5)</f>
        <v>0</v>
      </c>
      <c r="M44" s="268">
        <f>SUMIFS('caseload data'!O:O,'caseload data'!$D:$D,"TPO",'caseload data'!$A:$A,'HMIP caseload divisional'!$B$5)</f>
        <v>0</v>
      </c>
      <c r="N44" s="268">
        <f>SUMIFS('caseload data'!P:P,'caseload data'!$D:$D,"TPO",'caseload data'!$A:$A,'HMIP caseload divisional'!$B$5)</f>
        <v>0</v>
      </c>
      <c r="O44" s="268">
        <f>SUMIFS('caseload data'!Q:Q,'caseload data'!$D:$D,"TPO",'caseload data'!$A:$A,'HMIP caseload divisional'!$B$5)</f>
        <v>0</v>
      </c>
      <c r="P44" s="268">
        <f>SUMIFS('caseload data'!R:R,'caseload data'!$D:$D,"TPO",'caseload data'!$A:$A,'HMIP caseload divisional'!$B$5)</f>
        <v>0</v>
      </c>
      <c r="Q44" s="268">
        <f>SUMIFS('caseload data'!S:S,'caseload data'!$D:$D,"TPO",'caseload data'!$A:$A,'HMIP caseload divisional'!$B$5)</f>
        <v>0</v>
      </c>
      <c r="R44" s="268">
        <f>SUMIFS('caseload data'!T:T,'caseload data'!$D:$D,"TPO",'caseload data'!$A:$A,'HMIP caseload divisional'!$B$5)</f>
        <v>0</v>
      </c>
      <c r="S44" s="268">
        <f>SUMIFS('caseload data'!U:U,'caseload data'!$D:$D,"TPO",'caseload data'!$A:$A,'HMIP caseload divisional'!$B$5)</f>
        <v>0</v>
      </c>
      <c r="T44" s="268">
        <f t="shared" si="5"/>
        <v>0</v>
      </c>
    </row>
    <row r="45" spans="2:22" x14ac:dyDescent="0.15">
      <c r="B45" s="108" t="s">
        <v>914</v>
      </c>
      <c r="C45" s="268">
        <f>SUMIFS('caseload data'!E:E,'caseload data'!$D:$D,"SPO",'caseload data'!$A:$A,$B$5)</f>
        <v>0</v>
      </c>
      <c r="D45" s="268">
        <f>SUMIFS('caseload data'!F:F,'caseload data'!$D:$D,"SPO",'caseload data'!$A:$A,$B$5)</f>
        <v>0</v>
      </c>
      <c r="E45" s="268">
        <f>SUMIFS('caseload data'!G:G,'caseload data'!$D:$D,"SPO",'caseload data'!$A:$A,$B$5)</f>
        <v>0</v>
      </c>
      <c r="F45" s="268">
        <f>SUMIFS('caseload data'!H:H,'caseload data'!$D:$D,"SPO",'caseload data'!$A:$A,$B$5)</f>
        <v>0</v>
      </c>
      <c r="G45" s="268">
        <f>SUMIFS('caseload data'!I:I,'caseload data'!$D:$D,"SPO",'caseload data'!$A:$A,$B$5)</f>
        <v>0</v>
      </c>
      <c r="H45" s="268">
        <f>SUMIFS('caseload data'!J:J,'caseload data'!$D:$D,"SPO",'caseload data'!$A:$A,$B$5)</f>
        <v>0</v>
      </c>
      <c r="I45" s="268">
        <f>SUMIFS('caseload data'!K:K,'caseload data'!$D:$D,"SPO",'caseload data'!$A:$A,$B$5)</f>
        <v>0</v>
      </c>
      <c r="J45" s="268">
        <f>SUMIFS('caseload data'!L:L,'caseload data'!$D:$D,"SPO",'caseload data'!$A:$A,$B$5)</f>
        <v>0</v>
      </c>
      <c r="K45" s="268">
        <f>SUMIFS('caseload data'!M:M,'caseload data'!$D:$D,"SPO",'caseload data'!$A:$A,$B$5)</f>
        <v>0</v>
      </c>
      <c r="L45" s="268">
        <f>SUMIFS('caseload data'!N:N,'caseload data'!$D:$D,"SPO",'caseload data'!$A:$A,$B$5)</f>
        <v>0</v>
      </c>
      <c r="M45" s="268">
        <f>SUMIFS('caseload data'!O:O,'caseload data'!$D:$D,"SPO",'caseload data'!$A:$A,$B$5)</f>
        <v>0</v>
      </c>
      <c r="N45" s="268">
        <f>SUMIFS('caseload data'!P:P,'caseload data'!$D:$D,"SPO",'caseload data'!$A:$A,$B$5)</f>
        <v>0</v>
      </c>
      <c r="O45" s="268">
        <f>SUMIFS('caseload data'!Q:Q,'caseload data'!$D:$D,"SPO",'caseload data'!$A:$A,$B$5)</f>
        <v>0</v>
      </c>
      <c r="P45" s="268">
        <f>SUMIFS('caseload data'!R:R,'caseload data'!$D:$D,"SPO",'caseload data'!$A:$A,$B$5)</f>
        <v>0</v>
      </c>
      <c r="Q45" s="268">
        <f>SUMIFS('caseload data'!S:S,'caseload data'!$D:$D,"SPO",'caseload data'!$A:$A,$B$5)</f>
        <v>0</v>
      </c>
      <c r="R45" s="268">
        <f>SUMIFS('caseload data'!T:T,'caseload data'!$D:$D,"SPO",'caseload data'!$A:$A,$B$5)</f>
        <v>0</v>
      </c>
      <c r="S45" s="268">
        <f>SUMIFS('caseload data'!U:U,'caseload data'!$D:$D,"SPO",'caseload data'!$A:$A,$B$5)</f>
        <v>0</v>
      </c>
      <c r="T45" s="268">
        <f t="shared" si="5"/>
        <v>0</v>
      </c>
    </row>
    <row r="46" spans="2:22" x14ac:dyDescent="0.15">
      <c r="B46" s="271"/>
      <c r="C46" s="272"/>
      <c r="D46" s="272"/>
      <c r="E46" s="272"/>
      <c r="F46" s="272"/>
      <c r="G46" s="272"/>
      <c r="H46" s="272"/>
      <c r="I46" s="272"/>
      <c r="J46" s="272"/>
      <c r="K46" s="272"/>
      <c r="L46" s="272"/>
      <c r="M46" s="272"/>
      <c r="N46" s="272"/>
      <c r="O46" s="272"/>
      <c r="P46" s="272"/>
      <c r="Q46" s="272"/>
      <c r="R46" s="272"/>
      <c r="S46" s="272"/>
      <c r="V46" s="280"/>
    </row>
    <row r="47" spans="2:22" x14ac:dyDescent="0.15">
      <c r="B47" s="58" t="str">
        <f>B5</f>
        <v>London</v>
      </c>
      <c r="C47" s="297" t="s">
        <v>1265</v>
      </c>
      <c r="D47" s="318"/>
      <c r="E47" s="318"/>
      <c r="F47" s="318"/>
      <c r="G47" s="318"/>
      <c r="H47" s="318"/>
      <c r="I47" s="318"/>
      <c r="J47" s="318"/>
      <c r="K47" s="318"/>
      <c r="L47" s="318"/>
      <c r="M47" s="318"/>
      <c r="N47" s="318"/>
      <c r="O47" s="318"/>
      <c r="P47" s="318"/>
      <c r="Q47" s="318"/>
      <c r="R47" s="318"/>
      <c r="S47" s="318"/>
      <c r="T47" s="318"/>
      <c r="V47" s="280"/>
    </row>
    <row r="48" spans="2:22" x14ac:dyDescent="0.15">
      <c r="B48" s="105" t="s">
        <v>1065</v>
      </c>
      <c r="C48" s="265" t="s">
        <v>922</v>
      </c>
      <c r="D48" s="265" t="s">
        <v>923</v>
      </c>
      <c r="E48" s="265" t="s">
        <v>924</v>
      </c>
      <c r="F48" s="265" t="s">
        <v>925</v>
      </c>
      <c r="G48" s="265" t="s">
        <v>926</v>
      </c>
      <c r="H48" s="265" t="s">
        <v>927</v>
      </c>
      <c r="I48" s="265" t="s">
        <v>928</v>
      </c>
      <c r="J48" s="265" t="s">
        <v>929</v>
      </c>
      <c r="K48" s="265" t="s">
        <v>930</v>
      </c>
      <c r="L48" s="265" t="s">
        <v>931</v>
      </c>
      <c r="M48" s="265" t="s">
        <v>932</v>
      </c>
      <c r="N48" s="265" t="s">
        <v>933</v>
      </c>
      <c r="O48" s="265" t="s">
        <v>934</v>
      </c>
      <c r="P48" s="265" t="s">
        <v>935</v>
      </c>
      <c r="Q48" s="265" t="s">
        <v>936</v>
      </c>
      <c r="R48" s="265" t="s">
        <v>937</v>
      </c>
      <c r="S48" s="265" t="s">
        <v>1262</v>
      </c>
      <c r="T48" s="283" t="s">
        <v>1023</v>
      </c>
      <c r="V48" s="280"/>
    </row>
    <row r="49" spans="2:22" x14ac:dyDescent="0.15">
      <c r="B49" s="106" t="s">
        <v>911</v>
      </c>
      <c r="C49" s="268">
        <f>SUMIFS('caseload data'!E:E,'caseload data'!$D:$D,"PO",'caseload data'!$A:$A,'HMIP caseload divisional'!$B$5, 'caseload data'!$B:$B, "community")</f>
        <v>0</v>
      </c>
      <c r="D49" s="268">
        <f>SUMIFS('caseload data'!F:F,'caseload data'!$D:$D,"PO",'caseload data'!$A:$A,'HMIP caseload divisional'!$B$5, 'caseload data'!$B:$B, "community")</f>
        <v>0</v>
      </c>
      <c r="E49" s="268">
        <f>SUMIFS('caseload data'!G:G,'caseload data'!$D:$D,"PO",'caseload data'!$A:$A,'HMIP caseload divisional'!$B$5, 'caseload data'!$B:$B, "community")</f>
        <v>0</v>
      </c>
      <c r="F49" s="268">
        <f>SUMIFS('caseload data'!H:H,'caseload data'!$D:$D,"PO",'caseload data'!$A:$A,'HMIP caseload divisional'!$B$5, 'caseload data'!$B:$B, "community")</f>
        <v>0</v>
      </c>
      <c r="G49" s="268">
        <f>SUMIFS('caseload data'!I:I,'caseload data'!$D:$D,"PO",'caseload data'!$A:$A,'HMIP caseload divisional'!$B$5, 'caseload data'!$B:$B, "community")</f>
        <v>0</v>
      </c>
      <c r="H49" s="268">
        <f>SUMIFS('caseload data'!J:J,'caseload data'!$D:$D,"PO",'caseload data'!$A:$A,'HMIP caseload divisional'!$B$5, 'caseload data'!$B:$B, "community")</f>
        <v>0</v>
      </c>
      <c r="I49" s="268">
        <f>SUMIFS('caseload data'!K:K,'caseload data'!$D:$D,"PO",'caseload data'!$A:$A,'HMIP caseload divisional'!$B$5, 'caseload data'!$B:$B, "community")</f>
        <v>0</v>
      </c>
      <c r="J49" s="268">
        <f>SUMIFS('caseload data'!L:L,'caseload data'!$D:$D,"PO",'caseload data'!$A:$A,'HMIP caseload divisional'!$B$5, 'caseload data'!$B:$B, "community")</f>
        <v>0</v>
      </c>
      <c r="K49" s="268">
        <f>SUMIFS('caseload data'!M:M,'caseload data'!$D:$D,"PO",'caseload data'!$A:$A,'HMIP caseload divisional'!$B$5, 'caseload data'!$B:$B, "community")</f>
        <v>0</v>
      </c>
      <c r="L49" s="268">
        <f>SUMIFS('caseload data'!N:N,'caseload data'!$D:$D,"PO",'caseload data'!$A:$A,'HMIP caseload divisional'!$B$5, 'caseload data'!$B:$B, "community")</f>
        <v>0</v>
      </c>
      <c r="M49" s="268">
        <f>SUMIFS('caseload data'!O:O,'caseload data'!$D:$D,"PO",'caseload data'!$A:$A,'HMIP caseload divisional'!$B$5, 'caseload data'!$B:$B, "community")</f>
        <v>0</v>
      </c>
      <c r="N49" s="268">
        <f>SUMIFS('caseload data'!P:P,'caseload data'!$D:$D,"PO",'caseload data'!$A:$A,'HMIP caseload divisional'!$B$5, 'caseload data'!$B:$B, "community")</f>
        <v>0</v>
      </c>
      <c r="O49" s="268">
        <f>SUMIFS('caseload data'!Q:Q,'caseload data'!$D:$D,"PO",'caseload data'!$A:$A,'HMIP caseload divisional'!$B$5, 'caseload data'!$B:$B, "community")</f>
        <v>0</v>
      </c>
      <c r="P49" s="268">
        <f>SUMIFS('caseload data'!R:R,'caseload data'!$D:$D,"PO",'caseload data'!$A:$A,'HMIP caseload divisional'!$B$5, 'caseload data'!$B:$B, "community")</f>
        <v>0</v>
      </c>
      <c r="Q49" s="268">
        <f>SUMIFS('caseload data'!S:S,'caseload data'!$D:$D,"PO",'caseload data'!$A:$A,'HMIP caseload divisional'!$B$5, 'caseload data'!$B:$B, "community")</f>
        <v>0</v>
      </c>
      <c r="R49" s="268">
        <f>SUMIFS('caseload data'!T:T,'caseload data'!$D:$D,"PO",'caseload data'!$A:$A,'HMIP caseload divisional'!$B$5, 'caseload data'!$B:$B, "community")</f>
        <v>0</v>
      </c>
      <c r="S49" s="268">
        <f>SUMIFS('caseload data'!U:U,'caseload data'!$D:$D,"PO",'caseload data'!$A:$A,'HMIP caseload divisional'!$B$5, 'caseload data'!$B:$B, "community")</f>
        <v>0</v>
      </c>
      <c r="T49" s="268">
        <f>SUM(C49:S49)</f>
        <v>0</v>
      </c>
    </row>
    <row r="50" spans="2:22" x14ac:dyDescent="0.15">
      <c r="B50" s="107" t="s">
        <v>912</v>
      </c>
      <c r="C50" s="268">
        <f>SUMIFS('caseload data'!E:E,'caseload data'!$D:$D,"PSO",'caseload data'!$A:$A,'HMIP caseload divisional'!$B$5, 'caseload data'!$B:$B, "community")</f>
        <v>0</v>
      </c>
      <c r="D50" s="268">
        <f>SUMIFS('caseload data'!F:F,'caseload data'!$D:$D,"PSO",'caseload data'!$A:$A,'HMIP caseload divisional'!$B$5, 'caseload data'!$B:$B, "community")</f>
        <v>0</v>
      </c>
      <c r="E50" s="268">
        <f>SUMIFS('caseload data'!G:G,'caseload data'!$D:$D,"PSO",'caseload data'!$A:$A,'HMIP caseload divisional'!$B$5, 'caseload data'!$B:$B, "community")</f>
        <v>0</v>
      </c>
      <c r="F50" s="268">
        <f>SUMIFS('caseload data'!H:H,'caseload data'!$D:$D,"PSO",'caseload data'!$A:$A,'HMIP caseload divisional'!$B$5, 'caseload data'!$B:$B, "community")</f>
        <v>0</v>
      </c>
      <c r="G50" s="268">
        <f>SUMIFS('caseload data'!I:I,'caseload data'!$D:$D,"PSO",'caseload data'!$A:$A,'HMIP caseload divisional'!$B$5, 'caseload data'!$B:$B, "community")</f>
        <v>0</v>
      </c>
      <c r="H50" s="268">
        <f>SUMIFS('caseload data'!J:J,'caseload data'!$D:$D,"PSO",'caseload data'!$A:$A,'HMIP caseload divisional'!$B$5, 'caseload data'!$B:$B, "community")</f>
        <v>0</v>
      </c>
      <c r="I50" s="268">
        <f>SUMIFS('caseload data'!K:K,'caseload data'!$D:$D,"PSO",'caseload data'!$A:$A,'HMIP caseload divisional'!$B$5, 'caseload data'!$B:$B, "community")</f>
        <v>0</v>
      </c>
      <c r="J50" s="268">
        <f>SUMIFS('caseload data'!L:L,'caseload data'!$D:$D,"PSO",'caseload data'!$A:$A,'HMIP caseload divisional'!$B$5, 'caseload data'!$B:$B, "community")</f>
        <v>0</v>
      </c>
      <c r="K50" s="268">
        <f>SUMIFS('caseload data'!M:M,'caseload data'!$D:$D,"PSO",'caseload data'!$A:$A,'HMIP caseload divisional'!$B$5, 'caseload data'!$B:$B, "community")</f>
        <v>0</v>
      </c>
      <c r="L50" s="268">
        <f>SUMIFS('caseload data'!N:N,'caseload data'!$D:$D,"PSO",'caseload data'!$A:$A,'HMIP caseload divisional'!$B$5, 'caseload data'!$B:$B, "community")</f>
        <v>0</v>
      </c>
      <c r="M50" s="268">
        <f>SUMIFS('caseload data'!O:O,'caseload data'!$D:$D,"PSO",'caseload data'!$A:$A,'HMIP caseload divisional'!$B$5, 'caseload data'!$B:$B, "community")</f>
        <v>0</v>
      </c>
      <c r="N50" s="268">
        <f>SUMIFS('caseload data'!P:P,'caseload data'!$D:$D,"PSO",'caseload data'!$A:$A,'HMIP caseload divisional'!$B$5, 'caseload data'!$B:$B, "community")</f>
        <v>0</v>
      </c>
      <c r="O50" s="268">
        <f>SUMIFS('caseload data'!Q:Q,'caseload data'!$D:$D,"PSO",'caseload data'!$A:$A,'HMIP caseload divisional'!$B$5, 'caseload data'!$B:$B, "community")</f>
        <v>0</v>
      </c>
      <c r="P50" s="268">
        <f>SUMIFS('caseload data'!R:R,'caseload data'!$D:$D,"PSO",'caseload data'!$A:$A,'HMIP caseload divisional'!$B$5, 'caseload data'!$B:$B, "community")</f>
        <v>0</v>
      </c>
      <c r="Q50" s="268">
        <f>SUMIFS('caseload data'!S:S,'caseload data'!$D:$D,"PSO",'caseload data'!$A:$A,'HMIP caseload divisional'!$B$5, 'caseload data'!$B:$B, "community")</f>
        <v>0</v>
      </c>
      <c r="R50" s="268">
        <f>SUMIFS('caseload data'!T:T,'caseload data'!$D:$D,"PSO",'caseload data'!$A:$A,'HMIP caseload divisional'!$B$5, 'caseload data'!$B:$B, "community")</f>
        <v>0</v>
      </c>
      <c r="S50" s="268">
        <f>SUMIFS('caseload data'!U:U,'caseload data'!$D:$D,"PSO",'caseload data'!$A:$A,'HMIP caseload divisional'!$B$5, 'caseload data'!$B:$B, "community")</f>
        <v>0</v>
      </c>
      <c r="T50" s="268">
        <f t="shared" ref="T50:T52" si="6">SUM(C50:S50)</f>
        <v>0</v>
      </c>
    </row>
    <row r="51" spans="2:22" x14ac:dyDescent="0.15">
      <c r="B51" s="107" t="s">
        <v>913</v>
      </c>
      <c r="C51" s="268">
        <f>SUMIFS('caseload data'!E:E,'caseload data'!$D:$D,"TPO",'caseload data'!$A:$A,'HMIP caseload divisional'!$B$5, 'caseload data'!$B:$B, "community")</f>
        <v>0</v>
      </c>
      <c r="D51" s="268">
        <f>SUMIFS('caseload data'!F:F,'caseload data'!$D:$D,"TPO",'caseload data'!$A:$A,'HMIP caseload divisional'!$B$5, 'caseload data'!$B:$B, "community")</f>
        <v>0</v>
      </c>
      <c r="E51" s="268">
        <f>SUMIFS('caseload data'!G:G,'caseload data'!$D:$D,"TPO",'caseload data'!$A:$A,'HMIP caseload divisional'!$B$5, 'caseload data'!$B:$B, "community")</f>
        <v>0</v>
      </c>
      <c r="F51" s="268">
        <f>SUMIFS('caseload data'!H:H,'caseload data'!$D:$D,"TPO",'caseload data'!$A:$A,'HMIP caseload divisional'!$B$5, 'caseload data'!$B:$B, "community")</f>
        <v>0</v>
      </c>
      <c r="G51" s="268">
        <f>SUMIFS('caseload data'!I:I,'caseload data'!$D:$D,"TPO",'caseload data'!$A:$A,'HMIP caseload divisional'!$B$5, 'caseload data'!$B:$B, "community")</f>
        <v>0</v>
      </c>
      <c r="H51" s="268">
        <f>SUMIFS('caseload data'!J:J,'caseload data'!$D:$D,"TPO",'caseload data'!$A:$A,'HMIP caseload divisional'!$B$5, 'caseload data'!$B:$B, "community")</f>
        <v>0</v>
      </c>
      <c r="I51" s="268">
        <f>SUMIFS('caseload data'!K:K,'caseload data'!$D:$D,"TPO",'caseload data'!$A:$A,'HMIP caseload divisional'!$B$5, 'caseload data'!$B:$B, "community")</f>
        <v>0</v>
      </c>
      <c r="J51" s="268">
        <f>SUMIFS('caseload data'!L:L,'caseload data'!$D:$D,"TPO",'caseload data'!$A:$A,'HMIP caseload divisional'!$B$5, 'caseload data'!$B:$B, "community")</f>
        <v>0</v>
      </c>
      <c r="K51" s="268">
        <f>SUMIFS('caseload data'!M:M,'caseload data'!$D:$D,"TPO",'caseload data'!$A:$A,'HMIP caseload divisional'!$B$5, 'caseload data'!$B:$B, "community")</f>
        <v>0</v>
      </c>
      <c r="L51" s="268">
        <f>SUMIFS('caseload data'!N:N,'caseload data'!$D:$D,"TPO",'caseload data'!$A:$A,'HMIP caseload divisional'!$B$5, 'caseload data'!$B:$B, "community")</f>
        <v>0</v>
      </c>
      <c r="M51" s="268">
        <f>SUMIFS('caseload data'!O:O,'caseload data'!$D:$D,"TPO",'caseload data'!$A:$A,'HMIP caseload divisional'!$B$5, 'caseload data'!$B:$B, "community")</f>
        <v>0</v>
      </c>
      <c r="N51" s="268">
        <f>SUMIFS('caseload data'!P:P,'caseload data'!$D:$D,"TPO",'caseload data'!$A:$A,'HMIP caseload divisional'!$B$5, 'caseload data'!$B:$B, "community")</f>
        <v>0</v>
      </c>
      <c r="O51" s="268">
        <f>SUMIFS('caseload data'!Q:Q,'caseload data'!$D:$D,"TPO",'caseload data'!$A:$A,'HMIP caseload divisional'!$B$5, 'caseload data'!$B:$B, "community")</f>
        <v>0</v>
      </c>
      <c r="P51" s="268">
        <f>SUMIFS('caseload data'!R:R,'caseload data'!$D:$D,"TPO",'caseload data'!$A:$A,'HMIP caseload divisional'!$B$5, 'caseload data'!$B:$B, "community")</f>
        <v>0</v>
      </c>
      <c r="Q51" s="268">
        <f>SUMIFS('caseload data'!S:S,'caseload data'!$D:$D,"TPO",'caseload data'!$A:$A,'HMIP caseload divisional'!$B$5, 'caseload data'!$B:$B, "community")</f>
        <v>0</v>
      </c>
      <c r="R51" s="268">
        <f>SUMIFS('caseload data'!T:T,'caseload data'!$D:$D,"TPO",'caseload data'!$A:$A,'HMIP caseload divisional'!$B$5, 'caseload data'!$B:$B, "community")</f>
        <v>0</v>
      </c>
      <c r="S51" s="268">
        <f>SUMIFS('caseload data'!U:U,'caseload data'!$D:$D,"TPO",'caseload data'!$A:$A,'HMIP caseload divisional'!$B$5, 'caseload data'!$B:$B, "community")</f>
        <v>0</v>
      </c>
      <c r="T51" s="268">
        <f t="shared" si="6"/>
        <v>0</v>
      </c>
    </row>
    <row r="52" spans="2:22" x14ac:dyDescent="0.15">
      <c r="B52" s="108" t="s">
        <v>914</v>
      </c>
      <c r="C52" s="268">
        <f>SUMIFS('caseload data'!E:E,'caseload data'!$D:$D,"SPO",'caseload data'!$A:$A,$B$5, 'caseload data'!$B:$B, "community")</f>
        <v>0</v>
      </c>
      <c r="D52" s="268">
        <f>SUMIFS('caseload data'!F:F,'caseload data'!$D:$D,"SPO",'caseload data'!$A:$A,$B$5, 'caseload data'!$B:$B, "community")</f>
        <v>0</v>
      </c>
      <c r="E52" s="268">
        <f>SUMIFS('caseload data'!G:G,'caseload data'!$D:$D,"SPO",'caseload data'!$A:$A,$B$5, 'caseload data'!$B:$B, "community")</f>
        <v>0</v>
      </c>
      <c r="F52" s="268">
        <f>SUMIFS('caseload data'!H:H,'caseload data'!$D:$D,"SPO",'caseload data'!$A:$A,$B$5, 'caseload data'!$B:$B, "community")</f>
        <v>0</v>
      </c>
      <c r="G52" s="268">
        <f>SUMIFS('caseload data'!I:I,'caseload data'!$D:$D,"SPO",'caseload data'!$A:$A,$B$5, 'caseload data'!$B:$B, "community")</f>
        <v>0</v>
      </c>
      <c r="H52" s="268">
        <f>SUMIFS('caseload data'!J:J,'caseload data'!$D:$D,"SPO",'caseload data'!$A:$A,$B$5, 'caseload data'!$B:$B, "community")</f>
        <v>0</v>
      </c>
      <c r="I52" s="268">
        <f>SUMIFS('caseload data'!K:K,'caseload data'!$D:$D,"SPO",'caseload data'!$A:$A,$B$5, 'caseload data'!$B:$B, "community")</f>
        <v>0</v>
      </c>
      <c r="J52" s="268">
        <f>SUMIFS('caseload data'!L:L,'caseload data'!$D:$D,"SPO",'caseload data'!$A:$A,$B$5, 'caseload data'!$B:$B, "community")</f>
        <v>0</v>
      </c>
      <c r="K52" s="268">
        <f>SUMIFS('caseload data'!M:M,'caseload data'!$D:$D,"SPO",'caseload data'!$A:$A,$B$5, 'caseload data'!$B:$B, "community")</f>
        <v>0</v>
      </c>
      <c r="L52" s="268">
        <f>SUMIFS('caseload data'!N:N,'caseload data'!$D:$D,"SPO",'caseload data'!$A:$A,$B$5, 'caseload data'!$B:$B, "community")</f>
        <v>0</v>
      </c>
      <c r="M52" s="268">
        <f>SUMIFS('caseload data'!O:O,'caseload data'!$D:$D,"SPO",'caseload data'!$A:$A,$B$5, 'caseload data'!$B:$B, "community")</f>
        <v>0</v>
      </c>
      <c r="N52" s="268">
        <f>SUMIFS('caseload data'!P:P,'caseload data'!$D:$D,"SPO",'caseload data'!$A:$A,$B$5, 'caseload data'!$B:$B, "community")</f>
        <v>0</v>
      </c>
      <c r="O52" s="268">
        <f>SUMIFS('caseload data'!Q:Q,'caseload data'!$D:$D,"SPO",'caseload data'!$A:$A,$B$5, 'caseload data'!$B:$B, "community")</f>
        <v>0</v>
      </c>
      <c r="P52" s="268">
        <f>SUMIFS('caseload data'!R:R,'caseload data'!$D:$D,"SPO",'caseload data'!$A:$A,$B$5, 'caseload data'!$B:$B, "community")</f>
        <v>0</v>
      </c>
      <c r="Q52" s="268">
        <f>SUMIFS('caseload data'!S:S,'caseload data'!$D:$D,"SPO",'caseload data'!$A:$A,$B$5, 'caseload data'!$B:$B, "community")</f>
        <v>0</v>
      </c>
      <c r="R52" s="268">
        <f>SUMIFS('caseload data'!T:T,'caseload data'!$D:$D,"SPO",'caseload data'!$A:$A,$B$5, 'caseload data'!$B:$B, "community")</f>
        <v>0</v>
      </c>
      <c r="S52" s="268">
        <f>SUMIFS('caseload data'!U:U,'caseload data'!$D:$D,"SPO",'caseload data'!$A:$A,$B$5, 'caseload data'!$B:$B, "community")</f>
        <v>0</v>
      </c>
      <c r="T52" s="268">
        <f t="shared" si="6"/>
        <v>0</v>
      </c>
    </row>
    <row r="53" spans="2:22" x14ac:dyDescent="0.15">
      <c r="B53" s="271"/>
      <c r="C53" s="272"/>
      <c r="D53" s="272"/>
      <c r="E53" s="272"/>
      <c r="F53" s="272"/>
      <c r="G53" s="272"/>
      <c r="H53" s="272"/>
      <c r="I53" s="272"/>
      <c r="J53" s="272"/>
      <c r="K53" s="272"/>
      <c r="L53" s="272"/>
      <c r="M53" s="272"/>
      <c r="N53" s="272"/>
      <c r="O53" s="272"/>
      <c r="P53" s="272"/>
      <c r="Q53" s="272"/>
      <c r="R53" s="272"/>
      <c r="S53" s="272"/>
    </row>
    <row r="54" spans="2:22" x14ac:dyDescent="0.15">
      <c r="B54" s="58" t="str">
        <f>B5</f>
        <v>London</v>
      </c>
      <c r="C54" s="297" t="s">
        <v>1266</v>
      </c>
      <c r="D54" s="318"/>
      <c r="E54" s="318"/>
      <c r="F54" s="318"/>
      <c r="G54" s="318"/>
      <c r="H54" s="318"/>
      <c r="I54" s="318"/>
      <c r="J54" s="318"/>
      <c r="K54" s="318"/>
      <c r="L54" s="318"/>
      <c r="M54" s="318"/>
      <c r="N54" s="318"/>
      <c r="O54" s="318"/>
      <c r="P54" s="318"/>
      <c r="Q54" s="318"/>
      <c r="R54" s="318"/>
      <c r="S54" s="318"/>
      <c r="T54" s="318"/>
    </row>
    <row r="55" spans="2:22" x14ac:dyDescent="0.15">
      <c r="B55" s="105" t="s">
        <v>1065</v>
      </c>
      <c r="C55" s="265" t="s">
        <v>922</v>
      </c>
      <c r="D55" s="265" t="s">
        <v>923</v>
      </c>
      <c r="E55" s="265" t="s">
        <v>924</v>
      </c>
      <c r="F55" s="265" t="s">
        <v>925</v>
      </c>
      <c r="G55" s="265" t="s">
        <v>926</v>
      </c>
      <c r="H55" s="265" t="s">
        <v>927</v>
      </c>
      <c r="I55" s="265" t="s">
        <v>928</v>
      </c>
      <c r="J55" s="265" t="s">
        <v>929</v>
      </c>
      <c r="K55" s="265" t="s">
        <v>930</v>
      </c>
      <c r="L55" s="265" t="s">
        <v>931</v>
      </c>
      <c r="M55" s="265" t="s">
        <v>932</v>
      </c>
      <c r="N55" s="265" t="s">
        <v>933</v>
      </c>
      <c r="O55" s="265" t="s">
        <v>934</v>
      </c>
      <c r="P55" s="265" t="s">
        <v>935</v>
      </c>
      <c r="Q55" s="265" t="s">
        <v>936</v>
      </c>
      <c r="R55" s="265" t="s">
        <v>937</v>
      </c>
      <c r="S55" s="265" t="s">
        <v>1262</v>
      </c>
      <c r="T55" s="283" t="s">
        <v>1023</v>
      </c>
      <c r="V55" s="280"/>
    </row>
    <row r="56" spans="2:22" x14ac:dyDescent="0.15">
      <c r="B56" s="106" t="s">
        <v>911</v>
      </c>
      <c r="C56" s="268">
        <f>SUMIFS('caseload data'!E:E,'caseload data'!$D:$D,"PO",'caseload data'!$A:$A,'HMIP caseload divisional'!$B$5, 'caseload data'!$B:$B, "licence")</f>
        <v>0</v>
      </c>
      <c r="D56" s="268">
        <f>SUMIFS('caseload data'!F:F,'caseload data'!$D:$D,"PO",'caseload data'!$A:$A,'HMIP caseload divisional'!$B$5, 'caseload data'!$B:$B, "licence")</f>
        <v>0</v>
      </c>
      <c r="E56" s="268">
        <f>SUMIFS('caseload data'!G:G,'caseload data'!$D:$D,"PO",'caseload data'!$A:$A,'HMIP caseload divisional'!$B$5, 'caseload data'!$B:$B, "licence")</f>
        <v>0</v>
      </c>
      <c r="F56" s="268">
        <f>SUMIFS('caseload data'!H:H,'caseload data'!$D:$D,"PO",'caseload data'!$A:$A,'HMIP caseload divisional'!$B$5, 'caseload data'!$B:$B, "licence")</f>
        <v>0</v>
      </c>
      <c r="G56" s="268">
        <f>SUMIFS('caseload data'!I:I,'caseload data'!$D:$D,"PO",'caseload data'!$A:$A,'HMIP caseload divisional'!$B$5, 'caseload data'!$B:$B, "licence")</f>
        <v>0</v>
      </c>
      <c r="H56" s="268">
        <f>SUMIFS('caseload data'!J:J,'caseload data'!$D:$D,"PO",'caseload data'!$A:$A,'HMIP caseload divisional'!$B$5, 'caseload data'!$B:$B, "licence")</f>
        <v>0</v>
      </c>
      <c r="I56" s="268">
        <f>SUMIFS('caseload data'!K:K,'caseload data'!$D:$D,"PO",'caseload data'!$A:$A,'HMIP caseload divisional'!$B$5, 'caseload data'!$B:$B, "licence")</f>
        <v>0</v>
      </c>
      <c r="J56" s="268">
        <f>SUMIFS('caseload data'!L:L,'caseload data'!$D:$D,"PO",'caseload data'!$A:$A,'HMIP caseload divisional'!$B$5, 'caseload data'!$B:$B, "licence")</f>
        <v>0</v>
      </c>
      <c r="K56" s="268">
        <f>SUMIFS('caseload data'!M:M,'caseload data'!$D:$D,"PO",'caseload data'!$A:$A,'HMIP caseload divisional'!$B$5, 'caseload data'!$B:$B, "licence")</f>
        <v>0</v>
      </c>
      <c r="L56" s="268">
        <f>SUMIFS('caseload data'!N:N,'caseload data'!$D:$D,"PO",'caseload data'!$A:$A,'HMIP caseload divisional'!$B$5, 'caseload data'!$B:$B, "licence")</f>
        <v>0</v>
      </c>
      <c r="M56" s="268">
        <f>SUMIFS('caseload data'!O:O,'caseload data'!$D:$D,"PO",'caseload data'!$A:$A,'HMIP caseload divisional'!$B$5, 'caseload data'!$B:$B, "licence")</f>
        <v>0</v>
      </c>
      <c r="N56" s="268">
        <f>SUMIFS('caseload data'!P:P,'caseload data'!$D:$D,"PO",'caseload data'!$A:$A,'HMIP caseload divisional'!$B$5, 'caseload data'!$B:$B, "licence")</f>
        <v>0</v>
      </c>
      <c r="O56" s="268">
        <f>SUMIFS('caseload data'!Q:Q,'caseload data'!$D:$D,"PO",'caseload data'!$A:$A,'HMIP caseload divisional'!$B$5, 'caseload data'!$B:$B, "licence")</f>
        <v>0</v>
      </c>
      <c r="P56" s="268">
        <f>SUMIFS('caseload data'!R:R,'caseload data'!$D:$D,"PO",'caseload data'!$A:$A,'HMIP caseload divisional'!$B$5, 'caseload data'!$B:$B, "licence")</f>
        <v>0</v>
      </c>
      <c r="Q56" s="268">
        <f>SUMIFS('caseload data'!S:S,'caseload data'!$D:$D,"PO",'caseload data'!$A:$A,'HMIP caseload divisional'!$B$5, 'caseload data'!$B:$B, "licence")</f>
        <v>0</v>
      </c>
      <c r="R56" s="268">
        <f>SUMIFS('caseload data'!T:T,'caseload data'!$D:$D,"PO",'caseload data'!$A:$A,'HMIP caseload divisional'!$B$5, 'caseload data'!$B:$B, "licence")</f>
        <v>0</v>
      </c>
      <c r="S56" s="268">
        <f>SUMIFS('caseload data'!U:U,'caseload data'!$D:$D,"PO",'caseload data'!$A:$A,'HMIP caseload divisional'!$B$5, 'caseload data'!$B:$B, "licence")</f>
        <v>0</v>
      </c>
      <c r="T56" s="268">
        <f>SUM(C56:S56)</f>
        <v>0</v>
      </c>
    </row>
    <row r="57" spans="2:22" x14ac:dyDescent="0.15">
      <c r="B57" s="107" t="s">
        <v>912</v>
      </c>
      <c r="C57" s="268">
        <f>SUMIFS('caseload data'!E:E,'caseload data'!$D:$D,"PSO",'caseload data'!$A:$A,'HMIP caseload divisional'!$B$5, 'caseload data'!$B:$B, "licence")</f>
        <v>0</v>
      </c>
      <c r="D57" s="268">
        <f>SUMIFS('caseload data'!F:F,'caseload data'!$D:$D,"PSO",'caseload data'!$A:$A,'HMIP caseload divisional'!$B$5, 'caseload data'!$B:$B, "licence")</f>
        <v>0</v>
      </c>
      <c r="E57" s="268">
        <f>SUMIFS('caseload data'!G:G,'caseload data'!$D:$D,"PSO",'caseload data'!$A:$A,'HMIP caseload divisional'!$B$5, 'caseload data'!$B:$B, "licence")</f>
        <v>0</v>
      </c>
      <c r="F57" s="268">
        <f>SUMIFS('caseload data'!H:H,'caseload data'!$D:$D,"PSO",'caseload data'!$A:$A,'HMIP caseload divisional'!$B$5, 'caseload data'!$B:$B, "licence")</f>
        <v>0</v>
      </c>
      <c r="G57" s="268">
        <f>SUMIFS('caseload data'!I:I,'caseload data'!$D:$D,"PSO",'caseload data'!$A:$A,'HMIP caseload divisional'!$B$5, 'caseload data'!$B:$B, "licence")</f>
        <v>0</v>
      </c>
      <c r="H57" s="268">
        <f>SUMIFS('caseload data'!J:J,'caseload data'!$D:$D,"PSO",'caseload data'!$A:$A,'HMIP caseload divisional'!$B$5, 'caseload data'!$B:$B, "licence")</f>
        <v>0</v>
      </c>
      <c r="I57" s="268">
        <f>SUMIFS('caseload data'!K:K,'caseload data'!$D:$D,"PSO",'caseload data'!$A:$A,'HMIP caseload divisional'!$B$5, 'caseload data'!$B:$B, "licence")</f>
        <v>0</v>
      </c>
      <c r="J57" s="268">
        <f>SUMIFS('caseload data'!L:L,'caseload data'!$D:$D,"PSO",'caseload data'!$A:$A,'HMIP caseload divisional'!$B$5, 'caseload data'!$B:$B, "licence")</f>
        <v>0</v>
      </c>
      <c r="K57" s="268">
        <f>SUMIFS('caseload data'!M:M,'caseload data'!$D:$D,"PSO",'caseload data'!$A:$A,'HMIP caseload divisional'!$B$5, 'caseload data'!$B:$B, "licence")</f>
        <v>0</v>
      </c>
      <c r="L57" s="268">
        <f>SUMIFS('caseload data'!N:N,'caseload data'!$D:$D,"PSO",'caseload data'!$A:$A,'HMIP caseload divisional'!$B$5, 'caseload data'!$B:$B, "licence")</f>
        <v>0</v>
      </c>
      <c r="M57" s="268">
        <f>SUMIFS('caseload data'!O:O,'caseload data'!$D:$D,"PSO",'caseload data'!$A:$A,'HMIP caseload divisional'!$B$5, 'caseload data'!$B:$B, "licence")</f>
        <v>0</v>
      </c>
      <c r="N57" s="268">
        <f>SUMIFS('caseload data'!P:P,'caseload data'!$D:$D,"PSO",'caseload data'!$A:$A,'HMIP caseload divisional'!$B$5, 'caseload data'!$B:$B, "licence")</f>
        <v>0</v>
      </c>
      <c r="O57" s="268">
        <f>SUMIFS('caseload data'!Q:Q,'caseload data'!$D:$D,"PSO",'caseload data'!$A:$A,'HMIP caseload divisional'!$B$5, 'caseload data'!$B:$B, "licence")</f>
        <v>0</v>
      </c>
      <c r="P57" s="268">
        <f>SUMIFS('caseload data'!R:R,'caseload data'!$D:$D,"PSO",'caseload data'!$A:$A,'HMIP caseload divisional'!$B$5, 'caseload data'!$B:$B, "licence")</f>
        <v>0</v>
      </c>
      <c r="Q57" s="268">
        <f>SUMIFS('caseload data'!S:S,'caseload data'!$D:$D,"PSO",'caseload data'!$A:$A,'HMIP caseload divisional'!$B$5, 'caseload data'!$B:$B, "licence")</f>
        <v>0</v>
      </c>
      <c r="R57" s="268">
        <f>SUMIFS('caseload data'!T:T,'caseload data'!$D:$D,"PSO",'caseload data'!$A:$A,'HMIP caseload divisional'!$B$5, 'caseload data'!$B:$B, "licence")</f>
        <v>0</v>
      </c>
      <c r="S57" s="268">
        <f>SUMIFS('caseload data'!U:U,'caseload data'!$D:$D,"PSO",'caseload data'!$A:$A,'HMIP caseload divisional'!$B$5, 'caseload data'!$B:$B, "licence")</f>
        <v>0</v>
      </c>
      <c r="T57" s="268">
        <f t="shared" ref="T57:T59" si="7">SUM(C57:S57)</f>
        <v>0</v>
      </c>
    </row>
    <row r="58" spans="2:22" x14ac:dyDescent="0.15">
      <c r="B58" s="107" t="s">
        <v>913</v>
      </c>
      <c r="C58" s="268">
        <f>SUMIFS('caseload data'!E:E,'caseload data'!$D:$D,"TPO",'caseload data'!$A:$A,'HMIP caseload divisional'!$B$5, 'caseload data'!$B:$B, "licence")</f>
        <v>0</v>
      </c>
      <c r="D58" s="268">
        <f>SUMIFS('caseload data'!F:F,'caseload data'!$D:$D,"TPO",'caseload data'!$A:$A,'HMIP caseload divisional'!$B$5, 'caseload data'!$B:$B, "licence")</f>
        <v>0</v>
      </c>
      <c r="E58" s="268">
        <f>SUMIFS('caseload data'!G:G,'caseload data'!$D:$D,"TPO",'caseload data'!$A:$A,'HMIP caseload divisional'!$B$5, 'caseload data'!$B:$B, "licence")</f>
        <v>0</v>
      </c>
      <c r="F58" s="268">
        <f>SUMIFS('caseload data'!H:H,'caseload data'!$D:$D,"TPO",'caseload data'!$A:$A,'HMIP caseload divisional'!$B$5, 'caseload data'!$B:$B, "licence")</f>
        <v>0</v>
      </c>
      <c r="G58" s="268">
        <f>SUMIFS('caseload data'!I:I,'caseload data'!$D:$D,"TPO",'caseload data'!$A:$A,'HMIP caseload divisional'!$B$5, 'caseload data'!$B:$B, "licence")</f>
        <v>0</v>
      </c>
      <c r="H58" s="268">
        <f>SUMIFS('caseload data'!J:J,'caseload data'!$D:$D,"TPO",'caseload data'!$A:$A,'HMIP caseload divisional'!$B$5, 'caseload data'!$B:$B, "licence")</f>
        <v>0</v>
      </c>
      <c r="I58" s="268">
        <f>SUMIFS('caseload data'!K:K,'caseload data'!$D:$D,"TPO",'caseload data'!$A:$A,'HMIP caseload divisional'!$B$5, 'caseload data'!$B:$B, "licence")</f>
        <v>0</v>
      </c>
      <c r="J58" s="268">
        <f>SUMIFS('caseload data'!L:L,'caseload data'!$D:$D,"TPO",'caseload data'!$A:$A,'HMIP caseload divisional'!$B$5, 'caseload data'!$B:$B, "licence")</f>
        <v>0</v>
      </c>
      <c r="K58" s="268">
        <f>SUMIFS('caseload data'!M:M,'caseload data'!$D:$D,"TPO",'caseload data'!$A:$A,'HMIP caseload divisional'!$B$5, 'caseload data'!$B:$B, "licence")</f>
        <v>0</v>
      </c>
      <c r="L58" s="268">
        <f>SUMIFS('caseload data'!N:N,'caseload data'!$D:$D,"TPO",'caseload data'!$A:$A,'HMIP caseload divisional'!$B$5, 'caseload data'!$B:$B, "licence")</f>
        <v>0</v>
      </c>
      <c r="M58" s="268">
        <f>SUMIFS('caseload data'!O:O,'caseload data'!$D:$D,"TPO",'caseload data'!$A:$A,'HMIP caseload divisional'!$B$5, 'caseload data'!$B:$B, "licence")</f>
        <v>0</v>
      </c>
      <c r="N58" s="268">
        <f>SUMIFS('caseload data'!P:P,'caseload data'!$D:$D,"TPO",'caseload data'!$A:$A,'HMIP caseload divisional'!$B$5, 'caseload data'!$B:$B, "licence")</f>
        <v>0</v>
      </c>
      <c r="O58" s="268">
        <f>SUMIFS('caseload data'!Q:Q,'caseload data'!$D:$D,"TPO",'caseload data'!$A:$A,'HMIP caseload divisional'!$B$5, 'caseload data'!$B:$B, "licence")</f>
        <v>0</v>
      </c>
      <c r="P58" s="268">
        <f>SUMIFS('caseload data'!R:R,'caseload data'!$D:$D,"TPO",'caseload data'!$A:$A,'HMIP caseload divisional'!$B$5, 'caseload data'!$B:$B, "licence")</f>
        <v>0</v>
      </c>
      <c r="Q58" s="268">
        <f>SUMIFS('caseload data'!S:S,'caseload data'!$D:$D,"TPO",'caseload data'!$A:$A,'HMIP caseload divisional'!$B$5, 'caseload data'!$B:$B, "licence")</f>
        <v>0</v>
      </c>
      <c r="R58" s="268">
        <f>SUMIFS('caseload data'!T:T,'caseload data'!$D:$D,"TPO",'caseload data'!$A:$A,'HMIP caseload divisional'!$B$5, 'caseload data'!$B:$B, "licence")</f>
        <v>0</v>
      </c>
      <c r="S58" s="268">
        <f>SUMIFS('caseload data'!U:U,'caseload data'!$D:$D,"TPO",'caseload data'!$A:$A,'HMIP caseload divisional'!$B$5, 'caseload data'!$B:$B, "licence")</f>
        <v>0</v>
      </c>
      <c r="T58" s="268">
        <f t="shared" si="7"/>
        <v>0</v>
      </c>
    </row>
    <row r="59" spans="2:22" ht="12.5" customHeight="1" x14ac:dyDescent="0.15">
      <c r="B59" s="108" t="s">
        <v>914</v>
      </c>
      <c r="C59" s="268">
        <f>SUMIFS('caseload data'!E:E,'caseload data'!$D:$D,"SPO",'caseload data'!$A:$A,$B$5, 'caseload data'!$B:$B, "licence")</f>
        <v>0</v>
      </c>
      <c r="D59" s="268">
        <f>SUMIFS('caseload data'!F:F,'caseload data'!$D:$D,"SPO",'caseload data'!$A:$A,$B$5, 'caseload data'!$B:$B, "licence")</f>
        <v>0</v>
      </c>
      <c r="E59" s="268">
        <f>SUMIFS('caseload data'!G:G,'caseload data'!$D:$D,"SPO",'caseload data'!$A:$A,$B$5, 'caseload data'!$B:$B, "licence")</f>
        <v>0</v>
      </c>
      <c r="F59" s="268">
        <f>SUMIFS('caseload data'!H:H,'caseload data'!$D:$D,"SPO",'caseload data'!$A:$A,$B$5, 'caseload data'!$B:$B, "licence")</f>
        <v>0</v>
      </c>
      <c r="G59" s="268">
        <f>SUMIFS('caseload data'!I:I,'caseload data'!$D:$D,"SPO",'caseload data'!$A:$A,$B$5, 'caseload data'!$B:$B, "licence")</f>
        <v>0</v>
      </c>
      <c r="H59" s="268">
        <f>SUMIFS('caseload data'!J:J,'caseload data'!$D:$D,"SPO",'caseload data'!$A:$A,$B$5, 'caseload data'!$B:$B, "licence")</f>
        <v>0</v>
      </c>
      <c r="I59" s="268">
        <f>SUMIFS('caseload data'!K:K,'caseload data'!$D:$D,"SPO",'caseload data'!$A:$A,$B$5, 'caseload data'!$B:$B, "licence")</f>
        <v>0</v>
      </c>
      <c r="J59" s="268">
        <f>SUMIFS('caseload data'!L:L,'caseload data'!$D:$D,"SPO",'caseload data'!$A:$A,$B$5, 'caseload data'!$B:$B, "licence")</f>
        <v>0</v>
      </c>
      <c r="K59" s="268">
        <f>SUMIFS('caseload data'!M:M,'caseload data'!$D:$D,"SPO",'caseload data'!$A:$A,$B$5, 'caseload data'!$B:$B, "licence")</f>
        <v>0</v>
      </c>
      <c r="L59" s="268">
        <f>SUMIFS('caseload data'!N:N,'caseload data'!$D:$D,"SPO",'caseload data'!$A:$A,$B$5, 'caseload data'!$B:$B, "licence")</f>
        <v>0</v>
      </c>
      <c r="M59" s="268">
        <f>SUMIFS('caseload data'!O:O,'caseload data'!$D:$D,"SPO",'caseload data'!$A:$A,$B$5, 'caseload data'!$B:$B, "licence")</f>
        <v>0</v>
      </c>
      <c r="N59" s="268">
        <f>SUMIFS('caseload data'!P:P,'caseload data'!$D:$D,"SPO",'caseload data'!$A:$A,$B$5, 'caseload data'!$B:$B, "licence")</f>
        <v>0</v>
      </c>
      <c r="O59" s="268">
        <f>SUMIFS('caseload data'!Q:Q,'caseload data'!$D:$D,"SPO",'caseload data'!$A:$A,$B$5, 'caseload data'!$B:$B, "licence")</f>
        <v>0</v>
      </c>
      <c r="P59" s="268">
        <f>SUMIFS('caseload data'!R:R,'caseload data'!$D:$D,"SPO",'caseload data'!$A:$A,$B$5, 'caseload data'!$B:$B, "licence")</f>
        <v>0</v>
      </c>
      <c r="Q59" s="268">
        <f>SUMIFS('caseload data'!S:S,'caseload data'!$D:$D,"SPO",'caseload data'!$A:$A,$B$5, 'caseload data'!$B:$B, "licence")</f>
        <v>0</v>
      </c>
      <c r="R59" s="268">
        <f>SUMIFS('caseload data'!T:T,'caseload data'!$D:$D,"SPO",'caseload data'!$A:$A,$B$5, 'caseload data'!$B:$B, "licence")</f>
        <v>0</v>
      </c>
      <c r="S59" s="268">
        <f>SUMIFS('caseload data'!U:U,'caseload data'!$D:$D,"SPO",'caseload data'!$A:$A,$B$5, 'caseload data'!$B:$B, "licence")</f>
        <v>0</v>
      </c>
      <c r="T59" s="268">
        <f t="shared" si="7"/>
        <v>0</v>
      </c>
    </row>
    <row r="60" spans="2:22" ht="12.5" customHeight="1" x14ac:dyDescent="0.15">
      <c r="B60" s="271"/>
      <c r="C60" s="272"/>
      <c r="D60" s="272"/>
      <c r="E60" s="272"/>
      <c r="F60" s="272"/>
      <c r="G60" s="272"/>
      <c r="H60" s="272"/>
      <c r="I60" s="272"/>
      <c r="J60" s="272"/>
      <c r="K60" s="272"/>
      <c r="L60" s="272"/>
      <c r="M60" s="272"/>
      <c r="N60" s="272"/>
      <c r="O60" s="272"/>
      <c r="P60" s="272"/>
      <c r="Q60" s="272"/>
      <c r="R60" s="272"/>
      <c r="S60" s="272"/>
    </row>
    <row r="61" spans="2:22" x14ac:dyDescent="0.15">
      <c r="B61" s="58" t="str">
        <f>B5</f>
        <v>London</v>
      </c>
      <c r="C61" s="297" t="s">
        <v>1268</v>
      </c>
      <c r="D61" s="318"/>
      <c r="E61" s="318"/>
      <c r="F61" s="318"/>
      <c r="G61" s="318"/>
      <c r="H61" s="318"/>
      <c r="I61" s="318"/>
      <c r="J61" s="318"/>
      <c r="K61" s="318"/>
      <c r="L61" s="318"/>
      <c r="M61" s="318"/>
      <c r="N61" s="318"/>
      <c r="O61" s="318"/>
      <c r="P61" s="318"/>
      <c r="Q61" s="318"/>
      <c r="R61" s="318"/>
      <c r="S61" s="318"/>
      <c r="T61" s="318"/>
    </row>
    <row r="62" spans="2:22" x14ac:dyDescent="0.15">
      <c r="B62" s="105" t="s">
        <v>1065</v>
      </c>
      <c r="C62" s="265" t="s">
        <v>922</v>
      </c>
      <c r="D62" s="265" t="s">
        <v>923</v>
      </c>
      <c r="E62" s="265" t="s">
        <v>924</v>
      </c>
      <c r="F62" s="265" t="s">
        <v>925</v>
      </c>
      <c r="G62" s="265" t="s">
        <v>926</v>
      </c>
      <c r="H62" s="265" t="s">
        <v>927</v>
      </c>
      <c r="I62" s="265" t="s">
        <v>928</v>
      </c>
      <c r="J62" s="265" t="s">
        <v>929</v>
      </c>
      <c r="K62" s="265" t="s">
        <v>930</v>
      </c>
      <c r="L62" s="265" t="s">
        <v>931</v>
      </c>
      <c r="M62" s="265" t="s">
        <v>932</v>
      </c>
      <c r="N62" s="265" t="s">
        <v>933</v>
      </c>
      <c r="O62" s="265" t="s">
        <v>934</v>
      </c>
      <c r="P62" s="265" t="s">
        <v>935</v>
      </c>
      <c r="Q62" s="265" t="s">
        <v>936</v>
      </c>
      <c r="R62" s="265" t="s">
        <v>937</v>
      </c>
      <c r="S62" s="265" t="s">
        <v>1262</v>
      </c>
      <c r="T62" s="283" t="s">
        <v>1023</v>
      </c>
    </row>
    <row r="63" spans="2:22" x14ac:dyDescent="0.15">
      <c r="B63" s="106" t="s">
        <v>911</v>
      </c>
      <c r="C63" s="268">
        <f>SUMIFS('caseload data'!E:E,'caseload data'!$D:$D,"PO",'caseload data'!$A:$A,'HMIP caseload divisional'!$B$5, 'caseload data'!$B:$B, "custody")</f>
        <v>0</v>
      </c>
      <c r="D63" s="268">
        <f>SUMIFS('caseload data'!F:F,'caseload data'!$D:$D,"PO",'caseload data'!$A:$A,'HMIP caseload divisional'!$B$5, 'caseload data'!$B:$B, "custody")</f>
        <v>0</v>
      </c>
      <c r="E63" s="268">
        <f>SUMIFS('caseload data'!G:G,'caseload data'!$D:$D,"PO",'caseload data'!$A:$A,'HMIP caseload divisional'!$B$5, 'caseload data'!$B:$B, "custody")</f>
        <v>0</v>
      </c>
      <c r="F63" s="268">
        <f>SUMIFS('caseload data'!H:H,'caseload data'!$D:$D,"PO",'caseload data'!$A:$A,'HMIP caseload divisional'!$B$5, 'caseload data'!$B:$B, "custody")</f>
        <v>0</v>
      </c>
      <c r="G63" s="268">
        <f>SUMIFS('caseload data'!I:I,'caseload data'!$D:$D,"PO",'caseload data'!$A:$A,'HMIP caseload divisional'!$B$5, 'caseload data'!$B:$B, "custody")</f>
        <v>0</v>
      </c>
      <c r="H63" s="268">
        <f>SUMIFS('caseload data'!J:J,'caseload data'!$D:$D,"PO",'caseload data'!$A:$A,'HMIP caseload divisional'!$B$5, 'caseload data'!$B:$B, "custody")</f>
        <v>0</v>
      </c>
      <c r="I63" s="268">
        <f>SUMIFS('caseload data'!K:K,'caseload data'!$D:$D,"PO",'caseload data'!$A:$A,'HMIP caseload divisional'!$B$5, 'caseload data'!$B:$B, "custody")</f>
        <v>0</v>
      </c>
      <c r="J63" s="268">
        <f>SUMIFS('caseload data'!L:L,'caseload data'!$D:$D,"PO",'caseload data'!$A:$A,'HMIP caseload divisional'!$B$5, 'caseload data'!$B:$B, "custody")</f>
        <v>0</v>
      </c>
      <c r="K63" s="268">
        <f>SUMIFS('caseload data'!M:M,'caseload data'!$D:$D,"PO",'caseload data'!$A:$A,'HMIP caseload divisional'!$B$5, 'caseload data'!$B:$B, "custody")</f>
        <v>0</v>
      </c>
      <c r="L63" s="268">
        <f>SUMIFS('caseload data'!N:N,'caseload data'!$D:$D,"PO",'caseload data'!$A:$A,'HMIP caseload divisional'!$B$5, 'caseload data'!$B:$B, "custody")</f>
        <v>0</v>
      </c>
      <c r="M63" s="268">
        <f>SUMIFS('caseload data'!O:O,'caseload data'!$D:$D,"PO",'caseload data'!$A:$A,'HMIP caseload divisional'!$B$5, 'caseload data'!$B:$B, "custody")</f>
        <v>0</v>
      </c>
      <c r="N63" s="268">
        <f>SUMIFS('caseload data'!P:P,'caseload data'!$D:$D,"PO",'caseload data'!$A:$A,'HMIP caseload divisional'!$B$5, 'caseload data'!$B:$B, "custody")</f>
        <v>0</v>
      </c>
      <c r="O63" s="268">
        <f>SUMIFS('caseload data'!Q:Q,'caseload data'!$D:$D,"PO",'caseload data'!$A:$A,'HMIP caseload divisional'!$B$5, 'caseload data'!$B:$B, "custody")</f>
        <v>0</v>
      </c>
      <c r="P63" s="268">
        <f>SUMIFS('caseload data'!R:R,'caseload data'!$D:$D,"PO",'caseload data'!$A:$A,'HMIP caseload divisional'!$B$5, 'caseload data'!$B:$B, "custody")</f>
        <v>0</v>
      </c>
      <c r="Q63" s="268">
        <f>SUMIFS('caseload data'!S:S,'caseload data'!$D:$D,"PO",'caseload data'!$A:$A,'HMIP caseload divisional'!$B$5, 'caseload data'!$B:$B, "custody")</f>
        <v>0</v>
      </c>
      <c r="R63" s="268">
        <f>SUMIFS('caseload data'!T:T,'caseload data'!$D:$D,"PO",'caseload data'!$A:$A,'HMIP caseload divisional'!$B$5, 'caseload data'!$B:$B, "custody")</f>
        <v>0</v>
      </c>
      <c r="S63" s="268">
        <f>SUMIFS('caseload data'!U:U,'caseload data'!$D:$D,"PO",'caseload data'!$A:$A,'HMIP caseload divisional'!$B$5, 'caseload data'!$B:$B, "custody")</f>
        <v>0</v>
      </c>
      <c r="T63" s="268">
        <f>SUM(C63:S63)</f>
        <v>0</v>
      </c>
    </row>
    <row r="64" spans="2:22" x14ac:dyDescent="0.15">
      <c r="B64" s="107" t="s">
        <v>912</v>
      </c>
      <c r="C64" s="268">
        <f>SUMIFS('caseload data'!E:E,'caseload data'!$D:$D,"PSO",'caseload data'!$A:$A,'HMIP caseload divisional'!$B$5, 'caseload data'!$B:$B, "custody")</f>
        <v>0</v>
      </c>
      <c r="D64" s="268">
        <f>SUMIFS('caseload data'!F:F,'caseload data'!$D:$D,"PSO",'caseload data'!$A:$A,'HMIP caseload divisional'!$B$5, 'caseload data'!$B:$B, "custody")</f>
        <v>0</v>
      </c>
      <c r="E64" s="268">
        <f>SUMIFS('caseload data'!G:G,'caseload data'!$D:$D,"PSO",'caseload data'!$A:$A,'HMIP caseload divisional'!$B$5, 'caseload data'!$B:$B, "custody")</f>
        <v>0</v>
      </c>
      <c r="F64" s="268">
        <f>SUMIFS('caseload data'!H:H,'caseload data'!$D:$D,"PSO",'caseload data'!$A:$A,'HMIP caseload divisional'!$B$5, 'caseload data'!$B:$B, "custody")</f>
        <v>0</v>
      </c>
      <c r="G64" s="268">
        <f>SUMIFS('caseload data'!I:I,'caseload data'!$D:$D,"PSO",'caseload data'!$A:$A,'HMIP caseload divisional'!$B$5, 'caseload data'!$B:$B, "custody")</f>
        <v>0</v>
      </c>
      <c r="H64" s="268">
        <f>SUMIFS('caseload data'!J:J,'caseload data'!$D:$D,"PSO",'caseload data'!$A:$A,'HMIP caseload divisional'!$B$5, 'caseload data'!$B:$B, "custody")</f>
        <v>0</v>
      </c>
      <c r="I64" s="268">
        <f>SUMIFS('caseload data'!K:K,'caseload data'!$D:$D,"PSO",'caseload data'!$A:$A,'HMIP caseload divisional'!$B$5, 'caseload data'!$B:$B, "custody")</f>
        <v>0</v>
      </c>
      <c r="J64" s="268">
        <f>SUMIFS('caseload data'!L:L,'caseload data'!$D:$D,"PSO",'caseload data'!$A:$A,'HMIP caseload divisional'!$B$5, 'caseload data'!$B:$B, "custody")</f>
        <v>0</v>
      </c>
      <c r="K64" s="268">
        <f>SUMIFS('caseload data'!M:M,'caseload data'!$D:$D,"PSO",'caseload data'!$A:$A,'HMIP caseload divisional'!$B$5, 'caseload data'!$B:$B, "custody")</f>
        <v>0</v>
      </c>
      <c r="L64" s="268">
        <f>SUMIFS('caseload data'!N:N,'caseload data'!$D:$D,"PSO",'caseload data'!$A:$A,'HMIP caseload divisional'!$B$5, 'caseload data'!$B:$B, "custody")</f>
        <v>0</v>
      </c>
      <c r="M64" s="268">
        <f>SUMIFS('caseload data'!O:O,'caseload data'!$D:$D,"PSO",'caseload data'!$A:$A,'HMIP caseload divisional'!$B$5, 'caseload data'!$B:$B, "custody")</f>
        <v>0</v>
      </c>
      <c r="N64" s="268">
        <f>SUMIFS('caseload data'!P:P,'caseload data'!$D:$D,"PSO",'caseload data'!$A:$A,'HMIP caseload divisional'!$B$5, 'caseload data'!$B:$B, "custody")</f>
        <v>0</v>
      </c>
      <c r="O64" s="268">
        <f>SUMIFS('caseload data'!Q:Q,'caseload data'!$D:$D,"PSO",'caseload data'!$A:$A,'HMIP caseload divisional'!$B$5, 'caseload data'!$B:$B, "custody")</f>
        <v>0</v>
      </c>
      <c r="P64" s="268">
        <f>SUMIFS('caseload data'!R:R,'caseload data'!$D:$D,"PSO",'caseload data'!$A:$A,'HMIP caseload divisional'!$B$5, 'caseload data'!$B:$B, "custody")</f>
        <v>0</v>
      </c>
      <c r="Q64" s="268">
        <f>SUMIFS('caseload data'!S:S,'caseload data'!$D:$D,"PSO",'caseload data'!$A:$A,'HMIP caseload divisional'!$B$5, 'caseload data'!$B:$B, "custody")</f>
        <v>0</v>
      </c>
      <c r="R64" s="268">
        <f>SUMIFS('caseload data'!T:T,'caseload data'!$D:$D,"PSO",'caseload data'!$A:$A,'HMIP caseload divisional'!$B$5, 'caseload data'!$B:$B, "custody")</f>
        <v>0</v>
      </c>
      <c r="S64" s="268">
        <f>SUMIFS('caseload data'!U:U,'caseload data'!$D:$D,"PSO",'caseload data'!$A:$A,'HMIP caseload divisional'!$B$5, 'caseload data'!$B:$B, "custody")</f>
        <v>0</v>
      </c>
      <c r="T64" s="268">
        <f t="shared" ref="T64:T66" si="8">SUM(C64:S64)</f>
        <v>0</v>
      </c>
    </row>
    <row r="65" spans="2:20" x14ac:dyDescent="0.15">
      <c r="B65" s="107" t="s">
        <v>913</v>
      </c>
      <c r="C65" s="268">
        <f>SUMIFS('caseload data'!E:E,'caseload data'!$D:$D,"TPO",'caseload data'!$A:$A,'HMIP caseload divisional'!$B$5, 'caseload data'!$B:$B, "custody")</f>
        <v>0</v>
      </c>
      <c r="D65" s="268">
        <f>SUMIFS('caseload data'!F:F,'caseload data'!$D:$D,"TPO",'caseload data'!$A:$A,'HMIP caseload divisional'!$B$5, 'caseload data'!$B:$B, "custody")</f>
        <v>0</v>
      </c>
      <c r="E65" s="268">
        <f>SUMIFS('caseload data'!G:G,'caseload data'!$D:$D,"TPO",'caseload data'!$A:$A,'HMIP caseload divisional'!$B$5, 'caseload data'!$B:$B, "custody")</f>
        <v>0</v>
      </c>
      <c r="F65" s="268">
        <f>SUMIFS('caseload data'!H:H,'caseload data'!$D:$D,"TPO",'caseload data'!$A:$A,'HMIP caseload divisional'!$B$5, 'caseload data'!$B:$B, "custody")</f>
        <v>0</v>
      </c>
      <c r="G65" s="268">
        <f>SUMIFS('caseload data'!I:I,'caseload data'!$D:$D,"TPO",'caseload data'!$A:$A,'HMIP caseload divisional'!$B$5, 'caseload data'!$B:$B, "custody")</f>
        <v>0</v>
      </c>
      <c r="H65" s="268">
        <f>SUMIFS('caseload data'!J:J,'caseload data'!$D:$D,"TPO",'caseload data'!$A:$A,'HMIP caseload divisional'!$B$5, 'caseload data'!$B:$B, "custody")</f>
        <v>0</v>
      </c>
      <c r="I65" s="268">
        <f>SUMIFS('caseload data'!K:K,'caseload data'!$D:$D,"TPO",'caseload data'!$A:$A,'HMIP caseload divisional'!$B$5, 'caseload data'!$B:$B, "custody")</f>
        <v>0</v>
      </c>
      <c r="J65" s="268">
        <f>SUMIFS('caseload data'!L:L,'caseload data'!$D:$D,"TPO",'caseload data'!$A:$A,'HMIP caseload divisional'!$B$5, 'caseload data'!$B:$B, "custody")</f>
        <v>0</v>
      </c>
      <c r="K65" s="268">
        <f>SUMIFS('caseload data'!M:M,'caseload data'!$D:$D,"TPO",'caseload data'!$A:$A,'HMIP caseload divisional'!$B$5, 'caseload data'!$B:$B, "custody")</f>
        <v>0</v>
      </c>
      <c r="L65" s="268">
        <f>SUMIFS('caseload data'!N:N,'caseload data'!$D:$D,"TPO",'caseload data'!$A:$A,'HMIP caseload divisional'!$B$5, 'caseload data'!$B:$B, "custody")</f>
        <v>0</v>
      </c>
      <c r="M65" s="268">
        <f>SUMIFS('caseload data'!O:O,'caseload data'!$D:$D,"TPO",'caseload data'!$A:$A,'HMIP caseload divisional'!$B$5, 'caseload data'!$B:$B, "custody")</f>
        <v>0</v>
      </c>
      <c r="N65" s="268">
        <f>SUMIFS('caseload data'!P:P,'caseload data'!$D:$D,"TPO",'caseload data'!$A:$A,'HMIP caseload divisional'!$B$5, 'caseload data'!$B:$B, "custody")</f>
        <v>0</v>
      </c>
      <c r="O65" s="268">
        <f>SUMIFS('caseload data'!Q:Q,'caseload data'!$D:$D,"TPO",'caseload data'!$A:$A,'HMIP caseload divisional'!$B$5, 'caseload data'!$B:$B, "custody")</f>
        <v>0</v>
      </c>
      <c r="P65" s="268">
        <f>SUMIFS('caseload data'!R:R,'caseload data'!$D:$D,"TPO",'caseload data'!$A:$A,'HMIP caseload divisional'!$B$5, 'caseload data'!$B:$B, "custody")</f>
        <v>0</v>
      </c>
      <c r="Q65" s="268">
        <f>SUMIFS('caseload data'!S:S,'caseload data'!$D:$D,"TPO",'caseload data'!$A:$A,'HMIP caseload divisional'!$B$5, 'caseload data'!$B:$B, "custody")</f>
        <v>0</v>
      </c>
      <c r="R65" s="268">
        <f>SUMIFS('caseload data'!T:T,'caseload data'!$D:$D,"TPO",'caseload data'!$A:$A,'HMIP caseload divisional'!$B$5, 'caseload data'!$B:$B, "custody")</f>
        <v>0</v>
      </c>
      <c r="S65" s="268">
        <f>SUMIFS('caseload data'!U:U,'caseload data'!$D:$D,"TPO",'caseload data'!$A:$A,'HMIP caseload divisional'!$B$5, 'caseload data'!$B:$B, "custody")</f>
        <v>0</v>
      </c>
      <c r="T65" s="268">
        <f t="shared" si="8"/>
        <v>0</v>
      </c>
    </row>
    <row r="66" spans="2:20" x14ac:dyDescent="0.15">
      <c r="B66" s="108" t="s">
        <v>914</v>
      </c>
      <c r="C66" s="268">
        <f>SUMIFS('caseload data'!E:E,'caseload data'!$D:$D,"SPO",'caseload data'!$A:$A,$B$5, 'caseload data'!$B:$B, "custody")</f>
        <v>0</v>
      </c>
      <c r="D66" s="268">
        <f>SUMIFS('caseload data'!F:F,'caseload data'!$D:$D,"SPO",'caseload data'!$A:$A,$B$5, 'caseload data'!$B:$B, "custody")</f>
        <v>0</v>
      </c>
      <c r="E66" s="268">
        <f>SUMIFS('caseload data'!G:G,'caseload data'!$D:$D,"SPO",'caseload data'!$A:$A,$B$5, 'caseload data'!$B:$B, "custody")</f>
        <v>0</v>
      </c>
      <c r="F66" s="268">
        <f>SUMIFS('caseload data'!H:H,'caseload data'!$D:$D,"SPO",'caseload data'!$A:$A,$B$5, 'caseload data'!$B:$B, "custody")</f>
        <v>0</v>
      </c>
      <c r="G66" s="268">
        <f>SUMIFS('caseload data'!I:I,'caseload data'!$D:$D,"SPO",'caseload data'!$A:$A,$B$5, 'caseload data'!$B:$B, "custody")</f>
        <v>0</v>
      </c>
      <c r="H66" s="268">
        <f>SUMIFS('caseload data'!J:J,'caseload data'!$D:$D,"SPO",'caseload data'!$A:$A,$B$5, 'caseload data'!$B:$B, "custody")</f>
        <v>0</v>
      </c>
      <c r="I66" s="268">
        <f>SUMIFS('caseload data'!K:K,'caseload data'!$D:$D,"SPO",'caseload data'!$A:$A,$B$5, 'caseload data'!$B:$B, "custody")</f>
        <v>0</v>
      </c>
      <c r="J66" s="268">
        <f>SUMIFS('caseload data'!L:L,'caseload data'!$D:$D,"SPO",'caseload data'!$A:$A,$B$5, 'caseload data'!$B:$B, "custody")</f>
        <v>0</v>
      </c>
      <c r="K66" s="268">
        <f>SUMIFS('caseload data'!M:M,'caseload data'!$D:$D,"SPO",'caseload data'!$A:$A,$B$5, 'caseload data'!$B:$B, "custody")</f>
        <v>0</v>
      </c>
      <c r="L66" s="268">
        <f>SUMIFS('caseload data'!N:N,'caseload data'!$D:$D,"SPO",'caseload data'!$A:$A,$B$5, 'caseload data'!$B:$B, "custody")</f>
        <v>0</v>
      </c>
      <c r="M66" s="268">
        <f>SUMIFS('caseload data'!O:O,'caseload data'!$D:$D,"SPO",'caseload data'!$A:$A,$B$5, 'caseload data'!$B:$B, "custody")</f>
        <v>0</v>
      </c>
      <c r="N66" s="268">
        <f>SUMIFS('caseload data'!P:P,'caseload data'!$D:$D,"SPO",'caseload data'!$A:$A,$B$5, 'caseload data'!$B:$B, "custody")</f>
        <v>0</v>
      </c>
      <c r="O66" s="268">
        <f>SUMIFS('caseload data'!Q:Q,'caseload data'!$D:$D,"SPO",'caseload data'!$A:$A,$B$5, 'caseload data'!$B:$B, "custody")</f>
        <v>0</v>
      </c>
      <c r="P66" s="268">
        <f>SUMIFS('caseload data'!R:R,'caseload data'!$D:$D,"SPO",'caseload data'!$A:$A,$B$5, 'caseload data'!$B:$B, "custody")</f>
        <v>0</v>
      </c>
      <c r="Q66" s="268">
        <f>SUMIFS('caseload data'!S:S,'caseload data'!$D:$D,"SPO",'caseload data'!$A:$A,$B$5, 'caseload data'!$B:$B, "custody")</f>
        <v>0</v>
      </c>
      <c r="R66" s="268">
        <f>SUMIFS('caseload data'!T:T,'caseload data'!$D:$D,"SPO",'caseload data'!$A:$A,$B$5, 'caseload data'!$B:$B, "custody")</f>
        <v>0</v>
      </c>
      <c r="S66" s="268">
        <f>SUMIFS('caseload data'!U:U,'caseload data'!$D:$D,"SPO",'caseload data'!$A:$A,$B$5, 'caseload data'!$B:$B, "custody")</f>
        <v>0</v>
      </c>
      <c r="T66" s="268">
        <f t="shared" si="8"/>
        <v>0</v>
      </c>
    </row>
    <row r="67" spans="2:20" x14ac:dyDescent="0.15">
      <c r="B67" s="271"/>
      <c r="C67" s="272"/>
      <c r="D67" s="272"/>
      <c r="E67" s="272"/>
      <c r="F67" s="272"/>
      <c r="G67" s="272"/>
      <c r="H67" s="272"/>
      <c r="I67" s="272"/>
      <c r="J67" s="272"/>
      <c r="K67" s="272"/>
      <c r="L67" s="272"/>
      <c r="M67" s="272"/>
      <c r="N67" s="272"/>
      <c r="O67" s="272"/>
      <c r="P67" s="272"/>
      <c r="Q67" s="272"/>
      <c r="R67" s="272"/>
      <c r="S67" s="272"/>
    </row>
    <row r="69" spans="2:20" x14ac:dyDescent="0.15">
      <c r="B69" s="58" t="str">
        <f>B5</f>
        <v>London</v>
      </c>
      <c r="C69" s="297" t="s">
        <v>1261</v>
      </c>
      <c r="D69" s="318"/>
      <c r="E69" s="318"/>
      <c r="F69" s="318"/>
      <c r="G69" s="318"/>
      <c r="H69" s="318"/>
      <c r="I69" s="318"/>
      <c r="J69" s="318"/>
      <c r="K69" s="318"/>
      <c r="L69" s="318"/>
      <c r="M69" s="318"/>
      <c r="N69" s="318"/>
      <c r="O69" s="318"/>
      <c r="P69" s="318"/>
      <c r="Q69" s="318"/>
      <c r="R69" s="318"/>
      <c r="S69" s="318"/>
      <c r="T69" s="280"/>
    </row>
    <row r="70" spans="2:20" x14ac:dyDescent="0.15">
      <c r="B70" s="105" t="s">
        <v>1065</v>
      </c>
      <c r="C70" s="262" t="s">
        <v>922</v>
      </c>
      <c r="D70" s="262" t="s">
        <v>923</v>
      </c>
      <c r="E70" s="262" t="s">
        <v>924</v>
      </c>
      <c r="F70" s="262" t="s">
        <v>925</v>
      </c>
      <c r="G70" s="262" t="s">
        <v>926</v>
      </c>
      <c r="H70" s="262" t="s">
        <v>927</v>
      </c>
      <c r="I70" s="262" t="s">
        <v>928</v>
      </c>
      <c r="J70" s="262" t="s">
        <v>929</v>
      </c>
      <c r="K70" s="262" t="s">
        <v>930</v>
      </c>
      <c r="L70" s="262" t="s">
        <v>931</v>
      </c>
      <c r="M70" s="262" t="s">
        <v>932</v>
      </c>
      <c r="N70" s="262" t="s">
        <v>933</v>
      </c>
      <c r="O70" s="262" t="s">
        <v>934</v>
      </c>
      <c r="P70" s="262" t="s">
        <v>935</v>
      </c>
      <c r="Q70" s="262" t="s">
        <v>936</v>
      </c>
      <c r="R70" s="262" t="s">
        <v>937</v>
      </c>
      <c r="S70" s="265" t="s">
        <v>1262</v>
      </c>
      <c r="T70" s="280"/>
    </row>
    <row r="71" spans="2:20" x14ac:dyDescent="0.15">
      <c r="B71" s="106" t="s">
        <v>911</v>
      </c>
      <c r="C71" s="267" t="e">
        <f>AVERAGEIFS('caseload data'!E:E,'caseload data'!$D:$D,"PO",'caseload data'!$A:$A,$B$5)</f>
        <v>#DIV/0!</v>
      </c>
      <c r="D71" s="267" t="e">
        <f>AVERAGEIFS('caseload data'!F:F,'caseload data'!$D:$D,"PO",'caseload data'!$A:$A,$B$5)</f>
        <v>#DIV/0!</v>
      </c>
      <c r="E71" s="267" t="e">
        <f>AVERAGEIFS('caseload data'!G:G,'caseload data'!$D:$D,"PO",'caseload data'!$A:$A,$B$5)</f>
        <v>#DIV/0!</v>
      </c>
      <c r="F71" s="267" t="e">
        <f>AVERAGEIFS('caseload data'!H:H,'caseload data'!$D:$D,"PO",'caseload data'!$A:$A,$B$5)</f>
        <v>#DIV/0!</v>
      </c>
      <c r="G71" s="267" t="e">
        <f>AVERAGEIFS('caseload data'!I:I,'caseload data'!$D:$D,"PO",'caseload data'!$A:$A,$B$5)</f>
        <v>#DIV/0!</v>
      </c>
      <c r="H71" s="267" t="e">
        <f>AVERAGEIFS('caseload data'!J:J,'caseload data'!$D:$D,"PO",'caseload data'!$A:$A,$B$5)</f>
        <v>#DIV/0!</v>
      </c>
      <c r="I71" s="267" t="e">
        <f>AVERAGEIFS('caseload data'!K:K,'caseload data'!$D:$D,"PO",'caseload data'!$A:$A,$B$5)</f>
        <v>#DIV/0!</v>
      </c>
      <c r="J71" s="267" t="e">
        <f>AVERAGEIFS('caseload data'!L:L,'caseload data'!$D:$D,"PO",'caseload data'!$A:$A,$B$5)</f>
        <v>#DIV/0!</v>
      </c>
      <c r="K71" s="267" t="e">
        <f>AVERAGEIFS('caseload data'!M:M,'caseload data'!$D:$D,"PO",'caseload data'!$A:$A,$B$5)</f>
        <v>#DIV/0!</v>
      </c>
      <c r="L71" s="267" t="e">
        <f>AVERAGEIFS('caseload data'!N:N,'caseload data'!$D:$D,"PO",'caseload data'!$A:$A,$B$5)</f>
        <v>#DIV/0!</v>
      </c>
      <c r="M71" s="267" t="e">
        <f>AVERAGEIFS('caseload data'!O:O,'caseload data'!$D:$D,"PO",'caseload data'!$A:$A,$B$5)</f>
        <v>#DIV/0!</v>
      </c>
      <c r="N71" s="267" t="e">
        <f>AVERAGEIFS('caseload data'!P:P,'caseload data'!$D:$D,"PO",'caseload data'!$A:$A,$B$5)</f>
        <v>#DIV/0!</v>
      </c>
      <c r="O71" s="267" t="e">
        <f>AVERAGEIFS('caseload data'!Q:Q,'caseload data'!$D:$D,"PO",'caseload data'!$A:$A,$B$5)</f>
        <v>#DIV/0!</v>
      </c>
      <c r="P71" s="267" t="e">
        <f>AVERAGEIFS('caseload data'!R:R,'caseload data'!$D:$D,"PO",'caseload data'!$A:$A,$B$5)</f>
        <v>#DIV/0!</v>
      </c>
      <c r="Q71" s="267" t="e">
        <f>AVERAGEIFS('caseload data'!S:S,'caseload data'!$D:$D,"PO",'caseload data'!$A:$A,$B$5)</f>
        <v>#DIV/0!</v>
      </c>
      <c r="R71" s="267" t="e">
        <f>AVERAGEIFS('caseload data'!T:T,'caseload data'!$D:$D,"PO",'caseload data'!$A:$A,$B$5)</f>
        <v>#DIV/0!</v>
      </c>
      <c r="S71" s="267" t="e">
        <f>AVERAGEIFS('caseload data'!U:U,'caseload data'!$D:$D,"PO",'caseload data'!$A:$A,$B$5)</f>
        <v>#DIV/0!</v>
      </c>
      <c r="T71" s="280"/>
    </row>
    <row r="72" spans="2:20" x14ac:dyDescent="0.15">
      <c r="B72" s="107" t="s">
        <v>912</v>
      </c>
      <c r="C72" s="267" t="e">
        <f>AVERAGEIFS('caseload data'!E:E,'caseload data'!$D:$D,"PSO",'caseload data'!$A:$A,$B$5)</f>
        <v>#DIV/0!</v>
      </c>
      <c r="D72" s="267" t="e">
        <f>AVERAGEIFS('caseload data'!F:F,'caseload data'!$D:$D,"PSO",'caseload data'!$A:$A,$B$5)</f>
        <v>#DIV/0!</v>
      </c>
      <c r="E72" s="267" t="e">
        <f>AVERAGEIFS('caseload data'!G:G,'caseload data'!$D:$D,"PSO",'caseload data'!$A:$A,$B$5)</f>
        <v>#DIV/0!</v>
      </c>
      <c r="F72" s="267" t="e">
        <f>AVERAGEIFS('caseload data'!H:H,'caseload data'!$D:$D,"PSO",'caseload data'!$A:$A,$B$5)</f>
        <v>#DIV/0!</v>
      </c>
      <c r="G72" s="267" t="e">
        <f>AVERAGEIFS('caseload data'!I:I,'caseload data'!$D:$D,"PSO",'caseload data'!$A:$A,$B$5)</f>
        <v>#DIV/0!</v>
      </c>
      <c r="H72" s="267" t="e">
        <f>AVERAGEIFS('caseload data'!J:J,'caseload data'!$D:$D,"PSO",'caseload data'!$A:$A,$B$5)</f>
        <v>#DIV/0!</v>
      </c>
      <c r="I72" s="267" t="e">
        <f>AVERAGEIFS('caseload data'!K:K,'caseload data'!$D:$D,"PSO",'caseload data'!$A:$A,$B$5)</f>
        <v>#DIV/0!</v>
      </c>
      <c r="J72" s="267" t="e">
        <f>AVERAGEIFS('caseload data'!L:L,'caseload data'!$D:$D,"PSO",'caseload data'!$A:$A,$B$5)</f>
        <v>#DIV/0!</v>
      </c>
      <c r="K72" s="267" t="e">
        <f>AVERAGEIFS('caseload data'!M:M,'caseload data'!$D:$D,"PSO",'caseload data'!$A:$A,$B$5)</f>
        <v>#DIV/0!</v>
      </c>
      <c r="L72" s="267" t="e">
        <f>AVERAGEIFS('caseload data'!N:N,'caseload data'!$D:$D,"PSO",'caseload data'!$A:$A,$B$5)</f>
        <v>#DIV/0!</v>
      </c>
      <c r="M72" s="267" t="e">
        <f>AVERAGEIFS('caseload data'!O:O,'caseload data'!$D:$D,"PSO",'caseload data'!$A:$A,$B$5)</f>
        <v>#DIV/0!</v>
      </c>
      <c r="N72" s="267" t="e">
        <f>AVERAGEIFS('caseload data'!P:P,'caseload data'!$D:$D,"PSO",'caseload data'!$A:$A,$B$5)</f>
        <v>#DIV/0!</v>
      </c>
      <c r="O72" s="267" t="e">
        <f>AVERAGEIFS('caseload data'!Q:Q,'caseload data'!$D:$D,"PSO",'caseload data'!$A:$A,$B$5)</f>
        <v>#DIV/0!</v>
      </c>
      <c r="P72" s="267" t="e">
        <f>AVERAGEIFS('caseload data'!R:R,'caseload data'!$D:$D,"PSO",'caseload data'!$A:$A,$B$5)</f>
        <v>#DIV/0!</v>
      </c>
      <c r="Q72" s="267" t="e">
        <f>AVERAGEIFS('caseload data'!S:S,'caseload data'!$D:$D,"PSO",'caseload data'!$A:$A,$B$5)</f>
        <v>#DIV/0!</v>
      </c>
      <c r="R72" s="267" t="e">
        <f>AVERAGEIFS('caseload data'!T:T,'caseload data'!$D:$D,"PSO",'caseload data'!$A:$A,$B$5)</f>
        <v>#DIV/0!</v>
      </c>
      <c r="S72" s="267" t="e">
        <f>AVERAGEIFS('caseload data'!U:U,'caseload data'!$D:$D,"PSO",'caseload data'!$A:$A,$B$5)</f>
        <v>#DIV/0!</v>
      </c>
      <c r="T72" s="280"/>
    </row>
    <row r="73" spans="2:20" x14ac:dyDescent="0.15">
      <c r="B73" s="107" t="s">
        <v>913</v>
      </c>
      <c r="C73" s="267" t="e">
        <f>AVERAGEIFS('caseload data'!E:E,'caseload data'!$D:$D,"TPO",'caseload data'!$A:$A,$B$5)</f>
        <v>#DIV/0!</v>
      </c>
      <c r="D73" s="267" t="e">
        <f>AVERAGEIFS('caseload data'!F:F,'caseload data'!$D:$D,"TPO",'caseload data'!$A:$A,$B$5)</f>
        <v>#DIV/0!</v>
      </c>
      <c r="E73" s="267" t="e">
        <f>AVERAGEIFS('caseload data'!G:G,'caseload data'!$D:$D,"TPO",'caseload data'!$A:$A,$B$5)</f>
        <v>#DIV/0!</v>
      </c>
      <c r="F73" s="267" t="e">
        <f>AVERAGEIFS('caseload data'!H:H,'caseload data'!$D:$D,"TPO",'caseload data'!$A:$A,$B$5)</f>
        <v>#DIV/0!</v>
      </c>
      <c r="G73" s="267" t="e">
        <f>AVERAGEIFS('caseload data'!I:I,'caseload data'!$D:$D,"TPO",'caseload data'!$A:$A,$B$5)</f>
        <v>#DIV/0!</v>
      </c>
      <c r="H73" s="267" t="e">
        <f>AVERAGEIFS('caseload data'!J:J,'caseload data'!$D:$D,"TPO",'caseload data'!$A:$A,$B$5)</f>
        <v>#DIV/0!</v>
      </c>
      <c r="I73" s="267" t="e">
        <f>AVERAGEIFS('caseload data'!K:K,'caseload data'!$D:$D,"TPO",'caseload data'!$A:$A,$B$5)</f>
        <v>#DIV/0!</v>
      </c>
      <c r="J73" s="267" t="e">
        <f>AVERAGEIFS('caseload data'!L:L,'caseload data'!$D:$D,"TPO",'caseload data'!$A:$A,$B$5)</f>
        <v>#DIV/0!</v>
      </c>
      <c r="K73" s="267" t="e">
        <f>AVERAGEIFS('caseload data'!M:M,'caseload data'!$D:$D,"TPO",'caseload data'!$A:$A,$B$5)</f>
        <v>#DIV/0!</v>
      </c>
      <c r="L73" s="267" t="e">
        <f>AVERAGEIFS('caseload data'!N:N,'caseload data'!$D:$D,"TPO",'caseload data'!$A:$A,$B$5)</f>
        <v>#DIV/0!</v>
      </c>
      <c r="M73" s="267" t="e">
        <f>AVERAGEIFS('caseload data'!O:O,'caseload data'!$D:$D,"TPO",'caseload data'!$A:$A,$B$5)</f>
        <v>#DIV/0!</v>
      </c>
      <c r="N73" s="267" t="e">
        <f>AVERAGEIFS('caseload data'!P:P,'caseload data'!$D:$D,"TPO",'caseload data'!$A:$A,$B$5)</f>
        <v>#DIV/0!</v>
      </c>
      <c r="O73" s="267" t="e">
        <f>AVERAGEIFS('caseload data'!Q:Q,'caseload data'!$D:$D,"TPO",'caseload data'!$A:$A,$B$5)</f>
        <v>#DIV/0!</v>
      </c>
      <c r="P73" s="267" t="e">
        <f>AVERAGEIFS('caseload data'!R:R,'caseload data'!$D:$D,"TPO",'caseload data'!$A:$A,$B$5)</f>
        <v>#DIV/0!</v>
      </c>
      <c r="Q73" s="267" t="e">
        <f>AVERAGEIFS('caseload data'!S:S,'caseload data'!$D:$D,"TPO",'caseload data'!$A:$A,$B$5)</f>
        <v>#DIV/0!</v>
      </c>
      <c r="R73" s="267" t="e">
        <f>AVERAGEIFS('caseload data'!T:T,'caseload data'!$D:$D,"TPO",'caseload data'!$A:$A,$B$5)</f>
        <v>#DIV/0!</v>
      </c>
      <c r="S73" s="267" t="e">
        <f>AVERAGEIFS('caseload data'!U:U,'caseload data'!$D:$D,"TPO",'caseload data'!$A:$A,$B$5)</f>
        <v>#DIV/0!</v>
      </c>
      <c r="T73" s="280"/>
    </row>
    <row r="74" spans="2:20" x14ac:dyDescent="0.15">
      <c r="B74" s="108" t="s">
        <v>914</v>
      </c>
      <c r="C74" s="267" t="e">
        <f>AVERAGEIFS('caseload data'!E:E,'caseload data'!$D:$D,"SPO",'caseload data'!$A:$A,$B$5)</f>
        <v>#DIV/0!</v>
      </c>
      <c r="D74" s="267" t="e">
        <f>AVERAGEIFS('caseload data'!F:F,'caseload data'!$D:$D,"SPO",'caseload data'!$A:$A,$B$5)</f>
        <v>#DIV/0!</v>
      </c>
      <c r="E74" s="267" t="e">
        <f>AVERAGEIFS('caseload data'!G:G,'caseload data'!$D:$D,"SPO",'caseload data'!$A:$A,$B$5)</f>
        <v>#DIV/0!</v>
      </c>
      <c r="F74" s="267" t="e">
        <f>AVERAGEIFS('caseload data'!H:H,'caseload data'!$D:$D,"SPO",'caseload data'!$A:$A,$B$5)</f>
        <v>#DIV/0!</v>
      </c>
      <c r="G74" s="267" t="e">
        <f>AVERAGEIFS('caseload data'!I:I,'caseload data'!$D:$D,"SPO",'caseload data'!$A:$A,$B$5)</f>
        <v>#DIV/0!</v>
      </c>
      <c r="H74" s="267" t="e">
        <f>AVERAGEIFS('caseload data'!J:J,'caseload data'!$D:$D,"SPO",'caseload data'!$A:$A,$B$5)</f>
        <v>#DIV/0!</v>
      </c>
      <c r="I74" s="267" t="e">
        <f>AVERAGEIFS('caseload data'!K:K,'caseload data'!$D:$D,"SPO",'caseload data'!$A:$A,$B$5)</f>
        <v>#DIV/0!</v>
      </c>
      <c r="J74" s="267" t="e">
        <f>AVERAGEIFS('caseload data'!L:L,'caseload data'!$D:$D,"SPO",'caseload data'!$A:$A,$B$5)</f>
        <v>#DIV/0!</v>
      </c>
      <c r="K74" s="267" t="e">
        <f>AVERAGEIFS('caseload data'!M:M,'caseload data'!$D:$D,"SPO",'caseload data'!$A:$A,$B$5)</f>
        <v>#DIV/0!</v>
      </c>
      <c r="L74" s="267" t="e">
        <f>AVERAGEIFS('caseload data'!N:N,'caseload data'!$D:$D,"SPO",'caseload data'!$A:$A,$B$5)</f>
        <v>#DIV/0!</v>
      </c>
      <c r="M74" s="267" t="e">
        <f>AVERAGEIFS('caseload data'!O:O,'caseload data'!$D:$D,"SPO",'caseload data'!$A:$A,$B$5)</f>
        <v>#DIV/0!</v>
      </c>
      <c r="N74" s="267" t="e">
        <f>AVERAGEIFS('caseload data'!P:P,'caseload data'!$D:$D,"SPO",'caseload data'!$A:$A,$B$5)</f>
        <v>#DIV/0!</v>
      </c>
      <c r="O74" s="267" t="e">
        <f>AVERAGEIFS('caseload data'!Q:Q,'caseload data'!$D:$D,"SPO",'caseload data'!$A:$A,$B$5)</f>
        <v>#DIV/0!</v>
      </c>
      <c r="P74" s="267" t="e">
        <f>AVERAGEIFS('caseload data'!R:R,'caseload data'!$D:$D,"SPO",'caseload data'!$A:$A,$B$5)</f>
        <v>#DIV/0!</v>
      </c>
      <c r="Q74" s="267" t="e">
        <f>AVERAGEIFS('caseload data'!S:S,'caseload data'!$D:$D,"SPO",'caseload data'!$A:$A,$B$5)</f>
        <v>#DIV/0!</v>
      </c>
      <c r="R74" s="267" t="e">
        <f>AVERAGEIFS('caseload data'!T:T,'caseload data'!$D:$D,"SPO",'caseload data'!$A:$A,$B$5)</f>
        <v>#DIV/0!</v>
      </c>
      <c r="S74" s="267" t="e">
        <f>AVERAGEIFS('caseload data'!U:U,'caseload data'!$D:$D,"SPO",'caseload data'!$A:$A,$B$5)</f>
        <v>#DIV/0!</v>
      </c>
      <c r="T74" s="280"/>
    </row>
    <row r="75" spans="2:20" x14ac:dyDescent="0.15">
      <c r="T75" s="280"/>
    </row>
  </sheetData>
  <mergeCells count="7">
    <mergeCell ref="C69:S69"/>
    <mergeCell ref="A1:S1"/>
    <mergeCell ref="A2:S2"/>
    <mergeCell ref="C61:T61"/>
    <mergeCell ref="C40:T40"/>
    <mergeCell ref="C47:T47"/>
    <mergeCell ref="C54:T54"/>
  </mergeCells>
  <conditionalFormatting sqref="I9:L10">
    <cfRule type="cellIs" dxfId="6611" priority="1" operator="lessThan">
      <formula>0.9</formula>
    </cfRule>
    <cfRule type="cellIs" dxfId="6610" priority="2" operator="greaterThanOrEqual">
      <formula>1.1</formula>
    </cfRule>
  </conditionalFormatting>
  <dataValidations count="1">
    <dataValidation type="list" allowBlank="1" showInputMessage="1" showErrorMessage="1" sqref="B5" xr:uid="{C7345745-6219-470E-BFEF-983AE4F7F8C1}">
      <formula1>Regions</formula1>
    </dataValidation>
  </dataValidation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2359-19EC-457C-9B32-028E8EABE760}">
  <sheetPr>
    <tabColor rgb="FFFFFF00"/>
    <pageSetUpPr autoPageBreaks="0"/>
  </sheetPr>
  <dimension ref="A1:T73"/>
  <sheetViews>
    <sheetView showGridLines="0" zoomScale="73" zoomScaleNormal="85" workbookViewId="0">
      <selection activeCell="D4" sqref="D4"/>
    </sheetView>
  </sheetViews>
  <sheetFormatPr baseColWidth="10" defaultColWidth="8.83203125" defaultRowHeight="14" x14ac:dyDescent="0.15"/>
  <cols>
    <col min="2" max="2" width="39.5" customWidth="1"/>
    <col min="3" max="3" width="19.1640625" customWidth="1"/>
    <col min="4" max="4" width="20.5" bestFit="1" customWidth="1"/>
    <col min="5" max="5" width="14.83203125" customWidth="1"/>
    <col min="6" max="6" width="17.1640625" customWidth="1"/>
    <col min="7" max="7" width="18.5" customWidth="1"/>
    <col min="8" max="8" width="39.5" bestFit="1" customWidth="1"/>
    <col min="9" max="9" width="15.5" customWidth="1"/>
    <col min="10" max="10" width="20.5" customWidth="1"/>
    <col min="11" max="11" width="26.5" bestFit="1" customWidth="1"/>
    <col min="12" max="12" width="16.83203125" customWidth="1"/>
    <col min="13" max="13" width="17.83203125" bestFit="1" customWidth="1"/>
    <col min="14" max="14" width="8.5" bestFit="1" customWidth="1"/>
    <col min="17" max="17" width="10" bestFit="1" customWidth="1"/>
    <col min="21" max="21" width="11.1640625" bestFit="1" customWidth="1"/>
  </cols>
  <sheetData>
    <row r="1" spans="1:19" ht="45.75" customHeight="1" x14ac:dyDescent="0.15">
      <c r="A1" s="321" t="s">
        <v>1298</v>
      </c>
      <c r="B1" s="322"/>
      <c r="C1" s="322"/>
      <c r="D1" s="322"/>
      <c r="E1" s="322"/>
      <c r="F1" s="322"/>
      <c r="G1" s="322"/>
      <c r="H1" s="322"/>
      <c r="I1" s="322"/>
      <c r="J1" s="322"/>
      <c r="K1" s="322"/>
      <c r="L1" s="322"/>
      <c r="M1" s="322"/>
      <c r="N1" s="322"/>
      <c r="O1" s="322"/>
      <c r="P1" s="322"/>
      <c r="Q1" s="322"/>
      <c r="R1" s="322"/>
      <c r="S1" s="322"/>
    </row>
    <row r="2" spans="1:19" ht="37.5" customHeight="1" x14ac:dyDescent="0.15">
      <c r="A2" s="307"/>
      <c r="B2" s="307"/>
      <c r="C2" s="307"/>
      <c r="D2" s="307"/>
      <c r="E2" s="307"/>
      <c r="F2" s="307"/>
      <c r="G2" s="307"/>
      <c r="H2" s="307"/>
      <c r="I2" s="307"/>
      <c r="J2" s="307"/>
      <c r="K2" s="307"/>
      <c r="L2" s="307"/>
      <c r="M2" s="307"/>
      <c r="N2" s="307"/>
      <c r="O2" s="307"/>
      <c r="P2" s="307"/>
      <c r="Q2" s="307"/>
      <c r="R2" s="307"/>
      <c r="S2" s="307"/>
    </row>
    <row r="4" spans="1:19" ht="57" customHeight="1" x14ac:dyDescent="0.15">
      <c r="B4" s="39" t="s">
        <v>1073</v>
      </c>
    </row>
    <row r="5" spans="1:19" ht="24" customHeight="1" x14ac:dyDescent="0.15">
      <c r="B5" s="60" t="s">
        <v>30</v>
      </c>
      <c r="F5" s="43"/>
      <c r="H5" s="280"/>
      <c r="I5" s="280"/>
      <c r="J5" s="280"/>
      <c r="K5" s="280"/>
      <c r="L5" s="43"/>
    </row>
    <row r="6" spans="1:19" ht="24" customHeight="1" x14ac:dyDescent="0.15">
      <c r="B6" s="61" t="s">
        <v>64</v>
      </c>
      <c r="H6" s="280"/>
      <c r="I6" s="280"/>
      <c r="J6" s="280"/>
      <c r="K6" s="280"/>
      <c r="L6" s="280"/>
    </row>
    <row r="7" spans="1:19" ht="24" customHeight="1" x14ac:dyDescent="0.15">
      <c r="H7" s="280"/>
      <c r="I7" s="280"/>
      <c r="J7" s="280"/>
      <c r="K7" s="280"/>
      <c r="L7" s="280"/>
    </row>
    <row r="8" spans="1:19" x14ac:dyDescent="0.15">
      <c r="F8" s="273"/>
    </row>
    <row r="9" spans="1:19" ht="23" x14ac:dyDescent="0.15">
      <c r="B9" s="276" t="s">
        <v>1263</v>
      </c>
      <c r="C9" s="277"/>
      <c r="D9" s="277"/>
      <c r="E9" s="277"/>
      <c r="F9" s="72"/>
      <c r="H9" s="287" t="s">
        <v>1000</v>
      </c>
      <c r="I9" s="288"/>
      <c r="J9" s="288"/>
      <c r="K9" s="288"/>
      <c r="L9" s="289"/>
    </row>
    <row r="10" spans="1:19" ht="35.5" customHeight="1" x14ac:dyDescent="0.15">
      <c r="B10" s="71"/>
      <c r="C10" s="275" t="s">
        <v>1273</v>
      </c>
      <c r="D10" s="275" t="s">
        <v>1274</v>
      </c>
      <c r="E10" s="275" t="s">
        <v>1275</v>
      </c>
      <c r="F10" s="275" t="s">
        <v>1276</v>
      </c>
      <c r="H10" s="71"/>
      <c r="I10" s="290" t="s">
        <v>1327</v>
      </c>
      <c r="J10" s="72" t="s">
        <v>1328</v>
      </c>
      <c r="K10" s="72" t="s">
        <v>1329</v>
      </c>
      <c r="L10" s="72" t="s">
        <v>1330</v>
      </c>
    </row>
    <row r="11" spans="1:19" x14ac:dyDescent="0.15">
      <c r="B11" s="74" t="str">
        <f>B6</f>
        <v>Birmingham Central and South - N52</v>
      </c>
      <c r="C11" s="269" t="e">
        <f>SUMIFS('capacity data'!K:K,'capacity data'!B:B,B6,'capacity data'!E:E,"PO")/((SUMIFS('capacity data'!I:I,'capacity data'!B:B,B6,'capacity data'!E:E,"PO")-(SUMIFS('capacity data'!J:J,'capacity data'!B:B,B6,'capacity data'!E:E,"PO")))/37)</f>
        <v>#DIV/0!</v>
      </c>
      <c r="D11" s="270" t="e">
        <f>SUMIFS('capacity data'!K:K,'capacity data'!B:B,B6,'capacity data'!E:E,"PSO")/((SUMIFS('capacity data'!I:I,'capacity data'!B:B,B6,'capacity data'!E:E,"PSO")-(SUMIFS('capacity data'!J:J,'capacity data'!B:B,B6,'capacity data'!E:E,"PSO")))/37)</f>
        <v>#DIV/0!</v>
      </c>
      <c r="E11" s="270" t="e">
        <f>SUMIFS('capacity data'!K:K,'capacity data'!B:B,B6,'capacity data'!E:E,"TPO")/((SUMIFS('capacity data'!I:I,'capacity data'!B:B,B6,'capacity data'!E:E,"TPO")-(SUMIFS('capacity data'!J:J,'capacity data'!B:B,B6,'capacity data'!E:E,"TPO")))/37)</f>
        <v>#DIV/0!</v>
      </c>
      <c r="F11" s="270" t="e">
        <f>SUMIFS('capacity data'!K:K,'capacity data'!B:B,B6,'capacity data'!E:E,"&lt;&gt;DMY")/((SUMIFS('capacity data'!I:I,'capacity data'!B:B,B6,'capacity data'!E:E,"&lt;&gt;DMY")-(SUMIFS('capacity data'!J:J,'capacity data'!B:B,B6,'capacity data'!E:E,"&lt;&gt;DMY")))/37)</f>
        <v>#DIV/0!</v>
      </c>
      <c r="H11" s="74" t="str">
        <f>B6</f>
        <v>Birmingham Central and South - N52</v>
      </c>
      <c r="I11" s="91" t="e">
        <f>SUMIFS('capacity data'!F:F, 'capacity data'!E:E, "PO",'capacity data'!F:F, "&lt;&gt;0", 'capacity data'!B:B, B6) / COUNTIFS('capacity data'!E:E, "PO",'capacity data'!F:F, "&lt;&gt;0",'capacity data'!B:B, B6)</f>
        <v>#DIV/0!</v>
      </c>
      <c r="J11" s="91" t="e">
        <f>SUMIFS('capacity data'!F:F, 'capacity data'!E:E, "PSO",'capacity data'!F:F, "&lt;&gt;0", 'capacity data'!B:B, B6) / COUNTIFS('capacity data'!E:E, "PSO",'capacity data'!F:F, "&lt;&gt;0",'capacity data'!B:B, B6)</f>
        <v>#DIV/0!</v>
      </c>
      <c r="K11" s="91" t="e">
        <f>SUMIFS('capacity data'!F:F, 'capacity data'!E:E, "TPO",'capacity data'!F:F, "&lt;&gt;0", 'capacity data'!B:B, B6) / COUNTIFS('capacity data'!E:E, "TPO",'capacity data'!F:F, "&lt;&gt;0",'capacity data'!B:B, B6)</f>
        <v>#DIV/0!</v>
      </c>
      <c r="L11" s="91" t="e">
        <f>SUMIFS('capacity data'!F:F, 'capacity data'!E:E, "&lt;&gt;DMY",'capacity data'!F:F, "&lt;&gt;0", 'capacity data'!B:B, B6) / COUNTIFS('capacity data'!E:E, "&lt;&gt;DMY",'capacity data'!F:F, "&lt;&gt;0",'capacity data'!B:B, B6)</f>
        <v>#DIV/0!</v>
      </c>
      <c r="M11" s="274"/>
    </row>
    <row r="12" spans="1:19" x14ac:dyDescent="0.15">
      <c r="B12" s="253" t="s">
        <v>1139</v>
      </c>
      <c r="C12" s="269" t="e">
        <f>SUMIFS('capacity data'!K:K,'capacity data'!E:E,"PO")/((SUMIFS('capacity data'!I:I,'capacity data'!E:E,"PO")-(SUMIFS('capacity data'!J:J,'capacity data'!E:E,"PO")))/37)</f>
        <v>#DIV/0!</v>
      </c>
      <c r="D12" s="270" t="e">
        <f>SUMIFS('capacity data'!K:K,'capacity data'!E:E,"PSO")/((SUMIFS('capacity data'!I:I,'capacity data'!E:E,"PSO")-(SUMIFS('capacity data'!J:J,'capacity data'!E:E,"PSO")))/37)</f>
        <v>#DIV/0!</v>
      </c>
      <c r="E12" s="270" t="e">
        <f>SUMIFS('capacity data'!K:K,'capacity data'!E:E,"TPO")/((SUMIFS('capacity data'!I:I,'capacity data'!E:E,"TPO")-(SUMIFS('capacity data'!J:J,'capacity data'!E:E,"TPO")))/37)</f>
        <v>#DIV/0!</v>
      </c>
      <c r="F12" s="270" t="e">
        <f>SUMIFS('capacity data'!K:K,'capacity data'!E:E,"&lt;&gt;DMY")/((SUMIFS('capacity data'!I:I,'capacity data'!E:E,"&lt;&gt;DMY")-(SUMIFS('capacity data'!J:J,'capacity data'!E:E,"&lt;&gt;DMY")))/37)</f>
        <v>#DIV/0!</v>
      </c>
      <c r="H12" s="116" t="s">
        <v>1009</v>
      </c>
      <c r="I12" s="91" t="e">
        <f>SUMIFS('capacity data'!F:F, 'capacity data'!E:E, "PO",'capacity data'!F:F, "&lt;&gt;0") / COUNTIFS('capacity data'!E:E, "PO",'capacity data'!F:F, "&lt;&gt;0")</f>
        <v>#DIV/0!</v>
      </c>
      <c r="J12" s="91" t="e">
        <f>SUMIFS('capacity data'!F:F, 'capacity data'!E:E, "PSO",'capacity data'!F:F, "&lt;&gt;0") / COUNTIFS('capacity data'!E:E, "PSO",'capacity data'!F:F, "&lt;&gt;0")</f>
        <v>#DIV/0!</v>
      </c>
      <c r="K12" s="91" t="e">
        <f>SUMIFS('capacity data'!F:F, 'capacity data'!E:E, "TPO",'capacity data'!F:F, "&lt;&gt;0") / COUNTIFS('capacity data'!E:E, "TPO",'capacity data'!F:F, "&lt;&gt;0")</f>
        <v>#DIV/0!</v>
      </c>
      <c r="L12" s="91">
        <f>SUMIFS('capacity data'!F:F, 'capacity data'!E:E, "&lt;&gt;DMY",'capacity data'!F:F, "&lt;&gt;0") / COUNTIFS('capacity data'!E:E, "&lt;&gt;DMY",'capacity data'!F:F, "&lt;&gt;0", 'capacity data'!A:A, "&lt;&gt;")</f>
        <v>0</v>
      </c>
      <c r="M12" s="274"/>
    </row>
    <row r="13" spans="1:19" x14ac:dyDescent="0.15">
      <c r="B13" s="77" t="s">
        <v>1075</v>
      </c>
      <c r="C13" s="269" t="e">
        <f>C11-C12</f>
        <v>#DIV/0!</v>
      </c>
      <c r="D13" s="269" t="e">
        <f t="shared" ref="D13:F13" si="0">D11-D12</f>
        <v>#DIV/0!</v>
      </c>
      <c r="E13" s="269" t="e">
        <f t="shared" si="0"/>
        <v>#DIV/0!</v>
      </c>
      <c r="F13" s="269" t="e">
        <f t="shared" si="0"/>
        <v>#DIV/0!</v>
      </c>
      <c r="H13" s="129" t="s">
        <v>1075</v>
      </c>
      <c r="I13" s="112" t="e">
        <f>+I11-I12</f>
        <v>#DIV/0!</v>
      </c>
      <c r="J13" s="112" t="str">
        <f>IFERROR(+J11-J12,"N/A")</f>
        <v>N/A</v>
      </c>
      <c r="K13" s="112" t="str">
        <f>IFERROR(+K11-K12,"N/A")</f>
        <v>N/A</v>
      </c>
      <c r="L13" s="112" t="e">
        <f>+L11-L12</f>
        <v>#DIV/0!</v>
      </c>
      <c r="M13" s="274"/>
    </row>
    <row r="14" spans="1:19" x14ac:dyDescent="0.15">
      <c r="C14" s="273"/>
      <c r="D14" s="273"/>
      <c r="E14" s="273"/>
      <c r="F14" s="273"/>
    </row>
    <row r="16" spans="1:19" ht="23" x14ac:dyDescent="0.15">
      <c r="B16" s="276" t="s">
        <v>1264</v>
      </c>
      <c r="C16" s="277"/>
      <c r="D16" s="277"/>
      <c r="E16" s="277"/>
      <c r="F16" s="72"/>
    </row>
    <row r="17" spans="2:6" ht="42" x14ac:dyDescent="0.15">
      <c r="B17" s="71"/>
      <c r="C17" s="275" t="s">
        <v>1273</v>
      </c>
      <c r="D17" s="275" t="s">
        <v>1274</v>
      </c>
      <c r="E17" s="275" t="s">
        <v>1275</v>
      </c>
      <c r="F17" s="275" t="s">
        <v>1276</v>
      </c>
    </row>
    <row r="18" spans="2:6" x14ac:dyDescent="0.15">
      <c r="B18" s="74" t="str">
        <f>B6</f>
        <v>Birmingham Central and South - N52</v>
      </c>
      <c r="C18" s="269" t="e">
        <f>SUMIFS('caseload data'!V:V,'caseload data'!C:C, B6, 'caseload data'!D:D, "PO", 'caseload data'!B:B, "Community")/((SUMIFS('capacity data'!I:I,'capacity data'!B:B,B6,'capacity data'!E:E,"PO")-(SUMIFS('capacity data'!J:J,'capacity data'!B:B,B6,'capacity data'!E:E,"PO")))/37)</f>
        <v>#DIV/0!</v>
      </c>
      <c r="D18" s="270" t="e">
        <f>SUMIFS('caseload data'!V:V,'caseload data'!C:C, B6, 'caseload data'!D:D, "PSO", 'caseload data'!B:B, "Community")/((SUMIFS('capacity data'!I:I,'capacity data'!B:B,B6,'capacity data'!E:E,"PSO")-(SUMIFS('capacity data'!J:J,'capacity data'!B:B,B6,'capacity data'!E:E,"PSO")))/37)</f>
        <v>#DIV/0!</v>
      </c>
      <c r="E18" s="270" t="e">
        <f>SUMIFS('caseload data'!V:V,'caseload data'!C:C, B6, 'caseload data'!D:D, "TPO", 'caseload data'!B:B, "Community")/((SUMIFS('capacity data'!I:I,'capacity data'!B:B,B6,'capacity data'!E:E,"TPO")-(SUMIFS('capacity data'!J:J,'capacity data'!B:B,B6,'capacity data'!E:E,"TPO")))/37)</f>
        <v>#DIV/0!</v>
      </c>
      <c r="F18" s="270" t="e">
        <f>SUMIFS('caseload data'!V:V,'caseload data'!B:B, "Community", 'caseload data'!D:D, "&lt;&gt;DMY", 'caseload data'!C:C, B6) /((SUMIFS('capacity data'!I:I,'capacity data'!B:B,B6,'capacity data'!E:E,"&lt;&gt;DMY")-(SUMIFS('capacity data'!J:J,'capacity data'!B:B,B6,'capacity data'!E:E,"&lt;&gt;DMY")))/37)</f>
        <v>#DIV/0!</v>
      </c>
    </row>
    <row r="19" spans="2:6" x14ac:dyDescent="0.15">
      <c r="B19" s="253" t="s">
        <v>1139</v>
      </c>
      <c r="C19" s="269" t="e">
        <f>SUMIFS('caseload data'!V:V, 'caseload data'!D:D, "PO", 'caseload data'!B:B, "Community")/((SUMIFS('capacity data'!I:I,'capacity data'!E:E,"PO")-(SUMIFS('capacity data'!J:J,'capacity data'!E:E,"PO")))/37)</f>
        <v>#DIV/0!</v>
      </c>
      <c r="D19" s="269" t="e">
        <f>SUMIFS('caseload data'!V:V, 'caseload data'!D:D, "PSO", 'caseload data'!B:B, "Community")/((SUMIFS('capacity data'!I:I,'capacity data'!E:E,"PSO")-(SUMIFS('capacity data'!J:J,'capacity data'!E:E,"PSO")))/37)</f>
        <v>#DIV/0!</v>
      </c>
      <c r="E19" s="269" t="e">
        <f>SUMIFS('caseload data'!V:V, 'caseload data'!D:D, "TPO", 'caseload data'!B:B, "Community")/((SUMIFS('capacity data'!I:I,'capacity data'!E:E,"TPO")-(SUMIFS('capacity data'!J:J,'capacity data'!E:E,"TPO")))/37)</f>
        <v>#DIV/0!</v>
      </c>
      <c r="F19" s="269" t="e">
        <f>SUMIFS('caseload data'!V:V, 'caseload data'!D:D, "&lt;&gt;DMY", 'caseload data'!B:B, "Community")/((SUMIFS('capacity data'!I:I,'capacity data'!E:E,"&lt;&gt;DMY")-(SUMIFS('capacity data'!J:J,'capacity data'!E:E,"&lt;&gt;DMY")))/37)</f>
        <v>#DIV/0!</v>
      </c>
    </row>
    <row r="20" spans="2:6" x14ac:dyDescent="0.15">
      <c r="B20" s="77" t="s">
        <v>1075</v>
      </c>
      <c r="C20" s="269" t="e">
        <f>C18-C19</f>
        <v>#DIV/0!</v>
      </c>
      <c r="D20" s="269" t="e">
        <f t="shared" ref="D20:F20" si="1">D18-D19</f>
        <v>#DIV/0!</v>
      </c>
      <c r="E20" s="269" t="e">
        <f t="shared" si="1"/>
        <v>#DIV/0!</v>
      </c>
      <c r="F20" s="269" t="e">
        <f t="shared" si="1"/>
        <v>#DIV/0!</v>
      </c>
    </row>
    <row r="21" spans="2:6" x14ac:dyDescent="0.15">
      <c r="C21" s="273"/>
      <c r="D21" s="273"/>
      <c r="E21" s="273"/>
      <c r="F21" s="273"/>
    </row>
    <row r="22" spans="2:6" ht="23" x14ac:dyDescent="0.15">
      <c r="B22" s="263" t="s">
        <v>1267</v>
      </c>
      <c r="C22" s="264"/>
      <c r="D22" s="264"/>
      <c r="E22" s="264"/>
      <c r="F22" s="72"/>
    </row>
    <row r="23" spans="2:6" ht="42" x14ac:dyDescent="0.15">
      <c r="B23" s="71"/>
      <c r="C23" s="275" t="s">
        <v>1273</v>
      </c>
      <c r="D23" s="275" t="s">
        <v>1274</v>
      </c>
      <c r="E23" s="275" t="s">
        <v>1275</v>
      </c>
      <c r="F23" s="275" t="s">
        <v>1276</v>
      </c>
    </row>
    <row r="24" spans="2:6" x14ac:dyDescent="0.15">
      <c r="B24" s="74" t="str">
        <f>B6</f>
        <v>Birmingham Central and South - N52</v>
      </c>
      <c r="C24" s="269" t="e">
        <f>SUMIFS('caseload data'!V:V,'caseload data'!C:C, B6, 'caseload data'!D:D, "PO", 'caseload data'!B:B, "Licence")/((SUMIFS('capacity data'!I:I,'capacity data'!B:B,B6,'capacity data'!E:E,"PO")-(SUMIFS('capacity data'!J:J,'capacity data'!B:B,B6,'capacity data'!E:E,"PO")))/37)</f>
        <v>#DIV/0!</v>
      </c>
      <c r="D24" s="270" t="e">
        <f>SUMIFS('caseload data'!V:V,'caseload data'!C:C, B6, 'caseload data'!D:D, "PSO", 'caseload data'!B:B, "Licence")/((SUMIFS('capacity data'!I:I,'capacity data'!B:B,B6,'capacity data'!E:E,"PSO")-(SUMIFS('capacity data'!J:J,'capacity data'!B:B,B6,'capacity data'!E:E,"PSO")))/37)</f>
        <v>#DIV/0!</v>
      </c>
      <c r="E24" s="270" t="e">
        <f>SUMIFS('caseload data'!V:V,'caseload data'!C:C, B6, 'caseload data'!D:D, "TPO", 'caseload data'!B:B, "Licence")/((SUMIFS('capacity data'!I:I,'capacity data'!B:B,B6,'capacity data'!E:E,"TPO")-(SUMIFS('capacity data'!J:J,'capacity data'!B:B,B6,'capacity data'!E:E,"TPO")))/37)</f>
        <v>#DIV/0!</v>
      </c>
      <c r="F24" s="270" t="e">
        <f>SUMIFS('caseload data'!V:V,'caseload data'!B:B, "Licence", 'caseload data'!D:D, "&lt;&gt;DMY", 'caseload data'!C:C, B6) /((SUMIFS('capacity data'!I:I,'capacity data'!B:B,B6,'capacity data'!E:E,"&lt;&gt;DMY")-(SUMIFS('capacity data'!J:J,'capacity data'!B:B,B6,'capacity data'!E:E,"&lt;&gt;DMY")))/37)</f>
        <v>#DIV/0!</v>
      </c>
    </row>
    <row r="25" spans="2:6" x14ac:dyDescent="0.15">
      <c r="B25" s="253" t="s">
        <v>1139</v>
      </c>
      <c r="C25" s="269" t="e">
        <f>SUMIFS('caseload data'!V:V, 'caseload data'!D:D, "PO", 'caseload data'!B:B, "Licence")/((SUMIFS('capacity data'!I:I,'capacity data'!E:E,"PO")-(SUMIFS('capacity data'!J:J,'capacity data'!E:E,"PO")))/37)</f>
        <v>#DIV/0!</v>
      </c>
      <c r="D25" s="269" t="e">
        <f>SUMIFS('caseload data'!V:V, 'caseload data'!D:D, "PSO", 'caseload data'!B:B, "Licence")/((SUMIFS('capacity data'!I:I,'capacity data'!E:E,"PSO")-(SUMIFS('capacity data'!J:J,'capacity data'!E:E,"PSO")))/37)</f>
        <v>#DIV/0!</v>
      </c>
      <c r="E25" s="269" t="e">
        <f>SUMIFS('caseload data'!V:V, 'caseload data'!D:D, "TPO", 'caseload data'!B:B, "Licence")/((SUMIFS('capacity data'!I:I,'capacity data'!E:E,"TPO")-(SUMIFS('capacity data'!J:J,'capacity data'!E:E,"TPO")))/37)</f>
        <v>#DIV/0!</v>
      </c>
      <c r="F25" s="269" t="e">
        <f>SUMIFS('caseload data'!V:V, 'caseload data'!D:D, "&lt;&gt;DMY", 'caseload data'!B:B, "Licence")/((SUMIFS('capacity data'!I:I,'capacity data'!E:E,"&lt;&gt;DMY")-(SUMIFS('capacity data'!J:J,'capacity data'!E:E,"&lt;&gt;DMY")))/37)</f>
        <v>#DIV/0!</v>
      </c>
    </row>
    <row r="26" spans="2:6" x14ac:dyDescent="0.15">
      <c r="B26" s="77" t="s">
        <v>1075</v>
      </c>
      <c r="C26" s="269" t="e">
        <f>C24-C25</f>
        <v>#DIV/0!</v>
      </c>
      <c r="D26" s="269" t="e">
        <f t="shared" ref="D26:F26" si="2">D24-D25</f>
        <v>#DIV/0!</v>
      </c>
      <c r="E26" s="269" t="e">
        <f t="shared" si="2"/>
        <v>#DIV/0!</v>
      </c>
      <c r="F26" s="269" t="e">
        <f t="shared" si="2"/>
        <v>#DIV/0!</v>
      </c>
    </row>
    <row r="28" spans="2:6" ht="23" x14ac:dyDescent="0.15">
      <c r="B28" s="263" t="s">
        <v>1269</v>
      </c>
      <c r="C28" s="264"/>
      <c r="D28" s="264"/>
      <c r="E28" s="264"/>
      <c r="F28" s="72"/>
    </row>
    <row r="29" spans="2:6" ht="42" x14ac:dyDescent="0.15">
      <c r="B29" s="71"/>
      <c r="C29" s="275" t="s">
        <v>1273</v>
      </c>
      <c r="D29" s="275" t="s">
        <v>1274</v>
      </c>
      <c r="E29" s="275" t="s">
        <v>1275</v>
      </c>
      <c r="F29" s="275" t="s">
        <v>1276</v>
      </c>
    </row>
    <row r="30" spans="2:6" x14ac:dyDescent="0.15">
      <c r="B30" s="74" t="str">
        <f>B6</f>
        <v>Birmingham Central and South - N52</v>
      </c>
      <c r="C30" s="269" t="e">
        <f>SUMIFS('caseload data'!V:V,'caseload data'!C:C, B6, 'caseload data'!D:D, "PO", 'caseload data'!B:B, "Custody")/((SUMIFS('capacity data'!I:I,'capacity data'!B:B,B6,'capacity data'!E:E,"PO")-(SUMIFS('capacity data'!J:J,'capacity data'!B:B,B6,'capacity data'!E:E,"PO")))/37)</f>
        <v>#DIV/0!</v>
      </c>
      <c r="D30" s="270" t="e">
        <f>SUMIFS('caseload data'!V:V,'caseload data'!C:C, B6, 'caseload data'!D:D, "PSO", 'caseload data'!B:B, "Custody")/((SUMIFS('capacity data'!I:I,'capacity data'!B:B,B6,'capacity data'!E:E,"PSO")-(SUMIFS('capacity data'!J:J,'capacity data'!B:B,B6,'capacity data'!E:E,"PSO")))/37)</f>
        <v>#DIV/0!</v>
      </c>
      <c r="E30" s="270" t="e">
        <f>SUMIFS('caseload data'!V:V,'caseload data'!C:C, B6, 'caseload data'!D:D, "TPO", 'caseload data'!B:B, "Custody")/((SUMIFS('capacity data'!I:I,'capacity data'!B:B,B6,'capacity data'!E:E,"TPO")-(SUMIFS('capacity data'!J:J,'capacity data'!B:B,B6,'capacity data'!E:E,"TPO")))/37)</f>
        <v>#DIV/0!</v>
      </c>
      <c r="F30" s="270" t="e">
        <f>SUMIFS('caseload data'!V:V,'caseload data'!B:B, "Custody", 'caseload data'!D:D, "&lt;&gt;DMY", 'caseload data'!C:C, B6) /((SUMIFS('capacity data'!I:I,'capacity data'!B:B,B6,'capacity data'!E:E,"&lt;&gt;DMY")-(SUMIFS('capacity data'!J:J,'capacity data'!B:B,B6,'capacity data'!E:E,"&lt;&gt;DMY")))/37)</f>
        <v>#DIV/0!</v>
      </c>
    </row>
    <row r="31" spans="2:6" x14ac:dyDescent="0.15">
      <c r="B31" s="253" t="s">
        <v>1139</v>
      </c>
      <c r="C31" s="269" t="e">
        <f>SUMIFS('caseload data'!V:V, 'caseload data'!D:D, "PO", 'caseload data'!B:B, "Custody")/((SUMIFS('capacity data'!I:I,'capacity data'!E:E,"PO")-(SUMIFS('capacity data'!J:J,'capacity data'!E:E,"PO")))/37)</f>
        <v>#DIV/0!</v>
      </c>
      <c r="D31" s="269" t="e">
        <f>SUMIFS('caseload data'!V:V, 'caseload data'!D:D, "PSO", 'caseload data'!B:B, "Custody")/((SUMIFS('capacity data'!I:I,'capacity data'!E:E,"PSO")-(SUMIFS('capacity data'!J:J,'capacity data'!E:E,"PSO")))/37)</f>
        <v>#DIV/0!</v>
      </c>
      <c r="E31" s="269" t="e">
        <f>SUMIFS('caseload data'!V:V, 'caseload data'!D:D, "TPO", 'caseload data'!B:B, "Custody")/((SUMIFS('capacity data'!I:I,'capacity data'!E:E,"TPO")-(SUMIFS('capacity data'!J:J,'capacity data'!E:E,"TPO")))/37)</f>
        <v>#DIV/0!</v>
      </c>
      <c r="F31" s="269" t="e">
        <f>SUMIFS('caseload data'!V:V, 'caseload data'!D:D, "&lt;&gt;DMY", 'caseload data'!B:B, "Custody")/((SUMIFS('capacity data'!I:I,'capacity data'!E:E,"&lt;&gt;DMY")-(SUMIFS('capacity data'!J:J,'capacity data'!E:E,"&lt;&gt;DMY")))/37)</f>
        <v>#DIV/0!</v>
      </c>
    </row>
    <row r="32" spans="2:6" x14ac:dyDescent="0.15">
      <c r="B32" s="77" t="s">
        <v>1075</v>
      </c>
      <c r="C32" s="269" t="e">
        <f>C30-C31</f>
        <v>#DIV/0!</v>
      </c>
      <c r="D32" s="269" t="e">
        <f t="shared" ref="D32:F32" si="3">D30-D31</f>
        <v>#DIV/0!</v>
      </c>
      <c r="E32" s="269" t="e">
        <f t="shared" si="3"/>
        <v>#DIV/0!</v>
      </c>
      <c r="F32" s="269" t="e">
        <f t="shared" si="3"/>
        <v>#DIV/0!</v>
      </c>
    </row>
    <row r="33" spans="2:20" s="280" customFormat="1" x14ac:dyDescent="0.15">
      <c r="B33" s="273"/>
      <c r="C33" s="273"/>
      <c r="D33" s="273"/>
      <c r="E33" s="273"/>
      <c r="F33" s="273"/>
    </row>
    <row r="34" spans="2:20" s="280" customFormat="1" x14ac:dyDescent="0.15">
      <c r="B34" s="273"/>
      <c r="C34" s="273"/>
      <c r="D34" s="273"/>
      <c r="E34" s="273"/>
      <c r="F34" s="273"/>
    </row>
    <row r="35" spans="2:20" s="280" customFormat="1" ht="25" x14ac:dyDescent="0.15">
      <c r="B35" s="285" t="s">
        <v>1316</v>
      </c>
      <c r="C35" s="45"/>
      <c r="D35" s="45"/>
      <c r="E35" s="45"/>
      <c r="F35" s="285"/>
    </row>
    <row r="36" spans="2:20" s="280" customFormat="1" x14ac:dyDescent="0.15">
      <c r="B36" s="71"/>
      <c r="C36" s="286" t="s">
        <v>1314</v>
      </c>
      <c r="D36" s="286" t="s">
        <v>1312</v>
      </c>
      <c r="E36" s="286" t="s">
        <v>1313</v>
      </c>
      <c r="F36" s="286" t="s">
        <v>1089</v>
      </c>
    </row>
    <row r="37" spans="2:20" s="280" customFormat="1" x14ac:dyDescent="0.15">
      <c r="B37" s="74" t="s">
        <v>1317</v>
      </c>
      <c r="C37" s="268">
        <f>SUM(T49:T52)</f>
        <v>0</v>
      </c>
      <c r="D37" s="268">
        <f>SUM(T56:T59)</f>
        <v>0</v>
      </c>
      <c r="E37" s="268">
        <f>SUM(T63:T66)</f>
        <v>0</v>
      </c>
      <c r="F37" s="268">
        <f>SUM(T42:T45)</f>
        <v>0</v>
      </c>
    </row>
    <row r="38" spans="2:20" ht="14.25" customHeight="1" x14ac:dyDescent="0.15"/>
    <row r="39" spans="2:20" ht="14.25" customHeight="1" x14ac:dyDescent="0.15"/>
    <row r="40" spans="2:20" ht="14.25" customHeight="1" x14ac:dyDescent="0.2">
      <c r="B40" s="124" t="str">
        <f>B6</f>
        <v>Birmingham Central and South - N52</v>
      </c>
      <c r="C40" s="319" t="s">
        <v>1097</v>
      </c>
      <c r="D40" s="320"/>
      <c r="E40" s="320"/>
      <c r="F40" s="320"/>
      <c r="G40" s="320"/>
      <c r="H40" s="320"/>
      <c r="I40" s="320"/>
      <c r="J40" s="320"/>
      <c r="K40" s="320"/>
      <c r="L40" s="320"/>
      <c r="M40" s="320"/>
      <c r="N40" s="320"/>
      <c r="O40" s="320"/>
      <c r="P40" s="320"/>
      <c r="Q40" s="320"/>
      <c r="R40" s="320"/>
      <c r="S40" s="320"/>
      <c r="T40" s="320"/>
    </row>
    <row r="41" spans="2:20" ht="14.25" customHeight="1" x14ac:dyDescent="0.15">
      <c r="B41" s="105" t="s">
        <v>1065</v>
      </c>
      <c r="C41" s="265" t="s">
        <v>922</v>
      </c>
      <c r="D41" s="265" t="s">
        <v>923</v>
      </c>
      <c r="E41" s="265" t="s">
        <v>924</v>
      </c>
      <c r="F41" s="265" t="s">
        <v>925</v>
      </c>
      <c r="G41" s="265" t="s">
        <v>926</v>
      </c>
      <c r="H41" s="265" t="s">
        <v>927</v>
      </c>
      <c r="I41" s="265" t="s">
        <v>928</v>
      </c>
      <c r="J41" s="265" t="s">
        <v>929</v>
      </c>
      <c r="K41" s="265" t="s">
        <v>930</v>
      </c>
      <c r="L41" s="265" t="s">
        <v>931</v>
      </c>
      <c r="M41" s="265" t="s">
        <v>932</v>
      </c>
      <c r="N41" s="265" t="s">
        <v>933</v>
      </c>
      <c r="O41" s="265" t="s">
        <v>934</v>
      </c>
      <c r="P41" s="265" t="s">
        <v>935</v>
      </c>
      <c r="Q41" s="265" t="s">
        <v>936</v>
      </c>
      <c r="R41" s="265" t="s">
        <v>937</v>
      </c>
      <c r="S41" s="265" t="s">
        <v>1262</v>
      </c>
      <c r="T41" s="283" t="s">
        <v>1023</v>
      </c>
    </row>
    <row r="42" spans="2:20" ht="14.25" customHeight="1" x14ac:dyDescent="0.15">
      <c r="B42" s="84" t="s">
        <v>911</v>
      </c>
      <c r="C42" s="268">
        <f>SUMIFS('caseload data'!E:E,'caseload data'!$D:$D,"PO",'caseload data'!$C:$C,$B$6)</f>
        <v>0</v>
      </c>
      <c r="D42" s="268">
        <f>SUMIFS('caseload data'!F:F,'caseload data'!$D:$D,"PO",'caseload data'!$C:$C,$B$6)</f>
        <v>0</v>
      </c>
      <c r="E42" s="268">
        <f>SUMIFS('caseload data'!G:G,'caseload data'!$D:$D,"PO",'caseload data'!$C:$C,$B$6)</f>
        <v>0</v>
      </c>
      <c r="F42" s="268">
        <f>SUMIFS('caseload data'!H:H,'caseload data'!$D:$D,"PO",'caseload data'!$C:$C,$B$6)</f>
        <v>0</v>
      </c>
      <c r="G42" s="268">
        <f>SUMIFS('caseload data'!I:I,'caseload data'!$D:$D,"PO",'caseload data'!$C:$C,$B$6)</f>
        <v>0</v>
      </c>
      <c r="H42" s="268">
        <f>SUMIFS('caseload data'!J:J,'caseload data'!$D:$D,"PO",'caseload data'!$C:$C,$B$6)</f>
        <v>0</v>
      </c>
      <c r="I42" s="268">
        <f>SUMIFS('caseload data'!K:K,'caseload data'!$D:$D,"PO",'caseload data'!$C:$C,$B$6)</f>
        <v>0</v>
      </c>
      <c r="J42" s="268">
        <f>SUMIFS('caseload data'!L:L,'caseload data'!$D:$D,"PO",'caseload data'!$C:$C,$B$6)</f>
        <v>0</v>
      </c>
      <c r="K42" s="268">
        <f>SUMIFS('caseload data'!M:M,'caseload data'!$D:$D,"PO",'caseload data'!$C:$C,$B$6)</f>
        <v>0</v>
      </c>
      <c r="L42" s="268">
        <f>SUMIFS('caseload data'!N:N,'caseload data'!$D:$D,"PO",'caseload data'!$C:$C,$B$6)</f>
        <v>0</v>
      </c>
      <c r="M42" s="268">
        <f>SUMIFS('caseload data'!O:O,'caseload data'!$D:$D,"PO",'caseload data'!$C:$C,$B$6)</f>
        <v>0</v>
      </c>
      <c r="N42" s="268">
        <f>SUMIFS('caseload data'!P:P,'caseload data'!$D:$D,"PO",'caseload data'!$C:$C,$B$6)</f>
        <v>0</v>
      </c>
      <c r="O42" s="268">
        <f>SUMIFS('caseload data'!Q:Q,'caseload data'!$D:$D,"PO",'caseload data'!$C:$C,$B$6)</f>
        <v>0</v>
      </c>
      <c r="P42" s="268">
        <f>SUMIFS('caseload data'!R:R,'caseload data'!$D:$D,"PO",'caseload data'!$C:$C,$B$6)</f>
        <v>0</v>
      </c>
      <c r="Q42" s="268">
        <f>SUMIFS('caseload data'!S:S,'caseload data'!$D:$D,"PO",'caseload data'!$C:$C,$B$6)</f>
        <v>0</v>
      </c>
      <c r="R42" s="268">
        <f>SUMIFS('caseload data'!T:T,'caseload data'!$D:$D,"PO",'caseload data'!$C:$C,$B$6)</f>
        <v>0</v>
      </c>
      <c r="S42" s="268">
        <f>SUMIFS('caseload data'!U:U,'caseload data'!$D:$D,"PO",'caseload data'!$C:$C,$B$6)</f>
        <v>0</v>
      </c>
      <c r="T42" s="268">
        <f>SUM(C42:S42)</f>
        <v>0</v>
      </c>
    </row>
    <row r="43" spans="2:20" x14ac:dyDescent="0.15">
      <c r="B43" s="84" t="s">
        <v>912</v>
      </c>
      <c r="C43" s="268">
        <f>SUMIFS('caseload data'!E:E,'caseload data'!$D:$D,"PSO",'caseload data'!$C:$C,$B$6)</f>
        <v>0</v>
      </c>
      <c r="D43" s="268">
        <f>SUMIFS('caseload data'!F:F,'caseload data'!$D:$D,"PSO",'caseload data'!$C:$C,$B$6)</f>
        <v>0</v>
      </c>
      <c r="E43" s="268">
        <f>SUMIFS('caseload data'!G:G,'caseload data'!$D:$D,"PSO",'caseload data'!$C:$C,$B$6)</f>
        <v>0</v>
      </c>
      <c r="F43" s="268">
        <f>SUMIFS('caseload data'!H:H,'caseload data'!$D:$D,"PSO",'caseload data'!$C:$C,$B$6)</f>
        <v>0</v>
      </c>
      <c r="G43" s="268">
        <f>SUMIFS('caseload data'!I:I,'caseload data'!$D:$D,"PSO",'caseload data'!$C:$C,$B$6)</f>
        <v>0</v>
      </c>
      <c r="H43" s="268">
        <f>SUMIFS('caseload data'!J:J,'caseload data'!$D:$D,"PSO",'caseload data'!$C:$C,$B$6)</f>
        <v>0</v>
      </c>
      <c r="I43" s="268">
        <f>SUMIFS('caseload data'!K:K,'caseload data'!$D:$D,"PSO",'caseload data'!$C:$C,$B$6)</f>
        <v>0</v>
      </c>
      <c r="J43" s="268">
        <f>SUMIFS('caseload data'!L:L,'caseload data'!$D:$D,"PSO",'caseload data'!$C:$C,$B$6)</f>
        <v>0</v>
      </c>
      <c r="K43" s="268">
        <f>SUMIFS('caseload data'!M:M,'caseload data'!$D:$D,"PSO",'caseload data'!$C:$C,$B$6)</f>
        <v>0</v>
      </c>
      <c r="L43" s="268">
        <f>SUMIFS('caseload data'!N:N,'caseload data'!$D:$D,"PSO",'caseload data'!$C:$C,$B$6)</f>
        <v>0</v>
      </c>
      <c r="M43" s="268">
        <f>SUMIFS('caseload data'!O:O,'caseload data'!$D:$D,"PSO",'caseload data'!$C:$C,$B$6)</f>
        <v>0</v>
      </c>
      <c r="N43" s="268">
        <f>SUMIFS('caseload data'!P:P,'caseload data'!$D:$D,"PSO",'caseload data'!$C:$C,$B$6)</f>
        <v>0</v>
      </c>
      <c r="O43" s="268">
        <f>SUMIFS('caseload data'!Q:Q,'caseload data'!$D:$D,"PSO",'caseload data'!$C:$C,$B$6)</f>
        <v>0</v>
      </c>
      <c r="P43" s="268">
        <f>SUMIFS('caseload data'!R:R,'caseload data'!$D:$D,"PSO",'caseload data'!$C:$C,$B$6)</f>
        <v>0</v>
      </c>
      <c r="Q43" s="268">
        <f>SUMIFS('caseload data'!S:S,'caseload data'!$D:$D,"PSO",'caseload data'!$C:$C,$B$6)</f>
        <v>0</v>
      </c>
      <c r="R43" s="268">
        <f>SUMIFS('caseload data'!T:T,'caseload data'!$D:$D,"PSO",'caseload data'!$C:$C,$B$6)</f>
        <v>0</v>
      </c>
      <c r="S43" s="268">
        <f>SUMIFS('caseload data'!U:U,'caseload data'!$D:$D,"PSO",'caseload data'!$C:$C,$B$6)</f>
        <v>0</v>
      </c>
      <c r="T43" s="268">
        <f t="shared" ref="T43:T66" si="4">SUM(C43:S43)</f>
        <v>0</v>
      </c>
    </row>
    <row r="44" spans="2:20" ht="14.25" customHeight="1" x14ac:dyDescent="0.15">
      <c r="B44" s="84" t="s">
        <v>913</v>
      </c>
      <c r="C44" s="268">
        <f>SUMIFS('caseload data'!E:E,'caseload data'!$D:$D,"TPO",'caseload data'!$C:$C,$B$6)</f>
        <v>0</v>
      </c>
      <c r="D44" s="268">
        <f>SUMIFS('caseload data'!F:F,'caseload data'!$D:$D,"TPO",'caseload data'!$C:$C,$B$6)</f>
        <v>0</v>
      </c>
      <c r="E44" s="268">
        <f>SUMIFS('caseload data'!G:G,'caseload data'!$D:$D,"TPO",'caseload data'!$C:$C,$B$6)</f>
        <v>0</v>
      </c>
      <c r="F44" s="268">
        <f>SUMIFS('caseload data'!H:H,'caseload data'!$D:$D,"TPO",'caseload data'!$C:$C,$B$6)</f>
        <v>0</v>
      </c>
      <c r="G44" s="268">
        <f>SUMIFS('caseload data'!I:I,'caseload data'!$D:$D,"TPO",'caseload data'!$C:$C,$B$6)</f>
        <v>0</v>
      </c>
      <c r="H44" s="268">
        <f>SUMIFS('caseload data'!J:J,'caseload data'!$D:$D,"TPO",'caseload data'!$C:$C,$B$6)</f>
        <v>0</v>
      </c>
      <c r="I44" s="268">
        <f>SUMIFS('caseload data'!K:K,'caseload data'!$D:$D,"TPO",'caseload data'!$C:$C,$B$6)</f>
        <v>0</v>
      </c>
      <c r="J44" s="268">
        <f>SUMIFS('caseload data'!L:L,'caseload data'!$D:$D,"TPO",'caseload data'!$C:$C,$B$6)</f>
        <v>0</v>
      </c>
      <c r="K44" s="268">
        <f>SUMIFS('caseload data'!M:M,'caseload data'!$D:$D,"TPO",'caseload data'!$C:$C,$B$6)</f>
        <v>0</v>
      </c>
      <c r="L44" s="268">
        <f>SUMIFS('caseload data'!N:N,'caseload data'!$D:$D,"TPO",'caseload data'!$C:$C,$B$6)</f>
        <v>0</v>
      </c>
      <c r="M44" s="268">
        <f>SUMIFS('caseload data'!O:O,'caseload data'!$D:$D,"TPO",'caseload data'!$C:$C,$B$6)</f>
        <v>0</v>
      </c>
      <c r="N44" s="268">
        <f>SUMIFS('caseload data'!P:P,'caseload data'!$D:$D,"TPO",'caseload data'!$C:$C,$B$6)</f>
        <v>0</v>
      </c>
      <c r="O44" s="268">
        <f>SUMIFS('caseload data'!Q:Q,'caseload data'!$D:$D,"TPO",'caseload data'!$C:$C,$B$6)</f>
        <v>0</v>
      </c>
      <c r="P44" s="268">
        <f>SUMIFS('caseload data'!R:R,'caseload data'!$D:$D,"TPO",'caseload data'!$C:$C,$B$6)</f>
        <v>0</v>
      </c>
      <c r="Q44" s="268">
        <f>SUMIFS('caseload data'!S:S,'caseload data'!$D:$D,"TPO",'caseload data'!$C:$C,$B$6)</f>
        <v>0</v>
      </c>
      <c r="R44" s="268">
        <f>SUMIFS('caseload data'!T:T,'caseload data'!$D:$D,"TPO",'caseload data'!$C:$C,$B$6)</f>
        <v>0</v>
      </c>
      <c r="S44" s="268">
        <f>SUMIFS('caseload data'!U:U,'caseload data'!$D:$D,"TPO",'caseload data'!$C:$C,$B$6)</f>
        <v>0</v>
      </c>
      <c r="T44" s="268">
        <f t="shared" si="4"/>
        <v>0</v>
      </c>
    </row>
    <row r="45" spans="2:20" ht="14.25" customHeight="1" x14ac:dyDescent="0.15">
      <c r="B45" s="84" t="s">
        <v>914</v>
      </c>
      <c r="C45" s="268">
        <f>SUMIFS('caseload data'!E:E,'caseload data'!$D:$D,"SPO",'caseload data'!$C:$C,$B$6)</f>
        <v>0</v>
      </c>
      <c r="D45" s="268">
        <f>SUMIFS('caseload data'!F:F,'caseload data'!$D:$D,"SPO",'caseload data'!$C:$C,$B$6)</f>
        <v>0</v>
      </c>
      <c r="E45" s="268">
        <f>SUMIFS('caseload data'!G:G,'caseload data'!$D:$D,"SPO",'caseload data'!$C:$C,$B$6)</f>
        <v>0</v>
      </c>
      <c r="F45" s="268">
        <f>SUMIFS('caseload data'!H:H,'caseload data'!$D:$D,"SPO",'caseload data'!$C:$C,$B$6)</f>
        <v>0</v>
      </c>
      <c r="G45" s="268">
        <f>SUMIFS('caseload data'!I:I,'caseload data'!$D:$D,"SPO",'caseload data'!$C:$C,$B$6)</f>
        <v>0</v>
      </c>
      <c r="H45" s="268">
        <f>SUMIFS('caseload data'!J:J,'caseload data'!$D:$D,"SPO",'caseload data'!$C:$C,$B$6)</f>
        <v>0</v>
      </c>
      <c r="I45" s="268">
        <f>SUMIFS('caseload data'!K:K,'caseload data'!$D:$D,"SPO",'caseload data'!$C:$C,$B$6)</f>
        <v>0</v>
      </c>
      <c r="J45" s="268">
        <f>SUMIFS('caseload data'!L:L,'caseload data'!$D:$D,"SPO",'caseload data'!$C:$C,$B$6)</f>
        <v>0</v>
      </c>
      <c r="K45" s="268">
        <f>SUMIFS('caseload data'!M:M,'caseload data'!$D:$D,"SPO",'caseload data'!$C:$C,$B$6)</f>
        <v>0</v>
      </c>
      <c r="L45" s="268">
        <f>SUMIFS('caseload data'!N:N,'caseload data'!$D:$D,"SPO",'caseload data'!$C:$C,$B$6)</f>
        <v>0</v>
      </c>
      <c r="M45" s="268">
        <f>SUMIFS('caseload data'!O:O,'caseload data'!$D:$D,"SPO",'caseload data'!$C:$C,$B$6)</f>
        <v>0</v>
      </c>
      <c r="N45" s="268">
        <f>SUMIFS('caseload data'!P:P,'caseload data'!$D:$D,"SPO",'caseload data'!$C:$C,$B$6)</f>
        <v>0</v>
      </c>
      <c r="O45" s="268">
        <f>SUMIFS('caseload data'!Q:Q,'caseload data'!$D:$D,"SPO",'caseload data'!$C:$C,$B$6)</f>
        <v>0</v>
      </c>
      <c r="P45" s="268">
        <f>SUMIFS('caseload data'!R:R,'caseload data'!$D:$D,"SPO",'caseload data'!$C:$C,$B$6)</f>
        <v>0</v>
      </c>
      <c r="Q45" s="268">
        <f>SUMIFS('caseload data'!S:S,'caseload data'!$D:$D,"SPO",'caseload data'!$C:$C,$B$6)</f>
        <v>0</v>
      </c>
      <c r="R45" s="268">
        <f>SUMIFS('caseload data'!T:T,'caseload data'!$D:$D,"SPO",'caseload data'!$C:$C,$B$6)</f>
        <v>0</v>
      </c>
      <c r="S45" s="268">
        <f>SUMIFS('caseload data'!U:U,'caseload data'!$D:$D,"SPO",'caseload data'!$C:$C,$B$6)</f>
        <v>0</v>
      </c>
      <c r="T45" s="268">
        <f t="shared" si="4"/>
        <v>0</v>
      </c>
    </row>
    <row r="46" spans="2:20" ht="14.25" customHeight="1" x14ac:dyDescent="0.15">
      <c r="B46" s="271"/>
      <c r="C46" s="271"/>
      <c r="D46" s="271"/>
      <c r="E46" s="271"/>
      <c r="F46" s="271"/>
      <c r="G46" s="271"/>
      <c r="H46" s="271"/>
      <c r="I46" s="271"/>
      <c r="J46" s="271"/>
      <c r="K46" s="271"/>
      <c r="L46" s="271"/>
      <c r="M46" s="271"/>
      <c r="N46" s="271"/>
      <c r="O46" s="271"/>
      <c r="P46" s="271"/>
      <c r="Q46" s="271"/>
      <c r="R46" s="271"/>
      <c r="T46" s="280"/>
    </row>
    <row r="47" spans="2:20" ht="14.25" customHeight="1" x14ac:dyDescent="0.2">
      <c r="B47" s="124" t="str">
        <f>$B$6</f>
        <v>Birmingham Central and South - N52</v>
      </c>
      <c r="C47" s="319" t="s">
        <v>1270</v>
      </c>
      <c r="D47" s="320"/>
      <c r="E47" s="320"/>
      <c r="F47" s="320"/>
      <c r="G47" s="320"/>
      <c r="H47" s="320"/>
      <c r="I47" s="320"/>
      <c r="J47" s="320"/>
      <c r="K47" s="320"/>
      <c r="L47" s="320"/>
      <c r="M47" s="320"/>
      <c r="N47" s="320"/>
      <c r="O47" s="320"/>
      <c r="P47" s="320"/>
      <c r="Q47" s="320"/>
      <c r="R47" s="320"/>
      <c r="S47" s="320"/>
      <c r="T47" s="320"/>
    </row>
    <row r="48" spans="2:20" ht="14.25" customHeight="1" x14ac:dyDescent="0.15">
      <c r="B48" s="105" t="s">
        <v>1065</v>
      </c>
      <c r="C48" s="265" t="s">
        <v>922</v>
      </c>
      <c r="D48" s="265" t="s">
        <v>923</v>
      </c>
      <c r="E48" s="265" t="s">
        <v>924</v>
      </c>
      <c r="F48" s="265" t="s">
        <v>925</v>
      </c>
      <c r="G48" s="265" t="s">
        <v>926</v>
      </c>
      <c r="H48" s="265" t="s">
        <v>927</v>
      </c>
      <c r="I48" s="265" t="s">
        <v>928</v>
      </c>
      <c r="J48" s="265" t="s">
        <v>929</v>
      </c>
      <c r="K48" s="265" t="s">
        <v>930</v>
      </c>
      <c r="L48" s="265" t="s">
        <v>931</v>
      </c>
      <c r="M48" s="265" t="s">
        <v>932</v>
      </c>
      <c r="N48" s="265" t="s">
        <v>933</v>
      </c>
      <c r="O48" s="265" t="s">
        <v>934</v>
      </c>
      <c r="P48" s="265" t="s">
        <v>935</v>
      </c>
      <c r="Q48" s="265" t="s">
        <v>936</v>
      </c>
      <c r="R48" s="265" t="s">
        <v>937</v>
      </c>
      <c r="S48" s="265" t="s">
        <v>1262</v>
      </c>
      <c r="T48" s="283" t="s">
        <v>1023</v>
      </c>
    </row>
    <row r="49" spans="2:20" ht="14.25" customHeight="1" x14ac:dyDescent="0.15">
      <c r="B49" s="84" t="s">
        <v>911</v>
      </c>
      <c r="C49" s="268">
        <f>SUMIFS('caseload data'!E:E,'caseload data'!$D:$D,"PO",'caseload data'!$C:$C,$B$6, 'caseload data'!$B:$B, "community")</f>
        <v>0</v>
      </c>
      <c r="D49" s="268">
        <f>SUMIFS('caseload data'!F:F,'caseload data'!$D:$D,"PO",'caseload data'!$C:$C,$B$6, 'caseload data'!$B:$B, "community")</f>
        <v>0</v>
      </c>
      <c r="E49" s="268">
        <f>SUMIFS('caseload data'!G:G,'caseload data'!$D:$D,"PO",'caseload data'!$C:$C,$B$6, 'caseload data'!$B:$B, "community")</f>
        <v>0</v>
      </c>
      <c r="F49" s="268">
        <f>SUMIFS('caseload data'!H:H,'caseload data'!$D:$D,"PO",'caseload data'!$C:$C,$B$6, 'caseload data'!$B:$B, "community")</f>
        <v>0</v>
      </c>
      <c r="G49" s="268">
        <f>SUMIFS('caseload data'!I:I,'caseload data'!$D:$D,"PO",'caseload data'!$C:$C,$B$6, 'caseload data'!$B:$B, "community")</f>
        <v>0</v>
      </c>
      <c r="H49" s="268">
        <f>SUMIFS('caseload data'!J:J,'caseload data'!$D:$D,"PO",'caseload data'!$C:$C,$B$6, 'caseload data'!$B:$B, "community")</f>
        <v>0</v>
      </c>
      <c r="I49" s="268">
        <f>SUMIFS('caseload data'!K:K,'caseload data'!$D:$D,"PO",'caseload data'!$C:$C,$B$6, 'caseload data'!$B:$B, "community")</f>
        <v>0</v>
      </c>
      <c r="J49" s="268">
        <f>SUMIFS('caseload data'!L:L,'caseload data'!$D:$D,"PO",'caseload data'!$C:$C,$B$6, 'caseload data'!$B:$B, "community")</f>
        <v>0</v>
      </c>
      <c r="K49" s="268">
        <f>SUMIFS('caseload data'!M:M,'caseload data'!$D:$D,"PO",'caseload data'!$C:$C,$B$6, 'caseload data'!$B:$B, "community")</f>
        <v>0</v>
      </c>
      <c r="L49" s="268">
        <f>SUMIFS('caseload data'!N:N,'caseload data'!$D:$D,"PO",'caseload data'!$C:$C,$B$6, 'caseload data'!$B:$B, "community")</f>
        <v>0</v>
      </c>
      <c r="M49" s="268">
        <f>SUMIFS('caseload data'!O:O,'caseload data'!$D:$D,"PO",'caseload data'!$C:$C,$B$6, 'caseload data'!$B:$B, "community")</f>
        <v>0</v>
      </c>
      <c r="N49" s="268">
        <f>SUMIFS('caseload data'!P:P,'caseload data'!$D:$D,"PO",'caseload data'!$C:$C,$B$6, 'caseload data'!$B:$B, "community")</f>
        <v>0</v>
      </c>
      <c r="O49" s="268">
        <f>SUMIFS('caseload data'!Q:Q,'caseload data'!$D:$D,"PO",'caseload data'!$C:$C,$B$6, 'caseload data'!$B:$B, "community")</f>
        <v>0</v>
      </c>
      <c r="P49" s="268">
        <f>SUMIFS('caseload data'!R:R,'caseload data'!$D:$D,"PO",'caseload data'!$C:$C,$B$6, 'caseload data'!$B:$B, "community")</f>
        <v>0</v>
      </c>
      <c r="Q49" s="268">
        <f>SUMIFS('caseload data'!S:S,'caseload data'!$D:$D,"PO",'caseload data'!$C:$C,$B$6, 'caseload data'!$B:$B, "community")</f>
        <v>0</v>
      </c>
      <c r="R49" s="268">
        <f>SUMIFS('caseload data'!T:T,'caseload data'!$D:$D,"PO",'caseload data'!$C:$C,$B$6, 'caseload data'!$B:$B, "community")</f>
        <v>0</v>
      </c>
      <c r="S49" s="268">
        <f>SUMIFS('caseload data'!U:U,'caseload data'!$D:$D,"PO",'caseload data'!$C:$C,$B$6, 'caseload data'!$B:$B, "community")</f>
        <v>0</v>
      </c>
      <c r="T49" s="268">
        <f t="shared" si="4"/>
        <v>0</v>
      </c>
    </row>
    <row r="50" spans="2:20" ht="14.25" customHeight="1" x14ac:dyDescent="0.15">
      <c r="B50" s="84" t="s">
        <v>912</v>
      </c>
      <c r="C50" s="268">
        <f>SUMIFS('caseload data'!E:E,'caseload data'!$D:$D,"PSO",'caseload data'!$C:$C,$B$6, 'caseload data'!$B:$B, "community")</f>
        <v>0</v>
      </c>
      <c r="D50" s="268">
        <f>SUMIFS('caseload data'!F:F,'caseload data'!$D:$D,"PSO",'caseload data'!$C:$C,$B$6, 'caseload data'!$B:$B, "community")</f>
        <v>0</v>
      </c>
      <c r="E50" s="268">
        <f>SUMIFS('caseload data'!G:G,'caseload data'!$D:$D,"PSO",'caseload data'!$C:$C,$B$6, 'caseload data'!$B:$B, "community")</f>
        <v>0</v>
      </c>
      <c r="F50" s="268">
        <f>SUMIFS('caseload data'!H:H,'caseload data'!$D:$D,"PSO",'caseload data'!$C:$C,$B$6, 'caseload data'!$B:$B, "community")</f>
        <v>0</v>
      </c>
      <c r="G50" s="268">
        <f>SUMIFS('caseload data'!I:I,'caseload data'!$D:$D,"PSO",'caseload data'!$C:$C,$B$6, 'caseload data'!$B:$B, "community")</f>
        <v>0</v>
      </c>
      <c r="H50" s="268">
        <f>SUMIFS('caseload data'!J:J,'caseload data'!$D:$D,"PSO",'caseload data'!$C:$C,$B$6, 'caseload data'!$B:$B, "community")</f>
        <v>0</v>
      </c>
      <c r="I50" s="268">
        <f>SUMIFS('caseload data'!K:K,'caseload data'!$D:$D,"PSO",'caseload data'!$C:$C,$B$6, 'caseload data'!$B:$B, "community")</f>
        <v>0</v>
      </c>
      <c r="J50" s="268">
        <f>SUMIFS('caseload data'!L:L,'caseload data'!$D:$D,"PSO",'caseload data'!$C:$C,$B$6, 'caseload data'!$B:$B, "community")</f>
        <v>0</v>
      </c>
      <c r="K50" s="268">
        <f>SUMIFS('caseload data'!M:M,'caseload data'!$D:$D,"PSO",'caseload data'!$C:$C,$B$6, 'caseload data'!$B:$B, "community")</f>
        <v>0</v>
      </c>
      <c r="L50" s="268">
        <f>SUMIFS('caseload data'!N:N,'caseload data'!$D:$D,"PSO",'caseload data'!$C:$C,$B$6, 'caseload data'!$B:$B, "community")</f>
        <v>0</v>
      </c>
      <c r="M50" s="268">
        <f>SUMIFS('caseload data'!O:O,'caseload data'!$D:$D,"PSO",'caseload data'!$C:$C,$B$6, 'caseload data'!$B:$B, "community")</f>
        <v>0</v>
      </c>
      <c r="N50" s="268">
        <f>SUMIFS('caseload data'!P:P,'caseload data'!$D:$D,"PSO",'caseload data'!$C:$C,$B$6, 'caseload data'!$B:$B, "community")</f>
        <v>0</v>
      </c>
      <c r="O50" s="268">
        <f>SUMIFS('caseload data'!Q:Q,'caseload data'!$D:$D,"PSO",'caseload data'!$C:$C,$B$6, 'caseload data'!$B:$B, "community")</f>
        <v>0</v>
      </c>
      <c r="P50" s="268">
        <f>SUMIFS('caseload data'!R:R,'caseload data'!$D:$D,"PSO",'caseload data'!$C:$C,$B$6, 'caseload data'!$B:$B, "community")</f>
        <v>0</v>
      </c>
      <c r="Q50" s="268">
        <f>SUMIFS('caseload data'!S:S,'caseload data'!$D:$D,"PSO",'caseload data'!$C:$C,$B$6, 'caseload data'!$B:$B, "community")</f>
        <v>0</v>
      </c>
      <c r="R50" s="268">
        <f>SUMIFS('caseload data'!T:T,'caseload data'!$D:$D,"PSO",'caseload data'!$C:$C,$B$6, 'caseload data'!$B:$B, "community")</f>
        <v>0</v>
      </c>
      <c r="S50" s="268">
        <f>SUMIFS('caseload data'!U:U,'caseload data'!$D:$D,"PSO",'caseload data'!$C:$C,$B$6, 'caseload data'!$B:$B, "community")</f>
        <v>0</v>
      </c>
      <c r="T50" s="268">
        <f t="shared" si="4"/>
        <v>0</v>
      </c>
    </row>
    <row r="51" spans="2:20" ht="14.25" customHeight="1" x14ac:dyDescent="0.15">
      <c r="B51" s="84" t="s">
        <v>913</v>
      </c>
      <c r="C51" s="268">
        <f>SUMIFS('caseload data'!E:E,'caseload data'!$D:$D,"TPO",'caseload data'!$C:$C,$B$6, 'caseload data'!$B:$B, "community")</f>
        <v>0</v>
      </c>
      <c r="D51" s="268">
        <f>SUMIFS('caseload data'!F:F,'caseload data'!$D:$D,"TPO",'caseload data'!$C:$C,$B$6, 'caseload data'!$B:$B, "community")</f>
        <v>0</v>
      </c>
      <c r="E51" s="268">
        <f>SUMIFS('caseload data'!G:G,'caseload data'!$D:$D,"TPO",'caseload data'!$C:$C,$B$6, 'caseload data'!$B:$B, "community")</f>
        <v>0</v>
      </c>
      <c r="F51" s="268">
        <f>SUMIFS('caseload data'!H:H,'caseload data'!$D:$D,"TPO",'caseload data'!$C:$C,$B$6, 'caseload data'!$B:$B, "community")</f>
        <v>0</v>
      </c>
      <c r="G51" s="268">
        <f>SUMIFS('caseload data'!I:I,'caseload data'!$D:$D,"TPO",'caseload data'!$C:$C,$B$6, 'caseload data'!$B:$B, "community")</f>
        <v>0</v>
      </c>
      <c r="H51" s="268">
        <f>SUMIFS('caseload data'!J:J,'caseload data'!$D:$D,"TPO",'caseload data'!$C:$C,$B$6, 'caseload data'!$B:$B, "community")</f>
        <v>0</v>
      </c>
      <c r="I51" s="268">
        <f>SUMIFS('caseload data'!K:K,'caseload data'!$D:$D,"TPO",'caseload data'!$C:$C,$B$6, 'caseload data'!$B:$B, "community")</f>
        <v>0</v>
      </c>
      <c r="J51" s="268">
        <f>SUMIFS('caseload data'!L:L,'caseload data'!$D:$D,"TPO",'caseload data'!$C:$C,$B$6, 'caseload data'!$B:$B, "community")</f>
        <v>0</v>
      </c>
      <c r="K51" s="268">
        <f>SUMIFS('caseload data'!M:M,'caseload data'!$D:$D,"TPO",'caseload data'!$C:$C,$B$6, 'caseload data'!$B:$B, "community")</f>
        <v>0</v>
      </c>
      <c r="L51" s="268">
        <f>SUMIFS('caseload data'!N:N,'caseload data'!$D:$D,"TPO",'caseload data'!$C:$C,$B$6, 'caseload data'!$B:$B, "community")</f>
        <v>0</v>
      </c>
      <c r="M51" s="268">
        <f>SUMIFS('caseload data'!O:O,'caseload data'!$D:$D,"TPO",'caseload data'!$C:$C,$B$6, 'caseload data'!$B:$B, "community")</f>
        <v>0</v>
      </c>
      <c r="N51" s="268">
        <f>SUMIFS('caseload data'!P:P,'caseload data'!$D:$D,"TPO",'caseload data'!$C:$C,$B$6, 'caseload data'!$B:$B, "community")</f>
        <v>0</v>
      </c>
      <c r="O51" s="268">
        <f>SUMIFS('caseload data'!Q:Q,'caseload data'!$D:$D,"TPO",'caseload data'!$C:$C,$B$6, 'caseload data'!$B:$B, "community")</f>
        <v>0</v>
      </c>
      <c r="P51" s="268">
        <f>SUMIFS('caseload data'!R:R,'caseload data'!$D:$D,"TPO",'caseload data'!$C:$C,$B$6, 'caseload data'!$B:$B, "community")</f>
        <v>0</v>
      </c>
      <c r="Q51" s="268">
        <f>SUMIFS('caseload data'!S:S,'caseload data'!$D:$D,"TPO",'caseload data'!$C:$C,$B$6, 'caseload data'!$B:$B, "community")</f>
        <v>0</v>
      </c>
      <c r="R51" s="268">
        <f>SUMIFS('caseload data'!T:T,'caseload data'!$D:$D,"TPO",'caseload data'!$C:$C,$B$6, 'caseload data'!$B:$B, "community")</f>
        <v>0</v>
      </c>
      <c r="S51" s="268">
        <f>SUMIFS('caseload data'!U:U,'caseload data'!$D:$D,"TPO",'caseload data'!$C:$C,$B$6, 'caseload data'!$B:$B, "community")</f>
        <v>0</v>
      </c>
      <c r="T51" s="268">
        <f t="shared" si="4"/>
        <v>0</v>
      </c>
    </row>
    <row r="52" spans="2:20" ht="14.25" customHeight="1" x14ac:dyDescent="0.15">
      <c r="B52" s="84" t="s">
        <v>914</v>
      </c>
      <c r="C52" s="268">
        <f>SUMIFS('caseload data'!E:E,'caseload data'!$D:$D,"SPO",'caseload data'!$C:$C,$B$6, 'caseload data'!$B:$B, "community")</f>
        <v>0</v>
      </c>
      <c r="D52" s="268">
        <f>SUMIFS('caseload data'!F:F,'caseload data'!$D:$D,"SPO",'caseload data'!$C:$C,$B$6, 'caseload data'!$B:$B, "community")</f>
        <v>0</v>
      </c>
      <c r="E52" s="268">
        <f>SUMIFS('caseload data'!G:G,'caseload data'!$D:$D,"SPO",'caseload data'!$C:$C,$B$6, 'caseload data'!$B:$B, "community")</f>
        <v>0</v>
      </c>
      <c r="F52" s="268">
        <f>SUMIFS('caseload data'!H:H,'caseload data'!$D:$D,"SPO",'caseload data'!$C:$C,$B$6, 'caseload data'!$B:$B, "community")</f>
        <v>0</v>
      </c>
      <c r="G52" s="268">
        <f>SUMIFS('caseload data'!I:I,'caseload data'!$D:$D,"SPO",'caseload data'!$C:$C,$B$6, 'caseload data'!$B:$B, "community")</f>
        <v>0</v>
      </c>
      <c r="H52" s="268">
        <f>SUMIFS('caseload data'!J:J,'caseload data'!$D:$D,"SPO",'caseload data'!$C:$C,$B$6, 'caseload data'!$B:$B, "community")</f>
        <v>0</v>
      </c>
      <c r="I52" s="268">
        <f>SUMIFS('caseload data'!K:K,'caseload data'!$D:$D,"SPO",'caseload data'!$C:$C,$B$6, 'caseload data'!$B:$B, "community")</f>
        <v>0</v>
      </c>
      <c r="J52" s="268">
        <f>SUMIFS('caseload data'!L:L,'caseload data'!$D:$D,"SPO",'caseload data'!$C:$C,$B$6, 'caseload data'!$B:$B, "community")</f>
        <v>0</v>
      </c>
      <c r="K52" s="268">
        <f>SUMIFS('caseload data'!M:M,'caseload data'!$D:$D,"SPO",'caseload data'!$C:$C,$B$6, 'caseload data'!$B:$B, "community")</f>
        <v>0</v>
      </c>
      <c r="L52" s="268">
        <f>SUMIFS('caseload data'!N:N,'caseload data'!$D:$D,"SPO",'caseload data'!$C:$C,$B$6, 'caseload data'!$B:$B, "community")</f>
        <v>0</v>
      </c>
      <c r="M52" s="268">
        <f>SUMIFS('caseload data'!O:O,'caseload data'!$D:$D,"SPO",'caseload data'!$C:$C,$B$6, 'caseload data'!$B:$B, "community")</f>
        <v>0</v>
      </c>
      <c r="N52" s="268">
        <f>SUMIFS('caseload data'!P:P,'caseload data'!$D:$D,"SPO",'caseload data'!$C:$C,$B$6, 'caseload data'!$B:$B, "community")</f>
        <v>0</v>
      </c>
      <c r="O52" s="268">
        <f>SUMIFS('caseload data'!Q:Q,'caseload data'!$D:$D,"SPO",'caseload data'!$C:$C,$B$6, 'caseload data'!$B:$B, "community")</f>
        <v>0</v>
      </c>
      <c r="P52" s="268">
        <f>SUMIFS('caseload data'!R:R,'caseload data'!$D:$D,"SPO",'caseload data'!$C:$C,$B$6, 'caseload data'!$B:$B, "community")</f>
        <v>0</v>
      </c>
      <c r="Q52" s="268">
        <f>SUMIFS('caseload data'!S:S,'caseload data'!$D:$D,"SPO",'caseload data'!$C:$C,$B$6, 'caseload data'!$B:$B, "community")</f>
        <v>0</v>
      </c>
      <c r="R52" s="268">
        <f>SUMIFS('caseload data'!T:T,'caseload data'!$D:$D,"SPO",'caseload data'!$C:$C,$B$6, 'caseload data'!$B:$B, "community")</f>
        <v>0</v>
      </c>
      <c r="S52" s="268">
        <f>SUMIFS('caseload data'!U:U,'caseload data'!$D:$D,"SPO",'caseload data'!$C:$C,$B$6, 'caseload data'!$B:$B, "community")</f>
        <v>0</v>
      </c>
      <c r="T52" s="268">
        <f t="shared" si="4"/>
        <v>0</v>
      </c>
    </row>
    <row r="53" spans="2:20" ht="14.25" customHeight="1" x14ac:dyDescent="0.15">
      <c r="B53" s="271"/>
      <c r="C53" s="271"/>
      <c r="D53" s="271"/>
      <c r="E53" s="271"/>
      <c r="F53" s="271"/>
      <c r="G53" s="271"/>
      <c r="H53" s="271"/>
      <c r="I53" s="271"/>
      <c r="J53" s="271"/>
      <c r="K53" s="271"/>
      <c r="L53" s="271"/>
      <c r="M53" s="271"/>
      <c r="N53" s="271"/>
      <c r="O53" s="271"/>
      <c r="P53" s="271"/>
      <c r="Q53" s="271"/>
      <c r="R53" s="271"/>
      <c r="T53" s="284"/>
    </row>
    <row r="54" spans="2:20" ht="14.25" customHeight="1" x14ac:dyDescent="0.2">
      <c r="B54" s="124" t="str">
        <f>$B$6</f>
        <v>Birmingham Central and South - N52</v>
      </c>
      <c r="C54" s="319" t="s">
        <v>1272</v>
      </c>
      <c r="D54" s="320"/>
      <c r="E54" s="320"/>
      <c r="F54" s="320"/>
      <c r="G54" s="320"/>
      <c r="H54" s="320"/>
      <c r="I54" s="320"/>
      <c r="J54" s="320"/>
      <c r="K54" s="320"/>
      <c r="L54" s="320"/>
      <c r="M54" s="320"/>
      <c r="N54" s="320"/>
      <c r="O54" s="320"/>
      <c r="P54" s="320"/>
      <c r="Q54" s="320"/>
      <c r="R54" s="320"/>
      <c r="S54" s="320"/>
      <c r="T54" s="320"/>
    </row>
    <row r="55" spans="2:20" ht="14.25" customHeight="1" x14ac:dyDescent="0.15">
      <c r="B55" s="105" t="s">
        <v>1065</v>
      </c>
      <c r="C55" s="265" t="s">
        <v>922</v>
      </c>
      <c r="D55" s="265" t="s">
        <v>923</v>
      </c>
      <c r="E55" s="265" t="s">
        <v>924</v>
      </c>
      <c r="F55" s="265" t="s">
        <v>925</v>
      </c>
      <c r="G55" s="265" t="s">
        <v>926</v>
      </c>
      <c r="H55" s="265" t="s">
        <v>927</v>
      </c>
      <c r="I55" s="265" t="s">
        <v>928</v>
      </c>
      <c r="J55" s="265" t="s">
        <v>929</v>
      </c>
      <c r="K55" s="265" t="s">
        <v>930</v>
      </c>
      <c r="L55" s="265" t="s">
        <v>931</v>
      </c>
      <c r="M55" s="265" t="s">
        <v>932</v>
      </c>
      <c r="N55" s="265" t="s">
        <v>933</v>
      </c>
      <c r="O55" s="265" t="s">
        <v>934</v>
      </c>
      <c r="P55" s="265" t="s">
        <v>935</v>
      </c>
      <c r="Q55" s="265" t="s">
        <v>936</v>
      </c>
      <c r="R55" s="265" t="s">
        <v>937</v>
      </c>
      <c r="S55" s="265" t="s">
        <v>1262</v>
      </c>
      <c r="T55" s="283" t="s">
        <v>1023</v>
      </c>
    </row>
    <row r="56" spans="2:20" ht="14.25" customHeight="1" x14ac:dyDescent="0.15">
      <c r="B56" s="84" t="s">
        <v>911</v>
      </c>
      <c r="C56" s="268">
        <f>SUMIFS('caseload data'!E:E,'caseload data'!$D:$D,"PO",'caseload data'!$C:$C,$B$6, 'caseload data'!$B:$B, "licence")</f>
        <v>0</v>
      </c>
      <c r="D56" s="268">
        <f>SUMIFS('caseload data'!F:F,'caseload data'!$D:$D,"PO",'caseload data'!$C:$C,$B$6, 'caseload data'!$B:$B, "licence")</f>
        <v>0</v>
      </c>
      <c r="E56" s="268">
        <f>SUMIFS('caseload data'!G:G,'caseload data'!$D:$D,"PO",'caseload data'!$C:$C,$B$6, 'caseload data'!$B:$B, "licence")</f>
        <v>0</v>
      </c>
      <c r="F56" s="268">
        <f>SUMIFS('caseload data'!H:H,'caseload data'!$D:$D,"PO",'caseload data'!$C:$C,$B$6, 'caseload data'!$B:$B, "licence")</f>
        <v>0</v>
      </c>
      <c r="G56" s="268">
        <f>SUMIFS('caseload data'!I:I,'caseload data'!$D:$D,"PO",'caseload data'!$C:$C,$B$6, 'caseload data'!$B:$B, "licence")</f>
        <v>0</v>
      </c>
      <c r="H56" s="268">
        <f>SUMIFS('caseload data'!J:J,'caseload data'!$D:$D,"PO",'caseload data'!$C:$C,$B$6, 'caseload data'!$B:$B, "licence")</f>
        <v>0</v>
      </c>
      <c r="I56" s="268">
        <f>SUMIFS('caseload data'!K:K,'caseload data'!$D:$D,"PO",'caseload data'!$C:$C,$B$6, 'caseload data'!$B:$B, "licence")</f>
        <v>0</v>
      </c>
      <c r="J56" s="268">
        <f>SUMIFS('caseload data'!L:L,'caseload data'!$D:$D,"PO",'caseload data'!$C:$C,$B$6, 'caseload data'!$B:$B, "licence")</f>
        <v>0</v>
      </c>
      <c r="K56" s="268">
        <f>SUMIFS('caseload data'!M:M,'caseload data'!$D:$D,"PO",'caseload data'!$C:$C,$B$6, 'caseload data'!$B:$B, "licence")</f>
        <v>0</v>
      </c>
      <c r="L56" s="268">
        <f>SUMIFS('caseload data'!N:N,'caseload data'!$D:$D,"PO",'caseload data'!$C:$C,$B$6, 'caseload data'!$B:$B, "licence")</f>
        <v>0</v>
      </c>
      <c r="M56" s="268">
        <f>SUMIFS('caseload data'!O:O,'caseload data'!$D:$D,"PO",'caseload data'!$C:$C,$B$6, 'caseload data'!$B:$B, "licence")</f>
        <v>0</v>
      </c>
      <c r="N56" s="268">
        <f>SUMIFS('caseload data'!P:P,'caseload data'!$D:$D,"PO",'caseload data'!$C:$C,$B$6, 'caseload data'!$B:$B, "licence")</f>
        <v>0</v>
      </c>
      <c r="O56" s="268">
        <f>SUMIFS('caseload data'!Q:Q,'caseload data'!$D:$D,"PO",'caseload data'!$C:$C,$B$6, 'caseload data'!$B:$B, "licence")</f>
        <v>0</v>
      </c>
      <c r="P56" s="268">
        <f>SUMIFS('caseload data'!R:R,'caseload data'!$D:$D,"PO",'caseload data'!$C:$C,$B$6, 'caseload data'!$B:$B, "licence")</f>
        <v>0</v>
      </c>
      <c r="Q56" s="268">
        <f>SUMIFS('caseload data'!S:S,'caseload data'!$D:$D,"PO",'caseload data'!$C:$C,$B$6, 'caseload data'!$B:$B, "licence")</f>
        <v>0</v>
      </c>
      <c r="R56" s="268">
        <f>SUMIFS('caseload data'!T:T,'caseload data'!$D:$D,"PO",'caseload data'!$C:$C,$B$6, 'caseload data'!$B:$B, "licence")</f>
        <v>0</v>
      </c>
      <c r="S56" s="268">
        <f>SUMIFS('caseload data'!U:U,'caseload data'!$D:$D,"PO",'caseload data'!$C:$C,$B$6, 'caseload data'!$B:$B, "licence")</f>
        <v>0</v>
      </c>
      <c r="T56" s="268">
        <f t="shared" si="4"/>
        <v>0</v>
      </c>
    </row>
    <row r="57" spans="2:20" ht="14.25" customHeight="1" x14ac:dyDescent="0.15">
      <c r="B57" s="84" t="s">
        <v>912</v>
      </c>
      <c r="C57" s="268">
        <f>SUMIFS('caseload data'!E:E,'caseload data'!$D:$D,"PSO",'caseload data'!$C:$C,$B$6, 'caseload data'!$B:$B, "licence")</f>
        <v>0</v>
      </c>
      <c r="D57" s="268">
        <f>SUMIFS('caseload data'!F:F,'caseload data'!$D:$D,"PSO",'caseload data'!$C:$C,$B$6, 'caseload data'!$B:$B, "licence")</f>
        <v>0</v>
      </c>
      <c r="E57" s="268">
        <f>SUMIFS('caseload data'!G:G,'caseload data'!$D:$D,"PSO",'caseload data'!$C:$C,$B$6, 'caseload data'!$B:$B, "licence")</f>
        <v>0</v>
      </c>
      <c r="F57" s="268">
        <f>SUMIFS('caseload data'!H:H,'caseload data'!$D:$D,"PSO",'caseload data'!$C:$C,$B$6, 'caseload data'!$B:$B, "licence")</f>
        <v>0</v>
      </c>
      <c r="G57" s="268">
        <f>SUMIFS('caseload data'!I:I,'caseload data'!$D:$D,"PSO",'caseload data'!$C:$C,$B$6, 'caseload data'!$B:$B, "licence")</f>
        <v>0</v>
      </c>
      <c r="H57" s="268">
        <f>SUMIFS('caseload data'!J:J,'caseload data'!$D:$D,"PSO",'caseload data'!$C:$C,$B$6, 'caseload data'!$B:$B, "licence")</f>
        <v>0</v>
      </c>
      <c r="I57" s="268">
        <f>SUMIFS('caseload data'!K:K,'caseload data'!$D:$D,"PSO",'caseload data'!$C:$C,$B$6, 'caseload data'!$B:$B, "licence")</f>
        <v>0</v>
      </c>
      <c r="J57" s="268">
        <f>SUMIFS('caseload data'!L:L,'caseload data'!$D:$D,"PSO",'caseload data'!$C:$C,$B$6, 'caseload data'!$B:$B, "licence")</f>
        <v>0</v>
      </c>
      <c r="K57" s="268">
        <f>SUMIFS('caseload data'!M:M,'caseload data'!$D:$D,"PSO",'caseload data'!$C:$C,$B$6, 'caseload data'!$B:$B, "licence")</f>
        <v>0</v>
      </c>
      <c r="L57" s="268">
        <f>SUMIFS('caseload data'!N:N,'caseload data'!$D:$D,"PSO",'caseload data'!$C:$C,$B$6, 'caseload data'!$B:$B, "licence")</f>
        <v>0</v>
      </c>
      <c r="M57" s="268">
        <f>SUMIFS('caseload data'!O:O,'caseload data'!$D:$D,"PSO",'caseload data'!$C:$C,$B$6, 'caseload data'!$B:$B, "licence")</f>
        <v>0</v>
      </c>
      <c r="N57" s="268">
        <f>SUMIFS('caseload data'!P:P,'caseload data'!$D:$D,"PSO",'caseload data'!$C:$C,$B$6, 'caseload data'!$B:$B, "licence")</f>
        <v>0</v>
      </c>
      <c r="O57" s="268">
        <f>SUMIFS('caseload data'!Q:Q,'caseload data'!$D:$D,"PSO",'caseload data'!$C:$C,$B$6, 'caseload data'!$B:$B, "licence")</f>
        <v>0</v>
      </c>
      <c r="P57" s="268">
        <f>SUMIFS('caseload data'!R:R,'caseload data'!$D:$D,"PSO",'caseload data'!$C:$C,$B$6, 'caseload data'!$B:$B, "licence")</f>
        <v>0</v>
      </c>
      <c r="Q57" s="268">
        <f>SUMIFS('caseload data'!S:S,'caseload data'!$D:$D,"PSO",'caseload data'!$C:$C,$B$6, 'caseload data'!$B:$B, "licence")</f>
        <v>0</v>
      </c>
      <c r="R57" s="268">
        <f>SUMIFS('caseload data'!T:T,'caseload data'!$D:$D,"PSO",'caseload data'!$C:$C,$B$6, 'caseload data'!$B:$B, "licence")</f>
        <v>0</v>
      </c>
      <c r="S57" s="268">
        <f>SUMIFS('caseload data'!U:U,'caseload data'!$D:$D,"PSO",'caseload data'!$C:$C,$B$6, 'caseload data'!$B:$B, "licence")</f>
        <v>0</v>
      </c>
      <c r="T57" s="268">
        <f t="shared" si="4"/>
        <v>0</v>
      </c>
    </row>
    <row r="58" spans="2:20" ht="14.25" customHeight="1" x14ac:dyDescent="0.15">
      <c r="B58" s="84" t="s">
        <v>913</v>
      </c>
      <c r="C58" s="268">
        <f>SUMIFS('caseload data'!E:E,'caseload data'!$D:$D,"TPO",'caseload data'!$C:$C,$B$6, 'caseload data'!$B:$B, "licence")</f>
        <v>0</v>
      </c>
      <c r="D58" s="268">
        <f>SUMIFS('caseload data'!F:F,'caseload data'!$D:$D,"TPO",'caseload data'!$C:$C,$B$6, 'caseload data'!$B:$B, "licence")</f>
        <v>0</v>
      </c>
      <c r="E58" s="268">
        <f>SUMIFS('caseload data'!G:G,'caseload data'!$D:$D,"TPO",'caseload data'!$C:$C,$B$6, 'caseload data'!$B:$B, "licence")</f>
        <v>0</v>
      </c>
      <c r="F58" s="268">
        <f>SUMIFS('caseload data'!H:H,'caseload data'!$D:$D,"TPO",'caseload data'!$C:$C,$B$6, 'caseload data'!$B:$B, "licence")</f>
        <v>0</v>
      </c>
      <c r="G58" s="268">
        <f>SUMIFS('caseload data'!I:I,'caseload data'!$D:$D,"TPO",'caseload data'!$C:$C,$B$6, 'caseload data'!$B:$B, "licence")</f>
        <v>0</v>
      </c>
      <c r="H58" s="268">
        <f>SUMIFS('caseload data'!J:J,'caseload data'!$D:$D,"TPO",'caseload data'!$C:$C,$B$6, 'caseload data'!$B:$B, "licence")</f>
        <v>0</v>
      </c>
      <c r="I58" s="268">
        <f>SUMIFS('caseload data'!K:K,'caseload data'!$D:$D,"TPO",'caseload data'!$C:$C,$B$6, 'caseload data'!$B:$B, "licence")</f>
        <v>0</v>
      </c>
      <c r="J58" s="268">
        <f>SUMIFS('caseload data'!L:L,'caseload data'!$D:$D,"TPO",'caseload data'!$C:$C,$B$6, 'caseload data'!$B:$B, "licence")</f>
        <v>0</v>
      </c>
      <c r="K58" s="268">
        <f>SUMIFS('caseload data'!M:M,'caseload data'!$D:$D,"TPO",'caseload data'!$C:$C,$B$6, 'caseload data'!$B:$B, "licence")</f>
        <v>0</v>
      </c>
      <c r="L58" s="268">
        <f>SUMIFS('caseload data'!N:N,'caseload data'!$D:$D,"TPO",'caseload data'!$C:$C,$B$6, 'caseload data'!$B:$B, "licence")</f>
        <v>0</v>
      </c>
      <c r="M58" s="268">
        <f>SUMIFS('caseload data'!O:O,'caseload data'!$D:$D,"TPO",'caseload data'!$C:$C,$B$6, 'caseload data'!$B:$B, "licence")</f>
        <v>0</v>
      </c>
      <c r="N58" s="268">
        <f>SUMIFS('caseload data'!P:P,'caseload data'!$D:$D,"TPO",'caseload data'!$C:$C,$B$6, 'caseload data'!$B:$B, "licence")</f>
        <v>0</v>
      </c>
      <c r="O58" s="268">
        <f>SUMIFS('caseload data'!Q:Q,'caseload data'!$D:$D,"TPO",'caseload data'!$C:$C,$B$6, 'caseload data'!$B:$B, "licence")</f>
        <v>0</v>
      </c>
      <c r="P58" s="268">
        <f>SUMIFS('caseload data'!R:R,'caseload data'!$D:$D,"TPO",'caseload data'!$C:$C,$B$6, 'caseload data'!$B:$B, "licence")</f>
        <v>0</v>
      </c>
      <c r="Q58" s="268">
        <f>SUMIFS('caseload data'!S:S,'caseload data'!$D:$D,"TPO",'caseload data'!$C:$C,$B$6, 'caseload data'!$B:$B, "licence")</f>
        <v>0</v>
      </c>
      <c r="R58" s="268">
        <f>SUMIFS('caseload data'!T:T,'caseload data'!$D:$D,"TPO",'caseload data'!$C:$C,$B$6, 'caseload data'!$B:$B, "licence")</f>
        <v>0</v>
      </c>
      <c r="S58" s="268">
        <f>SUMIFS('caseload data'!U:U,'caseload data'!$D:$D,"TPO",'caseload data'!$C:$C,$B$6, 'caseload data'!$B:$B, "licence")</f>
        <v>0</v>
      </c>
      <c r="T58" s="268">
        <f t="shared" si="4"/>
        <v>0</v>
      </c>
    </row>
    <row r="59" spans="2:20" ht="14.25" customHeight="1" x14ac:dyDescent="0.15">
      <c r="B59" s="84" t="s">
        <v>914</v>
      </c>
      <c r="C59" s="268">
        <f>SUMIFS('caseload data'!E:E,'caseload data'!$D:$D,"SPO",'caseload data'!$C:$C,$B$6, 'caseload data'!$B:$B, "licence")</f>
        <v>0</v>
      </c>
      <c r="D59" s="268">
        <f>SUMIFS('caseload data'!F:F,'caseload data'!$D:$D,"SPO",'caseload data'!$C:$C,$B$6, 'caseload data'!$B:$B, "licence")</f>
        <v>0</v>
      </c>
      <c r="E59" s="268">
        <f>SUMIFS('caseload data'!G:G,'caseload data'!$D:$D,"SPO",'caseload data'!$C:$C,$B$6, 'caseload data'!$B:$B, "licence")</f>
        <v>0</v>
      </c>
      <c r="F59" s="268">
        <f>SUMIFS('caseload data'!H:H,'caseload data'!$D:$D,"SPO",'caseload data'!$C:$C,$B$6, 'caseload data'!$B:$B, "licence")</f>
        <v>0</v>
      </c>
      <c r="G59" s="268">
        <f>SUMIFS('caseload data'!I:I,'caseload data'!$D:$D,"SPO",'caseload data'!$C:$C,$B$6, 'caseload data'!$B:$B, "licence")</f>
        <v>0</v>
      </c>
      <c r="H59" s="268">
        <f>SUMIFS('caseload data'!J:J,'caseload data'!$D:$D,"SPO",'caseload data'!$C:$C,$B$6, 'caseload data'!$B:$B, "licence")</f>
        <v>0</v>
      </c>
      <c r="I59" s="268">
        <f>SUMIFS('caseload data'!K:K,'caseload data'!$D:$D,"SPO",'caseload data'!$C:$C,$B$6, 'caseload data'!$B:$B, "licence")</f>
        <v>0</v>
      </c>
      <c r="J59" s="268">
        <f>SUMIFS('caseload data'!L:L,'caseload data'!$D:$D,"SPO",'caseload data'!$C:$C,$B$6, 'caseload data'!$B:$B, "licence")</f>
        <v>0</v>
      </c>
      <c r="K59" s="268">
        <f>SUMIFS('caseload data'!M:M,'caseload data'!$D:$D,"SPO",'caseload data'!$C:$C,$B$6, 'caseload data'!$B:$B, "licence")</f>
        <v>0</v>
      </c>
      <c r="L59" s="268">
        <f>SUMIFS('caseload data'!N:N,'caseload data'!$D:$D,"SPO",'caseload data'!$C:$C,$B$6, 'caseload data'!$B:$B, "licence")</f>
        <v>0</v>
      </c>
      <c r="M59" s="268">
        <f>SUMIFS('caseload data'!O:O,'caseload data'!$D:$D,"SPO",'caseload data'!$C:$C,$B$6, 'caseload data'!$B:$B, "licence")</f>
        <v>0</v>
      </c>
      <c r="N59" s="268">
        <f>SUMIFS('caseload data'!P:P,'caseload data'!$D:$D,"SPO",'caseload data'!$C:$C,$B$6, 'caseload data'!$B:$B, "licence")</f>
        <v>0</v>
      </c>
      <c r="O59" s="268">
        <f>SUMIFS('caseload data'!Q:Q,'caseload data'!$D:$D,"SPO",'caseload data'!$C:$C,$B$6, 'caseload data'!$B:$B, "licence")</f>
        <v>0</v>
      </c>
      <c r="P59" s="268">
        <f>SUMIFS('caseload data'!R:R,'caseload data'!$D:$D,"SPO",'caseload data'!$C:$C,$B$6, 'caseload data'!$B:$B, "licence")</f>
        <v>0</v>
      </c>
      <c r="Q59" s="268">
        <f>SUMIFS('caseload data'!S:S,'caseload data'!$D:$D,"SPO",'caseload data'!$C:$C,$B$6, 'caseload data'!$B:$B, "licence")</f>
        <v>0</v>
      </c>
      <c r="R59" s="268">
        <f>SUMIFS('caseload data'!T:T,'caseload data'!$D:$D,"SPO",'caseload data'!$C:$C,$B$6, 'caseload data'!$B:$B, "licence")</f>
        <v>0</v>
      </c>
      <c r="S59" s="268">
        <f>SUMIFS('caseload data'!U:U,'caseload data'!$D:$D,"SPO",'caseload data'!$C:$C,$B$6, 'caseload data'!$B:$B, "licence")</f>
        <v>0</v>
      </c>
      <c r="T59" s="268">
        <f t="shared" si="4"/>
        <v>0</v>
      </c>
    </row>
    <row r="60" spans="2:20" ht="14.25" customHeight="1" x14ac:dyDescent="0.15">
      <c r="B60" s="271"/>
      <c r="C60" s="271"/>
      <c r="D60" s="271"/>
      <c r="E60" s="271"/>
      <c r="F60" s="271"/>
      <c r="G60" s="271"/>
      <c r="H60" s="271"/>
      <c r="I60" s="271"/>
      <c r="J60" s="271"/>
      <c r="K60" s="271"/>
      <c r="L60" s="271"/>
      <c r="M60" s="271"/>
      <c r="N60" s="271"/>
      <c r="O60" s="271"/>
      <c r="P60" s="271"/>
      <c r="Q60" s="271"/>
      <c r="R60" s="271"/>
      <c r="S60" s="271"/>
      <c r="T60" s="284"/>
    </row>
    <row r="61" spans="2:20" ht="14.25" customHeight="1" x14ac:dyDescent="0.2">
      <c r="B61" s="124" t="str">
        <f>$B$6</f>
        <v>Birmingham Central and South - N52</v>
      </c>
      <c r="C61" s="319" t="s">
        <v>1271</v>
      </c>
      <c r="D61" s="320"/>
      <c r="E61" s="320"/>
      <c r="F61" s="320"/>
      <c r="G61" s="320"/>
      <c r="H61" s="320"/>
      <c r="I61" s="320"/>
      <c r="J61" s="320"/>
      <c r="K61" s="320"/>
      <c r="L61" s="320"/>
      <c r="M61" s="320"/>
      <c r="N61" s="320"/>
      <c r="O61" s="320"/>
      <c r="P61" s="320"/>
      <c r="Q61" s="320"/>
      <c r="R61" s="320"/>
      <c r="S61" s="320"/>
      <c r="T61" s="320"/>
    </row>
    <row r="62" spans="2:20" ht="14.25" customHeight="1" x14ac:dyDescent="0.15">
      <c r="B62" s="105" t="s">
        <v>1065</v>
      </c>
      <c r="C62" s="265" t="s">
        <v>922</v>
      </c>
      <c r="D62" s="265" t="s">
        <v>923</v>
      </c>
      <c r="E62" s="265" t="s">
        <v>924</v>
      </c>
      <c r="F62" s="265" t="s">
        <v>925</v>
      </c>
      <c r="G62" s="265" t="s">
        <v>926</v>
      </c>
      <c r="H62" s="265" t="s">
        <v>927</v>
      </c>
      <c r="I62" s="265" t="s">
        <v>928</v>
      </c>
      <c r="J62" s="265" t="s">
        <v>929</v>
      </c>
      <c r="K62" s="265" t="s">
        <v>930</v>
      </c>
      <c r="L62" s="265" t="s">
        <v>931</v>
      </c>
      <c r="M62" s="265" t="s">
        <v>932</v>
      </c>
      <c r="N62" s="265" t="s">
        <v>933</v>
      </c>
      <c r="O62" s="265" t="s">
        <v>934</v>
      </c>
      <c r="P62" s="265" t="s">
        <v>935</v>
      </c>
      <c r="Q62" s="265" t="s">
        <v>936</v>
      </c>
      <c r="R62" s="265" t="s">
        <v>937</v>
      </c>
      <c r="S62" s="265" t="s">
        <v>1262</v>
      </c>
      <c r="T62" s="283" t="s">
        <v>1023</v>
      </c>
    </row>
    <row r="63" spans="2:20" ht="14.25" customHeight="1" x14ac:dyDescent="0.15">
      <c r="B63" s="84" t="s">
        <v>911</v>
      </c>
      <c r="C63" s="268">
        <f>SUMIFS('caseload data'!E:E,'caseload data'!$D:$D,"PO",'caseload data'!$C:$C,$B$6, 'caseload data'!$B:$B, "custody")</f>
        <v>0</v>
      </c>
      <c r="D63" s="268">
        <f>SUMIFS('caseload data'!F:F,'caseload data'!$D:$D,"PO",'caseload data'!$C:$C,$B$6, 'caseload data'!$B:$B, "custody")</f>
        <v>0</v>
      </c>
      <c r="E63" s="268">
        <f>SUMIFS('caseload data'!G:G,'caseload data'!$D:$D,"PO",'caseload data'!$C:$C,$B$6, 'caseload data'!$B:$B, "custody")</f>
        <v>0</v>
      </c>
      <c r="F63" s="268">
        <f>SUMIFS('caseload data'!H:H,'caseload data'!$D:$D,"PO",'caseload data'!$C:$C,$B$6, 'caseload data'!$B:$B, "custody")</f>
        <v>0</v>
      </c>
      <c r="G63" s="268">
        <f>SUMIFS('caseload data'!I:I,'caseload data'!$D:$D,"PO",'caseload data'!$C:$C,$B$6, 'caseload data'!$B:$B, "custody")</f>
        <v>0</v>
      </c>
      <c r="H63" s="268">
        <f>SUMIFS('caseload data'!J:J,'caseload data'!$D:$D,"PO",'caseload data'!$C:$C,$B$6, 'caseload data'!$B:$B, "custody")</f>
        <v>0</v>
      </c>
      <c r="I63" s="268">
        <f>SUMIFS('caseload data'!K:K,'caseload data'!$D:$D,"PO",'caseload data'!$C:$C,$B$6, 'caseload data'!$B:$B, "custody")</f>
        <v>0</v>
      </c>
      <c r="J63" s="268">
        <f>SUMIFS('caseload data'!L:L,'caseload data'!$D:$D,"PO",'caseload data'!$C:$C,$B$6, 'caseload data'!$B:$B, "custody")</f>
        <v>0</v>
      </c>
      <c r="K63" s="268">
        <f>SUMIFS('caseload data'!M:M,'caseload data'!$D:$D,"PO",'caseload data'!$C:$C,$B$6, 'caseload data'!$B:$B, "custody")</f>
        <v>0</v>
      </c>
      <c r="L63" s="268">
        <f>SUMIFS('caseload data'!N:N,'caseload data'!$D:$D,"PO",'caseload data'!$C:$C,$B$6, 'caseload data'!$B:$B, "custody")</f>
        <v>0</v>
      </c>
      <c r="M63" s="268">
        <f>SUMIFS('caseload data'!O:O,'caseload data'!$D:$D,"PO",'caseload data'!$C:$C,$B$6, 'caseload data'!$B:$B, "custody")</f>
        <v>0</v>
      </c>
      <c r="N63" s="268">
        <f>SUMIFS('caseload data'!P:P,'caseload data'!$D:$D,"PO",'caseload data'!$C:$C,$B$6, 'caseload data'!$B:$B, "custody")</f>
        <v>0</v>
      </c>
      <c r="O63" s="268">
        <f>SUMIFS('caseload data'!Q:Q,'caseload data'!$D:$D,"PO",'caseload data'!$C:$C,$B$6, 'caseload data'!$B:$B, "custody")</f>
        <v>0</v>
      </c>
      <c r="P63" s="268">
        <f>SUMIFS('caseload data'!R:R,'caseload data'!$D:$D,"PO",'caseload data'!$C:$C,$B$6, 'caseload data'!$B:$B, "custody")</f>
        <v>0</v>
      </c>
      <c r="Q63" s="268">
        <f>SUMIFS('caseload data'!S:S,'caseload data'!$D:$D,"PO",'caseload data'!$C:$C,$B$6, 'caseload data'!$B:$B, "custody")</f>
        <v>0</v>
      </c>
      <c r="R63" s="268">
        <f>SUMIFS('caseload data'!T:T,'caseload data'!$D:$D,"PO",'caseload data'!$C:$C,$B$6, 'caseload data'!$B:$B, "custody")</f>
        <v>0</v>
      </c>
      <c r="S63" s="268">
        <f>SUMIFS('caseload data'!U:U,'caseload data'!$D:$D,"PO",'caseload data'!$C:$C,$B$6, 'caseload data'!$B:$B, "custody")</f>
        <v>0</v>
      </c>
      <c r="T63" s="268">
        <f t="shared" si="4"/>
        <v>0</v>
      </c>
    </row>
    <row r="64" spans="2:20" ht="14.25" customHeight="1" x14ac:dyDescent="0.15">
      <c r="B64" s="84" t="s">
        <v>912</v>
      </c>
      <c r="C64" s="268">
        <f>SUMIFS('caseload data'!E:E,'caseload data'!$D:$D,"PSO",'caseload data'!$C:$C,$B$6, 'caseload data'!$B:$B, "custody")</f>
        <v>0</v>
      </c>
      <c r="D64" s="268">
        <f>SUMIFS('caseload data'!F:F,'caseload data'!$D:$D,"PSO",'caseload data'!$C:$C,$B$6, 'caseload data'!$B:$B, "custody")</f>
        <v>0</v>
      </c>
      <c r="E64" s="268">
        <f>SUMIFS('caseload data'!G:G,'caseload data'!$D:$D,"PSO",'caseload data'!$C:$C,$B$6, 'caseload data'!$B:$B, "custody")</f>
        <v>0</v>
      </c>
      <c r="F64" s="268">
        <f>SUMIFS('caseload data'!H:H,'caseload data'!$D:$D,"PSO",'caseload data'!$C:$C,$B$6, 'caseload data'!$B:$B, "custody")</f>
        <v>0</v>
      </c>
      <c r="G64" s="268">
        <f>SUMIFS('caseload data'!I:I,'caseload data'!$D:$D,"PSO",'caseload data'!$C:$C,$B$6, 'caseload data'!$B:$B, "custody")</f>
        <v>0</v>
      </c>
      <c r="H64" s="268">
        <f>SUMIFS('caseload data'!J:J,'caseload data'!$D:$D,"PSO",'caseload data'!$C:$C,$B$6, 'caseload data'!$B:$B, "custody")</f>
        <v>0</v>
      </c>
      <c r="I64" s="268">
        <f>SUMIFS('caseload data'!K:K,'caseload data'!$D:$D,"PSO",'caseload data'!$C:$C,$B$6, 'caseload data'!$B:$B, "custody")</f>
        <v>0</v>
      </c>
      <c r="J64" s="268">
        <f>SUMIFS('caseload data'!L:L,'caseload data'!$D:$D,"PSO",'caseload data'!$C:$C,$B$6, 'caseload data'!$B:$B, "custody")</f>
        <v>0</v>
      </c>
      <c r="K64" s="268">
        <f>SUMIFS('caseload data'!M:M,'caseload data'!$D:$D,"PSO",'caseload data'!$C:$C,$B$6, 'caseload data'!$B:$B, "custody")</f>
        <v>0</v>
      </c>
      <c r="L64" s="268">
        <f>SUMIFS('caseload data'!N:N,'caseload data'!$D:$D,"PSO",'caseload data'!$C:$C,$B$6, 'caseload data'!$B:$B, "custody")</f>
        <v>0</v>
      </c>
      <c r="M64" s="268">
        <f>SUMIFS('caseload data'!O:O,'caseload data'!$D:$D,"PSO",'caseload data'!$C:$C,$B$6, 'caseload data'!$B:$B, "custody")</f>
        <v>0</v>
      </c>
      <c r="N64" s="268">
        <f>SUMIFS('caseload data'!P:P,'caseload data'!$D:$D,"PSO",'caseload data'!$C:$C,$B$6, 'caseload data'!$B:$B, "custody")</f>
        <v>0</v>
      </c>
      <c r="O64" s="268">
        <f>SUMIFS('caseload data'!Q:Q,'caseload data'!$D:$D,"PSO",'caseload data'!$C:$C,$B$6, 'caseload data'!$B:$B, "custody")</f>
        <v>0</v>
      </c>
      <c r="P64" s="268">
        <f>SUMIFS('caseload data'!R:R,'caseload data'!$D:$D,"PSO",'caseload data'!$C:$C,$B$6, 'caseload data'!$B:$B, "custody")</f>
        <v>0</v>
      </c>
      <c r="Q64" s="268">
        <f>SUMIFS('caseload data'!S:S,'caseload data'!$D:$D,"PSO",'caseload data'!$C:$C,$B$6, 'caseload data'!$B:$B, "custody")</f>
        <v>0</v>
      </c>
      <c r="R64" s="268">
        <f>SUMIFS('caseload data'!T:T,'caseload data'!$D:$D,"PSO",'caseload data'!$C:$C,$B$6, 'caseload data'!$B:$B, "custody")</f>
        <v>0</v>
      </c>
      <c r="S64" s="268">
        <f>SUMIFS('caseload data'!U:U,'caseload data'!$D:$D,"PSO",'caseload data'!$C:$C,$B$6, 'caseload data'!$B:$B, "custody")</f>
        <v>0</v>
      </c>
      <c r="T64" s="268">
        <f t="shared" si="4"/>
        <v>0</v>
      </c>
    </row>
    <row r="65" spans="2:20" ht="14.25" customHeight="1" x14ac:dyDescent="0.15">
      <c r="B65" s="84" t="s">
        <v>913</v>
      </c>
      <c r="C65" s="268">
        <f>SUMIFS('caseload data'!E:E,'caseload data'!$D:$D,"TPO",'caseload data'!$C:$C,$B$6, 'caseload data'!$B:$B, "custody")</f>
        <v>0</v>
      </c>
      <c r="D65" s="268">
        <f>SUMIFS('caseload data'!F:F,'caseload data'!$D:$D,"TPO",'caseload data'!$C:$C,$B$6, 'caseload data'!$B:$B, "custody")</f>
        <v>0</v>
      </c>
      <c r="E65" s="268">
        <f>SUMIFS('caseload data'!G:G,'caseload data'!$D:$D,"TPO",'caseload data'!$C:$C,$B$6, 'caseload data'!$B:$B, "custody")</f>
        <v>0</v>
      </c>
      <c r="F65" s="268">
        <f>SUMIFS('caseload data'!H:H,'caseload data'!$D:$D,"TPO",'caseload data'!$C:$C,$B$6, 'caseload data'!$B:$B, "custody")</f>
        <v>0</v>
      </c>
      <c r="G65" s="268">
        <f>SUMIFS('caseload data'!I:I,'caseload data'!$D:$D,"TPO",'caseload data'!$C:$C,$B$6, 'caseload data'!$B:$B, "custody")</f>
        <v>0</v>
      </c>
      <c r="H65" s="268">
        <f>SUMIFS('caseload data'!J:J,'caseload data'!$D:$D,"TPO",'caseload data'!$C:$C,$B$6, 'caseload data'!$B:$B, "custody")</f>
        <v>0</v>
      </c>
      <c r="I65" s="268">
        <f>SUMIFS('caseload data'!K:K,'caseload data'!$D:$D,"TPO",'caseload data'!$C:$C,$B$6, 'caseload data'!$B:$B, "custody")</f>
        <v>0</v>
      </c>
      <c r="J65" s="268">
        <f>SUMIFS('caseload data'!L:L,'caseload data'!$D:$D,"TPO",'caseload data'!$C:$C,$B$6, 'caseload data'!$B:$B, "custody")</f>
        <v>0</v>
      </c>
      <c r="K65" s="268">
        <f>SUMIFS('caseload data'!M:M,'caseload data'!$D:$D,"TPO",'caseload data'!$C:$C,$B$6, 'caseload data'!$B:$B, "custody")</f>
        <v>0</v>
      </c>
      <c r="L65" s="268">
        <f>SUMIFS('caseload data'!N:N,'caseload data'!$D:$D,"TPO",'caseload data'!$C:$C,$B$6, 'caseload data'!$B:$B, "custody")</f>
        <v>0</v>
      </c>
      <c r="M65" s="268">
        <f>SUMIFS('caseload data'!O:O,'caseload data'!$D:$D,"TPO",'caseload data'!$C:$C,$B$6, 'caseload data'!$B:$B, "custody")</f>
        <v>0</v>
      </c>
      <c r="N65" s="268">
        <f>SUMIFS('caseload data'!P:P,'caseload data'!$D:$D,"TPO",'caseload data'!$C:$C,$B$6, 'caseload data'!$B:$B, "custody")</f>
        <v>0</v>
      </c>
      <c r="O65" s="268">
        <f>SUMIFS('caseload data'!Q:Q,'caseload data'!$D:$D,"TPO",'caseload data'!$C:$C,$B$6, 'caseload data'!$B:$B, "custody")</f>
        <v>0</v>
      </c>
      <c r="P65" s="268">
        <f>SUMIFS('caseload data'!R:R,'caseload data'!$D:$D,"TPO",'caseload data'!$C:$C,$B$6, 'caseload data'!$B:$B, "custody")</f>
        <v>0</v>
      </c>
      <c r="Q65" s="268">
        <f>SUMIFS('caseload data'!S:S,'caseload data'!$D:$D,"TPO",'caseload data'!$C:$C,$B$6, 'caseload data'!$B:$B, "custody")</f>
        <v>0</v>
      </c>
      <c r="R65" s="268">
        <f>SUMIFS('caseload data'!T:T,'caseload data'!$D:$D,"TPO",'caseload data'!$C:$C,$B$6, 'caseload data'!$B:$B, "custody")</f>
        <v>0</v>
      </c>
      <c r="S65" s="268">
        <f>SUMIFS('caseload data'!U:U,'caseload data'!$D:$D,"TPO",'caseload data'!$C:$C,$B$6, 'caseload data'!$B:$B, "custody")</f>
        <v>0</v>
      </c>
      <c r="T65" s="268">
        <f t="shared" si="4"/>
        <v>0</v>
      </c>
    </row>
    <row r="66" spans="2:20" ht="14.25" customHeight="1" x14ac:dyDescent="0.15">
      <c r="B66" s="84" t="s">
        <v>914</v>
      </c>
      <c r="C66" s="268">
        <f>SUMIFS('caseload data'!E:E,'caseload data'!$D:$D,"SPO",'caseload data'!$C:$C,$B$6, 'caseload data'!$B:$B, "custody")</f>
        <v>0</v>
      </c>
      <c r="D66" s="268">
        <f>SUMIFS('caseload data'!F:F,'caseload data'!$D:$D,"SPO",'caseload data'!$C:$C,$B$6, 'caseload data'!$B:$B, "custody")</f>
        <v>0</v>
      </c>
      <c r="E66" s="268">
        <f>SUMIFS('caseload data'!G:G,'caseload data'!$D:$D,"SPO",'caseload data'!$C:$C,$B$6, 'caseload data'!$B:$B, "custody")</f>
        <v>0</v>
      </c>
      <c r="F66" s="268">
        <f>SUMIFS('caseload data'!H:H,'caseload data'!$D:$D,"SPO",'caseload data'!$C:$C,$B$6, 'caseload data'!$B:$B, "custody")</f>
        <v>0</v>
      </c>
      <c r="G66" s="268">
        <f>SUMIFS('caseload data'!I:I,'caseload data'!$D:$D,"SPO",'caseload data'!$C:$C,$B$6, 'caseload data'!$B:$B, "custody")</f>
        <v>0</v>
      </c>
      <c r="H66" s="268">
        <f>SUMIFS('caseload data'!J:J,'caseload data'!$D:$D,"SPO",'caseload data'!$C:$C,$B$6, 'caseload data'!$B:$B, "custody")</f>
        <v>0</v>
      </c>
      <c r="I66" s="268">
        <f>SUMIFS('caseload data'!K:K,'caseload data'!$D:$D,"SPO",'caseload data'!$C:$C,$B$6, 'caseload data'!$B:$B, "custody")</f>
        <v>0</v>
      </c>
      <c r="J66" s="268">
        <f>SUMIFS('caseload data'!L:L,'caseload data'!$D:$D,"SPO",'caseload data'!$C:$C,$B$6, 'caseload data'!$B:$B, "custody")</f>
        <v>0</v>
      </c>
      <c r="K66" s="268">
        <f>SUMIFS('caseload data'!M:M,'caseload data'!$D:$D,"SPO",'caseload data'!$C:$C,$B$6, 'caseload data'!$B:$B, "custody")</f>
        <v>0</v>
      </c>
      <c r="L66" s="268">
        <f>SUMIFS('caseload data'!N:N,'caseload data'!$D:$D,"SPO",'caseload data'!$C:$C,$B$6, 'caseload data'!$B:$B, "custody")</f>
        <v>0</v>
      </c>
      <c r="M66" s="268">
        <f>SUMIFS('caseload data'!O:O,'caseload data'!$D:$D,"SPO",'caseload data'!$C:$C,$B$6, 'caseload data'!$B:$B, "custody")</f>
        <v>0</v>
      </c>
      <c r="N66" s="268">
        <f>SUMIFS('caseload data'!P:P,'caseload data'!$D:$D,"SPO",'caseload data'!$C:$C,$B$6, 'caseload data'!$B:$B, "custody")</f>
        <v>0</v>
      </c>
      <c r="O66" s="268">
        <f>SUMIFS('caseload data'!Q:Q,'caseload data'!$D:$D,"SPO",'caseload data'!$C:$C,$B$6, 'caseload data'!$B:$B, "custody")</f>
        <v>0</v>
      </c>
      <c r="P66" s="268">
        <f>SUMIFS('caseload data'!R:R,'caseload data'!$D:$D,"SPO",'caseload data'!$C:$C,$B$6, 'caseload data'!$B:$B, "custody")</f>
        <v>0</v>
      </c>
      <c r="Q66" s="268">
        <f>SUMIFS('caseload data'!S:S,'caseload data'!$D:$D,"SPO",'caseload data'!$C:$C,$B$6, 'caseload data'!$B:$B, "custody")</f>
        <v>0</v>
      </c>
      <c r="R66" s="268">
        <f>SUMIFS('caseload data'!T:T,'caseload data'!$D:$D,"SPO",'caseload data'!$C:$C,$B$6, 'caseload data'!$B:$B, "custody")</f>
        <v>0</v>
      </c>
      <c r="S66" s="268">
        <f>SUMIFS('caseload data'!U:U,'caseload data'!$D:$D,"SPO",'caseload data'!$C:$C,$B$6, 'caseload data'!$B:$B, "custody")</f>
        <v>0</v>
      </c>
      <c r="T66" s="268">
        <f t="shared" si="4"/>
        <v>0</v>
      </c>
    </row>
    <row r="67" spans="2:20" ht="14.25" customHeight="1" x14ac:dyDescent="0.15">
      <c r="T67" s="284"/>
    </row>
    <row r="68" spans="2:20" ht="14.25" customHeight="1" x14ac:dyDescent="0.2">
      <c r="B68" s="58" t="str">
        <f>$B$6</f>
        <v>Birmingham Central and South - N52</v>
      </c>
      <c r="C68" s="319" t="s">
        <v>1261</v>
      </c>
      <c r="D68" s="320"/>
      <c r="E68" s="320"/>
      <c r="F68" s="320"/>
      <c r="G68" s="320"/>
      <c r="H68" s="320"/>
      <c r="I68" s="320"/>
      <c r="J68" s="320"/>
      <c r="K68" s="320"/>
      <c r="L68" s="320"/>
      <c r="M68" s="320"/>
      <c r="N68" s="320"/>
      <c r="O68" s="320"/>
      <c r="P68" s="320"/>
      <c r="Q68" s="320"/>
      <c r="R68" s="320"/>
      <c r="S68" s="320"/>
      <c r="T68" s="280"/>
    </row>
    <row r="69" spans="2:20" ht="14.25" customHeight="1" x14ac:dyDescent="0.15">
      <c r="B69" s="105" t="s">
        <v>1065</v>
      </c>
      <c r="C69" s="265" t="s">
        <v>922</v>
      </c>
      <c r="D69" s="265" t="s">
        <v>923</v>
      </c>
      <c r="E69" s="265" t="s">
        <v>924</v>
      </c>
      <c r="F69" s="265" t="s">
        <v>925</v>
      </c>
      <c r="G69" s="265" t="s">
        <v>926</v>
      </c>
      <c r="H69" s="265" t="s">
        <v>927</v>
      </c>
      <c r="I69" s="265" t="s">
        <v>928</v>
      </c>
      <c r="J69" s="265" t="s">
        <v>929</v>
      </c>
      <c r="K69" s="265" t="s">
        <v>930</v>
      </c>
      <c r="L69" s="265" t="s">
        <v>931</v>
      </c>
      <c r="M69" s="265" t="s">
        <v>932</v>
      </c>
      <c r="N69" s="265" t="s">
        <v>933</v>
      </c>
      <c r="O69" s="265" t="s">
        <v>934</v>
      </c>
      <c r="P69" s="265" t="s">
        <v>935</v>
      </c>
      <c r="Q69" s="265" t="s">
        <v>936</v>
      </c>
      <c r="R69" s="265" t="s">
        <v>937</v>
      </c>
      <c r="S69" s="265" t="s">
        <v>1262</v>
      </c>
      <c r="T69" s="280"/>
    </row>
    <row r="70" spans="2:20" x14ac:dyDescent="0.15">
      <c r="B70" s="106" t="s">
        <v>911</v>
      </c>
      <c r="C70" s="267" t="e">
        <f>AVERAGEIFS('caseload data'!E:E,'caseload data'!$D:$D,"PO",'caseload data'!$C:$C,$B$6)</f>
        <v>#DIV/0!</v>
      </c>
      <c r="D70" s="267" t="e">
        <f>AVERAGEIFS('caseload data'!F:F,'caseload data'!$D:$D,"PO",'caseload data'!$C:$C,$B$6)</f>
        <v>#DIV/0!</v>
      </c>
      <c r="E70" s="267" t="e">
        <f>AVERAGEIFS('caseload data'!G:G,'caseload data'!$D:$D,"PO",'caseload data'!$C:$C,$B$6)</f>
        <v>#DIV/0!</v>
      </c>
      <c r="F70" s="267" t="e">
        <f>AVERAGEIFS('caseload data'!H:H,'caseload data'!$D:$D,"PO",'caseload data'!$C:$C,$B$6)</f>
        <v>#DIV/0!</v>
      </c>
      <c r="G70" s="267" t="e">
        <f>AVERAGEIFS('caseload data'!I:I,'caseload data'!$D:$D,"PO",'caseload data'!$C:$C,$B$6)</f>
        <v>#DIV/0!</v>
      </c>
      <c r="H70" s="267" t="e">
        <f>AVERAGEIFS('caseload data'!J:J,'caseload data'!$D:$D,"PO",'caseload data'!$C:$C,$B$6)</f>
        <v>#DIV/0!</v>
      </c>
      <c r="I70" s="267" t="e">
        <f>AVERAGEIFS('caseload data'!K:K,'caseload data'!$D:$D,"PO",'caseload data'!$C:$C,$B$6)</f>
        <v>#DIV/0!</v>
      </c>
      <c r="J70" s="267" t="e">
        <f>AVERAGEIFS('caseload data'!L:L,'caseload data'!$D:$D,"PO",'caseload data'!$C:$C,$B$6)</f>
        <v>#DIV/0!</v>
      </c>
      <c r="K70" s="267" t="e">
        <f>AVERAGEIFS('caseload data'!M:M,'caseload data'!$D:$D,"PO",'caseload data'!$C:$C,$B$6)</f>
        <v>#DIV/0!</v>
      </c>
      <c r="L70" s="267" t="e">
        <f>AVERAGEIFS('caseload data'!N:N,'caseload data'!$D:$D,"PO",'caseload data'!$C:$C,$B$6)</f>
        <v>#DIV/0!</v>
      </c>
      <c r="M70" s="267" t="e">
        <f>AVERAGEIFS('caseload data'!O:O,'caseload data'!$D:$D,"PO",'caseload data'!$C:$C,$B$6)</f>
        <v>#DIV/0!</v>
      </c>
      <c r="N70" s="267" t="e">
        <f>AVERAGEIFS('caseload data'!P:P,'caseload data'!$D:$D,"PO",'caseload data'!$C:$C,$B$6)</f>
        <v>#DIV/0!</v>
      </c>
      <c r="O70" s="267" t="e">
        <f>AVERAGEIFS('caseload data'!Q:Q,'caseload data'!$D:$D,"PO",'caseload data'!$C:$C,$B$6)</f>
        <v>#DIV/0!</v>
      </c>
      <c r="P70" s="267" t="e">
        <f>AVERAGEIFS('caseload data'!R:R,'caseload data'!$D:$D,"PO",'caseload data'!$C:$C,$B$6)</f>
        <v>#DIV/0!</v>
      </c>
      <c r="Q70" s="267" t="e">
        <f>AVERAGEIFS('caseload data'!S:S,'caseload data'!$D:$D,"PO",'caseload data'!$C:$C,$B$6)</f>
        <v>#DIV/0!</v>
      </c>
      <c r="R70" s="267" t="e">
        <f>AVERAGEIFS('caseload data'!T:T,'caseload data'!$D:$D,"PO",'caseload data'!$C:$C,$B$6)</f>
        <v>#DIV/0!</v>
      </c>
      <c r="S70" s="267" t="e">
        <f>AVERAGEIFS('caseload data'!U:U,'caseload data'!$D:$D,"PO",'caseload data'!$C:$C,$B$6)</f>
        <v>#DIV/0!</v>
      </c>
      <c r="T70" s="280"/>
    </row>
    <row r="71" spans="2:20" x14ac:dyDescent="0.15">
      <c r="B71" s="107" t="s">
        <v>912</v>
      </c>
      <c r="C71" s="267" t="e">
        <f>AVERAGEIFS('caseload data'!E:E,'caseload data'!$D:$D,"PSO",'caseload data'!$C:$C,$B$6)</f>
        <v>#DIV/0!</v>
      </c>
      <c r="D71" s="267" t="e">
        <f>AVERAGEIFS('caseload data'!F:F,'caseload data'!$D:$D,"PSO",'caseload data'!$C:$C,$B$6)</f>
        <v>#DIV/0!</v>
      </c>
      <c r="E71" s="267" t="e">
        <f>AVERAGEIFS('caseload data'!G:G,'caseload data'!$D:$D,"PSO",'caseload data'!$C:$C,$B$6)</f>
        <v>#DIV/0!</v>
      </c>
      <c r="F71" s="267" t="e">
        <f>AVERAGEIFS('caseload data'!H:H,'caseload data'!$D:$D,"PSO",'caseload data'!$C:$C,$B$6)</f>
        <v>#DIV/0!</v>
      </c>
      <c r="G71" s="267" t="e">
        <f>AVERAGEIFS('caseload data'!I:I,'caseload data'!$D:$D,"PSO",'caseload data'!$C:$C,$B$6)</f>
        <v>#DIV/0!</v>
      </c>
      <c r="H71" s="267" t="e">
        <f>AVERAGEIFS('caseload data'!J:J,'caseload data'!$D:$D,"PSO",'caseload data'!$C:$C,$B$6)</f>
        <v>#DIV/0!</v>
      </c>
      <c r="I71" s="267" t="e">
        <f>AVERAGEIFS('caseload data'!K:K,'caseload data'!$D:$D,"PSO",'caseload data'!$C:$C,$B$6)</f>
        <v>#DIV/0!</v>
      </c>
      <c r="J71" s="267" t="e">
        <f>AVERAGEIFS('caseload data'!L:L,'caseload data'!$D:$D,"PSO",'caseload data'!$C:$C,$B$6)</f>
        <v>#DIV/0!</v>
      </c>
      <c r="K71" s="267" t="e">
        <f>AVERAGEIFS('caseload data'!M:M,'caseload data'!$D:$D,"PSO",'caseload data'!$C:$C,$B$6)</f>
        <v>#DIV/0!</v>
      </c>
      <c r="L71" s="267" t="e">
        <f>AVERAGEIFS('caseload data'!N:N,'caseload data'!$D:$D,"PSO",'caseload data'!$C:$C,$B$6)</f>
        <v>#DIV/0!</v>
      </c>
      <c r="M71" s="267" t="e">
        <f>AVERAGEIFS('caseload data'!O:O,'caseload data'!$D:$D,"PSO",'caseload data'!$C:$C,$B$6)</f>
        <v>#DIV/0!</v>
      </c>
      <c r="N71" s="267" t="e">
        <f>AVERAGEIFS('caseload data'!P:P,'caseload data'!$D:$D,"PSO",'caseload data'!$C:$C,$B$6)</f>
        <v>#DIV/0!</v>
      </c>
      <c r="O71" s="267" t="e">
        <f>AVERAGEIFS('caseload data'!Q:Q,'caseload data'!$D:$D,"PSO",'caseload data'!$C:$C,$B$6)</f>
        <v>#DIV/0!</v>
      </c>
      <c r="P71" s="267" t="e">
        <f>AVERAGEIFS('caseload data'!R:R,'caseload data'!$D:$D,"PSO",'caseload data'!$C:$C,$B$6)</f>
        <v>#DIV/0!</v>
      </c>
      <c r="Q71" s="267" t="e">
        <f>AVERAGEIFS('caseload data'!S:S,'caseload data'!$D:$D,"PSO",'caseload data'!$C:$C,$B$6)</f>
        <v>#DIV/0!</v>
      </c>
      <c r="R71" s="267" t="e">
        <f>AVERAGEIFS('caseload data'!T:T,'caseload data'!$D:$D,"PSO",'caseload data'!$C:$C,$B$6)</f>
        <v>#DIV/0!</v>
      </c>
      <c r="S71" s="267" t="e">
        <f>AVERAGEIFS('caseload data'!U:U,'caseload data'!$D:$D,"PSO",'caseload data'!$C:$C,$B$6)</f>
        <v>#DIV/0!</v>
      </c>
      <c r="T71" s="280"/>
    </row>
    <row r="72" spans="2:20" x14ac:dyDescent="0.15">
      <c r="B72" s="107" t="s">
        <v>913</v>
      </c>
      <c r="C72" s="267" t="e">
        <f>AVERAGEIFS('caseload data'!E:E,'caseload data'!$D:$D,"TPO",'caseload data'!$C:$C,$B$6)</f>
        <v>#DIV/0!</v>
      </c>
      <c r="D72" s="267" t="e">
        <f>AVERAGEIFS('caseload data'!F:F,'caseload data'!$D:$D,"TPO",'caseload data'!$C:$C,$B$6)</f>
        <v>#DIV/0!</v>
      </c>
      <c r="E72" s="267" t="e">
        <f>AVERAGEIFS('caseload data'!G:G,'caseload data'!$D:$D,"TPO",'caseload data'!$C:$C,$B$6)</f>
        <v>#DIV/0!</v>
      </c>
      <c r="F72" s="267" t="e">
        <f>AVERAGEIFS('caseload data'!H:H,'caseload data'!$D:$D,"TPO",'caseload data'!$C:$C,$B$6)</f>
        <v>#DIV/0!</v>
      </c>
      <c r="G72" s="267" t="e">
        <f>AVERAGEIFS('caseload data'!I:I,'caseload data'!$D:$D,"TPO",'caseload data'!$C:$C,$B$6)</f>
        <v>#DIV/0!</v>
      </c>
      <c r="H72" s="267" t="e">
        <f>AVERAGEIFS('caseload data'!J:J,'caseload data'!$D:$D,"TPO",'caseload data'!$C:$C,$B$6)</f>
        <v>#DIV/0!</v>
      </c>
      <c r="I72" s="267" t="e">
        <f>AVERAGEIFS('caseload data'!K:K,'caseload data'!$D:$D,"TPO",'caseload data'!$C:$C,$B$6)</f>
        <v>#DIV/0!</v>
      </c>
      <c r="J72" s="267" t="e">
        <f>AVERAGEIFS('caseload data'!L:L,'caseload data'!$D:$D,"TPO",'caseload data'!$C:$C,$B$6)</f>
        <v>#DIV/0!</v>
      </c>
      <c r="K72" s="267" t="e">
        <f>AVERAGEIFS('caseload data'!M:M,'caseload data'!$D:$D,"TPO",'caseload data'!$C:$C,$B$6)</f>
        <v>#DIV/0!</v>
      </c>
      <c r="L72" s="267" t="e">
        <f>AVERAGEIFS('caseload data'!N:N,'caseload data'!$D:$D,"TPO",'caseload data'!$C:$C,$B$6)</f>
        <v>#DIV/0!</v>
      </c>
      <c r="M72" s="267" t="e">
        <f>AVERAGEIFS('caseload data'!O:O,'caseload data'!$D:$D,"TPO",'caseload data'!$C:$C,$B$6)</f>
        <v>#DIV/0!</v>
      </c>
      <c r="N72" s="267" t="e">
        <f>AVERAGEIFS('caseload data'!P:P,'caseload data'!$D:$D,"TPO",'caseload data'!$C:$C,$B$6)</f>
        <v>#DIV/0!</v>
      </c>
      <c r="O72" s="267" t="e">
        <f>AVERAGEIFS('caseload data'!Q:Q,'caseload data'!$D:$D,"TPO",'caseload data'!$C:$C,$B$6)</f>
        <v>#DIV/0!</v>
      </c>
      <c r="P72" s="267" t="e">
        <f>AVERAGEIFS('caseload data'!R:R,'caseload data'!$D:$D,"TPO",'caseload data'!$C:$C,$B$6)</f>
        <v>#DIV/0!</v>
      </c>
      <c r="Q72" s="267" t="e">
        <f>AVERAGEIFS('caseload data'!S:S,'caseload data'!$D:$D,"TPO",'caseload data'!$C:$C,$B$6)</f>
        <v>#DIV/0!</v>
      </c>
      <c r="R72" s="267" t="e">
        <f>AVERAGEIFS('caseload data'!T:T,'caseload data'!$D:$D,"TPO",'caseload data'!$C:$C,$B$6)</f>
        <v>#DIV/0!</v>
      </c>
      <c r="S72" s="267" t="e">
        <f>AVERAGEIFS('caseload data'!U:U,'caseload data'!$D:$D,"TPO",'caseload data'!$C:$C,$B$6)</f>
        <v>#DIV/0!</v>
      </c>
      <c r="T72" s="280"/>
    </row>
    <row r="73" spans="2:20" x14ac:dyDescent="0.15">
      <c r="B73" s="108" t="s">
        <v>914</v>
      </c>
      <c r="C73" s="267" t="e">
        <f>AVERAGEIFS('caseload data'!E:E,'caseload data'!$D:$D,"SPO",'caseload data'!$C:$C,$B$6)</f>
        <v>#DIV/0!</v>
      </c>
      <c r="D73" s="267" t="e">
        <f>AVERAGEIFS('caseload data'!F:F,'caseload data'!$D:$D,"SPO",'caseload data'!$C:$C,$B$6)</f>
        <v>#DIV/0!</v>
      </c>
      <c r="E73" s="267" t="e">
        <f>AVERAGEIFS('caseload data'!G:G,'caseload data'!$D:$D,"SPO",'caseload data'!$C:$C,$B$6)</f>
        <v>#DIV/0!</v>
      </c>
      <c r="F73" s="267" t="e">
        <f>AVERAGEIFS('caseload data'!H:H,'caseload data'!$D:$D,"SPO",'caseload data'!$C:$C,$B$6)</f>
        <v>#DIV/0!</v>
      </c>
      <c r="G73" s="267" t="e">
        <f>AVERAGEIFS('caseload data'!I:I,'caseload data'!$D:$D,"SPO",'caseload data'!$C:$C,$B$6)</f>
        <v>#DIV/0!</v>
      </c>
      <c r="H73" s="267" t="e">
        <f>AVERAGEIFS('caseload data'!J:J,'caseload data'!$D:$D,"SPO",'caseload data'!$C:$C,$B$6)</f>
        <v>#DIV/0!</v>
      </c>
      <c r="I73" s="267" t="e">
        <f>AVERAGEIFS('caseload data'!K:K,'caseload data'!$D:$D,"SPO",'caseload data'!$C:$C,$B$6)</f>
        <v>#DIV/0!</v>
      </c>
      <c r="J73" s="267" t="e">
        <f>AVERAGEIFS('caseload data'!L:L,'caseload data'!$D:$D,"SPO",'caseload data'!$C:$C,$B$6)</f>
        <v>#DIV/0!</v>
      </c>
      <c r="K73" s="267" t="e">
        <f>AVERAGEIFS('caseload data'!M:M,'caseload data'!$D:$D,"SPO",'caseload data'!$C:$C,$B$6)</f>
        <v>#DIV/0!</v>
      </c>
      <c r="L73" s="267" t="e">
        <f>AVERAGEIFS('caseload data'!N:N,'caseload data'!$D:$D,"SPO",'caseload data'!$C:$C,$B$6)</f>
        <v>#DIV/0!</v>
      </c>
      <c r="M73" s="267" t="e">
        <f>AVERAGEIFS('caseload data'!O:O,'caseload data'!$D:$D,"SPO",'caseload data'!$C:$C,$B$6)</f>
        <v>#DIV/0!</v>
      </c>
      <c r="N73" s="267" t="e">
        <f>AVERAGEIFS('caseload data'!P:P,'caseload data'!$D:$D,"SPO",'caseload data'!$C:$C,$B$6)</f>
        <v>#DIV/0!</v>
      </c>
      <c r="O73" s="267" t="e">
        <f>AVERAGEIFS('caseload data'!Q:Q,'caseload data'!$D:$D,"SPO",'caseload data'!$C:$C,$B$6)</f>
        <v>#DIV/0!</v>
      </c>
      <c r="P73" s="267" t="e">
        <f>AVERAGEIFS('caseload data'!R:R,'caseload data'!$D:$D,"SPO",'caseload data'!$C:$C,$B$6)</f>
        <v>#DIV/0!</v>
      </c>
      <c r="Q73" s="267" t="e">
        <f>AVERAGEIFS('caseload data'!S:S,'caseload data'!$D:$D,"SPO",'caseload data'!$C:$C,$B$6)</f>
        <v>#DIV/0!</v>
      </c>
      <c r="R73" s="267" t="e">
        <f>AVERAGEIFS('caseload data'!T:T,'caseload data'!$D:$D,"SPO",'caseload data'!$C:$C,$B$6)</f>
        <v>#DIV/0!</v>
      </c>
      <c r="S73" s="267" t="e">
        <f>AVERAGEIFS('caseload data'!U:U,'caseload data'!$D:$D,"SPO",'caseload data'!$C:$C,$B$6)</f>
        <v>#DIV/0!</v>
      </c>
      <c r="T73" s="280"/>
    </row>
  </sheetData>
  <mergeCells count="7">
    <mergeCell ref="C61:T61"/>
    <mergeCell ref="C68:S68"/>
    <mergeCell ref="A1:S1"/>
    <mergeCell ref="A2:S2"/>
    <mergeCell ref="C40:T40"/>
    <mergeCell ref="C47:T47"/>
    <mergeCell ref="C54:T54"/>
  </mergeCells>
  <conditionalFormatting sqref="I11:L12">
    <cfRule type="cellIs" dxfId="6609" priority="1" operator="lessThan">
      <formula>0.9</formula>
    </cfRule>
    <cfRule type="cellIs" dxfId="6608" priority="2" operator="greaterThanOrEqual">
      <formula>1.1</formula>
    </cfRule>
  </conditionalFormatting>
  <dataValidations count="2">
    <dataValidation type="list" allowBlank="1" showInputMessage="1" showErrorMessage="1" sqref="B5" xr:uid="{3A229667-42A0-4F11-ACF2-69B3CF45CDF4}">
      <formula1>Regions</formula1>
    </dataValidation>
    <dataValidation type="list" allowBlank="1" showInputMessage="1" showErrorMessage="1" sqref="B6" xr:uid="{4F08ECC6-E0B8-4DC8-8E83-6EA78AD58749}">
      <formula1>OFFSET(Anchor_Cell,1,MATCH($B$5,Team_Regions,0)-1,COUNTA(OFFSET(Anchor_Cell,1,MATCH(B5,Regions,0)-1,100)),1)</formula1>
    </dataValidation>
  </dataValidation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AK123"/>
  <sheetViews>
    <sheetView showGridLines="0" topLeftCell="A4" zoomScale="85" zoomScaleNormal="85" workbookViewId="0">
      <selection activeCell="C9" sqref="C9"/>
    </sheetView>
  </sheetViews>
  <sheetFormatPr baseColWidth="10" defaultColWidth="8.83203125" defaultRowHeight="14" x14ac:dyDescent="0.15"/>
  <cols>
    <col min="2" max="2" width="39.5" customWidth="1"/>
    <col min="3" max="3" width="19.1640625" customWidth="1"/>
    <col min="4" max="4" width="20.5" bestFit="1" customWidth="1"/>
    <col min="5" max="5" width="14.83203125" customWidth="1"/>
    <col min="6" max="6" width="17.1640625" customWidth="1"/>
    <col min="7" max="7" width="18.5" customWidth="1"/>
    <col min="8" max="8" width="19.1640625" customWidth="1"/>
    <col min="9" max="9" width="15.5" customWidth="1"/>
    <col min="10" max="10" width="20.5" customWidth="1"/>
    <col min="11" max="11" width="26.5" bestFit="1" customWidth="1"/>
    <col min="12" max="12" width="16.83203125" customWidth="1"/>
    <col min="13" max="13" width="17.83203125" bestFit="1" customWidth="1"/>
    <col min="14" max="14" width="8.5" bestFit="1" customWidth="1"/>
    <col min="17" max="17" width="10" bestFit="1" customWidth="1"/>
    <col min="21" max="21" width="11.1640625" bestFit="1" customWidth="1"/>
  </cols>
  <sheetData>
    <row r="1" spans="1:19" ht="45.75" customHeight="1" x14ac:dyDescent="0.15">
      <c r="A1" s="321" t="s">
        <v>1072</v>
      </c>
      <c r="B1" s="322"/>
      <c r="C1" s="322"/>
      <c r="D1" s="322"/>
      <c r="E1" s="322"/>
      <c r="F1" s="322"/>
      <c r="G1" s="322"/>
      <c r="H1" s="322"/>
      <c r="I1" s="322"/>
      <c r="J1" s="322"/>
      <c r="K1" s="322"/>
      <c r="L1" s="322"/>
      <c r="M1" s="322"/>
      <c r="N1" s="322"/>
      <c r="O1" s="322"/>
      <c r="P1" s="322"/>
      <c r="Q1" s="322"/>
      <c r="R1" s="322"/>
      <c r="S1" s="322"/>
    </row>
    <row r="2" spans="1:19" ht="37.5" customHeight="1" x14ac:dyDescent="0.15">
      <c r="A2" s="307"/>
      <c r="B2" s="307"/>
      <c r="C2" s="307"/>
      <c r="D2" s="307"/>
      <c r="E2" s="307"/>
      <c r="F2" s="307"/>
      <c r="G2" s="307"/>
      <c r="H2" s="307"/>
      <c r="I2" s="307"/>
      <c r="J2" s="307"/>
      <c r="K2" s="307"/>
      <c r="L2" s="307"/>
      <c r="M2" s="307"/>
      <c r="N2" s="307"/>
      <c r="O2" s="307"/>
      <c r="P2" s="307"/>
      <c r="Q2" s="307"/>
      <c r="R2" s="307"/>
      <c r="S2" s="307"/>
    </row>
    <row r="4" spans="1:19" ht="57" customHeight="1" x14ac:dyDescent="0.15">
      <c r="B4" s="39" t="s">
        <v>1073</v>
      </c>
    </row>
    <row r="5" spans="1:19" ht="24" customHeight="1" x14ac:dyDescent="0.15">
      <c r="B5" s="60" t="s">
        <v>30</v>
      </c>
      <c r="F5" s="43"/>
    </row>
    <row r="6" spans="1:19" ht="24" customHeight="1" x14ac:dyDescent="0.15">
      <c r="B6" s="61" t="s">
        <v>270</v>
      </c>
    </row>
    <row r="8" spans="1:19" ht="23" x14ac:dyDescent="0.15">
      <c r="B8" s="316" t="s">
        <v>1000</v>
      </c>
      <c r="C8" s="317"/>
      <c r="D8" s="317"/>
      <c r="E8" s="317"/>
      <c r="F8" s="324"/>
    </row>
    <row r="9" spans="1:19" ht="56" x14ac:dyDescent="0.15">
      <c r="B9" s="71"/>
      <c r="C9" s="238" t="s">
        <v>1001</v>
      </c>
      <c r="D9" s="72" t="s">
        <v>1002</v>
      </c>
      <c r="E9" s="72" t="s">
        <v>1003</v>
      </c>
      <c r="F9" s="72" t="s">
        <v>1004</v>
      </c>
      <c r="H9" s="238" t="s">
        <v>1074</v>
      </c>
      <c r="I9" s="238" t="s">
        <v>1006</v>
      </c>
      <c r="J9" s="73"/>
      <c r="K9" s="238" t="s">
        <v>1007</v>
      </c>
      <c r="L9" s="238" t="s">
        <v>1008</v>
      </c>
    </row>
    <row r="10" spans="1:19" x14ac:dyDescent="0.15">
      <c r="B10" s="74" t="str">
        <f>B6</f>
        <v>Worcestershire - N52</v>
      </c>
      <c r="C10" s="132" t="str">
        <f>IFERROR(SUM((SUMIFS('capacity data'!$G:$G,'capacity data'!$E:$E,"PO",'capacity data'!$B:$B,B6))-SUMIFS('capacity data'!$H:$H,'capacity data'!$E:$E,"PO",'capacity data'!$B:$B,B6))/SUMIFS('capacity data'!$G:$G,'capacity data'!$E:$E,"PO",'capacity data'!$B:$B,B6),"")</f>
        <v/>
      </c>
      <c r="D10" s="133" t="str">
        <f>IFERROR(SUM((SUMIFS('capacity data'!$G:$G,'capacity data'!$E:$E,"PSO",'capacity data'!$B:$B,B6))-SUMIFS('capacity data'!$H:$H,'capacity data'!$E:$E,"PSO",'capacity data'!$B:$B,B6))/SUMIFS('capacity data'!$G:$G,'capacity data'!$E:$E,"PSO",'capacity data'!$B:$B,B6),"")</f>
        <v/>
      </c>
      <c r="E10" s="133" t="str">
        <f>IFERROR(SUM((SUMIFS('capacity data'!$G:$G,'capacity data'!$E:$E,"TPO",'capacity data'!$B:$B,B6))-SUMIFS('capacity data'!$H:$H,'capacity data'!$E:$E,"TPO",'capacity data'!$B:$B,B6))/SUMIFS('capacity data'!$G:$G,'capacity data'!$E:$E,"TPO",'capacity data'!$B:$B,B6),"")</f>
        <v/>
      </c>
      <c r="F10" s="133" t="str">
        <f>IFERROR(SUM((SUMIFS('capacity data'!G:G,'capacity data'!B:B,'cluster overview'!B6))-SUMIFS('capacity data'!H:H,'capacity data'!B:B,'cluster overview'!B6))/SUMIFS('capacity data'!G:G,'capacity data'!B:B,'cluster overview'!B6),"")</f>
        <v/>
      </c>
      <c r="H10" s="75" t="e">
        <f>SUMIFS('capacity data'!$L:$L,'capacity data'!$B:$B,$B$6,'capacity data'!$E:$E,"PSO")/SUM((SUMIFS('capacity data'!$G:$G,'capacity data'!$E:$E,"PSO",'capacity data'!$B:$B,$B$6))-SUMIFS('capacity data'!$H:$H,'capacity data'!$E:$E,"PSO",'capacity data'!$B:$B,$B$6))</f>
        <v>#DIV/0!</v>
      </c>
      <c r="I10" s="230" t="e">
        <f>SUMIFS('capacity data'!$L:$L,'capacity data'!$B:$B,$B$6,'capacity data'!$E:$E,"PSO")/SUMIFS('capacity data'!$G:$G,'capacity data'!$E:$E,"PSO",'capacity data'!$B:$B,$B$6)</f>
        <v>#DIV/0!</v>
      </c>
      <c r="J10" s="73"/>
      <c r="K10" s="75" t="e">
        <f>SUMIFS('capacity data'!$L:$L,'capacity data'!$B:$B,$B$6,'capacity data'!$E:$E,"TPO")/SUM((SUMIFS('capacity data'!$G:$G,'capacity data'!$E:$E,"TPO",'capacity data'!$B:$B,$B$6))-SUMIFS('capacity data'!$H:$H,'capacity data'!$E:$E,"TPO",'capacity data'!$B:$B,$B$6))</f>
        <v>#DIV/0!</v>
      </c>
      <c r="L10" s="230" t="e">
        <f>SUMIFS('capacity data'!$L:$L,'capacity data'!$B:$B,$B$6,'capacity data'!$E:$E,"TPO")/SUMIFS('capacity data'!$G:$G,'capacity data'!$E:$E,"TPO",'capacity data'!$B:$B,$B$6)</f>
        <v>#DIV/0!</v>
      </c>
    </row>
    <row r="11" spans="1:19" x14ac:dyDescent="0.15">
      <c r="B11" s="116" t="s">
        <v>1009</v>
      </c>
      <c r="C11" s="117" t="e">
        <f>SUM((SUMIF('capacity data'!E:E,"PO",'capacity data'!G:G))-SUMIF('capacity data'!E:E,"PO",'capacity data'!H:H))/SUMIF('capacity data'!E:E,"PO",'capacity data'!G:G)</f>
        <v>#DIV/0!</v>
      </c>
      <c r="D11" s="117" t="e">
        <f>SUM((SUMIF('capacity data'!E:E,"PSO",'capacity data'!G:G))-SUMIF('capacity data'!E:E,"PSO",'capacity data'!H:H))/SUMIF('capacity data'!E:E,"PSO",'capacity data'!G:G)</f>
        <v>#DIV/0!</v>
      </c>
      <c r="E11" s="117" t="e">
        <f>SUM((SUMIF('capacity data'!E:E,"TPO",'capacity data'!G:G))-SUMIF('capacity data'!E:E,"TPO",'capacity data'!H:H))/SUMIF('capacity data'!E:E,"TPO",'capacity data'!G:G)</f>
        <v>#DIV/0!</v>
      </c>
      <c r="F11" s="91" t="e">
        <f>SUM((SUM('capacity data'!G:G)-SUM('capacity data'!H:H))/SUM('capacity data'!G:G))</f>
        <v>#DIV/0!</v>
      </c>
      <c r="H11" s="127" t="e">
        <f>SUMIF('capacity data'!$E:$E,"PSO",'capacity data'!$L:$L)/SUM(SUMIF('capacity data'!$E:$E,"PSO",'capacity data'!$G:$G)-SUMIF('capacity data'!$E:$E,"PSO",'capacity data'!$H:$H))</f>
        <v>#DIV/0!</v>
      </c>
      <c r="I11" s="128" t="e">
        <f>SUMIF('capacity data'!$E:$E,"PSO",'capacity data'!$L:$L)/SUMIF('capacity data'!$E:$E,"PSO",'capacity data'!$G:$G)</f>
        <v>#DIV/0!</v>
      </c>
      <c r="J11" s="73"/>
      <c r="K11" s="127" t="e">
        <f>SUMIF('capacity data'!$E:$E,"TPO",'capacity data'!$L:$L)/SUM(SUMIF('capacity data'!$E:$E,"TPO",'capacity data'!$G:$G)-SUMIF('capacity data'!$E:$E,"TPO",'capacity data'!$H:$H))</f>
        <v>#DIV/0!</v>
      </c>
      <c r="L11" s="128" t="e">
        <f>SUMIF('capacity data'!$E:$E,"TPO",'capacity data'!$L:$L)/SUMIF('capacity data'!$E:$E,"TPO",'capacity data'!$G:$G)</f>
        <v>#DIV/0!</v>
      </c>
    </row>
    <row r="12" spans="1:19" x14ac:dyDescent="0.15">
      <c r="B12" s="129" t="s">
        <v>1075</v>
      </c>
      <c r="C12" s="130" t="e">
        <f>+C10-C11</f>
        <v>#VALUE!</v>
      </c>
      <c r="D12" s="113" t="str">
        <f>IFERROR(+D10-D11,"N/A")</f>
        <v>N/A</v>
      </c>
      <c r="E12" s="113" t="str">
        <f>IFERROR(+E10-E11,"N/A")</f>
        <v>N/A</v>
      </c>
      <c r="F12" s="113" t="e">
        <f>+F10-F11</f>
        <v>#VALUE!</v>
      </c>
      <c r="H12" s="109" t="e">
        <f>+H10-H11</f>
        <v>#DIV/0!</v>
      </c>
      <c r="I12" s="131" t="e">
        <f>+I10-I11</f>
        <v>#DIV/0!</v>
      </c>
      <c r="J12" s="73"/>
      <c r="K12" s="109" t="e">
        <f>+K10-K11</f>
        <v>#DIV/0!</v>
      </c>
      <c r="L12" s="131" t="e">
        <f>+L10-L11</f>
        <v>#DIV/0!</v>
      </c>
    </row>
    <row r="14" spans="1:19" ht="63.75" customHeight="1" x14ac:dyDescent="0.15">
      <c r="B14" s="78"/>
      <c r="C14" s="79" t="s">
        <v>1012</v>
      </c>
      <c r="D14" s="79" t="s">
        <v>1013</v>
      </c>
      <c r="E14" s="79" t="s">
        <v>1014</v>
      </c>
      <c r="F14" s="79" t="s">
        <v>1015</v>
      </c>
      <c r="G14" s="79" t="s">
        <v>1016</v>
      </c>
      <c r="H14" s="79" t="s">
        <v>1017</v>
      </c>
      <c r="I14" s="79" t="s">
        <v>1018</v>
      </c>
      <c r="J14" s="80" t="s">
        <v>1019</v>
      </c>
      <c r="K14" s="79" t="s">
        <v>1020</v>
      </c>
      <c r="L14" s="79" t="s">
        <v>1021</v>
      </c>
      <c r="M14" s="79" t="s">
        <v>1022</v>
      </c>
    </row>
    <row r="15" spans="1:19" ht="20.25" customHeight="1" x14ac:dyDescent="0.15">
      <c r="B15" s="81" t="str">
        <f>B6</f>
        <v>Worcestershire - N52</v>
      </c>
      <c r="C15" s="232">
        <f>COUNTIFS('capacity data'!B:B,'cluster overview'!B6,'capacity data'!E:E,"PO")</f>
        <v>0</v>
      </c>
      <c r="D15" s="232">
        <f>COUNTIFS('capacity data'!B:B,B6,'capacity data'!E:E,"PO",'capacity data'!F:F,"&gt;110%")</f>
        <v>0</v>
      </c>
      <c r="E15" s="82" t="e">
        <f>D15/C15</f>
        <v>#DIV/0!</v>
      </c>
      <c r="F15" s="232">
        <f>COUNTIFS('capacity data'!B:B,'cluster overview'!B6,'capacity data'!E:E,"PSO")</f>
        <v>0</v>
      </c>
      <c r="G15" s="232">
        <f>COUNTIFS('capacity data'!B:B,B6,'capacity data'!E:E,"PSO",'capacity data'!F:F,"&gt;110%")</f>
        <v>0</v>
      </c>
      <c r="H15" s="83" t="str">
        <f>IFERROR(G15/F15,"N/A")</f>
        <v>N/A</v>
      </c>
      <c r="I15" s="232">
        <f>COUNTIFS('capacity data'!B:B,B6,'capacity data'!E:E,"PSO",'capacity data'!F:F,"&lt;910%")</f>
        <v>0</v>
      </c>
      <c r="J15" s="83" t="str">
        <f>IFERROR(I15/F15,"")</f>
        <v/>
      </c>
      <c r="K15" s="232">
        <f>COUNTIFS('capacity data'!B:B,'cluster overview'!B6,'capacity data'!E:E,"TPO")</f>
        <v>0</v>
      </c>
      <c r="L15" s="232">
        <f>COUNTIFS('capacity data'!B:B,B6,'capacity data'!E:E,"TPO",'capacity data'!F:F,"&gt;110%")</f>
        <v>0</v>
      </c>
      <c r="M15" s="76" t="str">
        <f>IFERROR(L15/K15,"N/A")</f>
        <v>N/A</v>
      </c>
    </row>
    <row r="16" spans="1:19" x14ac:dyDescent="0.15">
      <c r="B16" s="116" t="s">
        <v>1076</v>
      </c>
      <c r="C16" s="89">
        <f>COUNTIF('capacity data'!E:E,"PO")</f>
        <v>0</v>
      </c>
      <c r="D16" s="89">
        <f>COUNTIFS('capacity data'!E:E,"PO",'capacity data'!F:F,"&gt;110%")</f>
        <v>0</v>
      </c>
      <c r="E16" s="117" t="e">
        <f>D16/C16</f>
        <v>#DIV/0!</v>
      </c>
      <c r="F16" s="89">
        <f>COUNTIF('capacity data'!E:E,"PSO")</f>
        <v>0</v>
      </c>
      <c r="G16" s="89">
        <f>COUNTIFS('capacity data'!E:E,"PSO",'capacity data'!F:F,"&gt;110%")</f>
        <v>0</v>
      </c>
      <c r="H16" s="117" t="e">
        <f>G16/F16</f>
        <v>#DIV/0!</v>
      </c>
      <c r="I16" s="89">
        <f>COUNTIFS('capacity data'!E:E,"PSO",'capacity data'!F:F,"&lt;90%")</f>
        <v>0</v>
      </c>
      <c r="J16" s="117" t="e">
        <f>I16/F16</f>
        <v>#DIV/0!</v>
      </c>
      <c r="K16" s="89">
        <f>COUNTIF('capacity data'!E:E,"TPO")</f>
        <v>0</v>
      </c>
      <c r="L16" s="89">
        <f>COUNTIFS('capacity data'!E:E,"TPO",'capacity data'!F:F,"&gt;110%")</f>
        <v>0</v>
      </c>
      <c r="M16" s="117" t="e">
        <f>L16/K16</f>
        <v>#DIV/0!</v>
      </c>
    </row>
    <row r="17" spans="2:13" x14ac:dyDescent="0.15">
      <c r="B17" s="115" t="s">
        <v>1075</v>
      </c>
      <c r="C17" s="110" t="s">
        <v>1024</v>
      </c>
      <c r="D17" s="110" t="s">
        <v>1024</v>
      </c>
      <c r="E17" s="111" t="e">
        <f>+E15-E16</f>
        <v>#DIV/0!</v>
      </c>
      <c r="F17" s="110" t="s">
        <v>1024</v>
      </c>
      <c r="G17" s="110" t="s">
        <v>1024</v>
      </c>
      <c r="H17" s="111" t="str">
        <f>IFERROR(+H15-H16,"N/A")</f>
        <v>N/A</v>
      </c>
      <c r="I17" s="110" t="s">
        <v>1024</v>
      </c>
      <c r="J17" s="111" t="str">
        <f>IFERROR(+J15-J16,"N/A")</f>
        <v>N/A</v>
      </c>
      <c r="K17" s="110" t="s">
        <v>1024</v>
      </c>
      <c r="L17" s="110" t="s">
        <v>1024</v>
      </c>
      <c r="M17" s="111" t="str">
        <f>IFERROR(+M15-M16,"N/A")</f>
        <v>N/A</v>
      </c>
    </row>
    <row r="19" spans="2:13" ht="23" x14ac:dyDescent="0.25">
      <c r="B19" s="312" t="s">
        <v>1025</v>
      </c>
      <c r="C19" s="313"/>
      <c r="D19" s="313"/>
      <c r="E19" s="313"/>
      <c r="F19" s="313"/>
      <c r="G19" s="314"/>
      <c r="H19" s="315"/>
    </row>
    <row r="20" spans="2:13" ht="66" customHeight="1" x14ac:dyDescent="0.15">
      <c r="B20" s="85"/>
      <c r="C20" s="72" t="s">
        <v>1026</v>
      </c>
      <c r="D20" s="72" t="s">
        <v>1077</v>
      </c>
      <c r="E20" s="72" t="s">
        <v>1078</v>
      </c>
      <c r="F20" s="72" t="s">
        <v>1029</v>
      </c>
      <c r="G20" s="238" t="s">
        <v>1079</v>
      </c>
      <c r="H20" s="238" t="s">
        <v>1080</v>
      </c>
    </row>
    <row r="21" spans="2:13" x14ac:dyDescent="0.15">
      <c r="B21" s="71" t="str">
        <f>B6</f>
        <v>Worcestershire - N52</v>
      </c>
      <c r="C21" s="84">
        <f>SUMIFS('capacity data'!K:K,'capacity data'!B:B,'cluster overview'!B6,'capacity data'!E:E,"SPO")</f>
        <v>0</v>
      </c>
      <c r="D21" s="84">
        <f>SUMIFS('capacity data'!K:K,'capacity data'!B:B,'cluster overview'!B6,'capacity data'!E:E,"DMY")</f>
        <v>0</v>
      </c>
      <c r="E21" s="84">
        <f>SUM(C21:D21)</f>
        <v>0</v>
      </c>
      <c r="F21" s="86">
        <f>SUMIF('capacity data'!B:B,'cluster overview'!B6,'capacity data'!K:K)</f>
        <v>0</v>
      </c>
      <c r="G21" s="75" t="e">
        <f>E21/F21</f>
        <v>#DIV/0!</v>
      </c>
      <c r="H21" s="87">
        <f>SUMIF('caseload data'!C:C,'cluster overview'!B97,'caseload data'!U:U)</f>
        <v>0</v>
      </c>
    </row>
    <row r="22" spans="2:13" x14ac:dyDescent="0.15">
      <c r="B22" s="88" t="s">
        <v>1076</v>
      </c>
      <c r="C22" s="89">
        <f>SUMIF('capacity data'!E:E,"SPO",'capacity data'!K:K)</f>
        <v>0</v>
      </c>
      <c r="D22" s="89">
        <f>SUMIF('capacity data'!E:E,"DMY",'capacity data'!K:K)</f>
        <v>0</v>
      </c>
      <c r="E22" s="89">
        <f>SUM(C22:D22)</f>
        <v>0</v>
      </c>
      <c r="F22" s="90">
        <f>SUM('capacity data'!K:K)</f>
        <v>0</v>
      </c>
      <c r="G22" s="91" t="e">
        <f>E22/F22</f>
        <v>#DIV/0!</v>
      </c>
      <c r="H22" s="89">
        <f>SUM('caseload data'!U:U)</f>
        <v>0</v>
      </c>
    </row>
    <row r="23" spans="2:13" x14ac:dyDescent="0.15">
      <c r="B23" s="126" t="s">
        <v>1075</v>
      </c>
      <c r="C23" s="110" t="s">
        <v>1024</v>
      </c>
      <c r="D23" s="110" t="s">
        <v>1024</v>
      </c>
      <c r="E23" s="110" t="s">
        <v>1024</v>
      </c>
      <c r="F23" s="114" t="s">
        <v>1024</v>
      </c>
      <c r="G23" s="114" t="e">
        <f>+G21-G22</f>
        <v>#DIV/0!</v>
      </c>
      <c r="H23" s="110" t="s">
        <v>1024</v>
      </c>
    </row>
    <row r="26" spans="2:13" ht="23" x14ac:dyDescent="0.25">
      <c r="B26" s="308" t="s">
        <v>1032</v>
      </c>
      <c r="C26" s="308"/>
      <c r="D26" s="308"/>
      <c r="E26" s="308"/>
      <c r="F26" s="308"/>
      <c r="G26" s="308"/>
      <c r="H26" s="308"/>
      <c r="I26" s="308"/>
      <c r="J26" s="308"/>
      <c r="K26" s="308"/>
    </row>
    <row r="27" spans="2:13" ht="83.25" customHeight="1" x14ac:dyDescent="0.15">
      <c r="B27" s="93"/>
      <c r="C27" s="238" t="s">
        <v>1033</v>
      </c>
      <c r="D27" s="238" t="s">
        <v>1034</v>
      </c>
      <c r="E27" s="238" t="s">
        <v>1035</v>
      </c>
      <c r="F27" s="238" t="s">
        <v>1036</v>
      </c>
      <c r="G27" s="238" t="s">
        <v>1037</v>
      </c>
      <c r="H27" s="238" t="s">
        <v>1038</v>
      </c>
      <c r="I27" s="238" t="s">
        <v>1039</v>
      </c>
      <c r="J27" s="238" t="s">
        <v>1040</v>
      </c>
      <c r="K27" s="238" t="s">
        <v>1041</v>
      </c>
    </row>
    <row r="28" spans="2:13" x14ac:dyDescent="0.15">
      <c r="B28" s="71" t="str">
        <f>B6</f>
        <v>Worcestershire - N52</v>
      </c>
      <c r="C28" s="94">
        <f>SUMIFS('capacity data'!I:I,'capacity data'!B:B,'cluster overview'!B6,'capacity data'!E:E,"PO")</f>
        <v>0</v>
      </c>
      <c r="D28" s="95">
        <f>SUMIFS('capacity data'!J:J,'capacity data'!B:B,'cluster overview'!B6,'capacity data'!E:E,"PO")</f>
        <v>0</v>
      </c>
      <c r="E28" s="96" t="e">
        <f>D28/C28</f>
        <v>#DIV/0!</v>
      </c>
      <c r="F28" s="95">
        <f>SUMIFS('capacity data'!I:I,'capacity data'!B:B,'cluster overview'!B6,'capacity data'!E:E,"PSO")</f>
        <v>0</v>
      </c>
      <c r="G28" s="95">
        <f>SUMIFS('capacity data'!J:J,'capacity data'!B:B,'cluster overview'!B6,'capacity data'!E:E,"PSO")</f>
        <v>0</v>
      </c>
      <c r="H28" s="96" t="str">
        <f>IFERROR(G28/F28,"N/A")</f>
        <v>N/A</v>
      </c>
      <c r="I28" s="95">
        <f>SUMIFS('capacity data'!I:I,'capacity data'!B:B,'cluster overview'!B6,'capacity data'!E:E,"TPO")</f>
        <v>0</v>
      </c>
      <c r="J28" s="97">
        <f>SUMIFS('capacity data'!J:J,'capacity data'!B:B,'cluster overview'!B6,'capacity data'!E:E,"TPO")</f>
        <v>0</v>
      </c>
      <c r="K28" s="96" t="str">
        <f>IFERROR(J28/I28,"N/A")</f>
        <v>N/A</v>
      </c>
    </row>
    <row r="29" spans="2:13" x14ac:dyDescent="0.15">
      <c r="B29" s="116" t="s">
        <v>1081</v>
      </c>
      <c r="C29" s="118">
        <f>SUMIF('capacity data'!E:E,"PO",'capacity data'!I:I)</f>
        <v>0</v>
      </c>
      <c r="D29" s="118">
        <f>SUMIF('capacity data'!E:E,"PO",'capacity data'!J:J)</f>
        <v>0</v>
      </c>
      <c r="E29" s="119" t="e">
        <f>D29/C29</f>
        <v>#DIV/0!</v>
      </c>
      <c r="F29" s="118">
        <f>SUMIF('capacity data'!E:E,"PSO",'capacity data'!I:I)</f>
        <v>0</v>
      </c>
      <c r="G29" s="118">
        <f>SUMIF('capacity data'!E:E,"PSO",'capacity data'!J:J)</f>
        <v>0</v>
      </c>
      <c r="H29" s="119" t="e">
        <f>G29/F29</f>
        <v>#DIV/0!</v>
      </c>
      <c r="I29" s="118">
        <f>SUMIF('capacity data'!E:E,"TPO",'capacity data'!I:I)</f>
        <v>0</v>
      </c>
      <c r="J29" s="118">
        <f>SUMIF('capacity data'!E:E,"TPO",'capacity data'!J:J)</f>
        <v>0</v>
      </c>
      <c r="K29" s="119" t="e">
        <f>J29/I29</f>
        <v>#DIV/0!</v>
      </c>
    </row>
    <row r="30" spans="2:13" x14ac:dyDescent="0.15">
      <c r="B30" s="115" t="s">
        <v>1075</v>
      </c>
      <c r="C30" s="110" t="s">
        <v>1024</v>
      </c>
      <c r="D30" s="110" t="s">
        <v>1024</v>
      </c>
      <c r="E30" s="109" t="e">
        <f>+E28-E29</f>
        <v>#DIV/0!</v>
      </c>
      <c r="F30" s="110" t="s">
        <v>1024</v>
      </c>
      <c r="G30" s="110" t="s">
        <v>1024</v>
      </c>
      <c r="H30" s="109" t="str">
        <f>IFERROR(+H28-H29,"N/A")</f>
        <v>N/A</v>
      </c>
      <c r="I30" s="110" t="s">
        <v>1024</v>
      </c>
      <c r="J30" s="110" t="s">
        <v>1024</v>
      </c>
      <c r="K30" s="109" t="str">
        <f>IFERROR(+K28-K29,"N/A")</f>
        <v>N/A</v>
      </c>
    </row>
    <row r="32" spans="2:13" ht="37.5" customHeight="1" x14ac:dyDescent="0.2">
      <c r="B32" s="309" t="s">
        <v>1082</v>
      </c>
      <c r="C32" s="310"/>
      <c r="D32" s="310"/>
      <c r="F32" s="311" t="s">
        <v>1083</v>
      </c>
      <c r="G32" s="311"/>
    </row>
    <row r="33" spans="1:7" ht="60.75" customHeight="1" x14ac:dyDescent="0.15">
      <c r="B33" s="85" t="s">
        <v>1045</v>
      </c>
      <c r="C33" s="238" t="s">
        <v>1046</v>
      </c>
      <c r="D33" s="238" t="s">
        <v>1047</v>
      </c>
      <c r="E33" s="73"/>
      <c r="F33" s="234" t="s">
        <v>1084</v>
      </c>
      <c r="G33" s="233">
        <f>COUNTIFS('reductions data'!B:B,'cluster overview'!B6,'reductions data'!K:K,"ACTIVE")</f>
        <v>0</v>
      </c>
    </row>
    <row r="34" spans="1:7" x14ac:dyDescent="0.15">
      <c r="B34" s="122" t="s">
        <v>983</v>
      </c>
      <c r="C34" s="98">
        <f>COUNTIFS('reductions data'!B:B,'cluster overview'!$B$6,'reductions data'!G:G,'cluster overview'!B34)</f>
        <v>0</v>
      </c>
      <c r="D34" s="99">
        <f>SUMIFS('reductions data'!H:H,'reductions data'!B:B,'cluster overview'!$B$6,'reductions data'!$G:$G,'cluster overview'!B34)</f>
        <v>0</v>
      </c>
      <c r="E34" s="73"/>
      <c r="F34" s="331" t="s">
        <v>1085</v>
      </c>
      <c r="G34" s="332">
        <f>SUMIF('reductions data'!B:B,'cluster overview'!B6,'reductions data'!H:H)</f>
        <v>0</v>
      </c>
    </row>
    <row r="35" spans="1:7" x14ac:dyDescent="0.15">
      <c r="B35" s="123" t="s">
        <v>964</v>
      </c>
      <c r="C35" s="100">
        <f>COUNTIFS('reductions data'!B:B,'cluster overview'!$B$6,'reductions data'!G:G,'cluster overview'!B35)</f>
        <v>0</v>
      </c>
      <c r="D35" s="99">
        <f>SUMIFS('reductions data'!H:H,'reductions data'!B:B,'cluster overview'!$B$6,'reductions data'!$G:$G,'cluster overview'!B35)</f>
        <v>0</v>
      </c>
      <c r="E35" s="73"/>
      <c r="F35" s="301"/>
      <c r="G35" s="301"/>
    </row>
    <row r="36" spans="1:7" x14ac:dyDescent="0.15">
      <c r="B36" s="123" t="s">
        <v>962</v>
      </c>
      <c r="C36" s="100">
        <f>COUNTIFS('reductions data'!B:B,'cluster overview'!$B$6,'reductions data'!G:G,'cluster overview'!B36)</f>
        <v>0</v>
      </c>
      <c r="D36" s="99">
        <f>SUMIFS('reductions data'!H:H,'reductions data'!B:B,'cluster overview'!$B$6,'reductions data'!$G:$G,'cluster overview'!B36)</f>
        <v>0</v>
      </c>
      <c r="E36" s="101"/>
      <c r="F36" s="301"/>
      <c r="G36" s="301"/>
    </row>
    <row r="37" spans="1:7" x14ac:dyDescent="0.15">
      <c r="B37" s="123" t="s">
        <v>957</v>
      </c>
      <c r="C37" s="100">
        <f>COUNTIFS('reductions data'!B:B,'cluster overview'!$B$6,'reductions data'!G:G,'cluster overview'!B37)</f>
        <v>0</v>
      </c>
      <c r="D37" s="99">
        <f>SUMIFS('reductions data'!H:H,'reductions data'!B:B,'cluster overview'!$B$6,'reductions data'!$G:$G,'cluster overview'!B37)</f>
        <v>0</v>
      </c>
      <c r="E37" s="101"/>
      <c r="F37" s="333" t="s">
        <v>1086</v>
      </c>
      <c r="G37" s="332">
        <f>SUMIF('capacity data'!B:B,'cluster overview'!B6,'capacity data'!I:I)</f>
        <v>0</v>
      </c>
    </row>
    <row r="38" spans="1:7" x14ac:dyDescent="0.15">
      <c r="B38" s="123" t="s">
        <v>984</v>
      </c>
      <c r="C38" s="100">
        <f>COUNTIFS('reductions data'!B:B,'cluster overview'!$B$6,'reductions data'!G:G,'cluster overview'!B38)</f>
        <v>0</v>
      </c>
      <c r="D38" s="99">
        <f>SUMIFS('reductions data'!H:H,'reductions data'!B:B,'cluster overview'!$B$6,'reductions data'!$G:$G,'cluster overview'!B38)</f>
        <v>0</v>
      </c>
      <c r="E38" s="101"/>
      <c r="F38" s="301"/>
      <c r="G38" s="301"/>
    </row>
    <row r="39" spans="1:7" x14ac:dyDescent="0.15">
      <c r="B39" s="123" t="s">
        <v>968</v>
      </c>
      <c r="C39" s="100">
        <f>COUNTIFS('reductions data'!B:B,'cluster overview'!$B$6,'reductions data'!G:G,'cluster overview'!B39)</f>
        <v>0</v>
      </c>
      <c r="D39" s="99">
        <f>SUMIFS('reductions data'!H:H,'reductions data'!B:B,'cluster overview'!$B$6,'reductions data'!$G:$G,'cluster overview'!B39)</f>
        <v>0</v>
      </c>
      <c r="E39" s="101"/>
      <c r="F39" s="301"/>
      <c r="G39" s="301"/>
    </row>
    <row r="40" spans="1:7" x14ac:dyDescent="0.15">
      <c r="B40" s="123" t="s">
        <v>970</v>
      </c>
      <c r="C40" s="100">
        <f>COUNTIFS('reductions data'!B:B,'cluster overview'!$B$6,'reductions data'!G:G,'cluster overview'!B40)</f>
        <v>0</v>
      </c>
      <c r="D40" s="99">
        <f>SUMIFS('reductions data'!H:H,'reductions data'!B:B,'cluster overview'!$B$6,'reductions data'!$G:$G,'cluster overview'!B40)</f>
        <v>0</v>
      </c>
      <c r="E40" s="101"/>
      <c r="F40" s="243"/>
      <c r="G40" s="243"/>
    </row>
    <row r="41" spans="1:7" ht="15.75" customHeight="1" x14ac:dyDescent="0.15">
      <c r="A41" s="101"/>
      <c r="B41" s="101"/>
      <c r="C41" s="101"/>
      <c r="D41" s="101"/>
      <c r="E41" s="101"/>
      <c r="F41" s="334" t="s">
        <v>1087</v>
      </c>
      <c r="G41" s="335" t="e">
        <f>G34/G37</f>
        <v>#DIV/0!</v>
      </c>
    </row>
    <row r="42" spans="1:7" x14ac:dyDescent="0.15">
      <c r="B42" s="123" t="s">
        <v>985</v>
      </c>
      <c r="C42" s="100">
        <f>COUNTIFS('reductions data'!B:B,'cluster overview'!$B$6,'reductions data'!G:G,'cluster overview'!B42)</f>
        <v>0</v>
      </c>
      <c r="D42" s="99">
        <f>SUMIFS('reductions data'!H:H,'reductions data'!B:B,'cluster overview'!$B$6,'reductions data'!$G:$G,'cluster overview'!B42)</f>
        <v>0</v>
      </c>
      <c r="E42" s="101"/>
      <c r="F42" s="326"/>
      <c r="G42" s="329"/>
    </row>
    <row r="43" spans="1:7" x14ac:dyDescent="0.15">
      <c r="B43" s="123" t="s">
        <v>958</v>
      </c>
      <c r="C43" s="100">
        <f>COUNTIFS('reductions data'!B:B,'cluster overview'!$B$6,'reductions data'!G:G,'cluster overview'!B43)</f>
        <v>0</v>
      </c>
      <c r="D43" s="99">
        <f>SUMIFS('reductions data'!H:H,'reductions data'!B:B,'cluster overview'!$B$6,'reductions data'!$G:$G,'cluster overview'!B43)</f>
        <v>0</v>
      </c>
      <c r="E43" s="101"/>
      <c r="F43" s="326"/>
      <c r="G43" s="329"/>
    </row>
    <row r="44" spans="1:7" x14ac:dyDescent="0.15">
      <c r="B44" s="123" t="s">
        <v>949</v>
      </c>
      <c r="C44" s="100">
        <f>COUNTIFS('reductions data'!B:B,'cluster overview'!$B$6,'reductions data'!G:G,'cluster overview'!B44)</f>
        <v>0</v>
      </c>
      <c r="D44" s="99">
        <f>SUMIFS('reductions data'!H:H,'reductions data'!B:B,'cluster overview'!$B$6,'reductions data'!$G:$G,'cluster overview'!B44)</f>
        <v>0</v>
      </c>
      <c r="E44" s="101"/>
      <c r="F44" s="326"/>
      <c r="G44" s="329"/>
    </row>
    <row r="45" spans="1:7" x14ac:dyDescent="0.15">
      <c r="B45" s="123" t="s">
        <v>974</v>
      </c>
      <c r="C45" s="100">
        <f>COUNTIFS('reductions data'!B:B,'cluster overview'!$B$6,'reductions data'!G:G,'cluster overview'!B45)</f>
        <v>0</v>
      </c>
      <c r="D45" s="99">
        <f>SUMIFS('reductions data'!H:H,'reductions data'!B:B,'cluster overview'!$B$6,'reductions data'!$G:$G,'cluster overview'!B45)</f>
        <v>0</v>
      </c>
      <c r="E45" s="101"/>
      <c r="F45" s="327"/>
      <c r="G45" s="330"/>
    </row>
    <row r="46" spans="1:7" ht="15.75" customHeight="1" x14ac:dyDescent="0.15">
      <c r="B46" s="123" t="s">
        <v>950</v>
      </c>
      <c r="C46" s="100">
        <f>COUNTIFS('reductions data'!B:B,'cluster overview'!$B$6,'reductions data'!G:G,'cluster overview'!B46)</f>
        <v>0</v>
      </c>
      <c r="D46" s="99">
        <f>SUMIFS('reductions data'!H:H,'reductions data'!B:B,'cluster overview'!$B$6,'reductions data'!$G:$G,'cluster overview'!B46)</f>
        <v>0</v>
      </c>
      <c r="E46" s="101"/>
      <c r="F46" s="325" t="s">
        <v>1052</v>
      </c>
      <c r="G46" s="328" t="e">
        <f>+G41-'div &amp; regional reduction hours'!N18</f>
        <v>#DIV/0!</v>
      </c>
    </row>
    <row r="47" spans="1:7" x14ac:dyDescent="0.15">
      <c r="B47" s="123" t="s">
        <v>960</v>
      </c>
      <c r="C47" s="100">
        <f>COUNTIFS('reductions data'!B:B,'cluster overview'!$B$6,'reductions data'!G:G,'cluster overview'!B47)</f>
        <v>0</v>
      </c>
      <c r="D47" s="99">
        <f>SUMIFS('reductions data'!H:H,'reductions data'!B:B,'cluster overview'!$B$6,'reductions data'!$G:$G,'cluster overview'!B47)</f>
        <v>0</v>
      </c>
      <c r="E47" s="101"/>
      <c r="F47" s="326"/>
      <c r="G47" s="329"/>
    </row>
    <row r="48" spans="1:7" x14ac:dyDescent="0.15">
      <c r="B48" s="123" t="s">
        <v>986</v>
      </c>
      <c r="C48" s="100">
        <f>COUNTIFS('reductions data'!B:B,'cluster overview'!$B$6,'reductions data'!G:G,'cluster overview'!B48)</f>
        <v>0</v>
      </c>
      <c r="D48" s="99">
        <f>SUMIFS('reductions data'!H:H,'reductions data'!B:B,'cluster overview'!$B$6,'reductions data'!$G:$G,'cluster overview'!B48)</f>
        <v>0</v>
      </c>
      <c r="E48" s="101"/>
      <c r="F48" s="326"/>
      <c r="G48" s="329"/>
    </row>
    <row r="49" spans="2:7" x14ac:dyDescent="0.15">
      <c r="B49" s="123" t="s">
        <v>1053</v>
      </c>
      <c r="C49" s="100">
        <f>COUNTIFS('reductions data'!B:B,'cluster overview'!$B$6,'reductions data'!G:G,'cluster overview'!B49)</f>
        <v>0</v>
      </c>
      <c r="D49" s="99">
        <f>SUMIFS('reductions data'!H:H,'reductions data'!B:B,'cluster overview'!$B$6,'reductions data'!$G:$G,'cluster overview'!B49)</f>
        <v>0</v>
      </c>
      <c r="E49" s="101"/>
      <c r="F49" s="326"/>
      <c r="G49" s="329"/>
    </row>
    <row r="50" spans="2:7" x14ac:dyDescent="0.15">
      <c r="B50" s="123" t="s">
        <v>988</v>
      </c>
      <c r="C50" s="100">
        <f>COUNTIFS('reductions data'!B:B,'cluster overview'!$B$6,'reductions data'!G:G,'cluster overview'!B50)</f>
        <v>0</v>
      </c>
      <c r="D50" s="99">
        <f>SUMIFS('reductions data'!H:H,'reductions data'!B:B,'cluster overview'!$B$6,'reductions data'!$G:$G,'cluster overview'!B50)</f>
        <v>0</v>
      </c>
      <c r="E50" s="101"/>
      <c r="F50" s="327"/>
      <c r="G50" s="330"/>
    </row>
    <row r="51" spans="2:7" x14ac:dyDescent="0.15">
      <c r="B51" s="123" t="s">
        <v>989</v>
      </c>
      <c r="C51" s="100">
        <f>COUNTIFS('reductions data'!B:B,'cluster overview'!$B$6,'reductions data'!G:G,'cluster overview'!B51)</f>
        <v>0</v>
      </c>
      <c r="D51" s="99">
        <f>SUMIFS('reductions data'!H:H,'reductions data'!B:B,'cluster overview'!$B$6,'reductions data'!$G:$G,'cluster overview'!B51)</f>
        <v>0</v>
      </c>
      <c r="E51" s="101"/>
      <c r="F51" s="101"/>
      <c r="G51" s="73"/>
    </row>
    <row r="52" spans="2:7" x14ac:dyDescent="0.15">
      <c r="B52" s="123" t="s">
        <v>947</v>
      </c>
      <c r="C52" s="100">
        <f>COUNTIFS('reductions data'!B:B,'cluster overview'!$B$6,'reductions data'!G:G,'cluster overview'!B52)</f>
        <v>0</v>
      </c>
      <c r="D52" s="99">
        <f>SUMIFS('reductions data'!H:H,'reductions data'!B:B,'cluster overview'!$B$6,'reductions data'!$G:$G,'cluster overview'!B52)</f>
        <v>0</v>
      </c>
      <c r="E52" s="101"/>
      <c r="F52" s="101"/>
      <c r="G52" s="73"/>
    </row>
    <row r="53" spans="2:7" x14ac:dyDescent="0.15">
      <c r="B53" s="123" t="s">
        <v>978</v>
      </c>
      <c r="C53" s="100">
        <f>COUNTIFS('reductions data'!B:B,'cluster overview'!$B$6,'reductions data'!G:G,'cluster overview'!B53)</f>
        <v>0</v>
      </c>
      <c r="D53" s="99">
        <f>SUMIFS('reductions data'!H:H,'reductions data'!B:B,'cluster overview'!$B$6,'reductions data'!$G:$G,'cluster overview'!B53)</f>
        <v>0</v>
      </c>
      <c r="E53" s="101"/>
      <c r="F53" s="101"/>
      <c r="G53" s="73"/>
    </row>
    <row r="54" spans="2:7" x14ac:dyDescent="0.15">
      <c r="B54" s="123" t="s">
        <v>963</v>
      </c>
      <c r="C54" s="100">
        <f>COUNTIFS('reductions data'!B:B,'cluster overview'!$B$6,'reductions data'!G:G,'cluster overview'!B54)</f>
        <v>0</v>
      </c>
      <c r="D54" s="99">
        <f>SUMIFS('reductions data'!H:H,'reductions data'!B:B,'cluster overview'!$B$6,'reductions data'!$G:$G,'cluster overview'!B54)</f>
        <v>0</v>
      </c>
      <c r="E54" s="101"/>
      <c r="F54" s="101"/>
      <c r="G54" s="73"/>
    </row>
    <row r="55" spans="2:7" x14ac:dyDescent="0.15">
      <c r="B55" s="123" t="s">
        <v>990</v>
      </c>
      <c r="C55" s="100">
        <f>COUNTIFS('reductions data'!B:B,'cluster overview'!$B$6,'reductions data'!G:G,'cluster overview'!B55)</f>
        <v>0</v>
      </c>
      <c r="D55" s="99">
        <f>SUMIFS('reductions data'!H:H,'reductions data'!B:B,'cluster overview'!$B$6,'reductions data'!$G:$G,'cluster overview'!B55)</f>
        <v>0</v>
      </c>
      <c r="E55" s="101"/>
      <c r="F55" s="101"/>
      <c r="G55" s="73"/>
    </row>
    <row r="56" spans="2:7" x14ac:dyDescent="0.15">
      <c r="B56" s="123" t="s">
        <v>991</v>
      </c>
      <c r="C56" s="100">
        <f>COUNTIFS('reductions data'!B:B,'cluster overview'!$B$6,'reductions data'!G:G,'cluster overview'!B56)</f>
        <v>0</v>
      </c>
      <c r="D56" s="99">
        <f>SUMIFS('reductions data'!H:H,'reductions data'!B:B,'cluster overview'!$B$6,'reductions data'!$G:$G,'cluster overview'!B56)</f>
        <v>0</v>
      </c>
      <c r="E56" s="101"/>
      <c r="F56" s="101"/>
      <c r="G56" s="73"/>
    </row>
    <row r="57" spans="2:7" x14ac:dyDescent="0.15">
      <c r="B57" s="123" t="s">
        <v>966</v>
      </c>
      <c r="C57" s="100">
        <f>COUNTIFS('reductions data'!B:B,'cluster overview'!$B$6,'reductions data'!G:G,'cluster overview'!B57)</f>
        <v>0</v>
      </c>
      <c r="D57" s="99">
        <f>SUMIFS('reductions data'!H:H,'reductions data'!B:B,'cluster overview'!$B$6,'reductions data'!$G:$G,'cluster overview'!B57)</f>
        <v>0</v>
      </c>
      <c r="E57" s="101"/>
      <c r="F57" s="101"/>
      <c r="G57" s="73"/>
    </row>
    <row r="58" spans="2:7" x14ac:dyDescent="0.15">
      <c r="B58" s="209" t="s">
        <v>1054</v>
      </c>
      <c r="C58" s="100">
        <f>COUNTIFS('reductions data'!B:B,'cluster overview'!$B$6,'reductions data'!G:G,'cluster overview'!B58)</f>
        <v>0</v>
      </c>
      <c r="D58" s="99">
        <f>SUMIFS('reductions data'!H:H,'reductions data'!B:B,'cluster overview'!$B$6,'reductions data'!$G:$G,'cluster overview'!B58)</f>
        <v>0</v>
      </c>
      <c r="E58" s="101"/>
      <c r="F58" s="101"/>
      <c r="G58" s="73"/>
    </row>
    <row r="59" spans="2:7" x14ac:dyDescent="0.15">
      <c r="B59" s="123" t="s">
        <v>972</v>
      </c>
      <c r="C59" s="100">
        <f>COUNTIFS('reductions data'!B:B,'cluster overview'!$B$6,'reductions data'!G:G,'cluster overview'!B59)</f>
        <v>0</v>
      </c>
      <c r="D59" s="99">
        <f>SUMIFS('reductions data'!H:H,'reductions data'!B:B,'cluster overview'!$B$6,'reductions data'!$G:$G,'cluster overview'!B59)</f>
        <v>0</v>
      </c>
      <c r="E59" s="101"/>
      <c r="F59" s="101"/>
      <c r="G59" s="73"/>
    </row>
    <row r="60" spans="2:7" x14ac:dyDescent="0.15">
      <c r="B60" s="123" t="s">
        <v>952</v>
      </c>
      <c r="C60" s="100">
        <f>COUNTIFS('reductions data'!B:B,'cluster overview'!$B$6,'reductions data'!G:G,'cluster overview'!B60)</f>
        <v>0</v>
      </c>
      <c r="D60" s="99">
        <f>SUMIFS('reductions data'!H:H,'reductions data'!B:B,'cluster overview'!$B$6,'reductions data'!$G:$G,'cluster overview'!B60)</f>
        <v>0</v>
      </c>
      <c r="E60" s="101"/>
      <c r="F60" s="101"/>
      <c r="G60" s="73"/>
    </row>
    <row r="61" spans="2:7" x14ac:dyDescent="0.15">
      <c r="B61" s="123" t="s">
        <v>953</v>
      </c>
      <c r="C61" s="100">
        <f>COUNTIFS('reductions data'!B:B,'cluster overview'!$B$6,'reductions data'!G:G,'cluster overview'!B61)</f>
        <v>0</v>
      </c>
      <c r="D61" s="99">
        <f>SUMIFS('reductions data'!H:H,'reductions data'!B:B,'cluster overview'!$B$6,'reductions data'!$G:$G,'cluster overview'!B61)</f>
        <v>0</v>
      </c>
      <c r="E61" s="101"/>
      <c r="F61" s="101"/>
      <c r="G61" s="73"/>
    </row>
    <row r="62" spans="2:7" x14ac:dyDescent="0.15">
      <c r="B62" s="123" t="s">
        <v>959</v>
      </c>
      <c r="C62" s="100">
        <f>COUNTIFS('reductions data'!B:B,'cluster overview'!$B$6,'reductions data'!G:G,'cluster overview'!B62)</f>
        <v>0</v>
      </c>
      <c r="D62" s="99">
        <f>SUMIFS('reductions data'!H:H,'reductions data'!B:B,'cluster overview'!$B$6,'reductions data'!$G:$G,'cluster overview'!B62)</f>
        <v>0</v>
      </c>
      <c r="E62" s="101"/>
      <c r="F62" s="101"/>
      <c r="G62" s="73"/>
    </row>
    <row r="63" spans="2:7" x14ac:dyDescent="0.15">
      <c r="B63" s="123" t="s">
        <v>955</v>
      </c>
      <c r="C63" s="100">
        <f>COUNTIFS('reductions data'!B:B,'cluster overview'!$B$6,'reductions data'!G:G,'cluster overview'!B63)</f>
        <v>0</v>
      </c>
      <c r="D63" s="99">
        <f>SUMIFS('reductions data'!H:H,'reductions data'!B:B,'cluster overview'!$B$6,'reductions data'!$G:$G,'cluster overview'!B63)</f>
        <v>0</v>
      </c>
      <c r="E63" s="101"/>
      <c r="F63" s="101"/>
      <c r="G63" s="73"/>
    </row>
    <row r="64" spans="2:7" x14ac:dyDescent="0.15">
      <c r="B64" s="123" t="s">
        <v>956</v>
      </c>
      <c r="C64" s="100">
        <f>COUNTIFS('reductions data'!B:B,'cluster overview'!$B$6,'reductions data'!G:G,'cluster overview'!B64)</f>
        <v>0</v>
      </c>
      <c r="D64" s="99">
        <f>SUMIFS('reductions data'!H:H,'reductions data'!B:B,'cluster overview'!$B$6,'reductions data'!$G:$G,'cluster overview'!B64)</f>
        <v>0</v>
      </c>
      <c r="E64" s="101"/>
      <c r="F64" s="101"/>
      <c r="G64" s="73"/>
    </row>
    <row r="65" spans="2:19" x14ac:dyDescent="0.15">
      <c r="B65" s="123" t="s">
        <v>948</v>
      </c>
      <c r="C65" s="100">
        <f>COUNTIFS('reductions data'!B:B,'cluster overview'!$B$6,'reductions data'!G:G,'cluster overview'!B65)</f>
        <v>0</v>
      </c>
      <c r="D65" s="99">
        <f>SUMIFS('reductions data'!H:H,'reductions data'!B:B,'cluster overview'!$B$6,'reductions data'!$G:$G,'cluster overview'!B65)</f>
        <v>0</v>
      </c>
      <c r="E65" s="101"/>
      <c r="F65" s="101"/>
      <c r="G65" s="73"/>
    </row>
    <row r="66" spans="2:19" x14ac:dyDescent="0.15">
      <c r="B66" s="123" t="s">
        <v>954</v>
      </c>
      <c r="C66" s="100">
        <f>COUNTIFS('reductions data'!B:B,'cluster overview'!$B$6,'reductions data'!G:G,'cluster overview'!B66)</f>
        <v>0</v>
      </c>
      <c r="D66" s="99">
        <f>SUMIFS('reductions data'!H:H,'reductions data'!B:B,'cluster overview'!$B$6,'reductions data'!$G:$G,'cluster overview'!B66)</f>
        <v>0</v>
      </c>
      <c r="E66" s="101"/>
      <c r="F66" s="101"/>
      <c r="G66" s="73"/>
    </row>
    <row r="67" spans="2:19" x14ac:dyDescent="0.15">
      <c r="B67" s="123" t="s">
        <v>973</v>
      </c>
      <c r="C67" s="100">
        <f>COUNTIFS('reductions data'!B:B,'cluster overview'!$B$6,'reductions data'!G:G,'cluster overview'!B67)</f>
        <v>0</v>
      </c>
      <c r="D67" s="99">
        <f>SUMIFS('reductions data'!H:H,'reductions data'!B:B,'cluster overview'!$B$6,'reductions data'!$G:$G,'cluster overview'!B67)</f>
        <v>0</v>
      </c>
      <c r="E67" s="101"/>
      <c r="F67" s="101"/>
      <c r="G67" s="73"/>
    </row>
    <row r="68" spans="2:19" x14ac:dyDescent="0.15">
      <c r="B68" s="123" t="s">
        <v>965</v>
      </c>
      <c r="C68" s="100">
        <f>COUNTIFS('reductions data'!B:B,'cluster overview'!$B$6,'reductions data'!G:G,'cluster overview'!B68)</f>
        <v>0</v>
      </c>
      <c r="D68" s="99">
        <f>SUMIFS('reductions data'!H:H,'reductions data'!B:B,'cluster overview'!$B$6,'reductions data'!$G:$G,'cluster overview'!B68)</f>
        <v>0</v>
      </c>
      <c r="E68" s="101"/>
      <c r="F68" s="101"/>
      <c r="G68" s="73"/>
    </row>
    <row r="69" spans="2:19" x14ac:dyDescent="0.15">
      <c r="B69" s="123" t="s">
        <v>976</v>
      </c>
      <c r="C69" s="100">
        <f>COUNTIFS('reductions data'!B:B,'cluster overview'!$B$6,'reductions data'!G:G,'cluster overview'!B69)</f>
        <v>0</v>
      </c>
      <c r="D69" s="99">
        <f>SUMIFS('reductions data'!H:H,'reductions data'!B:B,'cluster overview'!$B$6,'reductions data'!$G:$G,'cluster overview'!B69)</f>
        <v>0</v>
      </c>
      <c r="E69" s="101"/>
      <c r="F69" s="101"/>
      <c r="G69" s="73"/>
    </row>
    <row r="70" spans="2:19" x14ac:dyDescent="0.15">
      <c r="B70" s="123" t="s">
        <v>977</v>
      </c>
      <c r="C70" s="100">
        <f>COUNTIFS('reductions data'!B:B,'cluster overview'!$B$6,'reductions data'!G:G,'cluster overview'!B70)</f>
        <v>0</v>
      </c>
      <c r="D70" s="99">
        <f>SUMIFS('reductions data'!H:H,'reductions data'!B:B,'cluster overview'!$B$6,'reductions data'!$G:$G,'cluster overview'!B70)</f>
        <v>0</v>
      </c>
      <c r="E70" s="101"/>
      <c r="F70" s="101"/>
      <c r="G70" s="73"/>
    </row>
    <row r="71" spans="2:19" x14ac:dyDescent="0.15">
      <c r="B71" s="123" t="s">
        <v>961</v>
      </c>
      <c r="C71" s="100">
        <f>COUNTIFS('reductions data'!B:B,'cluster overview'!$B$6,'reductions data'!G:G,'cluster overview'!B71)</f>
        <v>0</v>
      </c>
      <c r="D71" s="99">
        <f>SUMIFS('reductions data'!H:H,'reductions data'!B:B,'cluster overview'!$B$6,'reductions data'!$G:$G,'cluster overview'!B71)</f>
        <v>0</v>
      </c>
      <c r="E71" s="101"/>
      <c r="F71" s="101"/>
      <c r="G71" s="73"/>
    </row>
    <row r="72" spans="2:19" x14ac:dyDescent="0.15">
      <c r="B72" s="123" t="s">
        <v>994</v>
      </c>
      <c r="C72" s="100">
        <f>COUNTIFS('reductions data'!B:B,'cluster overview'!$B$6,'reductions data'!G:G,'cluster overview'!B72)</f>
        <v>0</v>
      </c>
      <c r="D72" s="99">
        <f>SUMIFS('reductions data'!H:H,'reductions data'!B:B,'cluster overview'!$B$6,'reductions data'!$G:$G,'cluster overview'!B72)</f>
        <v>0</v>
      </c>
      <c r="E72" s="101"/>
      <c r="F72" s="101"/>
      <c r="G72" s="73"/>
    </row>
    <row r="73" spans="2:19" x14ac:dyDescent="0.15">
      <c r="B73" s="123" t="s">
        <v>946</v>
      </c>
      <c r="C73" s="100">
        <f>COUNTIFS('reductions data'!B:B,'cluster overview'!$B$6,'reductions data'!G:G,'cluster overview'!B73)</f>
        <v>0</v>
      </c>
      <c r="D73" s="99">
        <f>SUMIFS('reductions data'!H:H,'reductions data'!B:B,'cluster overview'!$B$6,'reductions data'!$G:$G,'cluster overview'!B73)</f>
        <v>0</v>
      </c>
      <c r="E73" s="101"/>
      <c r="F73" s="101"/>
      <c r="G73" s="73"/>
    </row>
    <row r="74" spans="2:19" x14ac:dyDescent="0.15">
      <c r="B74" s="123" t="s">
        <v>969</v>
      </c>
      <c r="C74" s="100">
        <f>COUNTIFS('reductions data'!B:B,'cluster overview'!$B$6,'reductions data'!G:G,'cluster overview'!B74)</f>
        <v>0</v>
      </c>
      <c r="D74" s="99">
        <f>SUMIFS('reductions data'!H:H,'reductions data'!B:B,'cluster overview'!$B$6,'reductions data'!$G:$G,'cluster overview'!B74)</f>
        <v>0</v>
      </c>
      <c r="E74" s="101"/>
      <c r="F74" s="101"/>
      <c r="G74" s="73"/>
    </row>
    <row r="75" spans="2:19" x14ac:dyDescent="0.15">
      <c r="B75" s="123" t="s">
        <v>967</v>
      </c>
      <c r="C75" s="100">
        <f>COUNTIFS('reductions data'!B:B,'cluster overview'!$B$6,'reductions data'!G:G,'cluster overview'!B75)</f>
        <v>0</v>
      </c>
      <c r="D75" s="99">
        <f>SUMIFS('reductions data'!H:H,'reductions data'!B:B,'cluster overview'!$B$6,'reductions data'!$G:$G,'cluster overview'!B75)</f>
        <v>0</v>
      </c>
      <c r="E75" s="101"/>
      <c r="F75" s="101"/>
      <c r="G75" s="73"/>
    </row>
    <row r="76" spans="2:19" x14ac:dyDescent="0.15">
      <c r="B76" s="123" t="s">
        <v>971</v>
      </c>
      <c r="C76" s="100">
        <f>COUNTIFS('reductions data'!B:B,'cluster overview'!$B$6,'reductions data'!G:G,'cluster overview'!B76)</f>
        <v>0</v>
      </c>
      <c r="D76" s="99">
        <f>SUMIFS('reductions data'!H:H,'reductions data'!B:B,'cluster overview'!$B$6,'reductions data'!$G:$G,'cluster overview'!B76)</f>
        <v>0</v>
      </c>
      <c r="E76" s="101"/>
      <c r="F76" s="101"/>
      <c r="G76" s="73"/>
    </row>
    <row r="77" spans="2:19" x14ac:dyDescent="0.15">
      <c r="B77" s="101"/>
      <c r="C77" s="101"/>
      <c r="D77" s="101"/>
      <c r="E77" s="101"/>
      <c r="F77" s="101"/>
      <c r="G77" s="73"/>
    </row>
    <row r="78" spans="2:19" x14ac:dyDescent="0.15">
      <c r="B78" s="101"/>
      <c r="C78" s="101"/>
      <c r="D78" s="101"/>
      <c r="E78" s="101"/>
      <c r="F78" s="101"/>
      <c r="G78" s="73"/>
      <c r="S78" s="44"/>
    </row>
    <row r="79" spans="2:19" x14ac:dyDescent="0.15">
      <c r="B79" s="101"/>
      <c r="C79" s="101"/>
      <c r="D79" s="101"/>
      <c r="E79" s="101"/>
      <c r="F79" s="101"/>
      <c r="G79" s="73"/>
    </row>
    <row r="80" spans="2:19" ht="16" x14ac:dyDescent="0.2">
      <c r="B80" s="67"/>
      <c r="C80" s="65"/>
      <c r="D80" s="66"/>
      <c r="E80" s="1"/>
      <c r="F80" s="1"/>
    </row>
    <row r="81" spans="2:19" ht="16" x14ac:dyDescent="0.2">
      <c r="B81" s="23"/>
      <c r="C81" s="303" t="s">
        <v>1088</v>
      </c>
      <c r="D81" s="304"/>
      <c r="E81" s="304"/>
      <c r="F81" s="304"/>
      <c r="G81" s="304"/>
      <c r="H81" s="304"/>
      <c r="I81" s="304"/>
      <c r="J81" s="304"/>
      <c r="K81" s="304"/>
      <c r="L81" s="304"/>
      <c r="M81" s="304"/>
      <c r="N81" s="304"/>
      <c r="O81" s="304"/>
      <c r="P81" s="304"/>
      <c r="Q81" s="304"/>
      <c r="R81" s="304"/>
      <c r="S81" s="304"/>
    </row>
    <row r="82" spans="2:19" x14ac:dyDescent="0.15">
      <c r="B82" s="124" t="str">
        <f>B6</f>
        <v>Worcestershire - N52</v>
      </c>
      <c r="C82" s="41" t="s">
        <v>922</v>
      </c>
      <c r="D82" s="41" t="s">
        <v>923</v>
      </c>
      <c r="E82" s="41" t="s">
        <v>924</v>
      </c>
      <c r="F82" s="41" t="s">
        <v>925</v>
      </c>
      <c r="G82" s="41" t="s">
        <v>926</v>
      </c>
      <c r="H82" s="41" t="s">
        <v>927</v>
      </c>
      <c r="I82" s="41" t="s">
        <v>928</v>
      </c>
      <c r="J82" s="41" t="s">
        <v>929</v>
      </c>
      <c r="K82" s="41" t="s">
        <v>930</v>
      </c>
      <c r="L82" s="41" t="s">
        <v>931</v>
      </c>
      <c r="M82" s="41" t="s">
        <v>932</v>
      </c>
      <c r="N82" s="41" t="s">
        <v>933</v>
      </c>
      <c r="O82" s="41" t="s">
        <v>934</v>
      </c>
      <c r="P82" s="41" t="s">
        <v>935</v>
      </c>
      <c r="Q82" s="41" t="s">
        <v>936</v>
      </c>
      <c r="R82" s="41" t="s">
        <v>937</v>
      </c>
      <c r="S82" s="41" t="s">
        <v>1089</v>
      </c>
    </row>
    <row r="83" spans="2:19" x14ac:dyDescent="0.15">
      <c r="B83" s="84" t="s">
        <v>1056</v>
      </c>
      <c r="C83" s="104">
        <f>SUMIFS('caseload data'!E:E,'caseload data'!$B:$B,"custody",'caseload data'!$C:$C,$B$82)</f>
        <v>0</v>
      </c>
      <c r="D83" s="104">
        <f>SUMIFS('caseload data'!F:F,'caseload data'!$B:$B,"custody",'caseload data'!$C:$C,$B$82)</f>
        <v>0</v>
      </c>
      <c r="E83" s="104">
        <f>SUMIFS('caseload data'!G:G,'caseload data'!$B:$B,"custody",'caseload data'!$C:$C,$B$82)</f>
        <v>0</v>
      </c>
      <c r="F83" s="104">
        <f>SUMIFS('caseload data'!H:H,'caseload data'!$B:$B,"custody",'caseload data'!$C:$C,$B$82)</f>
        <v>0</v>
      </c>
      <c r="G83" s="104">
        <f>SUMIFS('caseload data'!I:I,'caseload data'!$B:$B,"custody",'caseload data'!$C:$C,$B$82)</f>
        <v>0</v>
      </c>
      <c r="H83" s="104">
        <f>SUMIFS('caseload data'!J:J,'caseload data'!$B:$B,"custody",'caseload data'!$C:$C,$B$82)</f>
        <v>0</v>
      </c>
      <c r="I83" s="104">
        <f>SUMIFS('caseload data'!K:K,'caseload data'!$B:$B,"custody",'caseload data'!$C:$C,$B$82)</f>
        <v>0</v>
      </c>
      <c r="J83" s="104">
        <f>SUMIFS('caseload data'!L:L,'caseload data'!$B:$B,"custody",'caseload data'!$C:$C,$B$82)</f>
        <v>0</v>
      </c>
      <c r="K83" s="104">
        <f>SUMIFS('caseload data'!M:M,'caseload data'!$B:$B,"custody",'caseload data'!$C:$C,$B$82)</f>
        <v>0</v>
      </c>
      <c r="L83" s="104">
        <f>SUMIFS('caseload data'!N:N,'caseload data'!$B:$B,"custody",'caseload data'!$C:$C,$B$82)</f>
        <v>0</v>
      </c>
      <c r="M83" s="104">
        <f>SUMIFS('caseload data'!O:O,'caseload data'!$B:$B,"custody",'caseload data'!$C:$C,$B$82)</f>
        <v>0</v>
      </c>
      <c r="N83" s="104">
        <f>SUMIFS('caseload data'!P:P,'caseload data'!$B:$B,"custody",'caseload data'!$C:$C,$B$82)</f>
        <v>0</v>
      </c>
      <c r="O83" s="104">
        <f>SUMIFS('caseload data'!Q:Q,'caseload data'!$B:$B,"custody",'caseload data'!$C:$C,$B$82)</f>
        <v>0</v>
      </c>
      <c r="P83" s="104">
        <f>SUMIFS('caseload data'!R:R,'caseload data'!$B:$B,"custody",'caseload data'!$C:$C,$B$82)</f>
        <v>0</v>
      </c>
      <c r="Q83" s="104">
        <f>SUMIFS('caseload data'!S:S,'caseload data'!$B:$B,"custody",'caseload data'!$C:$C,$B$82)</f>
        <v>0</v>
      </c>
      <c r="R83" s="104">
        <f>SUMIFS('caseload data'!T:T,'caseload data'!$B:$B,"custody",'caseload data'!$C:$C,$B$82)</f>
        <v>0</v>
      </c>
      <c r="S83" s="104">
        <f>SUMIFS('caseload data'!$V:$V,'caseload data'!C:C,$B$82,'caseload data'!B:B,"custody")</f>
        <v>0</v>
      </c>
    </row>
    <row r="84" spans="2:19" x14ac:dyDescent="0.15">
      <c r="B84" s="84" t="s">
        <v>1057</v>
      </c>
      <c r="C84" s="84">
        <f>SUMIFS('caseload data'!E:E,'caseload data'!$B:$B,"licence",'caseload data'!$C:$C,$B$82)</f>
        <v>0</v>
      </c>
      <c r="D84" s="84">
        <f>SUMIFS('caseload data'!F:F,'caseload data'!$B:$B,"licence",'caseload data'!$C:$C,$B$82)</f>
        <v>0</v>
      </c>
      <c r="E84" s="84">
        <f>SUMIFS('caseload data'!G:G,'caseload data'!$B:$B,"licence",'caseload data'!$C:$C,$B$82)</f>
        <v>0</v>
      </c>
      <c r="F84" s="84">
        <f>SUMIFS('caseload data'!H:H,'caseload data'!$B:$B,"licence",'caseload data'!$C:$C,$B$82)</f>
        <v>0</v>
      </c>
      <c r="G84" s="84">
        <f>SUMIFS('caseload data'!I:I,'caseload data'!$B:$B,"licence",'caseload data'!$C:$C,$B$82)</f>
        <v>0</v>
      </c>
      <c r="H84" s="84">
        <f>SUMIFS('caseload data'!J:J,'caseload data'!$B:$B,"licence",'caseload data'!$C:$C,$B$82)</f>
        <v>0</v>
      </c>
      <c r="I84" s="84">
        <f>SUMIFS('caseload data'!K:K,'caseload data'!$B:$B,"licence",'caseload data'!$C:$C,$B$82)</f>
        <v>0</v>
      </c>
      <c r="J84" s="84">
        <f>SUMIFS('caseload data'!L:L,'caseload data'!$B:$B,"licence",'caseload data'!$C:$C,$B$82)</f>
        <v>0</v>
      </c>
      <c r="K84" s="84">
        <f>SUMIFS('caseload data'!M:M,'caseload data'!$B:$B,"licence",'caseload data'!$C:$C,$B$82)</f>
        <v>0</v>
      </c>
      <c r="L84" s="84">
        <f>SUMIFS('caseload data'!N:N,'caseload data'!$B:$B,"licence",'caseload data'!$C:$C,$B$82)</f>
        <v>0</v>
      </c>
      <c r="M84" s="84">
        <f>SUMIFS('caseload data'!O:O,'caseload data'!$B:$B,"licence",'caseload data'!$C:$C,$B$82)</f>
        <v>0</v>
      </c>
      <c r="N84" s="84">
        <f>SUMIFS('caseload data'!P:P,'caseload data'!$B:$B,"licence",'caseload data'!$C:$C,$B$82)</f>
        <v>0</v>
      </c>
      <c r="O84" s="84">
        <f>SUMIFS('caseload data'!Q:Q,'caseload data'!$B:$B,"licence",'caseload data'!$C:$C,$B$82)</f>
        <v>0</v>
      </c>
      <c r="P84" s="84">
        <f>SUMIFS('caseload data'!R:R,'caseload data'!$B:$B,"licence",'caseload data'!$C:$C,$B$82)</f>
        <v>0</v>
      </c>
      <c r="Q84" s="84">
        <f>SUMIFS('caseload data'!S:S,'caseload data'!$B:$B,"licence",'caseload data'!$C:$C,$B$82)</f>
        <v>0</v>
      </c>
      <c r="R84" s="84">
        <f>SUMIFS('caseload data'!T:T,'caseload data'!$B:$B,"licence",'caseload data'!$C:$C,$B$82)</f>
        <v>0</v>
      </c>
      <c r="S84" s="84">
        <f>SUMIFS('caseload data'!$V:$V,'caseload data'!C:C,$B$82,'caseload data'!B:B,"licence")</f>
        <v>0</v>
      </c>
    </row>
    <row r="85" spans="2:19" x14ac:dyDescent="0.15">
      <c r="B85" s="84" t="s">
        <v>1058</v>
      </c>
      <c r="C85" s="84">
        <f>SUMIFS('caseload data'!E:E,'caseload data'!$B:$B,"community",'caseload data'!$C:$C,$B$82)</f>
        <v>0</v>
      </c>
      <c r="D85" s="84">
        <f>SUMIFS('caseload data'!F:F,'caseload data'!$B:$B,"community",'caseload data'!$C:$C,$B$82)</f>
        <v>0</v>
      </c>
      <c r="E85" s="84">
        <f>SUMIFS('caseload data'!G:G,'caseload data'!$B:$B,"community",'caseload data'!$C:$C,$B$82)</f>
        <v>0</v>
      </c>
      <c r="F85" s="84">
        <f>SUMIFS('caseload data'!H:H,'caseload data'!$B:$B,"community",'caseload data'!$C:$C,$B$82)</f>
        <v>0</v>
      </c>
      <c r="G85" s="84">
        <f>SUMIFS('caseload data'!I:I,'caseload data'!$B:$B,"community",'caseload data'!$C:$C,$B$82)</f>
        <v>0</v>
      </c>
      <c r="H85" s="84">
        <f>SUMIFS('caseload data'!J:J,'caseload data'!$B:$B,"community",'caseload data'!$C:$C,$B$82)</f>
        <v>0</v>
      </c>
      <c r="I85" s="84">
        <f>SUMIFS('caseload data'!K:K,'caseload data'!$B:$B,"community",'caseload data'!$C:$C,$B$82)</f>
        <v>0</v>
      </c>
      <c r="J85" s="84">
        <f>SUMIFS('caseload data'!L:L,'caseload data'!$B:$B,"community",'caseload data'!$C:$C,$B$82)</f>
        <v>0</v>
      </c>
      <c r="K85" s="84">
        <f>SUMIFS('caseload data'!M:M,'caseload data'!$B:$B,"community",'caseload data'!$C:$C,$B$82)</f>
        <v>0</v>
      </c>
      <c r="L85" s="84">
        <f>SUMIFS('caseload data'!N:N,'caseload data'!$B:$B,"community",'caseload data'!$C:$C,$B$82)</f>
        <v>0</v>
      </c>
      <c r="M85" s="84">
        <f>SUMIFS('caseload data'!O:O,'caseload data'!$B:$B,"community",'caseload data'!$C:$C,$B$82)</f>
        <v>0</v>
      </c>
      <c r="N85" s="84">
        <f>SUMIFS('caseload data'!P:P,'caseload data'!$B:$B,"community",'caseload data'!$C:$C,$B$82)</f>
        <v>0</v>
      </c>
      <c r="O85" s="84">
        <f>SUMIFS('caseload data'!Q:Q,'caseload data'!$B:$B,"community",'caseload data'!$C:$C,$B$82)</f>
        <v>0</v>
      </c>
      <c r="P85" s="84">
        <f>SUMIFS('caseload data'!R:R,'caseload data'!$B:$B,"community",'caseload data'!$C:$C,$B$82)</f>
        <v>0</v>
      </c>
      <c r="Q85" s="84">
        <f>SUMIFS('caseload data'!S:S,'caseload data'!$B:$B,"community",'caseload data'!$C:$C,$B$82)</f>
        <v>0</v>
      </c>
      <c r="R85" s="84">
        <f>SUMIFS('caseload data'!T:T,'caseload data'!$B:$B,"community",'caseload data'!$C:$C,$B$82)</f>
        <v>0</v>
      </c>
      <c r="S85" s="84">
        <f>SUMIFS('caseload data'!$V:$V,'caseload data'!C:C,$B$82,'caseload data'!B:B,"community")</f>
        <v>0</v>
      </c>
    </row>
    <row r="86" spans="2:19" x14ac:dyDescent="0.15">
      <c r="B86" s="120" t="s">
        <v>939</v>
      </c>
      <c r="C86" s="120">
        <f>SUMIF('caseload data'!$C:$C,$B$82,'caseload data'!E:E)</f>
        <v>0</v>
      </c>
      <c r="D86" s="120">
        <f>SUMIF('caseload data'!$C:$C,$B$82,'caseload data'!F:F)</f>
        <v>0</v>
      </c>
      <c r="E86" s="120">
        <f>SUMIF('caseload data'!$C:$C,$B$82,'caseload data'!G:G)</f>
        <v>0</v>
      </c>
      <c r="F86" s="120">
        <f>SUMIF('caseload data'!$C:$C,$B$82,'caseload data'!H:H)</f>
        <v>0</v>
      </c>
      <c r="G86" s="120">
        <f>SUMIF('caseload data'!$C:$C,$B$82,'caseload data'!I:I)</f>
        <v>0</v>
      </c>
      <c r="H86" s="120">
        <f>SUMIF('caseload data'!$C:$C,$B$82,'caseload data'!J:J)</f>
        <v>0</v>
      </c>
      <c r="I86" s="120">
        <f>SUMIF('caseload data'!$C:$C,$B$82,'caseload data'!K:K)</f>
        <v>0</v>
      </c>
      <c r="J86" s="120">
        <f>SUMIF('caseload data'!$C:$C,$B$82,'caseload data'!L:L)</f>
        <v>0</v>
      </c>
      <c r="K86" s="120">
        <f>SUMIF('caseload data'!$C:$C,$B$82,'caseload data'!M:M)</f>
        <v>0</v>
      </c>
      <c r="L86" s="120">
        <f>SUMIF('caseload data'!$C:$C,$B$82,'caseload data'!N:N)</f>
        <v>0</v>
      </c>
      <c r="M86" s="120">
        <f>SUMIF('caseload data'!$C:$C,$B$82,'caseload data'!O:O)</f>
        <v>0</v>
      </c>
      <c r="N86" s="120">
        <f>SUMIF('caseload data'!$C:$C,$B$82,'caseload data'!P:P)</f>
        <v>0</v>
      </c>
      <c r="O86" s="120">
        <f>SUMIF('caseload data'!$C:$C,$B$82,'caseload data'!Q:Q)</f>
        <v>0</v>
      </c>
      <c r="P86" s="120">
        <f>SUMIF('caseload data'!$C:$C,$B$82,'caseload data'!R:R)</f>
        <v>0</v>
      </c>
      <c r="Q86" s="120">
        <f>SUMIF('caseload data'!$C:$C,$B$82,'caseload data'!S:S)</f>
        <v>0</v>
      </c>
      <c r="R86" s="120">
        <f>SUMIF('caseload data'!$C:$C,$B$82,'caseload data'!T:T)</f>
        <v>0</v>
      </c>
      <c r="S86" s="120">
        <f>SUMIF('caseload data'!C:C,B82,'caseload data'!V:V)</f>
        <v>0</v>
      </c>
    </row>
    <row r="87" spans="2:19" ht="16" x14ac:dyDescent="0.2">
      <c r="E87" s="1"/>
      <c r="F87" s="1"/>
    </row>
    <row r="88" spans="2:19" ht="16" x14ac:dyDescent="0.2">
      <c r="B88" s="23"/>
      <c r="C88" s="303" t="s">
        <v>1090</v>
      </c>
      <c r="D88" s="304"/>
      <c r="E88" s="304"/>
      <c r="F88" s="304"/>
      <c r="G88" s="304"/>
      <c r="H88" s="304"/>
      <c r="I88" s="304"/>
      <c r="J88" s="304"/>
      <c r="K88" s="304"/>
      <c r="L88" s="304"/>
      <c r="M88" s="304"/>
      <c r="N88" s="304"/>
      <c r="O88" s="304"/>
      <c r="P88" s="304"/>
      <c r="Q88" s="304"/>
      <c r="R88" s="304"/>
    </row>
    <row r="89" spans="2:19" x14ac:dyDescent="0.15">
      <c r="B89" s="124" t="str">
        <f>B6</f>
        <v>Worcestershire - N52</v>
      </c>
      <c r="C89" s="41" t="s">
        <v>922</v>
      </c>
      <c r="D89" s="41" t="s">
        <v>923</v>
      </c>
      <c r="E89" s="41" t="s">
        <v>924</v>
      </c>
      <c r="F89" s="41" t="s">
        <v>925</v>
      </c>
      <c r="G89" s="41" t="s">
        <v>926</v>
      </c>
      <c r="H89" s="41" t="s">
        <v>927</v>
      </c>
      <c r="I89" s="41" t="s">
        <v>928</v>
      </c>
      <c r="J89" s="41" t="s">
        <v>929</v>
      </c>
      <c r="K89" s="41" t="s">
        <v>930</v>
      </c>
      <c r="L89" s="41" t="s">
        <v>931</v>
      </c>
      <c r="M89" s="41" t="s">
        <v>932</v>
      </c>
      <c r="N89" s="41" t="s">
        <v>933</v>
      </c>
      <c r="O89" s="41" t="s">
        <v>934</v>
      </c>
      <c r="P89" s="41" t="s">
        <v>935</v>
      </c>
      <c r="Q89" s="41" t="s">
        <v>936</v>
      </c>
      <c r="R89" s="41" t="s">
        <v>937</v>
      </c>
    </row>
    <row r="90" spans="2:19" x14ac:dyDescent="0.15">
      <c r="B90" s="84" t="s">
        <v>1056</v>
      </c>
      <c r="C90" s="75" t="e">
        <f t="shared" ref="C90:P90" si="0">C83/$S$83</f>
        <v>#DIV/0!</v>
      </c>
      <c r="D90" s="75" t="e">
        <f t="shared" si="0"/>
        <v>#DIV/0!</v>
      </c>
      <c r="E90" s="75" t="e">
        <f t="shared" si="0"/>
        <v>#DIV/0!</v>
      </c>
      <c r="F90" s="75" t="e">
        <f t="shared" si="0"/>
        <v>#DIV/0!</v>
      </c>
      <c r="G90" s="75" t="e">
        <f t="shared" si="0"/>
        <v>#DIV/0!</v>
      </c>
      <c r="H90" s="75" t="e">
        <f t="shared" si="0"/>
        <v>#DIV/0!</v>
      </c>
      <c r="I90" s="75" t="e">
        <f t="shared" si="0"/>
        <v>#DIV/0!</v>
      </c>
      <c r="J90" s="75" t="e">
        <f t="shared" si="0"/>
        <v>#DIV/0!</v>
      </c>
      <c r="K90" s="75" t="e">
        <f t="shared" si="0"/>
        <v>#DIV/0!</v>
      </c>
      <c r="L90" s="75" t="e">
        <f t="shared" si="0"/>
        <v>#DIV/0!</v>
      </c>
      <c r="M90" s="75" t="e">
        <f t="shared" si="0"/>
        <v>#DIV/0!</v>
      </c>
      <c r="N90" s="75" t="e">
        <f t="shared" si="0"/>
        <v>#DIV/0!</v>
      </c>
      <c r="O90" s="75" t="e">
        <f t="shared" si="0"/>
        <v>#DIV/0!</v>
      </c>
      <c r="P90" s="75" t="e">
        <f t="shared" si="0"/>
        <v>#DIV/0!</v>
      </c>
      <c r="Q90" s="75" t="e">
        <f t="shared" ref="Q90:R90" si="1">Q83/$S$83</f>
        <v>#DIV/0!</v>
      </c>
      <c r="R90" s="75" t="e">
        <f t="shared" si="1"/>
        <v>#DIV/0!</v>
      </c>
    </row>
    <row r="91" spans="2:19" x14ac:dyDescent="0.15">
      <c r="B91" s="84" t="s">
        <v>1057</v>
      </c>
      <c r="C91" s="75" t="e">
        <f>C84/$S$83</f>
        <v>#DIV/0!</v>
      </c>
      <c r="D91" s="75" t="e">
        <f t="shared" ref="D91:P91" si="2">D84/$S$84</f>
        <v>#DIV/0!</v>
      </c>
      <c r="E91" s="75" t="e">
        <f t="shared" si="2"/>
        <v>#DIV/0!</v>
      </c>
      <c r="F91" s="75" t="e">
        <f t="shared" si="2"/>
        <v>#DIV/0!</v>
      </c>
      <c r="G91" s="75" t="e">
        <f t="shared" si="2"/>
        <v>#DIV/0!</v>
      </c>
      <c r="H91" s="75" t="e">
        <f t="shared" si="2"/>
        <v>#DIV/0!</v>
      </c>
      <c r="I91" s="75" t="e">
        <f t="shared" si="2"/>
        <v>#DIV/0!</v>
      </c>
      <c r="J91" s="75" t="e">
        <f t="shared" si="2"/>
        <v>#DIV/0!</v>
      </c>
      <c r="K91" s="75" t="e">
        <f t="shared" si="2"/>
        <v>#DIV/0!</v>
      </c>
      <c r="L91" s="75" t="e">
        <f t="shared" si="2"/>
        <v>#DIV/0!</v>
      </c>
      <c r="M91" s="75" t="e">
        <f t="shared" si="2"/>
        <v>#DIV/0!</v>
      </c>
      <c r="N91" s="75" t="e">
        <f t="shared" si="2"/>
        <v>#DIV/0!</v>
      </c>
      <c r="O91" s="75" t="e">
        <f t="shared" si="2"/>
        <v>#DIV/0!</v>
      </c>
      <c r="P91" s="75" t="e">
        <f t="shared" si="2"/>
        <v>#DIV/0!</v>
      </c>
      <c r="Q91" s="75" t="e">
        <f t="shared" ref="Q91:R91" si="3">Q84/$S$84</f>
        <v>#DIV/0!</v>
      </c>
      <c r="R91" s="75" t="e">
        <f t="shared" si="3"/>
        <v>#DIV/0!</v>
      </c>
    </row>
    <row r="92" spans="2:19" ht="15.75" customHeight="1" x14ac:dyDescent="0.15">
      <c r="B92" s="84" t="s">
        <v>1058</v>
      </c>
      <c r="C92" s="75" t="e">
        <f>C85/$S$83</f>
        <v>#DIV/0!</v>
      </c>
      <c r="D92" s="75" t="e">
        <f t="shared" ref="D92:P92" si="4">D85/$S$85</f>
        <v>#DIV/0!</v>
      </c>
      <c r="E92" s="75" t="e">
        <f t="shared" si="4"/>
        <v>#DIV/0!</v>
      </c>
      <c r="F92" s="75" t="e">
        <f t="shared" si="4"/>
        <v>#DIV/0!</v>
      </c>
      <c r="G92" s="75" t="e">
        <f t="shared" si="4"/>
        <v>#DIV/0!</v>
      </c>
      <c r="H92" s="75" t="e">
        <f t="shared" si="4"/>
        <v>#DIV/0!</v>
      </c>
      <c r="I92" s="75" t="e">
        <f t="shared" si="4"/>
        <v>#DIV/0!</v>
      </c>
      <c r="J92" s="75" t="e">
        <f t="shared" si="4"/>
        <v>#DIV/0!</v>
      </c>
      <c r="K92" s="75" t="e">
        <f t="shared" si="4"/>
        <v>#DIV/0!</v>
      </c>
      <c r="L92" s="75" t="e">
        <f t="shared" si="4"/>
        <v>#DIV/0!</v>
      </c>
      <c r="M92" s="75" t="e">
        <f t="shared" si="4"/>
        <v>#DIV/0!</v>
      </c>
      <c r="N92" s="75" t="e">
        <f t="shared" si="4"/>
        <v>#DIV/0!</v>
      </c>
      <c r="O92" s="75" t="e">
        <f t="shared" si="4"/>
        <v>#DIV/0!</v>
      </c>
      <c r="P92" s="75" t="e">
        <f t="shared" si="4"/>
        <v>#DIV/0!</v>
      </c>
      <c r="Q92" s="75" t="e">
        <f t="shared" ref="Q92:R92" si="5">Q85/$S$85</f>
        <v>#DIV/0!</v>
      </c>
      <c r="R92" s="75" t="e">
        <f t="shared" si="5"/>
        <v>#DIV/0!</v>
      </c>
    </row>
    <row r="93" spans="2:19" ht="14.25" customHeight="1" x14ac:dyDescent="0.15">
      <c r="B93" s="120" t="s">
        <v>939</v>
      </c>
      <c r="C93" s="125" t="e">
        <f t="shared" ref="C93:P93" si="6">C86/$S$86</f>
        <v>#DIV/0!</v>
      </c>
      <c r="D93" s="125" t="e">
        <f t="shared" si="6"/>
        <v>#DIV/0!</v>
      </c>
      <c r="E93" s="125" t="e">
        <f t="shared" si="6"/>
        <v>#DIV/0!</v>
      </c>
      <c r="F93" s="125" t="e">
        <f t="shared" si="6"/>
        <v>#DIV/0!</v>
      </c>
      <c r="G93" s="125" t="e">
        <f t="shared" si="6"/>
        <v>#DIV/0!</v>
      </c>
      <c r="H93" s="125" t="e">
        <f t="shared" si="6"/>
        <v>#DIV/0!</v>
      </c>
      <c r="I93" s="125" t="e">
        <f t="shared" si="6"/>
        <v>#DIV/0!</v>
      </c>
      <c r="J93" s="125" t="e">
        <f t="shared" si="6"/>
        <v>#DIV/0!</v>
      </c>
      <c r="K93" s="125" t="e">
        <f t="shared" si="6"/>
        <v>#DIV/0!</v>
      </c>
      <c r="L93" s="125" t="e">
        <f t="shared" si="6"/>
        <v>#DIV/0!</v>
      </c>
      <c r="M93" s="125" t="e">
        <f t="shared" si="6"/>
        <v>#DIV/0!</v>
      </c>
      <c r="N93" s="125" t="e">
        <f t="shared" si="6"/>
        <v>#DIV/0!</v>
      </c>
      <c r="O93" s="125" t="e">
        <f t="shared" si="6"/>
        <v>#DIV/0!</v>
      </c>
      <c r="P93" s="125" t="e">
        <f t="shared" si="6"/>
        <v>#DIV/0!</v>
      </c>
      <c r="Q93" s="125" t="e">
        <f t="shared" ref="Q93:R93" si="7">Q86/$S$86</f>
        <v>#DIV/0!</v>
      </c>
      <c r="R93" s="125" t="e">
        <f t="shared" si="7"/>
        <v>#DIV/0!</v>
      </c>
    </row>
    <row r="94" spans="2:19" ht="14.25" customHeight="1" x14ac:dyDescent="0.15"/>
    <row r="95" spans="2:19" ht="14.25" customHeight="1" x14ac:dyDescent="0.15"/>
    <row r="96" spans="2:19" ht="14.25" customHeight="1" x14ac:dyDescent="0.15"/>
    <row r="97" spans="2:37" ht="16" x14ac:dyDescent="0.2">
      <c r="B97" s="124" t="str">
        <f>B6</f>
        <v>Worcestershire - N52</v>
      </c>
      <c r="C97" s="319" t="s">
        <v>1091</v>
      </c>
      <c r="D97" s="323"/>
      <c r="E97" s="323"/>
      <c r="F97" s="323"/>
      <c r="G97" s="323"/>
      <c r="H97" s="323"/>
      <c r="I97" s="323"/>
      <c r="J97" s="323"/>
      <c r="K97" s="323"/>
      <c r="L97" s="323"/>
      <c r="M97" s="323"/>
      <c r="N97" s="323"/>
      <c r="O97" s="323"/>
      <c r="P97" s="323"/>
      <c r="Q97" s="323"/>
      <c r="R97" s="323"/>
      <c r="U97" s="124" t="str">
        <f>B6</f>
        <v>Worcestershire - N52</v>
      </c>
      <c r="V97" s="319" t="s">
        <v>1092</v>
      </c>
      <c r="W97" s="323"/>
      <c r="X97" s="323"/>
      <c r="Y97" s="323"/>
      <c r="Z97" s="323"/>
      <c r="AA97" s="323"/>
      <c r="AB97" s="323"/>
      <c r="AC97" s="323"/>
      <c r="AD97" s="323"/>
      <c r="AE97" s="323"/>
      <c r="AF97" s="323"/>
      <c r="AG97" s="323"/>
      <c r="AH97" s="323"/>
      <c r="AI97" s="323"/>
      <c r="AJ97" s="323"/>
      <c r="AK97" s="323"/>
    </row>
    <row r="98" spans="2:37" ht="14.25" customHeight="1" x14ac:dyDescent="0.15">
      <c r="C98" s="41" t="s">
        <v>922</v>
      </c>
      <c r="D98" s="41" t="s">
        <v>923</v>
      </c>
      <c r="E98" s="41" t="s">
        <v>924</v>
      </c>
      <c r="F98" s="41" t="s">
        <v>925</v>
      </c>
      <c r="G98" s="41" t="s">
        <v>926</v>
      </c>
      <c r="H98" s="41" t="s">
        <v>927</v>
      </c>
      <c r="I98" s="41" t="s">
        <v>928</v>
      </c>
      <c r="J98" s="41" t="s">
        <v>929</v>
      </c>
      <c r="K98" s="41" t="s">
        <v>930</v>
      </c>
      <c r="L98" s="41" t="s">
        <v>931</v>
      </c>
      <c r="M98" s="41" t="s">
        <v>932</v>
      </c>
      <c r="N98" s="41" t="s">
        <v>933</v>
      </c>
      <c r="O98" s="41" t="s">
        <v>934</v>
      </c>
      <c r="P98" s="41" t="s">
        <v>935</v>
      </c>
      <c r="Q98" s="41" t="s">
        <v>936</v>
      </c>
      <c r="R98" s="41" t="s">
        <v>937</v>
      </c>
      <c r="U98" s="105" t="s">
        <v>1065</v>
      </c>
      <c r="V98" s="41" t="s">
        <v>922</v>
      </c>
      <c r="W98" s="41" t="s">
        <v>923</v>
      </c>
      <c r="X98" s="41" t="s">
        <v>924</v>
      </c>
      <c r="Y98" s="41" t="s">
        <v>925</v>
      </c>
      <c r="Z98" s="41" t="s">
        <v>926</v>
      </c>
      <c r="AA98" s="41" t="s">
        <v>927</v>
      </c>
      <c r="AB98" s="41" t="s">
        <v>928</v>
      </c>
      <c r="AC98" s="41" t="s">
        <v>929</v>
      </c>
      <c r="AD98" s="41" t="s">
        <v>930</v>
      </c>
      <c r="AE98" s="41" t="s">
        <v>931</v>
      </c>
      <c r="AF98" s="41" t="s">
        <v>932</v>
      </c>
      <c r="AG98" s="41" t="s">
        <v>933</v>
      </c>
      <c r="AH98" s="41" t="s">
        <v>934</v>
      </c>
      <c r="AI98" s="41" t="s">
        <v>935</v>
      </c>
      <c r="AJ98" s="41" t="s">
        <v>936</v>
      </c>
      <c r="AK98" s="41" t="s">
        <v>937</v>
      </c>
    </row>
    <row r="99" spans="2:37" ht="14.25" customHeight="1" x14ac:dyDescent="0.15">
      <c r="B99" s="84" t="s">
        <v>911</v>
      </c>
      <c r="C99" s="84">
        <f>SUMIFS('caseload data'!E:E,'caseload data'!$D:$D,"PO",'caseload data'!$C:$C,'cluster overview'!$B$97,'caseload data'!$B:$B,"community")</f>
        <v>0</v>
      </c>
      <c r="D99" s="84">
        <f>SUMIFS('caseload data'!F:F,'caseload data'!$D:$D,"PO",'caseload data'!$C:$C,'cluster overview'!$B$97,'caseload data'!$B:$B,"community")</f>
        <v>0</v>
      </c>
      <c r="E99" s="84">
        <f>SUMIFS('caseload data'!G:G,'caseload data'!$D:$D,"PO",'caseload data'!$C:$C,'cluster overview'!$B$97,'caseload data'!$B:$B,"community")</f>
        <v>0</v>
      </c>
      <c r="F99" s="84">
        <f>SUMIFS('caseload data'!H:H,'caseload data'!$D:$D,"PO",'caseload data'!$C:$C,'cluster overview'!$B$97,'caseload data'!$B:$B,"community")</f>
        <v>0</v>
      </c>
      <c r="G99" s="84">
        <f>SUMIFS('caseload data'!I:I,'caseload data'!$D:$D,"PO",'caseload data'!$C:$C,'cluster overview'!$B$97,'caseload data'!$B:$B,"community")</f>
        <v>0</v>
      </c>
      <c r="H99" s="84">
        <f>SUMIFS('caseload data'!J:J,'caseload data'!$D:$D,"PO",'caseload data'!$C:$C,'cluster overview'!$B$97,'caseload data'!$B:$B,"community")</f>
        <v>0</v>
      </c>
      <c r="I99" s="84">
        <f>SUMIFS('caseload data'!K:K,'caseload data'!$D:$D,"PO",'caseload data'!$C:$C,'cluster overview'!$B$97,'caseload data'!$B:$B,"community")</f>
        <v>0</v>
      </c>
      <c r="J99" s="84">
        <f>SUMIFS('caseload data'!L:L,'caseload data'!$D:$D,"PO",'caseload data'!$C:$C,'cluster overview'!$B$97,'caseload data'!$B:$B,"community")</f>
        <v>0</v>
      </c>
      <c r="K99" s="84">
        <f>SUMIFS('caseload data'!M:M,'caseload data'!$D:$D,"PO",'caseload data'!$C:$C,'cluster overview'!$B$97,'caseload data'!$B:$B,"community")</f>
        <v>0</v>
      </c>
      <c r="L99" s="84">
        <f>SUMIFS('caseload data'!N:N,'caseload data'!$D:$D,"PO",'caseload data'!$C:$C,'cluster overview'!$B$97,'caseload data'!$B:$B,"community")</f>
        <v>0</v>
      </c>
      <c r="M99" s="84">
        <f>SUMIFS('caseload data'!O:O,'caseload data'!$D:$D,"PO",'caseload data'!$C:$C,'cluster overview'!$B$97,'caseload data'!$B:$B,"community")</f>
        <v>0</v>
      </c>
      <c r="N99" s="84">
        <f>SUMIFS('caseload data'!P:P,'caseload data'!$D:$D,"PO",'caseload data'!$C:$C,'cluster overview'!$B$97,'caseload data'!$B:$B,"community")</f>
        <v>0</v>
      </c>
      <c r="O99" s="84">
        <f>SUMIFS('caseload data'!Q:Q,'caseload data'!$D:$D,"PO",'caseload data'!$C:$C,'cluster overview'!$B$97,'caseload data'!$B:$B,"community")</f>
        <v>0</v>
      </c>
      <c r="P99" s="84">
        <f>SUMIFS('caseload data'!R:R,'caseload data'!$D:$D,"PO",'caseload data'!$C:$C,'cluster overview'!$B$97,'caseload data'!$B:$B,"community")</f>
        <v>0</v>
      </c>
      <c r="Q99" s="84">
        <f>SUMIFS('caseload data'!S:S,'caseload data'!$D:$D,"PO",'caseload data'!$C:$C,'cluster overview'!$B$97,'caseload data'!$B:$B,"community")</f>
        <v>0</v>
      </c>
      <c r="R99" s="84">
        <f>SUMIFS('caseload data'!T:T,'caseload data'!$D:$D,"PO",'caseload data'!$C:$C,'cluster overview'!$B$97,'caseload data'!$B:$B,"community")</f>
        <v>0</v>
      </c>
      <c r="U99" s="84" t="s">
        <v>911</v>
      </c>
      <c r="V99" s="76" t="str">
        <f>IFERROR(C$99/SUM(C$99:C$102),"")</f>
        <v/>
      </c>
      <c r="W99" s="76" t="str">
        <f t="shared" ref="W99:AK99" si="8">IFERROR(D$99/SUM(D$99:D$102),"")</f>
        <v/>
      </c>
      <c r="X99" s="76" t="str">
        <f t="shared" si="8"/>
        <v/>
      </c>
      <c r="Y99" s="76" t="str">
        <f t="shared" si="8"/>
        <v/>
      </c>
      <c r="Z99" s="76" t="str">
        <f t="shared" si="8"/>
        <v/>
      </c>
      <c r="AA99" s="76" t="str">
        <f t="shared" si="8"/>
        <v/>
      </c>
      <c r="AB99" s="76" t="str">
        <f t="shared" si="8"/>
        <v/>
      </c>
      <c r="AC99" s="76" t="str">
        <f t="shared" si="8"/>
        <v/>
      </c>
      <c r="AD99" s="76" t="str">
        <f t="shared" si="8"/>
        <v/>
      </c>
      <c r="AE99" s="76" t="str">
        <f t="shared" si="8"/>
        <v/>
      </c>
      <c r="AF99" s="76" t="str">
        <f t="shared" si="8"/>
        <v/>
      </c>
      <c r="AG99" s="76" t="str">
        <f t="shared" si="8"/>
        <v/>
      </c>
      <c r="AH99" s="76" t="str">
        <f t="shared" si="8"/>
        <v/>
      </c>
      <c r="AI99" s="76" t="str">
        <f t="shared" si="8"/>
        <v/>
      </c>
      <c r="AJ99" s="76" t="str">
        <f t="shared" si="8"/>
        <v/>
      </c>
      <c r="AK99" s="76" t="str">
        <f t="shared" si="8"/>
        <v/>
      </c>
    </row>
    <row r="100" spans="2:37" ht="14.25" customHeight="1" x14ac:dyDescent="0.15">
      <c r="B100" s="84" t="s">
        <v>912</v>
      </c>
      <c r="C100" s="84">
        <f>SUMIFS('caseload data'!E:E,'caseload data'!$D:$D,"PSO",'caseload data'!$C:$C,'cluster overview'!$B$97,'caseload data'!$B:$B,"community")</f>
        <v>0</v>
      </c>
      <c r="D100" s="84">
        <f>SUMIFS('caseload data'!F:F,'caseload data'!$D:$D,"PSO",'caseload data'!$C:$C,'cluster overview'!$B$97,'caseload data'!$B:$B,"community")</f>
        <v>0</v>
      </c>
      <c r="E100" s="84">
        <f>SUMIFS('caseload data'!G:G,'caseload data'!$D:$D,"PSO",'caseload data'!$C:$C,'cluster overview'!$B$97,'caseload data'!$B:$B,"community")</f>
        <v>0</v>
      </c>
      <c r="F100" s="84">
        <f>SUMIFS('caseload data'!H:H,'caseload data'!$D:$D,"PSO",'caseload data'!$C:$C,'cluster overview'!$B$97,'caseload data'!$B:$B,"community")</f>
        <v>0</v>
      </c>
      <c r="G100" s="84">
        <f>SUMIFS('caseload data'!I:I,'caseload data'!$D:$D,"PSO",'caseload data'!$C:$C,'cluster overview'!$B$97,'caseload data'!$B:$B,"community")</f>
        <v>0</v>
      </c>
      <c r="H100" s="84">
        <f>SUMIFS('caseload data'!J:J,'caseload data'!$D:$D,"PSO",'caseload data'!$C:$C,'cluster overview'!$B$97,'caseload data'!$B:$B,"community")</f>
        <v>0</v>
      </c>
      <c r="I100" s="84">
        <f>SUMIFS('caseload data'!K:K,'caseload data'!$D:$D,"PSO",'caseload data'!$C:$C,'cluster overview'!$B$97,'caseload data'!$B:$B,"community")</f>
        <v>0</v>
      </c>
      <c r="J100" s="84">
        <f>SUMIFS('caseload data'!L:L,'caseload data'!$D:$D,"PSO",'caseload data'!$C:$C,'cluster overview'!$B$97,'caseload data'!$B:$B,"community")</f>
        <v>0</v>
      </c>
      <c r="K100" s="84">
        <f>SUMIFS('caseload data'!M:M,'caseload data'!$D:$D,"PSO",'caseload data'!$C:$C,'cluster overview'!$B$97,'caseload data'!$B:$B,"community")</f>
        <v>0</v>
      </c>
      <c r="L100" s="84">
        <f>SUMIFS('caseload data'!N:N,'caseload data'!$D:$D,"PSO",'caseload data'!$C:$C,'cluster overview'!$B$97,'caseload data'!$B:$B,"community")</f>
        <v>0</v>
      </c>
      <c r="M100" s="84">
        <f>SUMIFS('caseload data'!O:O,'caseload data'!$D:$D,"PSO",'caseload data'!$C:$C,'cluster overview'!$B$97,'caseload data'!$B:$B,"community")</f>
        <v>0</v>
      </c>
      <c r="N100" s="84">
        <f>SUMIFS('caseload data'!P:P,'caseload data'!$D:$D,"PSO",'caseload data'!$C:$C,'cluster overview'!$B$97,'caseload data'!$B:$B,"community")</f>
        <v>0</v>
      </c>
      <c r="O100" s="84">
        <f>SUMIFS('caseload data'!Q:Q,'caseload data'!$D:$D,"PSO",'caseload data'!$C:$C,'cluster overview'!$B$97,'caseload data'!$B:$B,"community")</f>
        <v>0</v>
      </c>
      <c r="P100" s="84">
        <f>SUMIFS('caseload data'!R:R,'caseload data'!$D:$D,"PSO",'caseload data'!$C:$C,'cluster overview'!$B$97,'caseload data'!$B:$B,"community")</f>
        <v>0</v>
      </c>
      <c r="Q100" s="84">
        <f>SUMIFS('caseload data'!S:S,'caseload data'!$D:$D,"PSO",'caseload data'!$C:$C,'cluster overview'!$B$97,'caseload data'!$B:$B,"community")</f>
        <v>0</v>
      </c>
      <c r="R100" s="84">
        <f>SUMIFS('caseload data'!T:T,'caseload data'!$D:$D,"PSO",'caseload data'!$C:$C,'cluster overview'!$B$97,'caseload data'!$B:$B,"community")</f>
        <v>0</v>
      </c>
      <c r="U100" s="84" t="s">
        <v>912</v>
      </c>
      <c r="V100" s="76" t="str">
        <f>IFERROR(C$100/SUM(C$99:C$102),"")</f>
        <v/>
      </c>
      <c r="W100" s="76" t="str">
        <f t="shared" ref="W100:AK100" si="9">IFERROR(D$100/SUM(D$99:D$102),"")</f>
        <v/>
      </c>
      <c r="X100" s="76" t="str">
        <f t="shared" si="9"/>
        <v/>
      </c>
      <c r="Y100" s="76" t="str">
        <f t="shared" si="9"/>
        <v/>
      </c>
      <c r="Z100" s="76" t="str">
        <f t="shared" si="9"/>
        <v/>
      </c>
      <c r="AA100" s="76" t="str">
        <f t="shared" si="9"/>
        <v/>
      </c>
      <c r="AB100" s="76" t="str">
        <f t="shared" si="9"/>
        <v/>
      </c>
      <c r="AC100" s="76" t="str">
        <f t="shared" si="9"/>
        <v/>
      </c>
      <c r="AD100" s="76" t="str">
        <f t="shared" si="9"/>
        <v/>
      </c>
      <c r="AE100" s="76" t="str">
        <f t="shared" si="9"/>
        <v/>
      </c>
      <c r="AF100" s="76" t="str">
        <f t="shared" si="9"/>
        <v/>
      </c>
      <c r="AG100" s="76" t="str">
        <f t="shared" si="9"/>
        <v/>
      </c>
      <c r="AH100" s="76" t="str">
        <f t="shared" si="9"/>
        <v/>
      </c>
      <c r="AI100" s="76" t="str">
        <f t="shared" si="9"/>
        <v/>
      </c>
      <c r="AJ100" s="76" t="str">
        <f t="shared" si="9"/>
        <v/>
      </c>
      <c r="AK100" s="76" t="str">
        <f t="shared" si="9"/>
        <v/>
      </c>
    </row>
    <row r="101" spans="2:37" ht="14.25" customHeight="1" x14ac:dyDescent="0.15">
      <c r="B101" s="84" t="s">
        <v>913</v>
      </c>
      <c r="C101" s="84">
        <f>SUMIFS('caseload data'!E:E,'caseload data'!$D:$D,"TPO",'caseload data'!$C:$C,'cluster overview'!$B$97,'caseload data'!$B:$B,"community")</f>
        <v>0</v>
      </c>
      <c r="D101" s="84">
        <f>SUMIFS('caseload data'!F:F,'caseload data'!$D:$D,"TPO",'caseload data'!$C:$C,'cluster overview'!$B$97,'caseload data'!$B:$B,"community")</f>
        <v>0</v>
      </c>
      <c r="E101" s="84">
        <f>SUMIFS('caseload data'!G:G,'caseload data'!$D:$D,"TPO",'caseload data'!$C:$C,'cluster overview'!$B$97,'caseload data'!$B:$B,"community")</f>
        <v>0</v>
      </c>
      <c r="F101" s="84">
        <f>SUMIFS('caseload data'!H:H,'caseload data'!$D:$D,"TPO",'caseload data'!$C:$C,'cluster overview'!$B$97,'caseload data'!$B:$B,"community")</f>
        <v>0</v>
      </c>
      <c r="G101" s="84">
        <f>SUMIFS('caseload data'!I:I,'caseload data'!$D:$D,"TPO",'caseload data'!$C:$C,'cluster overview'!$B$97,'caseload data'!$B:$B,"community")</f>
        <v>0</v>
      </c>
      <c r="H101" s="84">
        <f>SUMIFS('caseload data'!J:J,'caseload data'!$D:$D,"TPO",'caseload data'!$C:$C,'cluster overview'!$B$97,'caseload data'!$B:$B,"community")</f>
        <v>0</v>
      </c>
      <c r="I101" s="84">
        <f>SUMIFS('caseload data'!K:K,'caseload data'!$D:$D,"TPO",'caseload data'!$C:$C,'cluster overview'!$B$97,'caseload data'!$B:$B,"community")</f>
        <v>0</v>
      </c>
      <c r="J101" s="84">
        <f>SUMIFS('caseload data'!L:L,'caseload data'!$D:$D,"TPO",'caseload data'!$C:$C,'cluster overview'!$B$97,'caseload data'!$B:$B,"community")</f>
        <v>0</v>
      </c>
      <c r="K101" s="84">
        <f>SUMIFS('caseload data'!M:M,'caseload data'!$D:$D,"TPO",'caseload data'!$C:$C,'cluster overview'!$B$97,'caseload data'!$B:$B,"community")</f>
        <v>0</v>
      </c>
      <c r="L101" s="84">
        <f>SUMIFS('caseload data'!N:N,'caseload data'!$D:$D,"TPO",'caseload data'!$C:$C,'cluster overview'!$B$97,'caseload data'!$B:$B,"community")</f>
        <v>0</v>
      </c>
      <c r="M101" s="84">
        <f>SUMIFS('caseload data'!O:O,'caseload data'!$D:$D,"TPO",'caseload data'!$C:$C,'cluster overview'!$B$97,'caseload data'!$B:$B,"community")</f>
        <v>0</v>
      </c>
      <c r="N101" s="84">
        <f>SUMIFS('caseload data'!P:P,'caseload data'!$D:$D,"TPO",'caseload data'!$C:$C,'cluster overview'!$B$97,'caseload data'!$B:$B,"community")</f>
        <v>0</v>
      </c>
      <c r="O101" s="84">
        <f>SUMIFS('caseload data'!Q:Q,'caseload data'!$D:$D,"TPO",'caseload data'!$C:$C,'cluster overview'!$B$97,'caseload data'!$B:$B,"community")</f>
        <v>0</v>
      </c>
      <c r="P101" s="84">
        <f>SUMIFS('caseload data'!R:R,'caseload data'!$D:$D,"TPO",'caseload data'!$C:$C,'cluster overview'!$B$97,'caseload data'!$B:$B,"community")</f>
        <v>0</v>
      </c>
      <c r="Q101" s="84">
        <f>SUMIFS('caseload data'!S:S,'caseload data'!$D:$D,"TPO",'caseload data'!$C:$C,'cluster overview'!$B$97,'caseload data'!$B:$B,"community")</f>
        <v>0</v>
      </c>
      <c r="R101" s="84">
        <f>SUMIFS('caseload data'!T:T,'caseload data'!$D:$D,"TPO",'caseload data'!$C:$C,'cluster overview'!$B$97,'caseload data'!$B:$B,"community")</f>
        <v>0</v>
      </c>
      <c r="U101" s="84" t="s">
        <v>913</v>
      </c>
      <c r="V101" s="76" t="str">
        <f>IFERROR(C$101/SUM(C$99:C$102),"")</f>
        <v/>
      </c>
      <c r="W101" s="76" t="str">
        <f t="shared" ref="W101:AK101" si="10">IFERROR(D$101/SUM(D$99:D$102),"")</f>
        <v/>
      </c>
      <c r="X101" s="76" t="str">
        <f t="shared" si="10"/>
        <v/>
      </c>
      <c r="Y101" s="76" t="str">
        <f t="shared" si="10"/>
        <v/>
      </c>
      <c r="Z101" s="76" t="str">
        <f t="shared" si="10"/>
        <v/>
      </c>
      <c r="AA101" s="76" t="str">
        <f t="shared" si="10"/>
        <v/>
      </c>
      <c r="AB101" s="76" t="str">
        <f t="shared" si="10"/>
        <v/>
      </c>
      <c r="AC101" s="76" t="str">
        <f t="shared" si="10"/>
        <v/>
      </c>
      <c r="AD101" s="76" t="str">
        <f t="shared" si="10"/>
        <v/>
      </c>
      <c r="AE101" s="76" t="str">
        <f t="shared" si="10"/>
        <v/>
      </c>
      <c r="AF101" s="76" t="str">
        <f t="shared" si="10"/>
        <v/>
      </c>
      <c r="AG101" s="76" t="str">
        <f t="shared" si="10"/>
        <v/>
      </c>
      <c r="AH101" s="76" t="str">
        <f t="shared" si="10"/>
        <v/>
      </c>
      <c r="AI101" s="76" t="str">
        <f t="shared" si="10"/>
        <v/>
      </c>
      <c r="AJ101" s="76" t="str">
        <f t="shared" si="10"/>
        <v/>
      </c>
      <c r="AK101" s="76" t="str">
        <f t="shared" si="10"/>
        <v/>
      </c>
    </row>
    <row r="102" spans="2:37" ht="14.25" customHeight="1" x14ac:dyDescent="0.15">
      <c r="B102" s="84" t="s">
        <v>914</v>
      </c>
      <c r="C102" s="84">
        <f>SUMIFS('caseload data'!E:E,'caseload data'!$D:$D,"SPO",'caseload data'!$C:$C,'cluster overview'!$B$97,'caseload data'!$B:$B,"community")</f>
        <v>0</v>
      </c>
      <c r="D102" s="84">
        <f>SUMIFS('caseload data'!F:F,'caseload data'!$D:$D,"SPO",'caseload data'!$C:$C,'cluster overview'!$B$97,'caseload data'!$B:$B,"community")</f>
        <v>0</v>
      </c>
      <c r="E102" s="84">
        <f>SUMIFS('caseload data'!G:G,'caseload data'!$D:$D,"SPO",'caseload data'!$C:$C,'cluster overview'!$B$97,'caseload data'!$B:$B,"community")</f>
        <v>0</v>
      </c>
      <c r="F102" s="84">
        <f>SUMIFS('caseload data'!H:H,'caseload data'!$D:$D,"SPO",'caseload data'!$C:$C,'cluster overview'!$B$97,'caseload data'!$B:$B,"community")</f>
        <v>0</v>
      </c>
      <c r="G102" s="84">
        <f>SUMIFS('caseload data'!I:I,'caseload data'!$D:$D,"SPO",'caseload data'!$C:$C,'cluster overview'!$B$97,'caseload data'!$B:$B,"community")</f>
        <v>0</v>
      </c>
      <c r="H102" s="84">
        <f>SUMIFS('caseload data'!J:J,'caseload data'!$D:$D,"SPO",'caseload data'!$C:$C,'cluster overview'!$B$97,'caseload data'!$B:$B,"community")</f>
        <v>0</v>
      </c>
      <c r="I102" s="84">
        <f>SUMIFS('caseload data'!K:K,'caseload data'!$D:$D,"SPO",'caseload data'!$C:$C,'cluster overview'!$B$97,'caseload data'!$B:$B,"community")</f>
        <v>0</v>
      </c>
      <c r="J102" s="84">
        <f>SUMIFS('caseload data'!L:L,'caseload data'!$D:$D,"SPO",'caseload data'!$C:$C,'cluster overview'!$B$97,'caseload data'!$B:$B,"community")</f>
        <v>0</v>
      </c>
      <c r="K102" s="84">
        <f>SUMIFS('caseload data'!M:M,'caseload data'!$D:$D,"SPO",'caseload data'!$C:$C,'cluster overview'!$B$97,'caseload data'!$B:$B,"community")</f>
        <v>0</v>
      </c>
      <c r="L102" s="84">
        <f>SUMIFS('caseload data'!N:N,'caseload data'!$D:$D,"SPO",'caseload data'!$C:$C,'cluster overview'!$B$97,'caseload data'!$B:$B,"community")</f>
        <v>0</v>
      </c>
      <c r="M102" s="84">
        <f>SUMIFS('caseload data'!O:O,'caseload data'!$D:$D,"SPO",'caseload data'!$C:$C,'cluster overview'!$B$97,'caseload data'!$B:$B,"community")</f>
        <v>0</v>
      </c>
      <c r="N102" s="84">
        <f>SUMIFS('caseload data'!P:P,'caseload data'!$D:$D,"SPO",'caseload data'!$C:$C,'cluster overview'!$B$97,'caseload data'!$B:$B,"community")</f>
        <v>0</v>
      </c>
      <c r="O102" s="84">
        <f>SUMIFS('caseload data'!Q:Q,'caseload data'!$D:$D,"SPO",'caseload data'!$C:$C,'cluster overview'!$B$97,'caseload data'!$B:$B,"community")</f>
        <v>0</v>
      </c>
      <c r="P102" s="84">
        <f>SUMIFS('caseload data'!R:R,'caseload data'!$D:$D,"SPO",'caseload data'!$C:$C,'cluster overview'!$B$97,'caseload data'!$B:$B,"community")</f>
        <v>0</v>
      </c>
      <c r="Q102" s="84">
        <f>SUMIFS('caseload data'!S:S,'caseload data'!$D:$D,"SPO",'caseload data'!$C:$C,'cluster overview'!$B$97,'caseload data'!$B:$B,"community")</f>
        <v>0</v>
      </c>
      <c r="R102" s="84">
        <f>SUMIFS('caseload data'!T:T,'caseload data'!$D:$D,"SPO",'caseload data'!$C:$C,'cluster overview'!$B$97,'caseload data'!$B:$B,"community")</f>
        <v>0</v>
      </c>
      <c r="U102" s="84" t="s">
        <v>914</v>
      </c>
      <c r="V102" s="76" t="str">
        <f>IFERROR(C$102/SUM(C$99:C$102),"")</f>
        <v/>
      </c>
      <c r="W102" s="76" t="str">
        <f t="shared" ref="W102:AK102" si="11">IFERROR(D$102/SUM(D$99:D$102),"")</f>
        <v/>
      </c>
      <c r="X102" s="76" t="str">
        <f t="shared" si="11"/>
        <v/>
      </c>
      <c r="Y102" s="76" t="str">
        <f t="shared" si="11"/>
        <v/>
      </c>
      <c r="Z102" s="76" t="str">
        <f t="shared" si="11"/>
        <v/>
      </c>
      <c r="AA102" s="76" t="str">
        <f t="shared" si="11"/>
        <v/>
      </c>
      <c r="AB102" s="76" t="str">
        <f t="shared" si="11"/>
        <v/>
      </c>
      <c r="AC102" s="76" t="str">
        <f t="shared" si="11"/>
        <v/>
      </c>
      <c r="AD102" s="76" t="str">
        <f t="shared" si="11"/>
        <v/>
      </c>
      <c r="AE102" s="76" t="str">
        <f t="shared" si="11"/>
        <v/>
      </c>
      <c r="AF102" s="76" t="str">
        <f t="shared" si="11"/>
        <v/>
      </c>
      <c r="AG102" s="76" t="str">
        <f t="shared" si="11"/>
        <v/>
      </c>
      <c r="AH102" s="76" t="str">
        <f t="shared" si="11"/>
        <v/>
      </c>
      <c r="AI102" s="76" t="str">
        <f t="shared" si="11"/>
        <v/>
      </c>
      <c r="AJ102" s="76" t="str">
        <f t="shared" si="11"/>
        <v/>
      </c>
      <c r="AK102" s="76" t="str">
        <f t="shared" si="11"/>
        <v/>
      </c>
    </row>
    <row r="103" spans="2:37" ht="14.25" customHeight="1" x14ac:dyDescent="0.15">
      <c r="B103" s="23"/>
    </row>
    <row r="104" spans="2:37" ht="16" x14ac:dyDescent="0.2">
      <c r="B104" s="124" t="str">
        <f>B6</f>
        <v>Worcestershire - N52</v>
      </c>
      <c r="C104" s="319" t="s">
        <v>1093</v>
      </c>
      <c r="D104" s="323"/>
      <c r="E104" s="323"/>
      <c r="F104" s="323"/>
      <c r="G104" s="323"/>
      <c r="H104" s="323"/>
      <c r="I104" s="323"/>
      <c r="J104" s="323"/>
      <c r="K104" s="323"/>
      <c r="L104" s="323"/>
      <c r="M104" s="323"/>
      <c r="N104" s="323"/>
      <c r="O104" s="323"/>
      <c r="P104" s="323"/>
      <c r="Q104" s="323"/>
      <c r="R104" s="323"/>
      <c r="U104" s="124" t="str">
        <f>B6</f>
        <v>Worcestershire - N52</v>
      </c>
      <c r="V104" s="319" t="s">
        <v>1094</v>
      </c>
      <c r="W104" s="323"/>
      <c r="X104" s="323"/>
      <c r="Y104" s="323"/>
      <c r="Z104" s="323"/>
      <c r="AA104" s="323"/>
      <c r="AB104" s="323"/>
      <c r="AC104" s="323"/>
      <c r="AD104" s="323"/>
      <c r="AE104" s="323"/>
      <c r="AF104" s="323"/>
      <c r="AG104" s="323"/>
      <c r="AH104" s="323"/>
      <c r="AI104" s="323"/>
      <c r="AJ104" s="323"/>
      <c r="AK104" s="323"/>
    </row>
    <row r="105" spans="2:37" ht="14.25" customHeight="1" x14ac:dyDescent="0.15">
      <c r="B105" s="105" t="s">
        <v>1065</v>
      </c>
      <c r="C105" s="41" t="s">
        <v>922</v>
      </c>
      <c r="D105" s="41" t="s">
        <v>923</v>
      </c>
      <c r="E105" s="41" t="s">
        <v>924</v>
      </c>
      <c r="F105" s="41" t="s">
        <v>925</v>
      </c>
      <c r="G105" s="41" t="s">
        <v>926</v>
      </c>
      <c r="H105" s="41" t="s">
        <v>927</v>
      </c>
      <c r="I105" s="41" t="s">
        <v>928</v>
      </c>
      <c r="J105" s="41" t="s">
        <v>929</v>
      </c>
      <c r="K105" s="41" t="s">
        <v>930</v>
      </c>
      <c r="L105" s="41" t="s">
        <v>931</v>
      </c>
      <c r="M105" s="41" t="s">
        <v>932</v>
      </c>
      <c r="N105" s="41" t="s">
        <v>933</v>
      </c>
      <c r="O105" s="41" t="s">
        <v>934</v>
      </c>
      <c r="P105" s="41" t="s">
        <v>935</v>
      </c>
      <c r="Q105" s="41" t="s">
        <v>936</v>
      </c>
      <c r="R105" s="41" t="s">
        <v>937</v>
      </c>
      <c r="U105" s="105" t="s">
        <v>1065</v>
      </c>
      <c r="V105" s="41" t="s">
        <v>922</v>
      </c>
      <c r="W105" s="41" t="s">
        <v>923</v>
      </c>
      <c r="X105" s="41" t="s">
        <v>924</v>
      </c>
      <c r="Y105" s="41" t="s">
        <v>925</v>
      </c>
      <c r="Z105" s="41" t="s">
        <v>926</v>
      </c>
      <c r="AA105" s="41" t="s">
        <v>927</v>
      </c>
      <c r="AB105" s="41" t="s">
        <v>928</v>
      </c>
      <c r="AC105" s="41" t="s">
        <v>929</v>
      </c>
      <c r="AD105" s="41" t="s">
        <v>930</v>
      </c>
      <c r="AE105" s="41" t="s">
        <v>931</v>
      </c>
      <c r="AF105" s="41" t="s">
        <v>932</v>
      </c>
      <c r="AG105" s="41" t="s">
        <v>933</v>
      </c>
      <c r="AH105" s="41" t="s">
        <v>934</v>
      </c>
      <c r="AI105" s="41" t="s">
        <v>935</v>
      </c>
      <c r="AJ105" s="41" t="s">
        <v>936</v>
      </c>
      <c r="AK105" s="41" t="s">
        <v>937</v>
      </c>
    </row>
    <row r="106" spans="2:37" ht="14.25" customHeight="1" x14ac:dyDescent="0.15">
      <c r="B106" s="84" t="s">
        <v>911</v>
      </c>
      <c r="C106" s="84">
        <f>SUMIFS('caseload data'!E:E,'caseload data'!$D:$D,"PO",'caseload data'!$C:$C,'cluster overview'!$B$97,'caseload data'!$B:$B,"licence")</f>
        <v>0</v>
      </c>
      <c r="D106" s="84">
        <f>SUMIFS('caseload data'!F:F,'caseload data'!$D:$D,"PO",'caseload data'!$C:$C,'cluster overview'!$B$97,'caseload data'!$B:$B,"licence")</f>
        <v>0</v>
      </c>
      <c r="E106" s="84">
        <f>SUMIFS('caseload data'!G:G,'caseload data'!$D:$D,"PO",'caseload data'!$C:$C,'cluster overview'!$B$97,'caseload data'!$B:$B,"licence")</f>
        <v>0</v>
      </c>
      <c r="F106" s="84">
        <f>SUMIFS('caseload data'!H:H,'caseload data'!$D:$D,"PO",'caseload data'!$C:$C,'cluster overview'!$B$97,'caseload data'!$B:$B,"licence")</f>
        <v>0</v>
      </c>
      <c r="G106" s="84">
        <f>SUMIFS('caseload data'!I:I,'caseload data'!$D:$D,"PO",'caseload data'!$C:$C,'cluster overview'!$B$97,'caseload data'!$B:$B,"licence")</f>
        <v>0</v>
      </c>
      <c r="H106" s="84">
        <f>SUMIFS('caseload data'!J:J,'caseload data'!$D:$D,"PO",'caseload data'!$C:$C,'cluster overview'!$B$97,'caseload data'!$B:$B,"licence")</f>
        <v>0</v>
      </c>
      <c r="I106" s="84">
        <f>SUMIFS('caseload data'!K:K,'caseload data'!$D:$D,"PO",'caseload data'!$C:$C,'cluster overview'!$B$97,'caseload data'!$B:$B,"licence")</f>
        <v>0</v>
      </c>
      <c r="J106" s="84">
        <f>SUMIFS('caseload data'!L:L,'caseload data'!$D:$D,"PO",'caseload data'!$C:$C,'cluster overview'!$B$97,'caseload data'!$B:$B,"licence")</f>
        <v>0</v>
      </c>
      <c r="K106" s="84">
        <f>SUMIFS('caseload data'!M:M,'caseload data'!$D:$D,"PO",'caseload data'!$C:$C,'cluster overview'!$B$97,'caseload data'!$B:$B,"licence")</f>
        <v>0</v>
      </c>
      <c r="L106" s="84">
        <f>SUMIFS('caseload data'!N:N,'caseload data'!$D:$D,"PO",'caseload data'!$C:$C,'cluster overview'!$B$97,'caseload data'!$B:$B,"licence")</f>
        <v>0</v>
      </c>
      <c r="M106" s="84">
        <f>SUMIFS('caseload data'!O:O,'caseload data'!$D:$D,"PO",'caseload data'!$C:$C,'cluster overview'!$B$97,'caseload data'!$B:$B,"licence")</f>
        <v>0</v>
      </c>
      <c r="N106" s="84">
        <f>SUMIFS('caseload data'!P:P,'caseload data'!$D:$D,"PO",'caseload data'!$C:$C,'cluster overview'!$B$97,'caseload data'!$B:$B,"licence")</f>
        <v>0</v>
      </c>
      <c r="O106" s="84">
        <f>SUMIFS('caseload data'!Q:Q,'caseload data'!$D:$D,"PO",'caseload data'!$C:$C,'cluster overview'!$B$97,'caseload data'!$B:$B,"licence")</f>
        <v>0</v>
      </c>
      <c r="P106" s="84">
        <f>SUMIFS('caseload data'!R:R,'caseload data'!$D:$D,"PO",'caseload data'!$C:$C,'cluster overview'!$B$97,'caseload data'!$B:$B,"licence")</f>
        <v>0</v>
      </c>
      <c r="Q106" s="84">
        <f>SUMIFS('caseload data'!S:S,'caseload data'!$D:$D,"PO",'caseload data'!$C:$C,'cluster overview'!$B$97,'caseload data'!$B:$B,"licence")</f>
        <v>0</v>
      </c>
      <c r="R106" s="84">
        <f>SUMIFS('caseload data'!T:T,'caseload data'!$D:$D,"PO",'caseload data'!$C:$C,'cluster overview'!$B$97,'caseload data'!$B:$B,"licence")</f>
        <v>0</v>
      </c>
      <c r="U106" s="84" t="s">
        <v>911</v>
      </c>
      <c r="V106" s="76" t="str">
        <f>IFERROR(C$106/SUM(C$106:C$109),"")</f>
        <v/>
      </c>
      <c r="W106" s="76" t="str">
        <f t="shared" ref="W106:AK106" si="12">IFERROR(D$106/SUM(D$106:D$109),"")</f>
        <v/>
      </c>
      <c r="X106" s="76" t="str">
        <f t="shared" si="12"/>
        <v/>
      </c>
      <c r="Y106" s="76" t="str">
        <f t="shared" si="12"/>
        <v/>
      </c>
      <c r="Z106" s="76" t="str">
        <f t="shared" si="12"/>
        <v/>
      </c>
      <c r="AA106" s="76" t="str">
        <f t="shared" si="12"/>
        <v/>
      </c>
      <c r="AB106" s="76" t="str">
        <f t="shared" si="12"/>
        <v/>
      </c>
      <c r="AC106" s="76" t="str">
        <f t="shared" si="12"/>
        <v/>
      </c>
      <c r="AD106" s="76" t="str">
        <f t="shared" si="12"/>
        <v/>
      </c>
      <c r="AE106" s="76" t="str">
        <f t="shared" si="12"/>
        <v/>
      </c>
      <c r="AF106" s="76" t="str">
        <f t="shared" si="12"/>
        <v/>
      </c>
      <c r="AG106" s="76" t="str">
        <f t="shared" si="12"/>
        <v/>
      </c>
      <c r="AH106" s="76" t="str">
        <f t="shared" si="12"/>
        <v/>
      </c>
      <c r="AI106" s="76" t="str">
        <f t="shared" si="12"/>
        <v/>
      </c>
      <c r="AJ106" s="76" t="str">
        <f t="shared" si="12"/>
        <v/>
      </c>
      <c r="AK106" s="76" t="str">
        <f t="shared" si="12"/>
        <v/>
      </c>
    </row>
    <row r="107" spans="2:37" ht="14.25" customHeight="1" x14ac:dyDescent="0.15">
      <c r="B107" s="84" t="s">
        <v>912</v>
      </c>
      <c r="C107" s="84">
        <f>SUMIFS('caseload data'!E:E,'caseload data'!$D:$D,"PSO",'caseload data'!$C:$C,'cluster overview'!$B$97,'caseload data'!$B:$B,"licence")</f>
        <v>0</v>
      </c>
      <c r="D107" s="84">
        <f>SUMIFS('caseload data'!F:F,'caseload data'!$D:$D,"PSO",'caseload data'!$C:$C,'cluster overview'!$B$97,'caseload data'!$B:$B,"licence")</f>
        <v>0</v>
      </c>
      <c r="E107" s="84">
        <f>SUMIFS('caseload data'!G:G,'caseload data'!$D:$D,"PSO",'caseload data'!$C:$C,'cluster overview'!$B$97,'caseload data'!$B:$B,"licence")</f>
        <v>0</v>
      </c>
      <c r="F107" s="84">
        <f>SUMIFS('caseload data'!H:H,'caseload data'!$D:$D,"PSO",'caseload data'!$C:$C,'cluster overview'!$B$97,'caseload data'!$B:$B,"licence")</f>
        <v>0</v>
      </c>
      <c r="G107" s="84">
        <f>SUMIFS('caseload data'!I:I,'caseload data'!$D:$D,"PSO",'caseload data'!$C:$C,'cluster overview'!$B$97,'caseload data'!$B:$B,"licence")</f>
        <v>0</v>
      </c>
      <c r="H107" s="84">
        <f>SUMIFS('caseload data'!J:J,'caseload data'!$D:$D,"PSO",'caseload data'!$C:$C,'cluster overview'!$B$97,'caseload data'!$B:$B,"licence")</f>
        <v>0</v>
      </c>
      <c r="I107" s="84">
        <f>SUMIFS('caseload data'!K:K,'caseload data'!$D:$D,"PSO",'caseload data'!$C:$C,'cluster overview'!$B$97,'caseload data'!$B:$B,"licence")</f>
        <v>0</v>
      </c>
      <c r="J107" s="84">
        <f>SUMIFS('caseload data'!L:L,'caseload data'!$D:$D,"PSO",'caseload data'!$C:$C,'cluster overview'!$B$97,'caseload data'!$B:$B,"licence")</f>
        <v>0</v>
      </c>
      <c r="K107" s="84">
        <f>SUMIFS('caseload data'!M:M,'caseload data'!$D:$D,"PSO",'caseload data'!$C:$C,'cluster overview'!$B$97,'caseload data'!$B:$B,"licence")</f>
        <v>0</v>
      </c>
      <c r="L107" s="84">
        <f>SUMIFS('caseload data'!N:N,'caseload data'!$D:$D,"PSO",'caseload data'!$C:$C,'cluster overview'!$B$97,'caseload data'!$B:$B,"licence")</f>
        <v>0</v>
      </c>
      <c r="M107" s="84">
        <f>SUMIFS('caseload data'!O:O,'caseload data'!$D:$D,"PSO",'caseload data'!$C:$C,'cluster overview'!$B$97,'caseload data'!$B:$B,"licence")</f>
        <v>0</v>
      </c>
      <c r="N107" s="84">
        <f>SUMIFS('caseload data'!P:P,'caseload data'!$D:$D,"PSO",'caseload data'!$C:$C,'cluster overview'!$B$97,'caseload data'!$B:$B,"licence")</f>
        <v>0</v>
      </c>
      <c r="O107" s="84">
        <f>SUMIFS('caseload data'!Q:Q,'caseload data'!$D:$D,"PSO",'caseload data'!$C:$C,'cluster overview'!$B$97,'caseload data'!$B:$B,"licence")</f>
        <v>0</v>
      </c>
      <c r="P107" s="84">
        <f>SUMIFS('caseload data'!R:R,'caseload data'!$D:$D,"PSO",'caseload data'!$C:$C,'cluster overview'!$B$97,'caseload data'!$B:$B,"licence")</f>
        <v>0</v>
      </c>
      <c r="Q107" s="84">
        <f>SUMIFS('caseload data'!S:S,'caseload data'!$D:$D,"PSO",'caseload data'!$C:$C,'cluster overview'!$B$97,'caseload data'!$B:$B,"licence")</f>
        <v>0</v>
      </c>
      <c r="R107" s="84">
        <f>SUMIFS('caseload data'!T:T,'caseload data'!$D:$D,"PSO",'caseload data'!$C:$C,'cluster overview'!$B$97,'caseload data'!$B:$B,"licence")</f>
        <v>0</v>
      </c>
      <c r="U107" s="84" t="s">
        <v>912</v>
      </c>
      <c r="V107" s="76" t="str">
        <f>IFERROR(C$107/SUM(C$106:C$109),"")</f>
        <v/>
      </c>
      <c r="W107" s="76" t="str">
        <f t="shared" ref="W107:AK107" si="13">IFERROR(D$107/SUM(D$106:D$109),"")</f>
        <v/>
      </c>
      <c r="X107" s="76" t="str">
        <f t="shared" si="13"/>
        <v/>
      </c>
      <c r="Y107" s="76" t="str">
        <f t="shared" si="13"/>
        <v/>
      </c>
      <c r="Z107" s="76" t="str">
        <f t="shared" si="13"/>
        <v/>
      </c>
      <c r="AA107" s="76" t="str">
        <f t="shared" si="13"/>
        <v/>
      </c>
      <c r="AB107" s="76" t="str">
        <f t="shared" si="13"/>
        <v/>
      </c>
      <c r="AC107" s="76" t="str">
        <f t="shared" si="13"/>
        <v/>
      </c>
      <c r="AD107" s="76" t="str">
        <f t="shared" si="13"/>
        <v/>
      </c>
      <c r="AE107" s="76" t="str">
        <f t="shared" si="13"/>
        <v/>
      </c>
      <c r="AF107" s="76" t="str">
        <f t="shared" si="13"/>
        <v/>
      </c>
      <c r="AG107" s="76" t="str">
        <f t="shared" si="13"/>
        <v/>
      </c>
      <c r="AH107" s="76" t="str">
        <f t="shared" si="13"/>
        <v/>
      </c>
      <c r="AI107" s="76" t="str">
        <f t="shared" si="13"/>
        <v/>
      </c>
      <c r="AJ107" s="76" t="str">
        <f t="shared" si="13"/>
        <v/>
      </c>
      <c r="AK107" s="76" t="str">
        <f t="shared" si="13"/>
        <v/>
      </c>
    </row>
    <row r="108" spans="2:37" ht="14.25" customHeight="1" x14ac:dyDescent="0.15">
      <c r="B108" s="84" t="s">
        <v>913</v>
      </c>
      <c r="C108" s="84">
        <f>SUMIFS('caseload data'!E:E,'caseload data'!$D:$D,"TPO",'caseload data'!$C:$C,'cluster overview'!$B$97,'caseload data'!$B:$B,"licence")</f>
        <v>0</v>
      </c>
      <c r="D108" s="84">
        <f>SUMIFS('caseload data'!F:F,'caseload data'!$D:$D,"TPO",'caseload data'!$C:$C,'cluster overview'!$B$97,'caseload data'!$B:$B,"licence")</f>
        <v>0</v>
      </c>
      <c r="E108" s="84">
        <f>SUMIFS('caseload data'!G:G,'caseload data'!$D:$D,"TPO",'caseload data'!$C:$C,'cluster overview'!$B$97,'caseload data'!$B:$B,"licence")</f>
        <v>0</v>
      </c>
      <c r="F108" s="84">
        <f>SUMIFS('caseload data'!H:H,'caseload data'!$D:$D,"TPO",'caseload data'!$C:$C,'cluster overview'!$B$97,'caseload data'!$B:$B,"licence")</f>
        <v>0</v>
      </c>
      <c r="G108" s="84">
        <f>SUMIFS('caseload data'!I:I,'caseload data'!$D:$D,"TPO",'caseload data'!$C:$C,'cluster overview'!$B$97,'caseload data'!$B:$B,"licence")</f>
        <v>0</v>
      </c>
      <c r="H108" s="84">
        <f>SUMIFS('caseload data'!J:J,'caseload data'!$D:$D,"TPO",'caseload data'!$C:$C,'cluster overview'!$B$97,'caseload data'!$B:$B,"licence")</f>
        <v>0</v>
      </c>
      <c r="I108" s="84">
        <f>SUMIFS('caseload data'!K:K,'caseload data'!$D:$D,"TPO",'caseload data'!$C:$C,'cluster overview'!$B$97,'caseload data'!$B:$B,"licence")</f>
        <v>0</v>
      </c>
      <c r="J108" s="84">
        <f>SUMIFS('caseload data'!L:L,'caseload data'!$D:$D,"TPO",'caseload data'!$C:$C,'cluster overview'!$B$97,'caseload data'!$B:$B,"licence")</f>
        <v>0</v>
      </c>
      <c r="K108" s="84">
        <f>SUMIFS('caseload data'!M:M,'caseload data'!$D:$D,"TPO",'caseload data'!$C:$C,'cluster overview'!$B$97,'caseload data'!$B:$B,"licence")</f>
        <v>0</v>
      </c>
      <c r="L108" s="84">
        <f>SUMIFS('caseload data'!N:N,'caseload data'!$D:$D,"TPO",'caseload data'!$C:$C,'cluster overview'!$B$97,'caseload data'!$B:$B,"licence")</f>
        <v>0</v>
      </c>
      <c r="M108" s="84">
        <f>SUMIFS('caseload data'!O:O,'caseload data'!$D:$D,"TPO",'caseload data'!$C:$C,'cluster overview'!$B$97,'caseload data'!$B:$B,"licence")</f>
        <v>0</v>
      </c>
      <c r="N108" s="84">
        <f>SUMIFS('caseload data'!P:P,'caseload data'!$D:$D,"TPO",'caseload data'!$C:$C,'cluster overview'!$B$97,'caseload data'!$B:$B,"licence")</f>
        <v>0</v>
      </c>
      <c r="O108" s="84">
        <f>SUMIFS('caseload data'!Q:Q,'caseload data'!$D:$D,"TPO",'caseload data'!$C:$C,'cluster overview'!$B$97,'caseload data'!$B:$B,"licence")</f>
        <v>0</v>
      </c>
      <c r="P108" s="84">
        <f>SUMIFS('caseload data'!R:R,'caseload data'!$D:$D,"TPO",'caseload data'!$C:$C,'cluster overview'!$B$97,'caseload data'!$B:$B,"licence")</f>
        <v>0</v>
      </c>
      <c r="Q108" s="84">
        <f>SUMIFS('caseload data'!S:S,'caseload data'!$D:$D,"TPO",'caseload data'!$C:$C,'cluster overview'!$B$97,'caseload data'!$B:$B,"licence")</f>
        <v>0</v>
      </c>
      <c r="R108" s="84">
        <f>SUMIFS('caseload data'!T:T,'caseload data'!$D:$D,"TPO",'caseload data'!$C:$C,'cluster overview'!$B$97,'caseload data'!$B:$B,"licence")</f>
        <v>0</v>
      </c>
      <c r="U108" s="84" t="s">
        <v>913</v>
      </c>
      <c r="V108" s="76" t="str">
        <f>IFERROR(C$108/SUM(C$106:C$109),"")</f>
        <v/>
      </c>
      <c r="W108" s="76" t="str">
        <f t="shared" ref="W108:AK108" si="14">IFERROR(D$108/SUM(D$106:D$109),"")</f>
        <v/>
      </c>
      <c r="X108" s="76" t="str">
        <f t="shared" si="14"/>
        <v/>
      </c>
      <c r="Y108" s="76" t="str">
        <f t="shared" si="14"/>
        <v/>
      </c>
      <c r="Z108" s="76" t="str">
        <f t="shared" si="14"/>
        <v/>
      </c>
      <c r="AA108" s="76" t="str">
        <f t="shared" si="14"/>
        <v/>
      </c>
      <c r="AB108" s="76" t="str">
        <f t="shared" si="14"/>
        <v/>
      </c>
      <c r="AC108" s="76" t="str">
        <f t="shared" si="14"/>
        <v/>
      </c>
      <c r="AD108" s="76" t="str">
        <f t="shared" si="14"/>
        <v/>
      </c>
      <c r="AE108" s="76" t="str">
        <f t="shared" si="14"/>
        <v/>
      </c>
      <c r="AF108" s="76" t="str">
        <f t="shared" si="14"/>
        <v/>
      </c>
      <c r="AG108" s="76" t="str">
        <f t="shared" si="14"/>
        <v/>
      </c>
      <c r="AH108" s="76" t="str">
        <f t="shared" si="14"/>
        <v/>
      </c>
      <c r="AI108" s="76" t="str">
        <f t="shared" si="14"/>
        <v/>
      </c>
      <c r="AJ108" s="76" t="str">
        <f t="shared" si="14"/>
        <v/>
      </c>
      <c r="AK108" s="76" t="str">
        <f t="shared" si="14"/>
        <v/>
      </c>
    </row>
    <row r="109" spans="2:37" ht="14.25" customHeight="1" x14ac:dyDescent="0.15">
      <c r="B109" s="84" t="s">
        <v>914</v>
      </c>
      <c r="C109" s="84">
        <f>SUMIFS('caseload data'!E:E,'caseload data'!$D:$D,"SPO",'caseload data'!$C:$C,'cluster overview'!$B$97,'caseload data'!$B:$B,"licence")</f>
        <v>0</v>
      </c>
      <c r="D109" s="84">
        <f>SUMIFS('caseload data'!F:F,'caseload data'!$D:$D,"SPO",'caseload data'!$C:$C,'cluster overview'!$B$97,'caseload data'!$B:$B,"licence")</f>
        <v>0</v>
      </c>
      <c r="E109" s="84">
        <f>SUMIFS('caseload data'!G:G,'caseload data'!$D:$D,"SPO",'caseload data'!$C:$C,'cluster overview'!$B$97,'caseload data'!$B:$B,"licence")</f>
        <v>0</v>
      </c>
      <c r="F109" s="84">
        <f>SUMIFS('caseload data'!H:H,'caseload data'!$D:$D,"SPO",'caseload data'!$C:$C,'cluster overview'!$B$97,'caseload data'!$B:$B,"licence")</f>
        <v>0</v>
      </c>
      <c r="G109" s="84">
        <f>SUMIFS('caseload data'!I:I,'caseload data'!$D:$D,"SPO",'caseload data'!$C:$C,'cluster overview'!$B$97,'caseload data'!$B:$B,"licence")</f>
        <v>0</v>
      </c>
      <c r="H109" s="84">
        <f>SUMIFS('caseload data'!J:J,'caseload data'!$D:$D,"SPO",'caseload data'!$C:$C,'cluster overview'!$B$97,'caseload data'!$B:$B,"licence")</f>
        <v>0</v>
      </c>
      <c r="I109" s="84">
        <f>SUMIFS('caseload data'!K:K,'caseload data'!$D:$D,"SPO",'caseload data'!$C:$C,'cluster overview'!$B$97,'caseload data'!$B:$B,"licence")</f>
        <v>0</v>
      </c>
      <c r="J109" s="84">
        <f>SUMIFS('caseload data'!L:L,'caseload data'!$D:$D,"SPO",'caseload data'!$C:$C,'cluster overview'!$B$97,'caseload data'!$B:$B,"licence")</f>
        <v>0</v>
      </c>
      <c r="K109" s="84">
        <f>SUMIFS('caseload data'!M:M,'caseload data'!$D:$D,"SPO",'caseload data'!$C:$C,'cluster overview'!$B$97,'caseload data'!$B:$B,"licence")</f>
        <v>0</v>
      </c>
      <c r="L109" s="84">
        <f>SUMIFS('caseload data'!N:N,'caseload data'!$D:$D,"SPO",'caseload data'!$C:$C,'cluster overview'!$B$97,'caseload data'!$B:$B,"licence")</f>
        <v>0</v>
      </c>
      <c r="M109" s="84">
        <f>SUMIFS('caseload data'!O:O,'caseload data'!$D:$D,"SPO",'caseload data'!$C:$C,'cluster overview'!$B$97,'caseload data'!$B:$B,"licence")</f>
        <v>0</v>
      </c>
      <c r="N109" s="84">
        <f>SUMIFS('caseload data'!P:P,'caseload data'!$D:$D,"SPO",'caseload data'!$C:$C,'cluster overview'!$B$97,'caseload data'!$B:$B,"licence")</f>
        <v>0</v>
      </c>
      <c r="O109" s="84">
        <f>SUMIFS('caseload data'!Q:Q,'caseload data'!$D:$D,"SPO",'caseload data'!$C:$C,'cluster overview'!$B$97,'caseload data'!$B:$B,"licence")</f>
        <v>0</v>
      </c>
      <c r="P109" s="84">
        <f>SUMIFS('caseload data'!R:R,'caseload data'!$D:$D,"SPO",'caseload data'!$C:$C,'cluster overview'!$B$97,'caseload data'!$B:$B,"licence")</f>
        <v>0</v>
      </c>
      <c r="Q109" s="84">
        <f>SUMIFS('caseload data'!S:S,'caseload data'!$D:$D,"SPO",'caseload data'!$C:$C,'cluster overview'!$B$97,'caseload data'!$B:$B,"licence")</f>
        <v>0</v>
      </c>
      <c r="R109" s="84">
        <f>SUMIFS('caseload data'!T:T,'caseload data'!$D:$D,"SPO",'caseload data'!$C:$C,'cluster overview'!$B$97,'caseload data'!$B:$B,"licence")</f>
        <v>0</v>
      </c>
      <c r="U109" s="84" t="s">
        <v>914</v>
      </c>
      <c r="V109" s="76" t="str">
        <f>IFERROR(C$109/SUM(C$106:C$109),"")</f>
        <v/>
      </c>
      <c r="W109" s="76" t="str">
        <f t="shared" ref="W109:AK109" si="15">IFERROR(D$109/SUM(D$106:D$109),"")</f>
        <v/>
      </c>
      <c r="X109" s="76" t="str">
        <f t="shared" si="15"/>
        <v/>
      </c>
      <c r="Y109" s="76" t="str">
        <f t="shared" si="15"/>
        <v/>
      </c>
      <c r="Z109" s="76" t="str">
        <f t="shared" si="15"/>
        <v/>
      </c>
      <c r="AA109" s="76" t="str">
        <f t="shared" si="15"/>
        <v/>
      </c>
      <c r="AB109" s="76" t="str">
        <f t="shared" si="15"/>
        <v/>
      </c>
      <c r="AC109" s="76" t="str">
        <f t="shared" si="15"/>
        <v/>
      </c>
      <c r="AD109" s="76" t="str">
        <f t="shared" si="15"/>
        <v/>
      </c>
      <c r="AE109" s="76" t="str">
        <f t="shared" si="15"/>
        <v/>
      </c>
      <c r="AF109" s="76" t="str">
        <f t="shared" si="15"/>
        <v/>
      </c>
      <c r="AG109" s="76" t="str">
        <f t="shared" si="15"/>
        <v/>
      </c>
      <c r="AH109" s="76" t="str">
        <f t="shared" si="15"/>
        <v/>
      </c>
      <c r="AI109" s="76" t="str">
        <f t="shared" si="15"/>
        <v/>
      </c>
      <c r="AJ109" s="76" t="str">
        <f t="shared" si="15"/>
        <v/>
      </c>
      <c r="AK109" s="76" t="str">
        <f t="shared" si="15"/>
        <v/>
      </c>
    </row>
    <row r="110" spans="2:37" ht="14.25" customHeight="1" x14ac:dyDescent="0.15">
      <c r="B110" s="23"/>
    </row>
    <row r="111" spans="2:37" ht="16" x14ac:dyDescent="0.2">
      <c r="B111" s="124" t="str">
        <f>B6</f>
        <v>Worcestershire - N52</v>
      </c>
      <c r="C111" s="319" t="s">
        <v>1095</v>
      </c>
      <c r="D111" s="323"/>
      <c r="E111" s="323"/>
      <c r="F111" s="323"/>
      <c r="G111" s="323"/>
      <c r="H111" s="323"/>
      <c r="I111" s="323"/>
      <c r="J111" s="323"/>
      <c r="K111" s="323"/>
      <c r="L111" s="323"/>
      <c r="M111" s="323"/>
      <c r="N111" s="323"/>
      <c r="O111" s="323"/>
      <c r="P111" s="323"/>
      <c r="Q111" s="323"/>
      <c r="R111" s="323"/>
      <c r="U111" s="124" t="str">
        <f>B6</f>
        <v>Worcestershire - N52</v>
      </c>
      <c r="V111" s="319" t="s">
        <v>1096</v>
      </c>
      <c r="W111" s="323"/>
      <c r="X111" s="323"/>
      <c r="Y111" s="323"/>
      <c r="Z111" s="323"/>
      <c r="AA111" s="323"/>
      <c r="AB111" s="323"/>
      <c r="AC111" s="323"/>
      <c r="AD111" s="323"/>
      <c r="AE111" s="323"/>
      <c r="AF111" s="323"/>
      <c r="AG111" s="323"/>
      <c r="AH111" s="323"/>
      <c r="AI111" s="323"/>
      <c r="AJ111" s="323"/>
      <c r="AK111" s="323"/>
    </row>
    <row r="112" spans="2:37" ht="14.25" customHeight="1" x14ac:dyDescent="0.15">
      <c r="B112" s="105" t="s">
        <v>1065</v>
      </c>
      <c r="C112" s="41" t="s">
        <v>922</v>
      </c>
      <c r="D112" s="41" t="s">
        <v>923</v>
      </c>
      <c r="E112" s="41" t="s">
        <v>924</v>
      </c>
      <c r="F112" s="41" t="s">
        <v>925</v>
      </c>
      <c r="G112" s="41" t="s">
        <v>926</v>
      </c>
      <c r="H112" s="41" t="s">
        <v>927</v>
      </c>
      <c r="I112" s="41" t="s">
        <v>928</v>
      </c>
      <c r="J112" s="41" t="s">
        <v>929</v>
      </c>
      <c r="K112" s="41" t="s">
        <v>930</v>
      </c>
      <c r="L112" s="41" t="s">
        <v>931</v>
      </c>
      <c r="M112" s="41" t="s">
        <v>932</v>
      </c>
      <c r="N112" s="41" t="s">
        <v>933</v>
      </c>
      <c r="O112" s="41" t="s">
        <v>934</v>
      </c>
      <c r="P112" s="41" t="s">
        <v>935</v>
      </c>
      <c r="Q112" s="41" t="s">
        <v>936</v>
      </c>
      <c r="R112" s="41" t="s">
        <v>937</v>
      </c>
      <c r="U112" s="105" t="s">
        <v>1065</v>
      </c>
      <c r="V112" s="41" t="s">
        <v>922</v>
      </c>
      <c r="W112" s="41" t="s">
        <v>923</v>
      </c>
      <c r="X112" s="41" t="s">
        <v>924</v>
      </c>
      <c r="Y112" s="41" t="s">
        <v>925</v>
      </c>
      <c r="Z112" s="41" t="s">
        <v>926</v>
      </c>
      <c r="AA112" s="41" t="s">
        <v>927</v>
      </c>
      <c r="AB112" s="41" t="s">
        <v>928</v>
      </c>
      <c r="AC112" s="41" t="s">
        <v>929</v>
      </c>
      <c r="AD112" s="41" t="s">
        <v>930</v>
      </c>
      <c r="AE112" s="41" t="s">
        <v>931</v>
      </c>
      <c r="AF112" s="41" t="s">
        <v>932</v>
      </c>
      <c r="AG112" s="41" t="s">
        <v>933</v>
      </c>
      <c r="AH112" s="41" t="s">
        <v>934</v>
      </c>
      <c r="AI112" s="41" t="s">
        <v>935</v>
      </c>
      <c r="AJ112" s="41" t="s">
        <v>936</v>
      </c>
      <c r="AK112" s="41" t="s">
        <v>937</v>
      </c>
    </row>
    <row r="113" spans="2:37" ht="14.25" customHeight="1" x14ac:dyDescent="0.15">
      <c r="B113" s="84" t="s">
        <v>911</v>
      </c>
      <c r="C113" s="84">
        <f>SUMIFS('caseload data'!E:E,'caseload data'!$D:$D,"PO",'caseload data'!$C:$C,'cluster overview'!$B$97,'caseload data'!$B:$B,"custody")</f>
        <v>0</v>
      </c>
      <c r="D113" s="84">
        <f>SUMIFS('caseload data'!F:F,'caseload data'!$D:$D,"PO",'caseload data'!$C:$C,'cluster overview'!$B$97,'caseload data'!$B:$B,"custody")</f>
        <v>0</v>
      </c>
      <c r="E113" s="84">
        <f>SUMIFS('caseload data'!G:G,'caseload data'!$D:$D,"PO",'caseload data'!$C:$C,'cluster overview'!$B$97,'caseload data'!$B:$B,"custody")</f>
        <v>0</v>
      </c>
      <c r="F113" s="84">
        <f>SUMIFS('caseload data'!H:H,'caseload data'!$D:$D,"PO",'caseload data'!$C:$C,'cluster overview'!$B$97,'caseload data'!$B:$B,"custody")</f>
        <v>0</v>
      </c>
      <c r="G113" s="84">
        <f>SUMIFS('caseload data'!I:I,'caseload data'!$D:$D,"PO",'caseload data'!$C:$C,'cluster overview'!$B$97,'caseload data'!$B:$B,"custody")</f>
        <v>0</v>
      </c>
      <c r="H113" s="84">
        <f>SUMIFS('caseload data'!J:J,'caseload data'!$D:$D,"PO",'caseload data'!$C:$C,'cluster overview'!$B$97,'caseload data'!$B:$B,"custody")</f>
        <v>0</v>
      </c>
      <c r="I113" s="84">
        <f>SUMIFS('caseload data'!K:K,'caseload data'!$D:$D,"PO",'caseload data'!$C:$C,'cluster overview'!$B$97,'caseload data'!$B:$B,"custody")</f>
        <v>0</v>
      </c>
      <c r="J113" s="84">
        <f>SUMIFS('caseload data'!L:L,'caseload data'!$D:$D,"PO",'caseload data'!$C:$C,'cluster overview'!$B$97,'caseload data'!$B:$B,"custody")</f>
        <v>0</v>
      </c>
      <c r="K113" s="84">
        <f>SUMIFS('caseload data'!M:M,'caseload data'!$D:$D,"PO",'caseload data'!$C:$C,'cluster overview'!$B$97,'caseload data'!$B:$B,"custody")</f>
        <v>0</v>
      </c>
      <c r="L113" s="84">
        <f>SUMIFS('caseload data'!N:N,'caseload data'!$D:$D,"PO",'caseload data'!$C:$C,'cluster overview'!$B$97,'caseload data'!$B:$B,"custody")</f>
        <v>0</v>
      </c>
      <c r="M113" s="84">
        <f>SUMIFS('caseload data'!O:O,'caseload data'!$D:$D,"PO",'caseload data'!$C:$C,'cluster overview'!$B$97,'caseload data'!$B:$B,"custody")</f>
        <v>0</v>
      </c>
      <c r="N113" s="84">
        <f>SUMIFS('caseload data'!P:P,'caseload data'!$D:$D,"PO",'caseload data'!$C:$C,'cluster overview'!$B$97,'caseload data'!$B:$B,"custody")</f>
        <v>0</v>
      </c>
      <c r="O113" s="84">
        <f>SUMIFS('caseload data'!Q:Q,'caseload data'!$D:$D,"PO",'caseload data'!$C:$C,'cluster overview'!$B$97,'caseload data'!$B:$B,"custody")</f>
        <v>0</v>
      </c>
      <c r="P113" s="84">
        <f>SUMIFS('caseload data'!R:R,'caseload data'!$D:$D,"PO",'caseload data'!$C:$C,'cluster overview'!$B$97,'caseload data'!$B:$B,"custody")</f>
        <v>0</v>
      </c>
      <c r="Q113" s="84">
        <f>SUMIFS('caseload data'!S:S,'caseload data'!$D:$D,"PO",'caseload data'!$C:$C,'cluster overview'!$B$97,'caseload data'!$B:$B,"custody")</f>
        <v>0</v>
      </c>
      <c r="R113" s="84">
        <f>SUMIFS('caseload data'!T:T,'caseload data'!$D:$D,"PO",'caseload data'!$C:$C,'cluster overview'!$B$97,'caseload data'!$B:$B,"custody")</f>
        <v>0</v>
      </c>
      <c r="U113" s="84" t="s">
        <v>911</v>
      </c>
      <c r="V113" s="76" t="str">
        <f>IFERROR(C$113/SUM(C$113:C$116),"")</f>
        <v/>
      </c>
      <c r="W113" s="76" t="str">
        <f t="shared" ref="W113:AK113" si="16">IFERROR(D$113/SUM(D$113:D$116),"")</f>
        <v/>
      </c>
      <c r="X113" s="76" t="str">
        <f t="shared" si="16"/>
        <v/>
      </c>
      <c r="Y113" s="76" t="str">
        <f t="shared" si="16"/>
        <v/>
      </c>
      <c r="Z113" s="76" t="str">
        <f t="shared" si="16"/>
        <v/>
      </c>
      <c r="AA113" s="76" t="str">
        <f t="shared" si="16"/>
        <v/>
      </c>
      <c r="AB113" s="76" t="str">
        <f t="shared" si="16"/>
        <v/>
      </c>
      <c r="AC113" s="76" t="str">
        <f t="shared" si="16"/>
        <v/>
      </c>
      <c r="AD113" s="76" t="str">
        <f t="shared" si="16"/>
        <v/>
      </c>
      <c r="AE113" s="76" t="str">
        <f t="shared" si="16"/>
        <v/>
      </c>
      <c r="AF113" s="76" t="str">
        <f t="shared" si="16"/>
        <v/>
      </c>
      <c r="AG113" s="76" t="str">
        <f t="shared" si="16"/>
        <v/>
      </c>
      <c r="AH113" s="76" t="str">
        <f t="shared" si="16"/>
        <v/>
      </c>
      <c r="AI113" s="76" t="str">
        <f t="shared" si="16"/>
        <v/>
      </c>
      <c r="AJ113" s="76" t="str">
        <f t="shared" si="16"/>
        <v/>
      </c>
      <c r="AK113" s="76" t="str">
        <f t="shared" si="16"/>
        <v/>
      </c>
    </row>
    <row r="114" spans="2:37" ht="14.25" customHeight="1" x14ac:dyDescent="0.15">
      <c r="B114" s="84" t="s">
        <v>912</v>
      </c>
      <c r="C114" s="84">
        <f>SUMIFS('caseload data'!E:E,'caseload data'!$D:$D,"PSO",'caseload data'!$C:$C,'cluster overview'!$B$97,'caseload data'!$B:$B,"custody")</f>
        <v>0</v>
      </c>
      <c r="D114" s="84">
        <f>SUMIFS('caseload data'!F:F,'caseload data'!$D:$D,"PSO",'caseload data'!$C:$C,'cluster overview'!$B$97,'caseload data'!$B:$B,"custody")</f>
        <v>0</v>
      </c>
      <c r="E114" s="84">
        <f>SUMIFS('caseload data'!G:G,'caseload data'!$D:$D,"PSO",'caseload data'!$C:$C,'cluster overview'!$B$97,'caseload data'!$B:$B,"custody")</f>
        <v>0</v>
      </c>
      <c r="F114" s="84">
        <f>SUMIFS('caseload data'!H:H,'caseload data'!$D:$D,"PSO",'caseload data'!$C:$C,'cluster overview'!$B$97,'caseload data'!$B:$B,"custody")</f>
        <v>0</v>
      </c>
      <c r="G114" s="84">
        <f>SUMIFS('caseload data'!I:I,'caseload data'!$D:$D,"PSO",'caseload data'!$C:$C,'cluster overview'!$B$97,'caseload data'!$B:$B,"custody")</f>
        <v>0</v>
      </c>
      <c r="H114" s="84">
        <f>SUMIFS('caseload data'!J:J,'caseload data'!$D:$D,"PSO",'caseload data'!$C:$C,'cluster overview'!$B$97,'caseload data'!$B:$B,"custody")</f>
        <v>0</v>
      </c>
      <c r="I114" s="84">
        <f>SUMIFS('caseload data'!K:K,'caseload data'!$D:$D,"PSO",'caseload data'!$C:$C,'cluster overview'!$B$97,'caseload data'!$B:$B,"custody")</f>
        <v>0</v>
      </c>
      <c r="J114" s="84">
        <f>SUMIFS('caseload data'!L:L,'caseload data'!$D:$D,"PSO",'caseload data'!$C:$C,'cluster overview'!$B$97,'caseload data'!$B:$B,"custody")</f>
        <v>0</v>
      </c>
      <c r="K114" s="84">
        <f>SUMIFS('caseload data'!M:M,'caseload data'!$D:$D,"PSO",'caseload data'!$C:$C,'cluster overview'!$B$97,'caseload data'!$B:$B,"custody")</f>
        <v>0</v>
      </c>
      <c r="L114" s="84">
        <f>SUMIFS('caseload data'!N:N,'caseload data'!$D:$D,"PSO",'caseload data'!$C:$C,'cluster overview'!$B$97,'caseload data'!$B:$B,"custody")</f>
        <v>0</v>
      </c>
      <c r="M114" s="84">
        <f>SUMIFS('caseload data'!O:O,'caseload data'!$D:$D,"PSO",'caseload data'!$C:$C,'cluster overview'!$B$97,'caseload data'!$B:$B,"custody")</f>
        <v>0</v>
      </c>
      <c r="N114" s="84">
        <f>SUMIFS('caseload data'!P:P,'caseload data'!$D:$D,"PSO",'caseload data'!$C:$C,'cluster overview'!$B$97,'caseload data'!$B:$B,"custody")</f>
        <v>0</v>
      </c>
      <c r="O114" s="84">
        <f>SUMIFS('caseload data'!Q:Q,'caseload data'!$D:$D,"PSO",'caseload data'!$C:$C,'cluster overview'!$B$97,'caseload data'!$B:$B,"custody")</f>
        <v>0</v>
      </c>
      <c r="P114" s="84">
        <f>SUMIFS('caseload data'!R:R,'caseload data'!$D:$D,"PSO",'caseload data'!$C:$C,'cluster overview'!$B$97,'caseload data'!$B:$B,"custody")</f>
        <v>0</v>
      </c>
      <c r="Q114" s="84">
        <f>SUMIFS('caseload data'!S:S,'caseload data'!$D:$D,"PSO",'caseload data'!$C:$C,'cluster overview'!$B$97,'caseload data'!$B:$B,"custody")</f>
        <v>0</v>
      </c>
      <c r="R114" s="84">
        <f>SUMIFS('caseload data'!T:T,'caseload data'!$D:$D,"PSO",'caseload data'!$C:$C,'cluster overview'!$B$97,'caseload data'!$B:$B,"custody")</f>
        <v>0</v>
      </c>
      <c r="U114" s="84" t="s">
        <v>912</v>
      </c>
      <c r="V114" s="76" t="str">
        <f>IFERROR(C$114/SUM(C$113:C$116),"")</f>
        <v/>
      </c>
      <c r="W114" s="76" t="str">
        <f t="shared" ref="W114:AK114" si="17">IFERROR(D$114/SUM(D$113:D$116),"")</f>
        <v/>
      </c>
      <c r="X114" s="76" t="str">
        <f t="shared" si="17"/>
        <v/>
      </c>
      <c r="Y114" s="76" t="str">
        <f t="shared" si="17"/>
        <v/>
      </c>
      <c r="Z114" s="76" t="str">
        <f t="shared" si="17"/>
        <v/>
      </c>
      <c r="AA114" s="76" t="str">
        <f t="shared" si="17"/>
        <v/>
      </c>
      <c r="AB114" s="76" t="str">
        <f t="shared" si="17"/>
        <v/>
      </c>
      <c r="AC114" s="76" t="str">
        <f t="shared" si="17"/>
        <v/>
      </c>
      <c r="AD114" s="76" t="str">
        <f t="shared" si="17"/>
        <v/>
      </c>
      <c r="AE114" s="76" t="str">
        <f t="shared" si="17"/>
        <v/>
      </c>
      <c r="AF114" s="76" t="str">
        <f t="shared" si="17"/>
        <v/>
      </c>
      <c r="AG114" s="76" t="str">
        <f t="shared" si="17"/>
        <v/>
      </c>
      <c r="AH114" s="76" t="str">
        <f t="shared" si="17"/>
        <v/>
      </c>
      <c r="AI114" s="76" t="str">
        <f t="shared" si="17"/>
        <v/>
      </c>
      <c r="AJ114" s="76" t="str">
        <f t="shared" si="17"/>
        <v/>
      </c>
      <c r="AK114" s="76" t="str">
        <f t="shared" si="17"/>
        <v/>
      </c>
    </row>
    <row r="115" spans="2:37" ht="14.25" customHeight="1" x14ac:dyDescent="0.15">
      <c r="B115" s="84" t="s">
        <v>913</v>
      </c>
      <c r="C115" s="84">
        <f>SUMIFS('caseload data'!E:E,'caseload data'!$D:$D,"TPO",'caseload data'!$C:$C,'cluster overview'!$B$97,'caseload data'!$B:$B,"custody")</f>
        <v>0</v>
      </c>
      <c r="D115" s="84">
        <f>SUMIFS('caseload data'!F:F,'caseload data'!$D:$D,"TPO",'caseload data'!$C:$C,'cluster overview'!$B$97,'caseload data'!$B:$B,"custody")</f>
        <v>0</v>
      </c>
      <c r="E115" s="84">
        <f>SUMIFS('caseload data'!G:G,'caseload data'!$D:$D,"TPO",'caseload data'!$C:$C,'cluster overview'!$B$97,'caseload data'!$B:$B,"custody")</f>
        <v>0</v>
      </c>
      <c r="F115" s="84">
        <f>SUMIFS('caseload data'!H:H,'caseload data'!$D:$D,"TPO",'caseload data'!$C:$C,'cluster overview'!$B$97,'caseload data'!$B:$B,"custody")</f>
        <v>0</v>
      </c>
      <c r="G115" s="84">
        <f>SUMIFS('caseload data'!I:I,'caseload data'!$D:$D,"TPO",'caseload data'!$C:$C,'cluster overview'!$B$97,'caseload data'!$B:$B,"custody")</f>
        <v>0</v>
      </c>
      <c r="H115" s="84">
        <f>SUMIFS('caseload data'!J:J,'caseload data'!$D:$D,"TPO",'caseload data'!$C:$C,'cluster overview'!$B$97,'caseload data'!$B:$B,"custody")</f>
        <v>0</v>
      </c>
      <c r="I115" s="84">
        <f>SUMIFS('caseload data'!K:K,'caseload data'!$D:$D,"TPO",'caseload data'!$C:$C,'cluster overview'!$B$97,'caseload data'!$B:$B,"custody")</f>
        <v>0</v>
      </c>
      <c r="J115" s="84">
        <f>SUMIFS('caseload data'!L:L,'caseload data'!$D:$D,"TPO",'caseload data'!$C:$C,'cluster overview'!$B$97,'caseload data'!$B:$B,"custody")</f>
        <v>0</v>
      </c>
      <c r="K115" s="84">
        <f>SUMIFS('caseload data'!M:M,'caseload data'!$D:$D,"TPO",'caseload data'!$C:$C,'cluster overview'!$B$97,'caseload data'!$B:$B,"custody")</f>
        <v>0</v>
      </c>
      <c r="L115" s="84">
        <f>SUMIFS('caseload data'!N:N,'caseload data'!$D:$D,"TPO",'caseload data'!$C:$C,'cluster overview'!$B$97,'caseload data'!$B:$B,"custody")</f>
        <v>0</v>
      </c>
      <c r="M115" s="84">
        <f>SUMIFS('caseload data'!O:O,'caseload data'!$D:$D,"TPO",'caseload data'!$C:$C,'cluster overview'!$B$97,'caseload data'!$B:$B,"custody")</f>
        <v>0</v>
      </c>
      <c r="N115" s="84">
        <f>SUMIFS('caseload data'!P:P,'caseload data'!$D:$D,"TPO",'caseload data'!$C:$C,'cluster overview'!$B$97,'caseload data'!$B:$B,"custody")</f>
        <v>0</v>
      </c>
      <c r="O115" s="84">
        <f>SUMIFS('caseload data'!Q:Q,'caseload data'!$D:$D,"TPO",'caseload data'!$C:$C,'cluster overview'!$B$97,'caseload data'!$B:$B,"custody")</f>
        <v>0</v>
      </c>
      <c r="P115" s="84">
        <f>SUMIFS('caseload data'!R:R,'caseload data'!$D:$D,"TPO",'caseload data'!$C:$C,'cluster overview'!$B$97,'caseload data'!$B:$B,"custody")</f>
        <v>0</v>
      </c>
      <c r="Q115" s="84">
        <f>SUMIFS('caseload data'!S:S,'caseload data'!$D:$D,"TPO",'caseload data'!$C:$C,'cluster overview'!$B$97,'caseload data'!$B:$B,"custody")</f>
        <v>0</v>
      </c>
      <c r="R115" s="84">
        <f>SUMIFS('caseload data'!T:T,'caseload data'!$D:$D,"TPO",'caseload data'!$C:$C,'cluster overview'!$B$97,'caseload data'!$B:$B,"custody")</f>
        <v>0</v>
      </c>
      <c r="U115" s="84" t="s">
        <v>913</v>
      </c>
      <c r="V115" s="76" t="str">
        <f>IFERROR(C$115/SUM(C$113:C$116),"")</f>
        <v/>
      </c>
      <c r="W115" s="76" t="str">
        <f t="shared" ref="W115:AK115" si="18">IFERROR(D$115/SUM(D$113:D$116),"")</f>
        <v/>
      </c>
      <c r="X115" s="76" t="str">
        <f t="shared" si="18"/>
        <v/>
      </c>
      <c r="Y115" s="76" t="str">
        <f t="shared" si="18"/>
        <v/>
      </c>
      <c r="Z115" s="76" t="str">
        <f t="shared" si="18"/>
        <v/>
      </c>
      <c r="AA115" s="76" t="str">
        <f t="shared" si="18"/>
        <v/>
      </c>
      <c r="AB115" s="76" t="str">
        <f t="shared" si="18"/>
        <v/>
      </c>
      <c r="AC115" s="76" t="str">
        <f t="shared" si="18"/>
        <v/>
      </c>
      <c r="AD115" s="76" t="str">
        <f t="shared" si="18"/>
        <v/>
      </c>
      <c r="AE115" s="76" t="str">
        <f t="shared" si="18"/>
        <v/>
      </c>
      <c r="AF115" s="76" t="str">
        <f t="shared" si="18"/>
        <v/>
      </c>
      <c r="AG115" s="76" t="str">
        <f t="shared" si="18"/>
        <v/>
      </c>
      <c r="AH115" s="76" t="str">
        <f t="shared" si="18"/>
        <v/>
      </c>
      <c r="AI115" s="76" t="str">
        <f t="shared" si="18"/>
        <v/>
      </c>
      <c r="AJ115" s="76" t="str">
        <f t="shared" si="18"/>
        <v/>
      </c>
      <c r="AK115" s="76" t="str">
        <f t="shared" si="18"/>
        <v/>
      </c>
    </row>
    <row r="116" spans="2:37" ht="14.25" customHeight="1" x14ac:dyDescent="0.15">
      <c r="B116" s="84" t="s">
        <v>914</v>
      </c>
      <c r="C116" s="84">
        <f>SUMIFS('caseload data'!E:E,'caseload data'!$D:$D,"SPO",'caseload data'!$C:$C,'cluster overview'!$B$97,'caseload data'!$B:$B,"custody")</f>
        <v>0</v>
      </c>
      <c r="D116" s="84">
        <f>SUMIFS('caseload data'!F:F,'caseload data'!$D:$D,"SPO",'caseload data'!$C:$C,'cluster overview'!$B$97,'caseload data'!$B:$B,"custody")</f>
        <v>0</v>
      </c>
      <c r="E116" s="84">
        <f>SUMIFS('caseload data'!G:G,'caseload data'!$D:$D,"SPO",'caseload data'!$C:$C,'cluster overview'!$B$97,'caseload data'!$B:$B,"custody")</f>
        <v>0</v>
      </c>
      <c r="F116" s="84">
        <f>SUMIFS('caseload data'!H:H,'caseload data'!$D:$D,"SPO",'caseload data'!$C:$C,'cluster overview'!$B$97,'caseload data'!$B:$B,"custody")</f>
        <v>0</v>
      </c>
      <c r="G116" s="84">
        <f>SUMIFS('caseload data'!I:I,'caseload data'!$D:$D,"SPO",'caseload data'!$C:$C,'cluster overview'!$B$97,'caseload data'!$B:$B,"custody")</f>
        <v>0</v>
      </c>
      <c r="H116" s="84">
        <f>SUMIFS('caseload data'!J:J,'caseload data'!$D:$D,"SPO",'caseload data'!$C:$C,'cluster overview'!$B$97,'caseload data'!$B:$B,"custody")</f>
        <v>0</v>
      </c>
      <c r="I116" s="84">
        <f>SUMIFS('caseload data'!K:K,'caseload data'!$D:$D,"SPO",'caseload data'!$C:$C,'cluster overview'!$B$97,'caseload data'!$B:$B,"custody")</f>
        <v>0</v>
      </c>
      <c r="J116" s="84">
        <f>SUMIFS('caseload data'!L:L,'caseload data'!$D:$D,"SPO",'caseload data'!$C:$C,'cluster overview'!$B$97,'caseload data'!$B:$B,"custody")</f>
        <v>0</v>
      </c>
      <c r="K116" s="84">
        <f>SUMIFS('caseload data'!M:M,'caseload data'!$D:$D,"SPO",'caseload data'!$C:$C,'cluster overview'!$B$97,'caseload data'!$B:$B,"custody")</f>
        <v>0</v>
      </c>
      <c r="L116" s="84">
        <f>SUMIFS('caseload data'!N:N,'caseload data'!$D:$D,"SPO",'caseload data'!$C:$C,'cluster overview'!$B$97,'caseload data'!$B:$B,"custody")</f>
        <v>0</v>
      </c>
      <c r="M116" s="84">
        <f>SUMIFS('caseload data'!O:O,'caseload data'!$D:$D,"SPO",'caseload data'!$C:$C,'cluster overview'!$B$97,'caseload data'!$B:$B,"custody")</f>
        <v>0</v>
      </c>
      <c r="N116" s="84">
        <f>SUMIFS('caseload data'!P:P,'caseload data'!$D:$D,"SPO",'caseload data'!$C:$C,'cluster overview'!$B$97,'caseload data'!$B:$B,"custody")</f>
        <v>0</v>
      </c>
      <c r="O116" s="84">
        <f>SUMIFS('caseload data'!Q:Q,'caseload data'!$D:$D,"SPO",'caseload data'!$C:$C,'cluster overview'!$B$97,'caseload data'!$B:$B,"custody")</f>
        <v>0</v>
      </c>
      <c r="P116" s="84">
        <f>SUMIFS('caseload data'!R:R,'caseload data'!$D:$D,"SPO",'caseload data'!$C:$C,'cluster overview'!$B$97,'caseload data'!$B:$B,"custody")</f>
        <v>0</v>
      </c>
      <c r="Q116" s="84">
        <f>SUMIFS('caseload data'!S:S,'caseload data'!$D:$D,"SPO",'caseload data'!$C:$C,'cluster overview'!$B$97,'caseload data'!$B:$B,"custody")</f>
        <v>0</v>
      </c>
      <c r="R116" s="84">
        <f>SUMIFS('caseload data'!T:T,'caseload data'!$D:$D,"SPO",'caseload data'!$C:$C,'cluster overview'!$B$97,'caseload data'!$B:$B,"custody")</f>
        <v>0</v>
      </c>
      <c r="U116" s="84" t="s">
        <v>914</v>
      </c>
      <c r="V116" s="76" t="str">
        <f>IFERROR(C$116/SUM(C$113:C$116),"")</f>
        <v/>
      </c>
      <c r="W116" s="76" t="str">
        <f t="shared" ref="W116:AK116" si="19">IFERROR(D$116/SUM(D$113:D$116),"")</f>
        <v/>
      </c>
      <c r="X116" s="76" t="str">
        <f t="shared" si="19"/>
        <v/>
      </c>
      <c r="Y116" s="76" t="str">
        <f t="shared" si="19"/>
        <v/>
      </c>
      <c r="Z116" s="76" t="str">
        <f t="shared" si="19"/>
        <v/>
      </c>
      <c r="AA116" s="76" t="str">
        <f t="shared" si="19"/>
        <v/>
      </c>
      <c r="AB116" s="76" t="str">
        <f t="shared" si="19"/>
        <v/>
      </c>
      <c r="AC116" s="76" t="str">
        <f t="shared" si="19"/>
        <v/>
      </c>
      <c r="AD116" s="76" t="str">
        <f t="shared" si="19"/>
        <v/>
      </c>
      <c r="AE116" s="76" t="str">
        <f t="shared" si="19"/>
        <v/>
      </c>
      <c r="AF116" s="76" t="str">
        <f t="shared" si="19"/>
        <v/>
      </c>
      <c r="AG116" s="76" t="str">
        <f t="shared" si="19"/>
        <v/>
      </c>
      <c r="AH116" s="76" t="str">
        <f t="shared" si="19"/>
        <v/>
      </c>
      <c r="AI116" s="76" t="str">
        <f t="shared" si="19"/>
        <v/>
      </c>
      <c r="AJ116" s="76" t="str">
        <f t="shared" si="19"/>
        <v/>
      </c>
      <c r="AK116" s="76" t="str">
        <f t="shared" si="19"/>
        <v/>
      </c>
    </row>
    <row r="117" spans="2:37" ht="14.25" customHeight="1" x14ac:dyDescent="0.15"/>
    <row r="118" spans="2:37" ht="16" x14ac:dyDescent="0.2">
      <c r="B118" s="124" t="str">
        <f>B6</f>
        <v>Worcestershire - N52</v>
      </c>
      <c r="C118" s="319" t="s">
        <v>1097</v>
      </c>
      <c r="D118" s="323"/>
      <c r="E118" s="323"/>
      <c r="F118" s="323"/>
      <c r="G118" s="323"/>
      <c r="H118" s="323"/>
      <c r="I118" s="323"/>
      <c r="J118" s="323"/>
      <c r="K118" s="323"/>
      <c r="L118" s="323"/>
      <c r="M118" s="323"/>
      <c r="N118" s="323"/>
      <c r="O118" s="323"/>
      <c r="P118" s="323"/>
      <c r="Q118" s="323"/>
      <c r="R118" s="323"/>
      <c r="U118" s="124" t="str">
        <f>B6</f>
        <v>Worcestershire - N52</v>
      </c>
      <c r="V118" s="319" t="s">
        <v>1098</v>
      </c>
      <c r="W118" s="323"/>
      <c r="X118" s="323"/>
      <c r="Y118" s="323"/>
      <c r="Z118" s="323"/>
      <c r="AA118" s="323"/>
      <c r="AB118" s="323"/>
      <c r="AC118" s="323"/>
      <c r="AD118" s="323"/>
      <c r="AE118" s="323"/>
      <c r="AF118" s="323"/>
      <c r="AG118" s="323"/>
      <c r="AH118" s="323"/>
      <c r="AI118" s="323"/>
      <c r="AJ118" s="323"/>
      <c r="AK118" s="323"/>
    </row>
    <row r="119" spans="2:37" ht="14.25" customHeight="1" x14ac:dyDescent="0.15">
      <c r="B119" s="105" t="s">
        <v>1065</v>
      </c>
      <c r="C119" s="41" t="s">
        <v>922</v>
      </c>
      <c r="D119" s="41" t="s">
        <v>923</v>
      </c>
      <c r="E119" s="41" t="s">
        <v>924</v>
      </c>
      <c r="F119" s="41" t="s">
        <v>925</v>
      </c>
      <c r="G119" s="41" t="s">
        <v>926</v>
      </c>
      <c r="H119" s="41" t="s">
        <v>927</v>
      </c>
      <c r="I119" s="41" t="s">
        <v>928</v>
      </c>
      <c r="J119" s="41" t="s">
        <v>929</v>
      </c>
      <c r="K119" s="41" t="s">
        <v>930</v>
      </c>
      <c r="L119" s="41" t="s">
        <v>931</v>
      </c>
      <c r="M119" s="41" t="s">
        <v>932</v>
      </c>
      <c r="N119" s="41" t="s">
        <v>933</v>
      </c>
      <c r="O119" s="41" t="s">
        <v>934</v>
      </c>
      <c r="P119" s="41" t="s">
        <v>935</v>
      </c>
      <c r="Q119" s="41" t="s">
        <v>936</v>
      </c>
      <c r="R119" s="41" t="s">
        <v>937</v>
      </c>
      <c r="U119" s="57" t="s">
        <v>1065</v>
      </c>
      <c r="V119" s="41" t="s">
        <v>922</v>
      </c>
      <c r="W119" s="41" t="s">
        <v>923</v>
      </c>
      <c r="X119" s="41" t="s">
        <v>924</v>
      </c>
      <c r="Y119" s="41" t="s">
        <v>925</v>
      </c>
      <c r="Z119" s="41" t="s">
        <v>926</v>
      </c>
      <c r="AA119" s="41" t="s">
        <v>927</v>
      </c>
      <c r="AB119" s="41" t="s">
        <v>928</v>
      </c>
      <c r="AC119" s="41" t="s">
        <v>929</v>
      </c>
      <c r="AD119" s="41" t="s">
        <v>930</v>
      </c>
      <c r="AE119" s="41" t="s">
        <v>931</v>
      </c>
      <c r="AF119" s="41" t="s">
        <v>932</v>
      </c>
      <c r="AG119" s="41" t="s">
        <v>933</v>
      </c>
      <c r="AH119" s="41" t="s">
        <v>934</v>
      </c>
      <c r="AI119" s="41" t="s">
        <v>935</v>
      </c>
      <c r="AJ119" s="41" t="s">
        <v>936</v>
      </c>
      <c r="AK119" s="41" t="s">
        <v>937</v>
      </c>
    </row>
    <row r="120" spans="2:37" ht="14.25" customHeight="1" x14ac:dyDescent="0.15">
      <c r="B120" s="84" t="s">
        <v>911</v>
      </c>
      <c r="C120" s="84">
        <f>SUMIFS('caseload data'!E:E,'caseload data'!$D:$D,"PO",'caseload data'!$C:$C,'cluster overview'!$B$104)</f>
        <v>0</v>
      </c>
      <c r="D120" s="84">
        <f>SUMIFS('caseload data'!F:F,'caseload data'!$D:$D,"PO",'caseload data'!$C:$C,'cluster overview'!$B$104)</f>
        <v>0</v>
      </c>
      <c r="E120" s="84">
        <f>SUMIFS('caseload data'!G:G,'caseload data'!$D:$D,"PO",'caseload data'!$C:$C,'cluster overview'!$B$104)</f>
        <v>0</v>
      </c>
      <c r="F120" s="84">
        <f>SUMIFS('caseload data'!H:H,'caseload data'!$D:$D,"PO",'caseload data'!$C:$C,'cluster overview'!$B$104)</f>
        <v>0</v>
      </c>
      <c r="G120" s="84">
        <f>SUMIFS('caseload data'!I:I,'caseload data'!$D:$D,"PO",'caseload data'!$C:$C,'cluster overview'!$B$104)</f>
        <v>0</v>
      </c>
      <c r="H120" s="84">
        <f>SUMIFS('caseload data'!J:J,'caseload data'!$D:$D,"PO",'caseload data'!$C:$C,'cluster overview'!$B$104)</f>
        <v>0</v>
      </c>
      <c r="I120" s="84">
        <f>SUMIFS('caseload data'!K:K,'caseload data'!$D:$D,"PO",'caseload data'!$C:$C,'cluster overview'!$B$104)</f>
        <v>0</v>
      </c>
      <c r="J120" s="84">
        <f>SUMIFS('caseload data'!L:L,'caseload data'!$D:$D,"PO",'caseload data'!$C:$C,'cluster overview'!$B$104)</f>
        <v>0</v>
      </c>
      <c r="K120" s="84">
        <f>SUMIFS('caseload data'!M:M,'caseload data'!$D:$D,"PO",'caseload data'!$C:$C,'cluster overview'!$B$104)</f>
        <v>0</v>
      </c>
      <c r="L120" s="84">
        <f>SUMIFS('caseload data'!N:N,'caseload data'!$D:$D,"PO",'caseload data'!$C:$C,'cluster overview'!$B$104)</f>
        <v>0</v>
      </c>
      <c r="M120" s="84">
        <f>SUMIFS('caseload data'!O:O,'caseload data'!$D:$D,"PO",'caseload data'!$C:$C,'cluster overview'!$B$104)</f>
        <v>0</v>
      </c>
      <c r="N120" s="84">
        <f>SUMIFS('caseload data'!P:P,'caseload data'!$D:$D,"PO",'caseload data'!$C:$C,'cluster overview'!$B$104)</f>
        <v>0</v>
      </c>
      <c r="O120" s="84">
        <f>SUMIFS('caseload data'!Q:Q,'caseload data'!$D:$D,"PO",'caseload data'!$C:$C,'cluster overview'!$B$104)</f>
        <v>0</v>
      </c>
      <c r="P120" s="84">
        <f>SUMIFS('caseload data'!R:R,'caseload data'!$D:$D,"PO",'caseload data'!$C:$C,'cluster overview'!$B$104)</f>
        <v>0</v>
      </c>
      <c r="Q120" s="84">
        <f>SUMIFS('caseload data'!S:S,'caseload data'!$D:$D,"PO",'caseload data'!$C:$C,'cluster overview'!$B$104)</f>
        <v>0</v>
      </c>
      <c r="R120" s="84">
        <f>SUMIFS('caseload data'!T:T,'caseload data'!$D:$D,"PO",'caseload data'!$C:$C,'cluster overview'!$B$104)</f>
        <v>0</v>
      </c>
      <c r="U120" s="84" t="s">
        <v>911</v>
      </c>
      <c r="V120" s="76" t="str">
        <f>IFERROR(C$120/SUM(C$120:C$123),"")</f>
        <v/>
      </c>
      <c r="W120" s="76" t="str">
        <f t="shared" ref="W120:AK120" si="20">IFERROR(D$120/SUM(D$120:D$123),"")</f>
        <v/>
      </c>
      <c r="X120" s="76" t="str">
        <f t="shared" si="20"/>
        <v/>
      </c>
      <c r="Y120" s="76" t="str">
        <f t="shared" si="20"/>
        <v/>
      </c>
      <c r="Z120" s="76" t="str">
        <f t="shared" si="20"/>
        <v/>
      </c>
      <c r="AA120" s="76" t="str">
        <f t="shared" si="20"/>
        <v/>
      </c>
      <c r="AB120" s="76" t="str">
        <f t="shared" si="20"/>
        <v/>
      </c>
      <c r="AC120" s="76" t="str">
        <f t="shared" si="20"/>
        <v/>
      </c>
      <c r="AD120" s="76" t="str">
        <f t="shared" si="20"/>
        <v/>
      </c>
      <c r="AE120" s="76" t="str">
        <f t="shared" si="20"/>
        <v/>
      </c>
      <c r="AF120" s="76" t="str">
        <f t="shared" si="20"/>
        <v/>
      </c>
      <c r="AG120" s="76" t="str">
        <f t="shared" si="20"/>
        <v/>
      </c>
      <c r="AH120" s="76" t="str">
        <f t="shared" si="20"/>
        <v/>
      </c>
      <c r="AI120" s="76" t="str">
        <f t="shared" si="20"/>
        <v/>
      </c>
      <c r="AJ120" s="76" t="str">
        <f t="shared" si="20"/>
        <v/>
      </c>
      <c r="AK120" s="76" t="str">
        <f t="shared" si="20"/>
        <v/>
      </c>
    </row>
    <row r="121" spans="2:37" ht="14.25" customHeight="1" x14ac:dyDescent="0.15">
      <c r="B121" s="84" t="s">
        <v>912</v>
      </c>
      <c r="C121" s="84">
        <f>SUMIFS('caseload data'!E:E,'caseload data'!$D:$D,"PSO",'caseload data'!$C:$C,'cluster overview'!$B$104)</f>
        <v>0</v>
      </c>
      <c r="D121" s="84">
        <f>SUMIFS('caseload data'!F:F,'caseload data'!$D:$D,"PSO",'caseload data'!$C:$C,'cluster overview'!$B$104)</f>
        <v>0</v>
      </c>
      <c r="E121" s="84">
        <f>SUMIFS('caseload data'!G:G,'caseload data'!$D:$D,"PSO",'caseload data'!$C:$C,'cluster overview'!$B$104)</f>
        <v>0</v>
      </c>
      <c r="F121" s="84">
        <f>SUMIFS('caseload data'!H:H,'caseload data'!$D:$D,"PSO",'caseload data'!$C:$C,'cluster overview'!$B$104)</f>
        <v>0</v>
      </c>
      <c r="G121" s="84">
        <f>SUMIFS('caseload data'!I:I,'caseload data'!$D:$D,"PSO",'caseload data'!$C:$C,'cluster overview'!$B$104)</f>
        <v>0</v>
      </c>
      <c r="H121" s="84">
        <f>SUMIFS('caseload data'!J:J,'caseload data'!$D:$D,"PSO",'caseload data'!$C:$C,'cluster overview'!$B$104)</f>
        <v>0</v>
      </c>
      <c r="I121" s="84">
        <f>SUMIFS('caseload data'!K:K,'caseload data'!$D:$D,"PSO",'caseload data'!$C:$C,'cluster overview'!$B$104)</f>
        <v>0</v>
      </c>
      <c r="J121" s="84">
        <f>SUMIFS('caseload data'!L:L,'caseload data'!$D:$D,"PSO",'caseload data'!$C:$C,'cluster overview'!$B$104)</f>
        <v>0</v>
      </c>
      <c r="K121" s="84">
        <f>SUMIFS('caseload data'!M:M,'caseload data'!$D:$D,"PSO",'caseload data'!$C:$C,'cluster overview'!$B$104)</f>
        <v>0</v>
      </c>
      <c r="L121" s="84">
        <f>SUMIFS('caseload data'!N:N,'caseload data'!$D:$D,"PSO",'caseload data'!$C:$C,'cluster overview'!$B$104)</f>
        <v>0</v>
      </c>
      <c r="M121" s="84">
        <f>SUMIFS('caseload data'!O:O,'caseload data'!$D:$D,"PSO",'caseload data'!$C:$C,'cluster overview'!$B$104)</f>
        <v>0</v>
      </c>
      <c r="N121" s="84">
        <f>SUMIFS('caseload data'!P:P,'caseload data'!$D:$D,"PSO",'caseload data'!$C:$C,'cluster overview'!$B$104)</f>
        <v>0</v>
      </c>
      <c r="O121" s="84">
        <f>SUMIFS('caseload data'!Q:Q,'caseload data'!$D:$D,"PSO",'caseload data'!$C:$C,'cluster overview'!$B$104)</f>
        <v>0</v>
      </c>
      <c r="P121" s="84">
        <f>SUMIFS('caseload data'!R:R,'caseload data'!$D:$D,"PSO",'caseload data'!$C:$C,'cluster overview'!$B$104)</f>
        <v>0</v>
      </c>
      <c r="Q121" s="84">
        <f>SUMIFS('caseload data'!S:S,'caseload data'!$D:$D,"PSO",'caseload data'!$C:$C,'cluster overview'!$B$104)</f>
        <v>0</v>
      </c>
      <c r="R121" s="84">
        <f>SUMIFS('caseload data'!T:T,'caseload data'!$D:$D,"PSO",'caseload data'!$C:$C,'cluster overview'!$B$104)</f>
        <v>0</v>
      </c>
      <c r="U121" s="84" t="s">
        <v>912</v>
      </c>
      <c r="V121" s="76" t="str">
        <f>IFERROR(C$121/SUM(C$120:C$123),"")</f>
        <v/>
      </c>
      <c r="W121" s="76" t="str">
        <f t="shared" ref="W121:AK121" si="21">IFERROR(D$121/SUM(D$120:D$123),"")</f>
        <v/>
      </c>
      <c r="X121" s="76" t="str">
        <f t="shared" si="21"/>
        <v/>
      </c>
      <c r="Y121" s="76" t="str">
        <f t="shared" si="21"/>
        <v/>
      </c>
      <c r="Z121" s="76" t="str">
        <f t="shared" si="21"/>
        <v/>
      </c>
      <c r="AA121" s="76" t="str">
        <f t="shared" si="21"/>
        <v/>
      </c>
      <c r="AB121" s="76" t="str">
        <f t="shared" si="21"/>
        <v/>
      </c>
      <c r="AC121" s="76" t="str">
        <f t="shared" si="21"/>
        <v/>
      </c>
      <c r="AD121" s="76" t="str">
        <f t="shared" si="21"/>
        <v/>
      </c>
      <c r="AE121" s="76" t="str">
        <f t="shared" si="21"/>
        <v/>
      </c>
      <c r="AF121" s="76" t="str">
        <f t="shared" si="21"/>
        <v/>
      </c>
      <c r="AG121" s="76" t="str">
        <f t="shared" si="21"/>
        <v/>
      </c>
      <c r="AH121" s="76" t="str">
        <f t="shared" si="21"/>
        <v/>
      </c>
      <c r="AI121" s="76" t="str">
        <f t="shared" si="21"/>
        <v/>
      </c>
      <c r="AJ121" s="76" t="str">
        <f t="shared" si="21"/>
        <v/>
      </c>
      <c r="AK121" s="76" t="str">
        <f t="shared" si="21"/>
        <v/>
      </c>
    </row>
    <row r="122" spans="2:37" ht="14.25" customHeight="1" x14ac:dyDescent="0.15">
      <c r="B122" s="84" t="s">
        <v>913</v>
      </c>
      <c r="C122" s="84">
        <f>SUMIFS('caseload data'!E:E,'caseload data'!$D:$D,"TPO",'caseload data'!$C:$C,'cluster overview'!$B$104)</f>
        <v>0</v>
      </c>
      <c r="D122" s="84">
        <f>SUMIFS('caseload data'!F:F,'caseload data'!$D:$D,"TPO",'caseload data'!$C:$C,'cluster overview'!$B$104)</f>
        <v>0</v>
      </c>
      <c r="E122" s="84">
        <f>SUMIFS('caseload data'!G:G,'caseload data'!$D:$D,"TPO",'caseload data'!$C:$C,'cluster overview'!$B$104)</f>
        <v>0</v>
      </c>
      <c r="F122" s="84">
        <f>SUMIFS('caseload data'!H:H,'caseload data'!$D:$D,"TPO",'caseload data'!$C:$C,'cluster overview'!$B$104)</f>
        <v>0</v>
      </c>
      <c r="G122" s="84">
        <f>SUMIFS('caseload data'!I:I,'caseload data'!$D:$D,"TPO",'caseload data'!$C:$C,'cluster overview'!$B$104)</f>
        <v>0</v>
      </c>
      <c r="H122" s="84">
        <f>SUMIFS('caseload data'!J:J,'caseload data'!$D:$D,"TPO",'caseload data'!$C:$C,'cluster overview'!$B$104)</f>
        <v>0</v>
      </c>
      <c r="I122" s="84">
        <f>SUMIFS('caseload data'!K:K,'caseload data'!$D:$D,"TPO",'caseload data'!$C:$C,'cluster overview'!$B$104)</f>
        <v>0</v>
      </c>
      <c r="J122" s="84">
        <f>SUMIFS('caseload data'!L:L,'caseload data'!$D:$D,"TPO",'caseload data'!$C:$C,'cluster overview'!$B$104)</f>
        <v>0</v>
      </c>
      <c r="K122" s="84">
        <f>SUMIFS('caseload data'!M:M,'caseload data'!$D:$D,"TPO",'caseload data'!$C:$C,'cluster overview'!$B$104)</f>
        <v>0</v>
      </c>
      <c r="L122" s="84">
        <f>SUMIFS('caseload data'!N:N,'caseload data'!$D:$D,"TPO",'caseload data'!$C:$C,'cluster overview'!$B$104)</f>
        <v>0</v>
      </c>
      <c r="M122" s="84">
        <f>SUMIFS('caseload data'!O:O,'caseload data'!$D:$D,"TPO",'caseload data'!$C:$C,'cluster overview'!$B$104)</f>
        <v>0</v>
      </c>
      <c r="N122" s="84">
        <f>SUMIFS('caseload data'!P:P,'caseload data'!$D:$D,"TPO",'caseload data'!$C:$C,'cluster overview'!$B$104)</f>
        <v>0</v>
      </c>
      <c r="O122" s="84">
        <f>SUMIFS('caseload data'!Q:Q,'caseload data'!$D:$D,"TPO",'caseload data'!$C:$C,'cluster overview'!$B$104)</f>
        <v>0</v>
      </c>
      <c r="P122" s="84">
        <f>SUMIFS('caseload data'!R:R,'caseload data'!$D:$D,"TPO",'caseload data'!$C:$C,'cluster overview'!$B$104)</f>
        <v>0</v>
      </c>
      <c r="Q122" s="84">
        <f>SUMIFS('caseload data'!S:S,'caseload data'!$D:$D,"TPO",'caseload data'!$C:$C,'cluster overview'!$B$104)</f>
        <v>0</v>
      </c>
      <c r="R122" s="84">
        <f>SUMIFS('caseload data'!T:T,'caseload data'!$D:$D,"TPO",'caseload data'!$C:$C,'cluster overview'!$B$104)</f>
        <v>0</v>
      </c>
      <c r="U122" s="84" t="s">
        <v>913</v>
      </c>
      <c r="V122" s="76" t="str">
        <f>IFERROR(C$122/SUM(C$120:C$123),"")</f>
        <v/>
      </c>
      <c r="W122" s="76" t="str">
        <f t="shared" ref="W122:AK122" si="22">IFERROR(D$122/SUM(D$120:D$123),"")</f>
        <v/>
      </c>
      <c r="X122" s="76" t="str">
        <f t="shared" si="22"/>
        <v/>
      </c>
      <c r="Y122" s="76" t="str">
        <f t="shared" si="22"/>
        <v/>
      </c>
      <c r="Z122" s="76" t="str">
        <f t="shared" si="22"/>
        <v/>
      </c>
      <c r="AA122" s="76" t="str">
        <f t="shared" si="22"/>
        <v/>
      </c>
      <c r="AB122" s="76" t="str">
        <f t="shared" si="22"/>
        <v/>
      </c>
      <c r="AC122" s="76" t="str">
        <f t="shared" si="22"/>
        <v/>
      </c>
      <c r="AD122" s="76" t="str">
        <f t="shared" si="22"/>
        <v/>
      </c>
      <c r="AE122" s="76" t="str">
        <f t="shared" si="22"/>
        <v/>
      </c>
      <c r="AF122" s="76" t="str">
        <f t="shared" si="22"/>
        <v/>
      </c>
      <c r="AG122" s="76" t="str">
        <f t="shared" si="22"/>
        <v/>
      </c>
      <c r="AH122" s="76" t="str">
        <f t="shared" si="22"/>
        <v/>
      </c>
      <c r="AI122" s="76" t="str">
        <f t="shared" si="22"/>
        <v/>
      </c>
      <c r="AJ122" s="76" t="str">
        <f t="shared" si="22"/>
        <v/>
      </c>
      <c r="AK122" s="76" t="str">
        <f t="shared" si="22"/>
        <v/>
      </c>
    </row>
    <row r="123" spans="2:37" ht="14.25" customHeight="1" x14ac:dyDescent="0.15">
      <c r="B123" s="84" t="s">
        <v>914</v>
      </c>
      <c r="C123" s="84">
        <f>SUMIFS('caseload data'!E:E,'caseload data'!$D:$D,"SPO",'caseload data'!$C:$C,'cluster overview'!$B$104)</f>
        <v>0</v>
      </c>
      <c r="D123" s="84">
        <f>SUMIFS('caseload data'!F:F,'caseload data'!$D:$D,"SPO",'caseload data'!$C:$C,'cluster overview'!$B$104)</f>
        <v>0</v>
      </c>
      <c r="E123" s="84">
        <f>SUMIFS('caseload data'!G:G,'caseload data'!$D:$D,"SPO",'caseload data'!$C:$C,'cluster overview'!$B$104)</f>
        <v>0</v>
      </c>
      <c r="F123" s="84">
        <f>SUMIFS('caseload data'!H:H,'caseload data'!$D:$D,"SPO",'caseload data'!$C:$C,'cluster overview'!$B$104)</f>
        <v>0</v>
      </c>
      <c r="G123" s="84">
        <f>SUMIFS('caseload data'!I:I,'caseload data'!$D:$D,"SPO",'caseload data'!$C:$C,'cluster overview'!$B$104)</f>
        <v>0</v>
      </c>
      <c r="H123" s="84">
        <f>SUMIFS('caseload data'!J:J,'caseload data'!$D:$D,"SPO",'caseload data'!$C:$C,'cluster overview'!$B$104)</f>
        <v>0</v>
      </c>
      <c r="I123" s="84">
        <f>SUMIFS('caseload data'!K:K,'caseload data'!$D:$D,"SPO",'caseload data'!$C:$C,'cluster overview'!$B$104)</f>
        <v>0</v>
      </c>
      <c r="J123" s="84">
        <f>SUMIFS('caseload data'!L:L,'caseload data'!$D:$D,"SPO",'caseload data'!$C:$C,'cluster overview'!$B$104)</f>
        <v>0</v>
      </c>
      <c r="K123" s="84">
        <f>SUMIFS('caseload data'!M:M,'caseload data'!$D:$D,"SPO",'caseload data'!$C:$C,'cluster overview'!$B$104)</f>
        <v>0</v>
      </c>
      <c r="L123" s="84">
        <f>SUMIFS('caseload data'!N:N,'caseload data'!$D:$D,"SPO",'caseload data'!$C:$C,'cluster overview'!$B$104)</f>
        <v>0</v>
      </c>
      <c r="M123" s="84">
        <f>SUMIFS('caseload data'!O:O,'caseload data'!$D:$D,"SPO",'caseload data'!$C:$C,'cluster overview'!$B$104)</f>
        <v>0</v>
      </c>
      <c r="N123" s="84">
        <f>SUMIFS('caseload data'!P:P,'caseload data'!$D:$D,"SPO",'caseload data'!$C:$C,'cluster overview'!$B$104)</f>
        <v>0</v>
      </c>
      <c r="O123" s="84">
        <f>SUMIFS('caseload data'!Q:Q,'caseload data'!$D:$D,"SPO",'caseload data'!$C:$C,'cluster overview'!$B$104)</f>
        <v>0</v>
      </c>
      <c r="P123" s="84">
        <f>SUMIFS('caseload data'!R:R,'caseload data'!$D:$D,"SPO",'caseload data'!$C:$C,'cluster overview'!$B$104)</f>
        <v>0</v>
      </c>
      <c r="Q123" s="84">
        <f>SUMIFS('caseload data'!S:S,'caseload data'!$D:$D,"SPO",'caseload data'!$C:$C,'cluster overview'!$B$104)</f>
        <v>0</v>
      </c>
      <c r="R123" s="84">
        <f>SUMIFS('caseload data'!T:T,'caseload data'!$D:$D,"SPO",'caseload data'!$C:$C,'cluster overview'!$B$104)</f>
        <v>0</v>
      </c>
      <c r="U123" s="84" t="s">
        <v>914</v>
      </c>
      <c r="V123" s="76" t="str">
        <f>IFERROR(C$123/SUM(C$120:C$123),"")</f>
        <v/>
      </c>
      <c r="W123" s="76" t="str">
        <f t="shared" ref="W123:AK123" si="23">IFERROR(D$123/SUM(D$120:D$123),"")</f>
        <v/>
      </c>
      <c r="X123" s="76" t="str">
        <f t="shared" si="23"/>
        <v/>
      </c>
      <c r="Y123" s="76" t="str">
        <f t="shared" si="23"/>
        <v/>
      </c>
      <c r="Z123" s="76" t="str">
        <f t="shared" si="23"/>
        <v/>
      </c>
      <c r="AA123" s="76" t="str">
        <f t="shared" si="23"/>
        <v/>
      </c>
      <c r="AB123" s="76" t="str">
        <f t="shared" si="23"/>
        <v/>
      </c>
      <c r="AC123" s="76" t="str">
        <f t="shared" si="23"/>
        <v/>
      </c>
      <c r="AD123" s="76" t="str">
        <f t="shared" si="23"/>
        <v/>
      </c>
      <c r="AE123" s="76" t="str">
        <f t="shared" si="23"/>
        <v/>
      </c>
      <c r="AF123" s="76" t="str">
        <f t="shared" si="23"/>
        <v/>
      </c>
      <c r="AG123" s="76" t="str">
        <f t="shared" si="23"/>
        <v/>
      </c>
      <c r="AH123" s="76" t="str">
        <f t="shared" si="23"/>
        <v/>
      </c>
      <c r="AI123" s="76" t="str">
        <f t="shared" si="23"/>
        <v/>
      </c>
      <c r="AJ123" s="76" t="str">
        <f t="shared" si="23"/>
        <v/>
      </c>
      <c r="AK123" s="76" t="str">
        <f t="shared" si="23"/>
        <v/>
      </c>
    </row>
  </sheetData>
  <mergeCells count="25">
    <mergeCell ref="F46:F50"/>
    <mergeCell ref="G46:G50"/>
    <mergeCell ref="F34:F36"/>
    <mergeCell ref="G34:G36"/>
    <mergeCell ref="B32:D32"/>
    <mergeCell ref="F32:G32"/>
    <mergeCell ref="F37:F39"/>
    <mergeCell ref="G37:G39"/>
    <mergeCell ref="F41:F45"/>
    <mergeCell ref="G41:G45"/>
    <mergeCell ref="B26:K26"/>
    <mergeCell ref="B8:F8"/>
    <mergeCell ref="A1:S1"/>
    <mergeCell ref="A2:S2"/>
    <mergeCell ref="B19:H19"/>
    <mergeCell ref="C118:R118"/>
    <mergeCell ref="V97:AK97"/>
    <mergeCell ref="V104:AK104"/>
    <mergeCell ref="V111:AK111"/>
    <mergeCell ref="V118:AK118"/>
    <mergeCell ref="C81:S81"/>
    <mergeCell ref="C88:R88"/>
    <mergeCell ref="C97:R97"/>
    <mergeCell ref="C104:R104"/>
    <mergeCell ref="C111:R111"/>
  </mergeCells>
  <phoneticPr fontId="87" type="noConversion"/>
  <conditionalFormatting sqref="C11:E11 C10:F10">
    <cfRule type="cellIs" dxfId="6607" priority="201" operator="lessThan">
      <formula>0.9</formula>
    </cfRule>
    <cfRule type="cellIs" dxfId="6606" priority="202" operator="greaterThanOrEqual">
      <formula>1.1</formula>
    </cfRule>
  </conditionalFormatting>
  <conditionalFormatting sqref="F11">
    <cfRule type="cellIs" dxfId="6605" priority="197" operator="lessThan">
      <formula>0.9</formula>
    </cfRule>
    <cfRule type="cellIs" dxfId="6604" priority="198" operator="greaterThanOrEqual">
      <formula>1.1</formula>
    </cfRule>
  </conditionalFormatting>
  <conditionalFormatting sqref="C100:C101">
    <cfRule type="cellIs" dxfId="6603" priority="191" operator="equal">
      <formula>0</formula>
    </cfRule>
    <cfRule type="cellIs" dxfId="6602" priority="192" operator="greaterThan">
      <formula>0</formula>
    </cfRule>
  </conditionalFormatting>
  <conditionalFormatting sqref="D100:D101">
    <cfRule type="cellIs" dxfId="6601" priority="189" operator="equal">
      <formula>0</formula>
    </cfRule>
    <cfRule type="cellIs" dxfId="6600" priority="190" operator="greaterThan">
      <formula>0</formula>
    </cfRule>
  </conditionalFormatting>
  <conditionalFormatting sqref="E100:E101">
    <cfRule type="cellIs" dxfId="6599" priority="187" operator="equal">
      <formula>0</formula>
    </cfRule>
    <cfRule type="cellIs" dxfId="6598" priority="188" operator="greaterThan">
      <formula>0</formula>
    </cfRule>
  </conditionalFormatting>
  <conditionalFormatting sqref="F100:F101">
    <cfRule type="cellIs" dxfId="6597" priority="185" operator="equal">
      <formula>0</formula>
    </cfRule>
    <cfRule type="cellIs" dxfId="6596" priority="186" operator="greaterThan">
      <formula>0</formula>
    </cfRule>
  </conditionalFormatting>
  <conditionalFormatting sqref="G100:G101">
    <cfRule type="cellIs" dxfId="6595" priority="183" operator="equal">
      <formula>0</formula>
    </cfRule>
    <cfRule type="cellIs" dxfId="6594" priority="184" operator="greaterThan">
      <formula>0</formula>
    </cfRule>
  </conditionalFormatting>
  <conditionalFormatting sqref="H100:H101">
    <cfRule type="cellIs" dxfId="6593" priority="181" operator="equal">
      <formula>0</formula>
    </cfRule>
    <cfRule type="cellIs" dxfId="6592" priority="182" operator="greaterThan">
      <formula>0</formula>
    </cfRule>
  </conditionalFormatting>
  <conditionalFormatting sqref="I100:I101">
    <cfRule type="cellIs" dxfId="6591" priority="179" operator="equal">
      <formula>0</formula>
    </cfRule>
    <cfRule type="cellIs" dxfId="6590" priority="180" operator="greaterThan">
      <formula>0</formula>
    </cfRule>
  </conditionalFormatting>
  <conditionalFormatting sqref="J100:J101">
    <cfRule type="cellIs" dxfId="6589" priority="177" operator="equal">
      <formula>0</formula>
    </cfRule>
    <cfRule type="cellIs" dxfId="6588" priority="178" operator="greaterThan">
      <formula>0</formula>
    </cfRule>
  </conditionalFormatting>
  <conditionalFormatting sqref="O99">
    <cfRule type="cellIs" dxfId="6587" priority="175" operator="equal">
      <formula>0</formula>
    </cfRule>
    <cfRule type="cellIs" dxfId="6586" priority="176" operator="greaterThan">
      <formula>0</formula>
    </cfRule>
  </conditionalFormatting>
  <conditionalFormatting sqref="P99">
    <cfRule type="cellIs" dxfId="6585" priority="173" operator="equal">
      <formula>0</formula>
    </cfRule>
    <cfRule type="cellIs" dxfId="6584" priority="174" operator="greaterThan">
      <formula>0</formula>
    </cfRule>
  </conditionalFormatting>
  <conditionalFormatting sqref="Q99">
    <cfRule type="cellIs" dxfId="6583" priority="171" operator="equal">
      <formula>0</formula>
    </cfRule>
    <cfRule type="cellIs" dxfId="6582" priority="172" operator="greaterThan">
      <formula>0</formula>
    </cfRule>
  </conditionalFormatting>
  <conditionalFormatting sqref="R99">
    <cfRule type="cellIs" dxfId="6581" priority="169" operator="equal">
      <formula>0</formula>
    </cfRule>
    <cfRule type="cellIs" dxfId="6580" priority="170" operator="greaterThan">
      <formula>0</formula>
    </cfRule>
  </conditionalFormatting>
  <conditionalFormatting sqref="C107:C108">
    <cfRule type="cellIs" dxfId="6579" priority="167" operator="equal">
      <formula>0</formula>
    </cfRule>
    <cfRule type="cellIs" dxfId="6578" priority="168" operator="greaterThan">
      <formula>0</formula>
    </cfRule>
  </conditionalFormatting>
  <conditionalFormatting sqref="D107:D108">
    <cfRule type="cellIs" dxfId="6577" priority="165" operator="equal">
      <formula>0</formula>
    </cfRule>
    <cfRule type="cellIs" dxfId="6576" priority="166" operator="greaterThan">
      <formula>0</formula>
    </cfRule>
  </conditionalFormatting>
  <conditionalFormatting sqref="E107:E108">
    <cfRule type="cellIs" dxfId="6575" priority="163" operator="equal">
      <formula>0</formula>
    </cfRule>
    <cfRule type="cellIs" dxfId="6574" priority="164" operator="greaterThan">
      <formula>0</formula>
    </cfRule>
  </conditionalFormatting>
  <conditionalFormatting sqref="F107:F108">
    <cfRule type="cellIs" dxfId="6573" priority="161" operator="equal">
      <formula>0</formula>
    </cfRule>
    <cfRule type="cellIs" dxfId="6572" priority="162" operator="greaterThan">
      <formula>0</formula>
    </cfRule>
  </conditionalFormatting>
  <conditionalFormatting sqref="G107:G108">
    <cfRule type="cellIs" dxfId="6571" priority="159" operator="equal">
      <formula>0</formula>
    </cfRule>
    <cfRule type="cellIs" dxfId="6570" priority="160" operator="greaterThan">
      <formula>0</formula>
    </cfRule>
  </conditionalFormatting>
  <conditionalFormatting sqref="H107:H108">
    <cfRule type="cellIs" dxfId="6569" priority="157" operator="equal">
      <formula>0</formula>
    </cfRule>
    <cfRule type="cellIs" dxfId="6568" priority="158" operator="greaterThan">
      <formula>0</formula>
    </cfRule>
  </conditionalFormatting>
  <conditionalFormatting sqref="I107:I108">
    <cfRule type="cellIs" dxfId="6567" priority="155" operator="equal">
      <formula>0</formula>
    </cfRule>
    <cfRule type="cellIs" dxfId="6566" priority="156" operator="greaterThan">
      <formula>0</formula>
    </cfRule>
  </conditionalFormatting>
  <conditionalFormatting sqref="J107:J108">
    <cfRule type="cellIs" dxfId="6565" priority="153" operator="equal">
      <formula>0</formula>
    </cfRule>
    <cfRule type="cellIs" dxfId="6564" priority="154" operator="greaterThan">
      <formula>0</formula>
    </cfRule>
  </conditionalFormatting>
  <conditionalFormatting sqref="O106">
    <cfRule type="cellIs" dxfId="6563" priority="151" operator="equal">
      <formula>0</formula>
    </cfRule>
    <cfRule type="cellIs" dxfId="6562" priority="152" operator="greaterThan">
      <formula>0</formula>
    </cfRule>
  </conditionalFormatting>
  <conditionalFormatting sqref="P106">
    <cfRule type="cellIs" dxfId="6561" priority="149" operator="equal">
      <formula>0</formula>
    </cfRule>
    <cfRule type="cellIs" dxfId="6560" priority="150" operator="greaterThan">
      <formula>0</formula>
    </cfRule>
  </conditionalFormatting>
  <conditionalFormatting sqref="Q106">
    <cfRule type="cellIs" dxfId="6559" priority="147" operator="equal">
      <formula>0</formula>
    </cfRule>
    <cfRule type="cellIs" dxfId="6558" priority="148" operator="greaterThan">
      <formula>0</formula>
    </cfRule>
  </conditionalFormatting>
  <conditionalFormatting sqref="R106">
    <cfRule type="cellIs" dxfId="6557" priority="145" operator="equal">
      <formula>0</formula>
    </cfRule>
    <cfRule type="cellIs" dxfId="6556" priority="146" operator="greaterThan">
      <formula>0</formula>
    </cfRule>
  </conditionalFormatting>
  <conditionalFormatting sqref="C114:C115">
    <cfRule type="cellIs" dxfId="6555" priority="143" operator="equal">
      <formula>0</formula>
    </cfRule>
    <cfRule type="cellIs" dxfId="6554" priority="144" operator="greaterThan">
      <formula>0</formula>
    </cfRule>
  </conditionalFormatting>
  <conditionalFormatting sqref="D114:D115">
    <cfRule type="cellIs" dxfId="6553" priority="141" operator="equal">
      <formula>0</formula>
    </cfRule>
    <cfRule type="cellIs" dxfId="6552" priority="142" operator="greaterThan">
      <formula>0</formula>
    </cfRule>
  </conditionalFormatting>
  <conditionalFormatting sqref="E114:E115">
    <cfRule type="cellIs" dxfId="6551" priority="139" operator="equal">
      <formula>0</formula>
    </cfRule>
    <cfRule type="cellIs" dxfId="6550" priority="140" operator="greaterThan">
      <formula>0</formula>
    </cfRule>
  </conditionalFormatting>
  <conditionalFormatting sqref="F114:F115">
    <cfRule type="cellIs" dxfId="6549" priority="137" operator="equal">
      <formula>0</formula>
    </cfRule>
    <cfRule type="cellIs" dxfId="6548" priority="138" operator="greaterThan">
      <formula>0</formula>
    </cfRule>
  </conditionalFormatting>
  <conditionalFormatting sqref="G114:G115">
    <cfRule type="cellIs" dxfId="6547" priority="135" operator="equal">
      <formula>0</formula>
    </cfRule>
    <cfRule type="cellIs" dxfId="6546" priority="136" operator="greaterThan">
      <formula>0</formula>
    </cfRule>
  </conditionalFormatting>
  <conditionalFormatting sqref="H114:H115">
    <cfRule type="cellIs" dxfId="6545" priority="133" operator="equal">
      <formula>0</formula>
    </cfRule>
    <cfRule type="cellIs" dxfId="6544" priority="134" operator="greaterThan">
      <formula>0</formula>
    </cfRule>
  </conditionalFormatting>
  <conditionalFormatting sqref="I114:I115">
    <cfRule type="cellIs" dxfId="6543" priority="131" operator="equal">
      <formula>0</formula>
    </cfRule>
    <cfRule type="cellIs" dxfId="6542" priority="132" operator="greaterThan">
      <formula>0</formula>
    </cfRule>
  </conditionalFormatting>
  <conditionalFormatting sqref="J114:J115">
    <cfRule type="cellIs" dxfId="6541" priority="129" operator="equal">
      <formula>0</formula>
    </cfRule>
    <cfRule type="cellIs" dxfId="6540" priority="130" operator="greaterThan">
      <formula>0</formula>
    </cfRule>
  </conditionalFormatting>
  <conditionalFormatting sqref="O113">
    <cfRule type="cellIs" dxfId="6539" priority="127" operator="equal">
      <formula>0</formula>
    </cfRule>
    <cfRule type="cellIs" dxfId="6538" priority="128" operator="greaterThan">
      <formula>0</formula>
    </cfRule>
  </conditionalFormatting>
  <conditionalFormatting sqref="P113">
    <cfRule type="cellIs" dxfId="6537" priority="125" operator="equal">
      <formula>0</formula>
    </cfRule>
    <cfRule type="cellIs" dxfId="6536" priority="126" operator="greaterThan">
      <formula>0</formula>
    </cfRule>
  </conditionalFormatting>
  <conditionalFormatting sqref="Q113">
    <cfRule type="cellIs" dxfId="6535" priority="123" operator="equal">
      <formula>0</formula>
    </cfRule>
    <cfRule type="cellIs" dxfId="6534" priority="124" operator="greaterThan">
      <formula>0</formula>
    </cfRule>
  </conditionalFormatting>
  <conditionalFormatting sqref="R113">
    <cfRule type="cellIs" dxfId="6533" priority="121" operator="equal">
      <formula>0</formula>
    </cfRule>
    <cfRule type="cellIs" dxfId="6532" priority="122" operator="greaterThan">
      <formula>0</formula>
    </cfRule>
  </conditionalFormatting>
  <conditionalFormatting sqref="C121:C122">
    <cfRule type="cellIs" dxfId="6531" priority="119" operator="equal">
      <formula>0</formula>
    </cfRule>
    <cfRule type="cellIs" dxfId="6530" priority="120" operator="greaterThan">
      <formula>0</formula>
    </cfRule>
  </conditionalFormatting>
  <conditionalFormatting sqref="D121:D122">
    <cfRule type="cellIs" dxfId="6529" priority="117" operator="equal">
      <formula>0</formula>
    </cfRule>
    <cfRule type="cellIs" dxfId="6528" priority="118" operator="greaterThan">
      <formula>0</formula>
    </cfRule>
  </conditionalFormatting>
  <conditionalFormatting sqref="E121:E122">
    <cfRule type="cellIs" dxfId="6527" priority="115" operator="equal">
      <formula>0</formula>
    </cfRule>
    <cfRule type="cellIs" dxfId="6526" priority="116" operator="greaterThan">
      <formula>0</formula>
    </cfRule>
  </conditionalFormatting>
  <conditionalFormatting sqref="F121:F122">
    <cfRule type="cellIs" dxfId="6525" priority="113" operator="equal">
      <formula>0</formula>
    </cfRule>
    <cfRule type="cellIs" dxfId="6524" priority="114" operator="greaterThan">
      <formula>0</formula>
    </cfRule>
  </conditionalFormatting>
  <conditionalFormatting sqref="G121:G122">
    <cfRule type="cellIs" dxfId="6523" priority="111" operator="equal">
      <formula>0</formula>
    </cfRule>
    <cfRule type="cellIs" dxfId="6522" priority="112" operator="greaterThan">
      <formula>0</formula>
    </cfRule>
  </conditionalFormatting>
  <conditionalFormatting sqref="H121:H122">
    <cfRule type="cellIs" dxfId="6521" priority="109" operator="equal">
      <formula>0</formula>
    </cfRule>
    <cfRule type="cellIs" dxfId="6520" priority="110" operator="greaterThan">
      <formula>0</formula>
    </cfRule>
  </conditionalFormatting>
  <conditionalFormatting sqref="I121:I122">
    <cfRule type="cellIs" dxfId="6519" priority="107" operator="equal">
      <formula>0</formula>
    </cfRule>
    <cfRule type="cellIs" dxfId="6518" priority="108" operator="greaterThan">
      <formula>0</formula>
    </cfRule>
  </conditionalFormatting>
  <conditionalFormatting sqref="J121:J122">
    <cfRule type="cellIs" dxfId="6517" priority="105" operator="equal">
      <formula>0</formula>
    </cfRule>
    <cfRule type="cellIs" dxfId="6516" priority="106" operator="greaterThan">
      <formula>0</formula>
    </cfRule>
  </conditionalFormatting>
  <conditionalFormatting sqref="O120">
    <cfRule type="cellIs" dxfId="6515" priority="103" operator="equal">
      <formula>0</formula>
    </cfRule>
    <cfRule type="cellIs" dxfId="6514" priority="104" operator="greaterThan">
      <formula>0</formula>
    </cfRule>
  </conditionalFormatting>
  <conditionalFormatting sqref="P120">
    <cfRule type="cellIs" dxfId="6513" priority="101" operator="equal">
      <formula>0</formula>
    </cfRule>
    <cfRule type="cellIs" dxfId="6512" priority="102" operator="greaterThan">
      <formula>0</formula>
    </cfRule>
  </conditionalFormatting>
  <conditionalFormatting sqref="Q120">
    <cfRule type="cellIs" dxfId="6511" priority="99" operator="equal">
      <formula>0</formula>
    </cfRule>
    <cfRule type="cellIs" dxfId="6510" priority="100" operator="greaterThan">
      <formula>0</formula>
    </cfRule>
  </conditionalFormatting>
  <conditionalFormatting sqref="R120">
    <cfRule type="cellIs" dxfId="6509" priority="97" operator="equal">
      <formula>0</formula>
    </cfRule>
    <cfRule type="cellIs" dxfId="6508" priority="98" operator="greaterThan">
      <formula>0</formula>
    </cfRule>
  </conditionalFormatting>
  <conditionalFormatting sqref="V100:V101">
    <cfRule type="cellIs" dxfId="6507" priority="95" operator="equal">
      <formula>0</formula>
    </cfRule>
    <cfRule type="cellIs" dxfId="6506" priority="96" operator="greaterThan">
      <formula>0</formula>
    </cfRule>
  </conditionalFormatting>
  <conditionalFormatting sqref="W100:W101">
    <cfRule type="cellIs" dxfId="6505" priority="93" operator="equal">
      <formula>0</formula>
    </cfRule>
    <cfRule type="cellIs" dxfId="6504" priority="94" operator="greaterThan">
      <formula>0</formula>
    </cfRule>
  </conditionalFormatting>
  <conditionalFormatting sqref="X100:X101">
    <cfRule type="cellIs" dxfId="6503" priority="91" operator="equal">
      <formula>0</formula>
    </cfRule>
    <cfRule type="cellIs" dxfId="6502" priority="92" operator="greaterThan">
      <formula>0</formula>
    </cfRule>
  </conditionalFormatting>
  <conditionalFormatting sqref="Y100:Y101">
    <cfRule type="cellIs" dxfId="6501" priority="89" operator="equal">
      <formula>0</formula>
    </cfRule>
    <cfRule type="cellIs" dxfId="6500" priority="90" operator="greaterThan">
      <formula>0</formula>
    </cfRule>
  </conditionalFormatting>
  <conditionalFormatting sqref="Z100:Z101">
    <cfRule type="cellIs" dxfId="6499" priority="87" operator="equal">
      <formula>0</formula>
    </cfRule>
    <cfRule type="cellIs" dxfId="6498" priority="88" operator="greaterThan">
      <formula>0</formula>
    </cfRule>
  </conditionalFormatting>
  <conditionalFormatting sqref="AA100:AA101">
    <cfRule type="cellIs" dxfId="6497" priority="85" operator="equal">
      <formula>0</formula>
    </cfRule>
    <cfRule type="cellIs" dxfId="6496" priority="86" operator="greaterThan">
      <formula>0</formula>
    </cfRule>
  </conditionalFormatting>
  <conditionalFormatting sqref="AB100:AB101">
    <cfRule type="cellIs" dxfId="6495" priority="83" operator="equal">
      <formula>0</formula>
    </cfRule>
    <cfRule type="cellIs" dxfId="6494" priority="84" operator="greaterThan">
      <formula>0</formula>
    </cfRule>
  </conditionalFormatting>
  <conditionalFormatting sqref="AC100:AC101">
    <cfRule type="cellIs" dxfId="6493" priority="81" operator="equal">
      <formula>0</formula>
    </cfRule>
    <cfRule type="cellIs" dxfId="6492" priority="82" operator="greaterThan">
      <formula>0</formula>
    </cfRule>
  </conditionalFormatting>
  <conditionalFormatting sqref="AH99">
    <cfRule type="cellIs" dxfId="6491" priority="79" operator="equal">
      <formula>0</formula>
    </cfRule>
    <cfRule type="cellIs" dxfId="6490" priority="80" operator="greaterThan">
      <formula>0</formula>
    </cfRule>
  </conditionalFormatting>
  <conditionalFormatting sqref="AI99">
    <cfRule type="cellIs" dxfId="6489" priority="77" operator="equal">
      <formula>0</formula>
    </cfRule>
    <cfRule type="cellIs" dxfId="6488" priority="78" operator="greaterThan">
      <formula>0</formula>
    </cfRule>
  </conditionalFormatting>
  <conditionalFormatting sqref="AJ99">
    <cfRule type="cellIs" dxfId="6487" priority="75" operator="equal">
      <formula>0</formula>
    </cfRule>
    <cfRule type="cellIs" dxfId="6486" priority="76" operator="greaterThan">
      <formula>0</formula>
    </cfRule>
  </conditionalFormatting>
  <conditionalFormatting sqref="AK99">
    <cfRule type="cellIs" dxfId="6485" priority="73" operator="equal">
      <formula>0</formula>
    </cfRule>
    <cfRule type="cellIs" dxfId="6484" priority="74" operator="greaterThan">
      <formula>0</formula>
    </cfRule>
  </conditionalFormatting>
  <conditionalFormatting sqref="V107:V108">
    <cfRule type="cellIs" dxfId="6483" priority="71" operator="equal">
      <formula>0</formula>
    </cfRule>
    <cfRule type="cellIs" dxfId="6482" priority="72" operator="greaterThan">
      <formula>0</formula>
    </cfRule>
  </conditionalFormatting>
  <conditionalFormatting sqref="W107:W108">
    <cfRule type="cellIs" dxfId="6481" priority="69" operator="equal">
      <formula>0</formula>
    </cfRule>
    <cfRule type="cellIs" dxfId="6480" priority="70" operator="greaterThan">
      <formula>0</formula>
    </cfRule>
  </conditionalFormatting>
  <conditionalFormatting sqref="X107:X108">
    <cfRule type="cellIs" dxfId="6479" priority="67" operator="equal">
      <formula>0</formula>
    </cfRule>
    <cfRule type="cellIs" dxfId="6478" priority="68" operator="greaterThan">
      <formula>0</formula>
    </cfRule>
  </conditionalFormatting>
  <conditionalFormatting sqref="Y107:Y108">
    <cfRule type="cellIs" dxfId="6477" priority="65" operator="equal">
      <formula>0</formula>
    </cfRule>
    <cfRule type="cellIs" dxfId="6476" priority="66" operator="greaterThan">
      <formula>0</formula>
    </cfRule>
  </conditionalFormatting>
  <conditionalFormatting sqref="Z107:Z108">
    <cfRule type="cellIs" dxfId="6475" priority="63" operator="equal">
      <formula>0</formula>
    </cfRule>
    <cfRule type="cellIs" dxfId="6474" priority="64" operator="greaterThan">
      <formula>0</formula>
    </cfRule>
  </conditionalFormatting>
  <conditionalFormatting sqref="AA107:AA108">
    <cfRule type="cellIs" dxfId="6473" priority="61" operator="equal">
      <formula>0</formula>
    </cfRule>
    <cfRule type="cellIs" dxfId="6472" priority="62" operator="greaterThan">
      <formula>0</formula>
    </cfRule>
  </conditionalFormatting>
  <conditionalFormatting sqref="AB107:AB108">
    <cfRule type="cellIs" dxfId="6471" priority="59" operator="equal">
      <formula>0</formula>
    </cfRule>
    <cfRule type="cellIs" dxfId="6470" priority="60" operator="greaterThan">
      <formula>0</formula>
    </cfRule>
  </conditionalFormatting>
  <conditionalFormatting sqref="AC107:AC108">
    <cfRule type="cellIs" dxfId="6469" priority="57" operator="equal">
      <formula>0</formula>
    </cfRule>
    <cfRule type="cellIs" dxfId="6468" priority="58" operator="greaterThan">
      <formula>0</formula>
    </cfRule>
  </conditionalFormatting>
  <conditionalFormatting sqref="AH106">
    <cfRule type="cellIs" dxfId="6467" priority="55" operator="equal">
      <formula>0</formula>
    </cfRule>
    <cfRule type="cellIs" dxfId="6466" priority="56" operator="greaterThan">
      <formula>0</formula>
    </cfRule>
  </conditionalFormatting>
  <conditionalFormatting sqref="AI106">
    <cfRule type="cellIs" dxfId="6465" priority="53" operator="equal">
      <formula>0</formula>
    </cfRule>
    <cfRule type="cellIs" dxfId="6464" priority="54" operator="greaterThan">
      <formula>0</formula>
    </cfRule>
  </conditionalFormatting>
  <conditionalFormatting sqref="AJ106">
    <cfRule type="cellIs" dxfId="6463" priority="51" operator="equal">
      <formula>0</formula>
    </cfRule>
    <cfRule type="cellIs" dxfId="6462" priority="52" operator="greaterThan">
      <formula>0</formula>
    </cfRule>
  </conditionalFormatting>
  <conditionalFormatting sqref="AK106">
    <cfRule type="cellIs" dxfId="6461" priority="49" operator="equal">
      <formula>0</formula>
    </cfRule>
    <cfRule type="cellIs" dxfId="6460" priority="50" operator="greaterThan">
      <formula>0</formula>
    </cfRule>
  </conditionalFormatting>
  <conditionalFormatting sqref="V114:V115">
    <cfRule type="cellIs" dxfId="6459" priority="47" operator="equal">
      <formula>0</formula>
    </cfRule>
    <cfRule type="cellIs" dxfId="6458" priority="48" operator="greaterThan">
      <formula>0</formula>
    </cfRule>
  </conditionalFormatting>
  <conditionalFormatting sqref="W114:W115">
    <cfRule type="cellIs" dxfId="6457" priority="45" operator="equal">
      <formula>0</formula>
    </cfRule>
    <cfRule type="cellIs" dxfId="6456" priority="46" operator="greaterThan">
      <formula>0</formula>
    </cfRule>
  </conditionalFormatting>
  <conditionalFormatting sqref="X114:X115">
    <cfRule type="cellIs" dxfId="6455" priority="43" operator="equal">
      <formula>0</formula>
    </cfRule>
    <cfRule type="cellIs" dxfId="6454" priority="44" operator="greaterThan">
      <formula>0</formula>
    </cfRule>
  </conditionalFormatting>
  <conditionalFormatting sqref="Y114:Y115">
    <cfRule type="cellIs" dxfId="6453" priority="41" operator="equal">
      <formula>0</formula>
    </cfRule>
    <cfRule type="cellIs" dxfId="6452" priority="42" operator="greaterThan">
      <formula>0</formula>
    </cfRule>
  </conditionalFormatting>
  <conditionalFormatting sqref="Z114:Z115">
    <cfRule type="cellIs" dxfId="6451" priority="39" operator="equal">
      <formula>0</formula>
    </cfRule>
    <cfRule type="cellIs" dxfId="6450" priority="40" operator="greaterThan">
      <formula>0</formula>
    </cfRule>
  </conditionalFormatting>
  <conditionalFormatting sqref="AA114:AA115">
    <cfRule type="cellIs" dxfId="6449" priority="37" operator="equal">
      <formula>0</formula>
    </cfRule>
    <cfRule type="cellIs" dxfId="6448" priority="38" operator="greaterThan">
      <formula>0</formula>
    </cfRule>
  </conditionalFormatting>
  <conditionalFormatting sqref="AB114:AB115">
    <cfRule type="cellIs" dxfId="6447" priority="35" operator="equal">
      <formula>0</formula>
    </cfRule>
    <cfRule type="cellIs" dxfId="6446" priority="36" operator="greaterThan">
      <formula>0</formula>
    </cfRule>
  </conditionalFormatting>
  <conditionalFormatting sqref="AC114:AC115">
    <cfRule type="cellIs" dxfId="6445" priority="33" operator="equal">
      <formula>0</formula>
    </cfRule>
    <cfRule type="cellIs" dxfId="6444" priority="34" operator="greaterThan">
      <formula>0</formula>
    </cfRule>
  </conditionalFormatting>
  <conditionalFormatting sqref="AH113">
    <cfRule type="cellIs" dxfId="6443" priority="31" operator="equal">
      <formula>0</formula>
    </cfRule>
    <cfRule type="cellIs" dxfId="6442" priority="32" operator="greaterThan">
      <formula>0</formula>
    </cfRule>
  </conditionalFormatting>
  <conditionalFormatting sqref="AI113">
    <cfRule type="cellIs" dxfId="6441" priority="29" operator="equal">
      <formula>0</formula>
    </cfRule>
    <cfRule type="cellIs" dxfId="6440" priority="30" operator="greaterThan">
      <formula>0</formula>
    </cfRule>
  </conditionalFormatting>
  <conditionalFormatting sqref="AJ113">
    <cfRule type="cellIs" dxfId="6439" priority="27" operator="equal">
      <formula>0</formula>
    </cfRule>
    <cfRule type="cellIs" dxfId="6438" priority="28" operator="greaterThan">
      <formula>0</formula>
    </cfRule>
  </conditionalFormatting>
  <conditionalFormatting sqref="AK113">
    <cfRule type="cellIs" dxfId="6437" priority="25" operator="equal">
      <formula>0</formula>
    </cfRule>
    <cfRule type="cellIs" dxfId="6436" priority="26" operator="greaterThan">
      <formula>0</formula>
    </cfRule>
  </conditionalFormatting>
  <conditionalFormatting sqref="V121:V122">
    <cfRule type="cellIs" dxfId="6435" priority="23" operator="equal">
      <formula>0</formula>
    </cfRule>
    <cfRule type="cellIs" dxfId="6434" priority="24" operator="greaterThan">
      <formula>0</formula>
    </cfRule>
  </conditionalFormatting>
  <conditionalFormatting sqref="W121:W122">
    <cfRule type="cellIs" dxfId="6433" priority="21" operator="equal">
      <formula>0</formula>
    </cfRule>
    <cfRule type="cellIs" dxfId="6432" priority="22" operator="greaterThan">
      <formula>0</formula>
    </cfRule>
  </conditionalFormatting>
  <conditionalFormatting sqref="X121:X122">
    <cfRule type="cellIs" dxfId="6431" priority="19" operator="equal">
      <formula>0</formula>
    </cfRule>
    <cfRule type="cellIs" dxfId="6430" priority="20" operator="greaterThan">
      <formula>0</formula>
    </cfRule>
  </conditionalFormatting>
  <conditionalFormatting sqref="Y121:Y122">
    <cfRule type="cellIs" dxfId="6429" priority="17" operator="equal">
      <formula>0</formula>
    </cfRule>
    <cfRule type="cellIs" dxfId="6428" priority="18" operator="greaterThan">
      <formula>0</formula>
    </cfRule>
  </conditionalFormatting>
  <conditionalFormatting sqref="Z121:Z122">
    <cfRule type="cellIs" dxfId="6427" priority="15" operator="equal">
      <formula>0</formula>
    </cfRule>
    <cfRule type="cellIs" dxfId="6426" priority="16" operator="greaterThan">
      <formula>0</formula>
    </cfRule>
  </conditionalFormatting>
  <conditionalFormatting sqref="AA121:AA122">
    <cfRule type="cellIs" dxfId="6425" priority="13" operator="equal">
      <formula>0</formula>
    </cfRule>
    <cfRule type="cellIs" dxfId="6424" priority="14" operator="greaterThan">
      <formula>0</formula>
    </cfRule>
  </conditionalFormatting>
  <conditionalFormatting sqref="AB121:AB122">
    <cfRule type="cellIs" dxfId="6423" priority="11" operator="equal">
      <formula>0</formula>
    </cfRule>
    <cfRule type="cellIs" dxfId="6422" priority="12" operator="greaterThan">
      <formula>0</formula>
    </cfRule>
  </conditionalFormatting>
  <conditionalFormatting sqref="AC121:AC122">
    <cfRule type="cellIs" dxfId="6421" priority="9" operator="equal">
      <formula>0</formula>
    </cfRule>
    <cfRule type="cellIs" dxfId="6420" priority="10" operator="greaterThan">
      <formula>0</formula>
    </cfRule>
  </conditionalFormatting>
  <conditionalFormatting sqref="AH120">
    <cfRule type="cellIs" dxfId="6419" priority="7" operator="equal">
      <formula>0</formula>
    </cfRule>
    <cfRule type="cellIs" dxfId="6418" priority="8" operator="greaterThan">
      <formula>0</formula>
    </cfRule>
  </conditionalFormatting>
  <conditionalFormatting sqref="AI120">
    <cfRule type="cellIs" dxfId="6417" priority="5" operator="equal">
      <formula>0</formula>
    </cfRule>
    <cfRule type="cellIs" dxfId="6416" priority="6" operator="greaterThan">
      <formula>0</formula>
    </cfRule>
  </conditionalFormatting>
  <conditionalFormatting sqref="AJ120">
    <cfRule type="cellIs" dxfId="6415" priority="3" operator="equal">
      <formula>0</formula>
    </cfRule>
    <cfRule type="cellIs" dxfId="6414" priority="4" operator="greaterThan">
      <formula>0</formula>
    </cfRule>
  </conditionalFormatting>
  <conditionalFormatting sqref="AK120">
    <cfRule type="cellIs" dxfId="6413" priority="1" operator="equal">
      <formula>0</formula>
    </cfRule>
    <cfRule type="cellIs" dxfId="6412" priority="2" operator="greaterThan">
      <formula>0</formula>
    </cfRule>
  </conditionalFormatting>
  <dataValidations count="2">
    <dataValidation type="list" allowBlank="1" showInputMessage="1" showErrorMessage="1" sqref="B6" xr:uid="{00000000-0002-0000-0800-000001000000}">
      <formula1>OFFSET(Anchor_Cell,1,MATCH($B$5,Team_Regions,0)-1,COUNTA(OFFSET(Anchor_Cell,1,MATCH(B5,Regions,0)-1,100)),1)</formula1>
    </dataValidation>
    <dataValidation type="list" allowBlank="1" showInputMessage="1" showErrorMessage="1" sqref="B5" xr:uid="{853D782F-5BD6-4D79-A2B6-88C6986BDB1F}">
      <formula1>Regions</formula1>
    </dataValidation>
  </dataValidation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S80"/>
  <sheetViews>
    <sheetView showGridLines="0" zoomScale="90" zoomScaleNormal="90" workbookViewId="0">
      <selection activeCell="C9" sqref="C9"/>
    </sheetView>
  </sheetViews>
  <sheetFormatPr baseColWidth="10" defaultColWidth="9.1640625" defaultRowHeight="14" x14ac:dyDescent="0.15"/>
  <cols>
    <col min="2" max="2" width="39.5" customWidth="1"/>
    <col min="3" max="3" width="19.1640625" customWidth="1"/>
    <col min="4" max="4" width="20.5" bestFit="1" customWidth="1"/>
    <col min="5" max="5" width="14.83203125" customWidth="1"/>
    <col min="6" max="6" width="17.1640625" customWidth="1"/>
    <col min="7" max="7" width="18.5" customWidth="1"/>
    <col min="8" max="8" width="19.1640625" customWidth="1"/>
    <col min="9" max="9" width="17.5" customWidth="1"/>
    <col min="10" max="10" width="20.5" customWidth="1"/>
    <col min="11" max="11" width="26.5" bestFit="1" customWidth="1"/>
    <col min="12" max="12" width="16.83203125" customWidth="1"/>
    <col min="13" max="13" width="17.83203125" bestFit="1" customWidth="1"/>
    <col min="14" max="14" width="8.5" bestFit="1" customWidth="1"/>
    <col min="17" max="17" width="10" bestFit="1" customWidth="1"/>
  </cols>
  <sheetData>
    <row r="1" spans="1:19" ht="43.5" customHeight="1" x14ac:dyDescent="0.15">
      <c r="A1" s="295" t="s">
        <v>1099</v>
      </c>
      <c r="B1" s="296"/>
      <c r="C1" s="296"/>
      <c r="D1" s="296"/>
      <c r="E1" s="296"/>
      <c r="F1" s="296"/>
      <c r="G1" s="296"/>
      <c r="H1" s="296"/>
      <c r="I1" s="296"/>
      <c r="J1" s="296"/>
      <c r="K1" s="296"/>
      <c r="L1" s="296"/>
      <c r="M1" s="296"/>
      <c r="N1" s="296"/>
      <c r="O1" s="296"/>
      <c r="P1" s="296"/>
      <c r="Q1" s="296"/>
      <c r="R1" s="296"/>
      <c r="S1" s="296"/>
    </row>
    <row r="2" spans="1:19" ht="37.5" customHeight="1" x14ac:dyDescent="0.15">
      <c r="A2" s="307"/>
      <c r="B2" s="307"/>
      <c r="C2" s="307"/>
      <c r="D2" s="307"/>
      <c r="E2" s="307"/>
      <c r="F2" s="307"/>
      <c r="G2" s="307"/>
      <c r="H2" s="307"/>
      <c r="I2" s="307"/>
      <c r="J2" s="307"/>
      <c r="K2" s="307"/>
      <c r="L2" s="307"/>
      <c r="M2" s="307"/>
      <c r="N2" s="307"/>
      <c r="O2" s="307"/>
      <c r="P2" s="307"/>
      <c r="Q2" s="307"/>
      <c r="R2" s="307"/>
      <c r="S2" s="307"/>
    </row>
    <row r="4" spans="1:19" ht="57" customHeight="1" x14ac:dyDescent="0.15">
      <c r="B4" s="39" t="s">
        <v>1100</v>
      </c>
    </row>
    <row r="5" spans="1:19" ht="24" customHeight="1" x14ac:dyDescent="0.15">
      <c r="B5" s="60" t="s">
        <v>24</v>
      </c>
      <c r="D5" t="s">
        <v>1101</v>
      </c>
      <c r="F5" s="43"/>
    </row>
    <row r="6" spans="1:19" ht="24" customHeight="1" x14ac:dyDescent="0.15">
      <c r="B6" s="61" t="s">
        <v>183</v>
      </c>
    </row>
    <row r="8" spans="1:19" ht="23" x14ac:dyDescent="0.15">
      <c r="B8" s="316" t="s">
        <v>1000</v>
      </c>
      <c r="C8" s="317"/>
      <c r="D8" s="317"/>
      <c r="E8" s="317"/>
      <c r="F8" s="324"/>
    </row>
    <row r="9" spans="1:19" ht="56" x14ac:dyDescent="0.15">
      <c r="B9" s="71"/>
      <c r="C9" s="238" t="s">
        <v>1001</v>
      </c>
      <c r="D9" s="72" t="s">
        <v>1002</v>
      </c>
      <c r="E9" s="72" t="s">
        <v>1003</v>
      </c>
      <c r="F9" s="72" t="s">
        <v>1004</v>
      </c>
      <c r="G9" s="73"/>
      <c r="H9" s="238" t="s">
        <v>1074</v>
      </c>
      <c r="I9" s="238" t="s">
        <v>1006</v>
      </c>
      <c r="J9" s="73"/>
      <c r="K9" s="238" t="s">
        <v>1007</v>
      </c>
      <c r="L9" s="238" t="s">
        <v>1008</v>
      </c>
      <c r="M9" s="73"/>
    </row>
    <row r="10" spans="1:19" x14ac:dyDescent="0.15">
      <c r="B10" s="74" t="str">
        <f>B6</f>
        <v>Bucks Male 2 - N59</v>
      </c>
      <c r="C10" s="121" t="str">
        <f>IFERROR(SUM((SUMIFS('capacity data'!$G:$G,'capacity data'!$E:$E,"PO",'capacity data'!$C:$C,B6))-SUMIFS('capacity data'!$H:$H,'capacity data'!$E:$E,"PO",'capacity data'!$C:$C,B6))/SUMIFS('capacity data'!$G:$G,'capacity data'!$E:$E,"PO",'capacity data'!$C:$C,B6),"")</f>
        <v/>
      </c>
      <c r="D10" s="76" t="str">
        <f>IFERROR(SUM((SUMIFS('capacity data'!$G:$G,'capacity data'!$E:$E,"PSO",'capacity data'!$C:$C,B6))-SUMIFS('capacity data'!$H:$H,'capacity data'!$E:$E,"PSO",'capacity data'!$C:$C,B6))/SUMIFS('capacity data'!$G:$G,'capacity data'!$E:$E,"PSO",'capacity data'!$C:$C,B6),"")</f>
        <v/>
      </c>
      <c r="E10" s="76" t="str">
        <f>IFERROR(SUM((SUMIFS('capacity data'!$G:$G,'capacity data'!$E:$E,"TPO",'capacity data'!$C:$C,B6))-SUMIFS('capacity data'!$H:$H,'capacity data'!$E:$E,"TPO",'capacity data'!$C:$C,B6))/SUMIFS('capacity data'!$G:$G,'capacity data'!$E:$E,"TPO",'capacity data'!$C:$C,B6),"")</f>
        <v/>
      </c>
      <c r="F10" s="76" t="str">
        <f>IFERROR(SUM((SUMIFS('capacity data'!G:G,'capacity data'!C:C,'team overview'!B6))-SUMIFS('capacity data'!H:H,'capacity data'!C:C,'team overview'!B6))/SUMIFS('capacity data'!G:G,'capacity data'!C:C,'team overview'!B6),"")</f>
        <v/>
      </c>
      <c r="G10" s="73"/>
      <c r="H10" s="75" t="e">
        <f>SUMIFS('capacity data'!$L:$L,'capacity data'!$C:$C,$B$6,'capacity data'!$E:$E,"PSO")/SUM((SUMIFS('capacity data'!$G:$G,'capacity data'!$E:$E,"PSO",'capacity data'!$C:$C,$B$6))-SUMIFS('capacity data'!$H:$H,'capacity data'!$E:$E,"PSO",'capacity data'!$C:$C,$B$6))</f>
        <v>#DIV/0!</v>
      </c>
      <c r="I10" s="230" t="e">
        <f>SUMIFS('capacity data'!$L:$L,'capacity data'!$C:$C,$B$6,'capacity data'!$E:$E,"PSO")/SUMIFS('capacity data'!$G:$G,'capacity data'!$E:$E,"PSO",'capacity data'!$C:$C,$B$6)</f>
        <v>#DIV/0!</v>
      </c>
      <c r="J10" s="73"/>
      <c r="K10" s="75" t="e">
        <f>SUMIFS('capacity data'!$L:$L,'capacity data'!$C:$C,$B$6,'capacity data'!$E:$E,"TPO")/SUM((SUMIFS('capacity data'!$G:$G,'capacity data'!$E:$E,"TPO",'capacity data'!$C:$C,$B$6))-SUMIFS('capacity data'!$H:$H,'capacity data'!$E:$E,"TPO",'capacity data'!$C:$C,$B$6))</f>
        <v>#DIV/0!</v>
      </c>
      <c r="L10" s="230" t="e">
        <f>SUMIFS('capacity data'!$L:$L,'capacity data'!$C:$C,$B$6,'capacity data'!$E:$E,"TPO")/SUMIFS('capacity data'!$G:$G,'capacity data'!$E:$E,"TPO",'capacity data'!$C:$C,$B$6)</f>
        <v>#DIV/0!</v>
      </c>
      <c r="M10" s="73"/>
    </row>
    <row r="11" spans="1:19" x14ac:dyDescent="0.15">
      <c r="B11" s="116" t="s">
        <v>1009</v>
      </c>
      <c r="C11" s="117" t="e">
        <f>SUM((SUMIF('capacity data'!E:E,"PO",'capacity data'!G:G))-SUMIF('capacity data'!E:E,"PO",'capacity data'!H:H))/SUMIF('capacity data'!E:E,"PO",'capacity data'!G:G)</f>
        <v>#DIV/0!</v>
      </c>
      <c r="D11" s="117" t="e">
        <f>SUM((SUMIF('capacity data'!E:E,"PSO",'capacity data'!G:G))-SUMIF('capacity data'!E:E,"PSO",'capacity data'!H:H))/SUMIF('capacity data'!E:E,"PSO",'capacity data'!G:G)</f>
        <v>#DIV/0!</v>
      </c>
      <c r="E11" s="117" t="e">
        <f>SUM((SUMIF('capacity data'!E:E,"PSO",'capacity data'!G:G))-SUMIF('capacity data'!E:E,"PSO",'capacity data'!H:H))/SUMIF('capacity data'!E:E,"PSO",'capacity data'!G:G)</f>
        <v>#DIV/0!</v>
      </c>
      <c r="F11" s="91" t="e">
        <f>SUM((SUM('capacity data'!G:G)-SUM('capacity data'!H:H))/SUM('capacity data'!G:G))</f>
        <v>#DIV/0!</v>
      </c>
      <c r="G11" s="73"/>
      <c r="H11" s="127" t="e">
        <f>SUMIF('capacity data'!$E:$E,"PSO",'capacity data'!$L:$L)/SUM(SUMIF('capacity data'!$E:$E,"PSO",'capacity data'!$G:$G)-SUMIF('capacity data'!$E:$E,"PSO",'capacity data'!$H:$H))</f>
        <v>#DIV/0!</v>
      </c>
      <c r="I11" s="128" t="e">
        <f>SUMIF('capacity data'!$E:$E,"PSO",'capacity data'!$L:$L)/SUMIF('capacity data'!$E:$E,"PSO",'capacity data'!$G:$G)</f>
        <v>#DIV/0!</v>
      </c>
      <c r="J11" s="73"/>
      <c r="K11" s="127" t="e">
        <f>SUMIF('capacity data'!$E:$E,"TPO",'capacity data'!$L:$L)/SUM(SUMIF('capacity data'!$E:$E,"TPO",'capacity data'!$G:$G)-SUMIF('capacity data'!$E:$E,"TPO",'capacity data'!$H:$H))</f>
        <v>#DIV/0!</v>
      </c>
      <c r="L11" s="128" t="e">
        <f>SUMIF('capacity data'!$E:$E,"TPO",'capacity data'!$L:$L)/SUMIF('capacity data'!$E:$E,"TPO",'capacity data'!$G:$G)</f>
        <v>#DIV/0!</v>
      </c>
      <c r="M11" s="73"/>
    </row>
    <row r="12" spans="1:19" x14ac:dyDescent="0.15">
      <c r="B12" s="129" t="s">
        <v>1075</v>
      </c>
      <c r="C12" s="130" t="e">
        <f>+C10-C11</f>
        <v>#VALUE!</v>
      </c>
      <c r="D12" s="113" t="str">
        <f>IFERROR(+D10-D11,"N/A")</f>
        <v>N/A</v>
      </c>
      <c r="E12" s="113" t="str">
        <f>IFERROR(+E10-E11,"N/A")</f>
        <v>N/A</v>
      </c>
      <c r="F12" s="113" t="e">
        <f>+F10-F11</f>
        <v>#VALUE!</v>
      </c>
      <c r="G12" s="73"/>
      <c r="H12" s="109" t="e">
        <f>+H10-H11</f>
        <v>#DIV/0!</v>
      </c>
      <c r="I12" s="131" t="e">
        <f>+I10-I11</f>
        <v>#DIV/0!</v>
      </c>
      <c r="J12" s="73"/>
      <c r="K12" s="109" t="e">
        <f>+K10-K11</f>
        <v>#DIV/0!</v>
      </c>
      <c r="L12" s="131" t="e">
        <f>+L10-L11</f>
        <v>#DIV/0!</v>
      </c>
      <c r="M12" s="73"/>
    </row>
    <row r="13" spans="1:19" x14ac:dyDescent="0.15">
      <c r="B13" s="73"/>
      <c r="C13" s="73"/>
      <c r="D13" s="73"/>
      <c r="E13" s="73"/>
      <c r="F13" s="73"/>
      <c r="G13" s="73"/>
      <c r="H13" s="73"/>
      <c r="I13" s="73"/>
      <c r="J13" s="73"/>
      <c r="K13" s="73"/>
      <c r="L13" s="73"/>
      <c r="M13" s="73"/>
    </row>
    <row r="14" spans="1:19" ht="63.75" customHeight="1" x14ac:dyDescent="0.15">
      <c r="B14" s="78"/>
      <c r="C14" s="79" t="s">
        <v>1012</v>
      </c>
      <c r="D14" s="79" t="s">
        <v>1013</v>
      </c>
      <c r="E14" s="79" t="s">
        <v>1014</v>
      </c>
      <c r="F14" s="79" t="s">
        <v>1015</v>
      </c>
      <c r="G14" s="79" t="s">
        <v>1016</v>
      </c>
      <c r="H14" s="79" t="s">
        <v>1017</v>
      </c>
      <c r="I14" s="79" t="s">
        <v>1018</v>
      </c>
      <c r="J14" s="80" t="s">
        <v>1019</v>
      </c>
      <c r="K14" s="79" t="s">
        <v>1020</v>
      </c>
      <c r="L14" s="79" t="s">
        <v>1021</v>
      </c>
      <c r="M14" s="79" t="s">
        <v>1022</v>
      </c>
    </row>
    <row r="15" spans="1:19" ht="20.25" customHeight="1" x14ac:dyDescent="0.15">
      <c r="B15" s="81" t="str">
        <f>B6</f>
        <v>Bucks Male 2 - N59</v>
      </c>
      <c r="C15" s="232">
        <f>COUNTIFS('capacity data'!C:C,'team overview'!B6,'capacity data'!E:E,"PO")</f>
        <v>0</v>
      </c>
      <c r="D15" s="232">
        <f>COUNTIFS('capacity data'!C:C,B6,'capacity data'!E:E,"PO",'capacity data'!F:F,"&gt;110%")</f>
        <v>0</v>
      </c>
      <c r="E15" s="82" t="e">
        <f>D15/C15</f>
        <v>#DIV/0!</v>
      </c>
      <c r="F15" s="232">
        <f>COUNTIFS('capacity data'!C:C,'team overview'!B6,'capacity data'!E:E,"PSO")</f>
        <v>0</v>
      </c>
      <c r="G15" s="232">
        <f>COUNTIFS('capacity data'!C:C,B6,'capacity data'!E:E,"PSO",'capacity data'!F:F,"&gt;110%")</f>
        <v>0</v>
      </c>
      <c r="H15" s="83" t="str">
        <f>IFERROR(G15/F15,"N/A")</f>
        <v>N/A</v>
      </c>
      <c r="I15" s="232">
        <f>COUNTIFS('capacity data'!C:C,B6,'capacity data'!E:E,"PSO",'capacity data'!F:F,"&lt;910%")</f>
        <v>0</v>
      </c>
      <c r="J15" s="83" t="str">
        <f>IFERROR(I15/F15,"")</f>
        <v/>
      </c>
      <c r="K15" s="232">
        <f>COUNTIFS('capacity data'!C:C,'team overview'!B6,'capacity data'!E:E,"TPO")</f>
        <v>0</v>
      </c>
      <c r="L15" s="232">
        <f>COUNTIFS('capacity data'!C:C,B6,'capacity data'!E:E,"TPO",'capacity data'!F:F,"&gt;110%")</f>
        <v>0</v>
      </c>
      <c r="M15" s="76" t="str">
        <f>IFERROR(L15/K15,"N/A")</f>
        <v>N/A</v>
      </c>
    </row>
    <row r="16" spans="1:19" x14ac:dyDescent="0.15">
      <c r="B16" s="116" t="s">
        <v>1081</v>
      </c>
      <c r="C16" s="89">
        <f>COUNTIF('capacity data'!E:E,"PO")</f>
        <v>0</v>
      </c>
      <c r="D16" s="89">
        <f>COUNTIFS('capacity data'!E:E,"PO",'capacity data'!F:F,"&gt;110%")</f>
        <v>0</v>
      </c>
      <c r="E16" s="117" t="e">
        <f>D16/C16</f>
        <v>#DIV/0!</v>
      </c>
      <c r="F16" s="89">
        <f>COUNTIF('capacity data'!E:E,"PSO")</f>
        <v>0</v>
      </c>
      <c r="G16" s="89">
        <f>COUNTIFS('capacity data'!E:E,"PSO",'capacity data'!F:F,"&gt;110%")</f>
        <v>0</v>
      </c>
      <c r="H16" s="117" t="e">
        <f>G16/F16</f>
        <v>#DIV/0!</v>
      </c>
      <c r="I16" s="89">
        <f>COUNTIFS('capacity data'!E:E,"PSO",'capacity data'!F:F,"&lt;90%")</f>
        <v>0</v>
      </c>
      <c r="J16" s="117" t="e">
        <f>I16/F16</f>
        <v>#DIV/0!</v>
      </c>
      <c r="K16" s="89">
        <f>COUNTIF('capacity data'!E:E,"TPO")</f>
        <v>0</v>
      </c>
      <c r="L16" s="89">
        <f>COUNTIFS('capacity data'!E:E,"TPO",'capacity data'!F:F,"&gt;110%")</f>
        <v>0</v>
      </c>
      <c r="M16" s="117" t="e">
        <f>L16/K16</f>
        <v>#DIV/0!</v>
      </c>
    </row>
    <row r="17" spans="2:13" x14ac:dyDescent="0.15">
      <c r="B17" s="115" t="s">
        <v>1075</v>
      </c>
      <c r="C17" s="110" t="s">
        <v>1024</v>
      </c>
      <c r="D17" s="110" t="s">
        <v>1024</v>
      </c>
      <c r="E17" s="111" t="e">
        <f>+E15-E16</f>
        <v>#DIV/0!</v>
      </c>
      <c r="F17" s="110" t="s">
        <v>1024</v>
      </c>
      <c r="G17" s="110" t="s">
        <v>1024</v>
      </c>
      <c r="H17" s="111" t="str">
        <f>IFERROR(+H15-H16,"N/A")</f>
        <v>N/A</v>
      </c>
      <c r="I17" s="110" t="s">
        <v>1024</v>
      </c>
      <c r="J17" s="111" t="str">
        <f>IFERROR(+J15-J16,"N/A")</f>
        <v>N/A</v>
      </c>
      <c r="K17" s="110" t="s">
        <v>1024</v>
      </c>
      <c r="L17" s="110" t="s">
        <v>1024</v>
      </c>
      <c r="M17" s="111" t="str">
        <f>IFERROR(+M15-M16,"N/A")</f>
        <v>N/A</v>
      </c>
    </row>
    <row r="19" spans="2:13" ht="23" x14ac:dyDescent="0.25">
      <c r="B19" s="312" t="s">
        <v>1025</v>
      </c>
      <c r="C19" s="313"/>
      <c r="D19" s="313"/>
      <c r="E19" s="313"/>
      <c r="F19" s="313"/>
      <c r="G19" s="314"/>
      <c r="H19" s="315"/>
    </row>
    <row r="20" spans="2:13" ht="66" customHeight="1" x14ac:dyDescent="0.15">
      <c r="B20" s="85"/>
      <c r="C20" s="72" t="s">
        <v>1026</v>
      </c>
      <c r="D20" s="72" t="s">
        <v>1077</v>
      </c>
      <c r="E20" s="72" t="s">
        <v>1078</v>
      </c>
      <c r="F20" s="72" t="s">
        <v>1029</v>
      </c>
      <c r="G20" s="238" t="s">
        <v>1079</v>
      </c>
      <c r="H20" s="238" t="s">
        <v>1080</v>
      </c>
    </row>
    <row r="21" spans="2:13" x14ac:dyDescent="0.15">
      <c r="B21" s="71" t="str">
        <f>B6</f>
        <v>Bucks Male 2 - N59</v>
      </c>
      <c r="C21" s="84">
        <f>SUMIFS('capacity data'!K:K,'capacity data'!C:C,'team overview'!B6,'capacity data'!E:E,"SPO")</f>
        <v>0</v>
      </c>
      <c r="D21" s="84">
        <f>SUMIFS('capacity data'!K:K,'capacity data'!C:C,'team overview'!B6,'capacity data'!E:E,"DMY")</f>
        <v>0</v>
      </c>
      <c r="E21" s="84">
        <f>SUM(C21:D21)</f>
        <v>0</v>
      </c>
      <c r="F21" s="86">
        <f>SUMIF('capacity data'!C:C,'team overview'!B6,'capacity data'!K:K)</f>
        <v>0</v>
      </c>
      <c r="G21" s="75" t="e">
        <f>E21/F21</f>
        <v>#DIV/0!</v>
      </c>
      <c r="H21" s="87">
        <f>SUMIF('caseload data'!C:C,'team overview'!#REF!,'caseload data'!U:U)</f>
        <v>0</v>
      </c>
    </row>
    <row r="22" spans="2:13" x14ac:dyDescent="0.15">
      <c r="B22" s="88" t="s">
        <v>1081</v>
      </c>
      <c r="C22" s="89">
        <f>SUMIF('capacity data'!E:E,"SPO",'capacity data'!K:K)</f>
        <v>0</v>
      </c>
      <c r="D22" s="89">
        <f>SUMIF('capacity data'!E:E,"DMY",'capacity data'!K:K)</f>
        <v>0</v>
      </c>
      <c r="E22" s="89">
        <f>SUM(C22:D22)</f>
        <v>0</v>
      </c>
      <c r="F22" s="90">
        <f>SUM('capacity data'!K:K)</f>
        <v>0</v>
      </c>
      <c r="G22" s="91" t="e">
        <f>E22/F22</f>
        <v>#DIV/0!</v>
      </c>
      <c r="H22" s="89">
        <f>SUM('caseload data'!U:U)</f>
        <v>0</v>
      </c>
    </row>
    <row r="23" spans="2:13" x14ac:dyDescent="0.15">
      <c r="B23" s="126" t="s">
        <v>1075</v>
      </c>
      <c r="C23" s="110" t="s">
        <v>1024</v>
      </c>
      <c r="D23" s="110" t="s">
        <v>1024</v>
      </c>
      <c r="E23" s="110" t="s">
        <v>1024</v>
      </c>
      <c r="F23" s="114" t="s">
        <v>1024</v>
      </c>
      <c r="G23" s="114" t="e">
        <f>+G21-G22</f>
        <v>#DIV/0!</v>
      </c>
      <c r="H23" s="110" t="s">
        <v>1024</v>
      </c>
    </row>
    <row r="26" spans="2:13" ht="25" x14ac:dyDescent="0.25">
      <c r="B26" s="336" t="s">
        <v>1032</v>
      </c>
      <c r="C26" s="336"/>
      <c r="D26" s="336"/>
      <c r="E26" s="336"/>
      <c r="F26" s="336"/>
      <c r="G26" s="336"/>
      <c r="H26" s="336"/>
      <c r="I26" s="336"/>
      <c r="J26" s="336"/>
      <c r="K26" s="336"/>
    </row>
    <row r="27" spans="2:13" ht="83.25" customHeight="1" x14ac:dyDescent="0.15">
      <c r="B27" s="93"/>
      <c r="C27" s="238" t="s">
        <v>1033</v>
      </c>
      <c r="D27" s="238" t="s">
        <v>1034</v>
      </c>
      <c r="E27" s="238" t="s">
        <v>1035</v>
      </c>
      <c r="F27" s="238" t="s">
        <v>1036</v>
      </c>
      <c r="G27" s="238" t="s">
        <v>1037</v>
      </c>
      <c r="H27" s="238" t="s">
        <v>1038</v>
      </c>
      <c r="I27" s="238" t="s">
        <v>1039</v>
      </c>
      <c r="J27" s="238" t="s">
        <v>1040</v>
      </c>
      <c r="K27" s="238" t="s">
        <v>1041</v>
      </c>
    </row>
    <row r="28" spans="2:13" x14ac:dyDescent="0.15">
      <c r="B28" s="71" t="str">
        <f>B6</f>
        <v>Bucks Male 2 - N59</v>
      </c>
      <c r="C28" s="94">
        <f>SUMIFS('capacity data'!I:I,'capacity data'!C:C,'team overview'!B6,'capacity data'!E:E,"PO")</f>
        <v>0</v>
      </c>
      <c r="D28" s="95">
        <f>SUMIFS('capacity data'!J:J,'capacity data'!C:C,'team overview'!B6,'capacity data'!E:E,"PO")</f>
        <v>0</v>
      </c>
      <c r="E28" s="96" t="e">
        <f>D28/C28</f>
        <v>#DIV/0!</v>
      </c>
      <c r="F28" s="95">
        <f>SUMIFS('capacity data'!I:I,'capacity data'!C:C,'team overview'!B6,'capacity data'!E:E,"PSO")</f>
        <v>0</v>
      </c>
      <c r="G28" s="95">
        <f>SUMIFS('capacity data'!J:J,'capacity data'!C:C,'team overview'!B6,'capacity data'!E:E,"PSO")</f>
        <v>0</v>
      </c>
      <c r="H28" s="96" t="str">
        <f>IFERROR(G28/F28,"N/A")</f>
        <v>N/A</v>
      </c>
      <c r="I28" s="95">
        <f>SUMIFS('capacity data'!I:I,'capacity data'!C:C,'team overview'!B6,'capacity data'!E:E,"TPO")</f>
        <v>0</v>
      </c>
      <c r="J28" s="97">
        <f>SUMIFS('capacity data'!J:J,'capacity data'!C:C,'team overview'!B6,'capacity data'!E:E,"TPO")</f>
        <v>0</v>
      </c>
      <c r="K28" s="96" t="str">
        <f>IFERROR(J28/I28,"N/A")</f>
        <v>N/A</v>
      </c>
    </row>
    <row r="29" spans="2:13" x14ac:dyDescent="0.15">
      <c r="B29" s="116" t="s">
        <v>1023</v>
      </c>
      <c r="C29" s="118">
        <f>SUMIF('capacity data'!E:E,"PO",'capacity data'!I:I)</f>
        <v>0</v>
      </c>
      <c r="D29" s="118">
        <f>SUMIF('capacity data'!E:E,"PO",'capacity data'!J:J)</f>
        <v>0</v>
      </c>
      <c r="E29" s="119" t="e">
        <f>D29/C29</f>
        <v>#DIV/0!</v>
      </c>
      <c r="F29" s="118">
        <f>SUMIF('capacity data'!E:E,"PSO",'capacity data'!I:I)</f>
        <v>0</v>
      </c>
      <c r="G29" s="118">
        <f>SUMIF('capacity data'!E:E,"PSO",'capacity data'!J:J)</f>
        <v>0</v>
      </c>
      <c r="H29" s="119" t="e">
        <f>G29/F29</f>
        <v>#DIV/0!</v>
      </c>
      <c r="I29" s="118">
        <f>SUMIF('capacity data'!E:E,"TPO",'capacity data'!I:I)</f>
        <v>0</v>
      </c>
      <c r="J29" s="118">
        <f>SUMIF('capacity data'!E:E,"TPO",'capacity data'!J:J)</f>
        <v>0</v>
      </c>
      <c r="K29" s="119" t="e">
        <f>J29/I29</f>
        <v>#DIV/0!</v>
      </c>
    </row>
    <row r="30" spans="2:13" x14ac:dyDescent="0.15">
      <c r="B30" s="115" t="s">
        <v>1075</v>
      </c>
      <c r="C30" s="110" t="s">
        <v>1024</v>
      </c>
      <c r="D30" s="110" t="s">
        <v>1024</v>
      </c>
      <c r="E30" s="109" t="e">
        <f>+E28-E29</f>
        <v>#DIV/0!</v>
      </c>
      <c r="F30" s="110" t="s">
        <v>1024</v>
      </c>
      <c r="G30" s="110" t="s">
        <v>1024</v>
      </c>
      <c r="H30" s="109" t="str">
        <f>IFERROR(+H28-H29,"N/A")</f>
        <v>N/A</v>
      </c>
      <c r="I30" s="110" t="s">
        <v>1024</v>
      </c>
      <c r="J30" s="110" t="s">
        <v>1024</v>
      </c>
      <c r="K30" s="109" t="str">
        <f>IFERROR(+K28-K29,"N/A")</f>
        <v>N/A</v>
      </c>
    </row>
    <row r="32" spans="2:13" ht="37.5" customHeight="1" x14ac:dyDescent="0.2">
      <c r="B32" s="309" t="s">
        <v>1102</v>
      </c>
      <c r="C32" s="310"/>
      <c r="D32" s="310"/>
      <c r="F32" s="311" t="s">
        <v>1103</v>
      </c>
      <c r="G32" s="311"/>
    </row>
    <row r="33" spans="1:7" ht="60.75" customHeight="1" x14ac:dyDescent="0.15">
      <c r="B33" s="85" t="s">
        <v>1045</v>
      </c>
      <c r="C33" s="238" t="s">
        <v>1046</v>
      </c>
      <c r="D33" s="238" t="s">
        <v>1047</v>
      </c>
      <c r="E33" s="73"/>
      <c r="F33" s="234" t="s">
        <v>1104</v>
      </c>
      <c r="G33" s="233">
        <f>COUNTIFS('reductions data'!C:C,'team overview'!B6,'reductions data'!K:K,"ACTIVE")</f>
        <v>0</v>
      </c>
    </row>
    <row r="34" spans="1:7" x14ac:dyDescent="0.15">
      <c r="B34" s="122" t="s">
        <v>983</v>
      </c>
      <c r="C34" s="98">
        <f>COUNTIFS('reductions data'!C:C,'team overview'!$B$6,'reductions data'!G:G,'team overview'!B34)</f>
        <v>0</v>
      </c>
      <c r="D34" s="99">
        <f>SUMIFS('reductions data'!H:H,'reductions data'!$C:$C,'team overview'!$B$6,'reductions data'!G:G,'team overview'!B34)</f>
        <v>0</v>
      </c>
      <c r="E34" s="73"/>
      <c r="F34" s="331" t="s">
        <v>1105</v>
      </c>
      <c r="G34" s="332">
        <f>SUMIF('reductions data'!C:C,'team overview'!B6,'reductions data'!H:H)</f>
        <v>0</v>
      </c>
    </row>
    <row r="35" spans="1:7" x14ac:dyDescent="0.15">
      <c r="B35" s="123" t="s">
        <v>964</v>
      </c>
      <c r="C35" s="100">
        <f>COUNTIFS('reductions data'!C:C,'team overview'!$B$6,'reductions data'!G:G,'team overview'!B35)</f>
        <v>0</v>
      </c>
      <c r="D35" s="99">
        <f>SUMIFS('reductions data'!H:H,'reductions data'!$C:$C,'team overview'!$B$6,'reductions data'!G:G,'team overview'!B35)</f>
        <v>0</v>
      </c>
      <c r="E35" s="73"/>
      <c r="F35" s="301"/>
      <c r="G35" s="301"/>
    </row>
    <row r="36" spans="1:7" x14ac:dyDescent="0.15">
      <c r="B36" s="123" t="s">
        <v>962</v>
      </c>
      <c r="C36" s="100">
        <f>COUNTIFS('reductions data'!C:C,'team overview'!$B$6,'reductions data'!G:G,'team overview'!B36)</f>
        <v>0</v>
      </c>
      <c r="D36" s="99">
        <f>SUMIFS('reductions data'!H:H,'reductions data'!$C:$C,'team overview'!$B$6,'reductions data'!G:G,'team overview'!B36)</f>
        <v>0</v>
      </c>
      <c r="E36" s="101"/>
      <c r="F36" s="301"/>
      <c r="G36" s="301"/>
    </row>
    <row r="37" spans="1:7" x14ac:dyDescent="0.15">
      <c r="B37" s="123" t="s">
        <v>957</v>
      </c>
      <c r="C37" s="100">
        <f>COUNTIFS('reductions data'!C:C,'team overview'!$B$6,'reductions data'!G:G,'team overview'!B37)</f>
        <v>0</v>
      </c>
      <c r="D37" s="99">
        <f>SUMIFS('reductions data'!H:H,'reductions data'!$C:$C,'team overview'!$B$6,'reductions data'!G:G,'team overview'!B37)</f>
        <v>0</v>
      </c>
      <c r="E37" s="101"/>
      <c r="F37" s="333" t="s">
        <v>1106</v>
      </c>
      <c r="G37" s="332">
        <f>SUMIF('capacity data'!C:C,'team overview'!B6,'capacity data'!I:I)</f>
        <v>0</v>
      </c>
    </row>
    <row r="38" spans="1:7" x14ac:dyDescent="0.15">
      <c r="B38" s="123" t="s">
        <v>984</v>
      </c>
      <c r="C38" s="100">
        <f>COUNTIFS('reductions data'!C:C,'team overview'!$B$6,'reductions data'!G:G,'team overview'!B38)</f>
        <v>0</v>
      </c>
      <c r="D38" s="99">
        <f>SUMIFS('reductions data'!H:H,'reductions data'!$C:$C,'team overview'!$B$6,'reductions data'!G:G,'team overview'!B38)</f>
        <v>0</v>
      </c>
      <c r="E38" s="101"/>
      <c r="F38" s="301"/>
      <c r="G38" s="301"/>
    </row>
    <row r="39" spans="1:7" x14ac:dyDescent="0.15">
      <c r="B39" s="123" t="s">
        <v>968</v>
      </c>
      <c r="C39" s="100">
        <f>COUNTIFS('reductions data'!C:C,'team overview'!$B$6,'reductions data'!G:G,'team overview'!B39)</f>
        <v>0</v>
      </c>
      <c r="D39" s="99">
        <f>SUMIFS('reductions data'!H:H,'reductions data'!$C:$C,'team overview'!$B$6,'reductions data'!G:G,'team overview'!B39)</f>
        <v>0</v>
      </c>
      <c r="E39" s="101"/>
      <c r="F39" s="301"/>
      <c r="G39" s="301"/>
    </row>
    <row r="40" spans="1:7" x14ac:dyDescent="0.15">
      <c r="B40" s="123" t="s">
        <v>970</v>
      </c>
      <c r="C40" s="100">
        <f>COUNTIFS('reductions data'!C:C,'team overview'!$B$6,'reductions data'!G:G,'team overview'!B40)</f>
        <v>0</v>
      </c>
      <c r="D40" s="99">
        <f>SUMIFS('reductions data'!H:H,'reductions data'!$C:$C,'team overview'!$B$6,'reductions data'!G:G,'team overview'!B40)</f>
        <v>0</v>
      </c>
      <c r="E40" s="101"/>
      <c r="F40" s="243"/>
      <c r="G40" s="243"/>
    </row>
    <row r="41" spans="1:7" ht="15.75" customHeight="1" x14ac:dyDescent="0.15">
      <c r="A41" s="101"/>
      <c r="B41" s="101"/>
      <c r="C41" s="101"/>
      <c r="D41" s="101"/>
      <c r="E41" s="101"/>
      <c r="F41" s="334" t="s">
        <v>1107</v>
      </c>
      <c r="G41" s="335" t="e">
        <f>G34/G37</f>
        <v>#DIV/0!</v>
      </c>
    </row>
    <row r="42" spans="1:7" x14ac:dyDescent="0.15">
      <c r="B42" s="123" t="s">
        <v>985</v>
      </c>
      <c r="C42" s="100">
        <f>COUNTIFS('reductions data'!C:C,'team overview'!$B$6,'reductions data'!G:G,'team overview'!B42)</f>
        <v>0</v>
      </c>
      <c r="D42" s="99">
        <f>SUMIFS('reductions data'!H:H,'reductions data'!$C:$C,'team overview'!$B$6,'reductions data'!G:G,'team overview'!B42)</f>
        <v>0</v>
      </c>
      <c r="E42" s="101"/>
      <c r="F42" s="326"/>
      <c r="G42" s="329"/>
    </row>
    <row r="43" spans="1:7" x14ac:dyDescent="0.15">
      <c r="B43" s="123" t="s">
        <v>958</v>
      </c>
      <c r="C43" s="100">
        <f>COUNTIFS('reductions data'!C:C,'team overview'!$B$6,'reductions data'!G:G,'team overview'!B43)</f>
        <v>0</v>
      </c>
      <c r="D43" s="99">
        <f>SUMIFS('reductions data'!H:H,'reductions data'!$C:$C,'team overview'!$B$6,'reductions data'!G:G,'team overview'!B43)</f>
        <v>0</v>
      </c>
      <c r="E43" s="101"/>
      <c r="F43" s="326"/>
      <c r="G43" s="329"/>
    </row>
    <row r="44" spans="1:7" x14ac:dyDescent="0.15">
      <c r="B44" s="123" t="s">
        <v>949</v>
      </c>
      <c r="C44" s="100">
        <f>COUNTIFS('reductions data'!C:C,'team overview'!$B$6,'reductions data'!G:G,'team overview'!B44)</f>
        <v>0</v>
      </c>
      <c r="D44" s="99">
        <f>SUMIFS('reductions data'!H:H,'reductions data'!$C:$C,'team overview'!$B$6,'reductions data'!G:G,'team overview'!B44)</f>
        <v>0</v>
      </c>
      <c r="E44" s="101"/>
      <c r="F44" s="326"/>
      <c r="G44" s="329"/>
    </row>
    <row r="45" spans="1:7" x14ac:dyDescent="0.15">
      <c r="B45" s="123" t="s">
        <v>974</v>
      </c>
      <c r="C45" s="100">
        <f>COUNTIFS('reductions data'!C:C,'team overview'!$B$6,'reductions data'!G:G,'team overview'!B45)</f>
        <v>0</v>
      </c>
      <c r="D45" s="99">
        <f>SUMIFS('reductions data'!H:H,'reductions data'!$C:$C,'team overview'!$B$6,'reductions data'!G:G,'team overview'!B45)</f>
        <v>0</v>
      </c>
      <c r="E45" s="101"/>
      <c r="F45" s="327"/>
      <c r="G45" s="330"/>
    </row>
    <row r="46" spans="1:7" ht="15.75" customHeight="1" x14ac:dyDescent="0.15">
      <c r="B46" s="123" t="s">
        <v>950</v>
      </c>
      <c r="C46" s="100">
        <f>COUNTIFS('reductions data'!C:C,'team overview'!$B$6,'reductions data'!G:G,'team overview'!B46)</f>
        <v>0</v>
      </c>
      <c r="D46" s="99">
        <f>SUMIFS('reductions data'!H:H,'reductions data'!$C:$C,'team overview'!$B$6,'reductions data'!G:G,'team overview'!B46)</f>
        <v>0</v>
      </c>
      <c r="E46" s="101"/>
      <c r="F46" s="325" t="s">
        <v>1052</v>
      </c>
      <c r="G46" s="328" t="e">
        <f>+G41-'div &amp; regional reduction hours'!N18</f>
        <v>#DIV/0!</v>
      </c>
    </row>
    <row r="47" spans="1:7" x14ac:dyDescent="0.15">
      <c r="B47" s="123" t="s">
        <v>960</v>
      </c>
      <c r="C47" s="100">
        <f>COUNTIFS('reductions data'!C:C,'team overview'!$B$6,'reductions data'!G:G,'team overview'!B47)</f>
        <v>0</v>
      </c>
      <c r="D47" s="99">
        <f>SUMIFS('reductions data'!H:H,'reductions data'!$C:$C,'team overview'!$B$6,'reductions data'!G:G,'team overview'!B47)</f>
        <v>0</v>
      </c>
      <c r="E47" s="101"/>
      <c r="F47" s="326"/>
      <c r="G47" s="329"/>
    </row>
    <row r="48" spans="1:7" x14ac:dyDescent="0.15">
      <c r="B48" s="123" t="s">
        <v>986</v>
      </c>
      <c r="C48" s="100">
        <f>COUNTIFS('reductions data'!C:C,'team overview'!$B$6,'reductions data'!G:G,'team overview'!B48)</f>
        <v>0</v>
      </c>
      <c r="D48" s="99">
        <f>SUMIFS('reductions data'!H:H,'reductions data'!$C:$C,'team overview'!$B$6,'reductions data'!G:G,'team overview'!B48)</f>
        <v>0</v>
      </c>
      <c r="E48" s="101"/>
      <c r="F48" s="326"/>
      <c r="G48" s="329"/>
    </row>
    <row r="49" spans="2:7" x14ac:dyDescent="0.15">
      <c r="B49" s="123" t="s">
        <v>1053</v>
      </c>
      <c r="C49" s="100">
        <f>COUNTIFS('reductions data'!C:C,'team overview'!$B$6,'reductions data'!G:G,'team overview'!B49)</f>
        <v>0</v>
      </c>
      <c r="D49" s="99">
        <f>SUMIFS('reductions data'!H:H,'reductions data'!$C:$C,'team overview'!$B$6,'reductions data'!G:G,'team overview'!B49)</f>
        <v>0</v>
      </c>
      <c r="E49" s="101"/>
      <c r="F49" s="326"/>
      <c r="G49" s="329"/>
    </row>
    <row r="50" spans="2:7" x14ac:dyDescent="0.15">
      <c r="B50" s="123" t="s">
        <v>988</v>
      </c>
      <c r="C50" s="100">
        <f>COUNTIFS('reductions data'!C:C,'team overview'!$B$6,'reductions data'!G:G,'team overview'!B50)</f>
        <v>0</v>
      </c>
      <c r="D50" s="99">
        <f>SUMIFS('reductions data'!H:H,'reductions data'!$C:$C,'team overview'!$B$6,'reductions data'!G:G,'team overview'!B50)</f>
        <v>0</v>
      </c>
      <c r="E50" s="101"/>
      <c r="F50" s="327"/>
      <c r="G50" s="330"/>
    </row>
    <row r="51" spans="2:7" x14ac:dyDescent="0.15">
      <c r="B51" s="123" t="s">
        <v>989</v>
      </c>
      <c r="C51" s="100">
        <f>COUNTIFS('reductions data'!C:C,'team overview'!$B$6,'reductions data'!G:G,'team overview'!B51)</f>
        <v>0</v>
      </c>
      <c r="D51" s="99">
        <f>SUMIFS('reductions data'!H:H,'reductions data'!$C:$C,'team overview'!$B$6,'reductions data'!G:G,'team overview'!B51)</f>
        <v>0</v>
      </c>
      <c r="E51" s="101"/>
      <c r="F51" s="101"/>
      <c r="G51" s="73"/>
    </row>
    <row r="52" spans="2:7" x14ac:dyDescent="0.15">
      <c r="B52" s="123" t="s">
        <v>947</v>
      </c>
      <c r="C52" s="100">
        <f>COUNTIFS('reductions data'!C:C,'team overview'!$B$6,'reductions data'!G:G,'team overview'!B52)</f>
        <v>0</v>
      </c>
      <c r="D52" s="99">
        <f>SUMIFS('reductions data'!H:H,'reductions data'!$C:$C,'team overview'!$B$6,'reductions data'!G:G,'team overview'!B52)</f>
        <v>0</v>
      </c>
      <c r="E52" s="101"/>
      <c r="F52" s="101"/>
      <c r="G52" s="73"/>
    </row>
    <row r="53" spans="2:7" x14ac:dyDescent="0.15">
      <c r="B53" s="123" t="s">
        <v>978</v>
      </c>
      <c r="C53" s="100">
        <f>COUNTIFS('reductions data'!C:C,'team overview'!$B$6,'reductions data'!G:G,'team overview'!B53)</f>
        <v>0</v>
      </c>
      <c r="D53" s="99">
        <f>SUMIFS('reductions data'!H:H,'reductions data'!$C:$C,'team overview'!$B$6,'reductions data'!G:G,'team overview'!B53)</f>
        <v>0</v>
      </c>
      <c r="E53" s="101"/>
      <c r="F53" s="101"/>
      <c r="G53" s="73"/>
    </row>
    <row r="54" spans="2:7" x14ac:dyDescent="0.15">
      <c r="B54" s="123" t="s">
        <v>963</v>
      </c>
      <c r="C54" s="100">
        <f>COUNTIFS('reductions data'!C:C,'team overview'!$B$6,'reductions data'!G:G,'team overview'!B54)</f>
        <v>0</v>
      </c>
      <c r="D54" s="99">
        <f>SUMIFS('reductions data'!H:H,'reductions data'!$C:$C,'team overview'!$B$6,'reductions data'!G:G,'team overview'!B54)</f>
        <v>0</v>
      </c>
      <c r="E54" s="101"/>
      <c r="F54" s="101"/>
      <c r="G54" s="73"/>
    </row>
    <row r="55" spans="2:7" x14ac:dyDescent="0.15">
      <c r="B55" s="123" t="s">
        <v>990</v>
      </c>
      <c r="C55" s="100">
        <f>COUNTIFS('reductions data'!C:C,'team overview'!$B$6,'reductions data'!G:G,'team overview'!B55)</f>
        <v>0</v>
      </c>
      <c r="D55" s="99">
        <f>SUMIFS('reductions data'!H:H,'reductions data'!$C:$C,'team overview'!$B$6,'reductions data'!G:G,'team overview'!B55)</f>
        <v>0</v>
      </c>
      <c r="E55" s="101"/>
      <c r="F55" s="101"/>
      <c r="G55" s="73"/>
    </row>
    <row r="56" spans="2:7" x14ac:dyDescent="0.15">
      <c r="B56" s="123" t="s">
        <v>991</v>
      </c>
      <c r="C56" s="100">
        <f>COUNTIFS('reductions data'!C:C,'team overview'!$B$6,'reductions data'!G:G,'team overview'!B56)</f>
        <v>0</v>
      </c>
      <c r="D56" s="99">
        <f>SUMIFS('reductions data'!H:H,'reductions data'!$C:$C,'team overview'!$B$6,'reductions data'!G:G,'team overview'!B56)</f>
        <v>0</v>
      </c>
      <c r="E56" s="101"/>
      <c r="F56" s="101"/>
      <c r="G56" s="73"/>
    </row>
    <row r="57" spans="2:7" x14ac:dyDescent="0.15">
      <c r="B57" s="123" t="s">
        <v>966</v>
      </c>
      <c r="C57" s="100">
        <f>COUNTIFS('reductions data'!C:C,'team overview'!$B$6,'reductions data'!G:G,'team overview'!B57)</f>
        <v>0</v>
      </c>
      <c r="D57" s="99">
        <f>SUMIFS('reductions data'!H:H,'reductions data'!$C:$C,'team overview'!$B$6,'reductions data'!G:G,'team overview'!B57)</f>
        <v>0</v>
      </c>
      <c r="E57" s="101"/>
      <c r="F57" s="101"/>
      <c r="G57" s="73"/>
    </row>
    <row r="58" spans="2:7" x14ac:dyDescent="0.15">
      <c r="B58" s="123" t="s">
        <v>975</v>
      </c>
      <c r="C58" s="100">
        <f>COUNTIFS('reductions data'!C:C,'team overview'!$B$6,'reductions data'!G:G,'team overview'!B58)</f>
        <v>0</v>
      </c>
      <c r="D58" s="99">
        <f>SUMIFS('reductions data'!H:H,'reductions data'!$C:$C,'team overview'!$B$6,'reductions data'!G:G,'team overview'!B58)</f>
        <v>0</v>
      </c>
      <c r="E58" s="101"/>
      <c r="F58" s="101"/>
      <c r="G58" s="73"/>
    </row>
    <row r="59" spans="2:7" x14ac:dyDescent="0.15">
      <c r="B59" s="123" t="s">
        <v>972</v>
      </c>
      <c r="C59" s="100">
        <f>COUNTIFS('reductions data'!C:C,'team overview'!$B$6,'reductions data'!G:G,'team overview'!B59)</f>
        <v>0</v>
      </c>
      <c r="D59" s="99">
        <f>SUMIFS('reductions data'!H:H,'reductions data'!$C:$C,'team overview'!$B$6,'reductions data'!G:G,'team overview'!B59)</f>
        <v>0</v>
      </c>
      <c r="E59" s="101"/>
      <c r="F59" s="101"/>
      <c r="G59" s="73"/>
    </row>
    <row r="60" spans="2:7" x14ac:dyDescent="0.15">
      <c r="B60" s="123" t="s">
        <v>952</v>
      </c>
      <c r="C60" s="100">
        <f>COUNTIFS('reductions data'!C:C,'team overview'!$B$6,'reductions data'!G:G,'team overview'!B60)</f>
        <v>0</v>
      </c>
      <c r="D60" s="99">
        <f>SUMIFS('reductions data'!H:H,'reductions data'!$C:$C,'team overview'!$B$6,'reductions data'!G:G,'team overview'!B60)</f>
        <v>0</v>
      </c>
      <c r="E60" s="101"/>
      <c r="F60" s="101"/>
      <c r="G60" s="73"/>
    </row>
    <row r="61" spans="2:7" x14ac:dyDescent="0.15">
      <c r="B61" s="123" t="s">
        <v>953</v>
      </c>
      <c r="C61" s="100">
        <f>COUNTIFS('reductions data'!C:C,'team overview'!$B$6,'reductions data'!G:G,'team overview'!B61)</f>
        <v>0</v>
      </c>
      <c r="D61" s="99">
        <f>SUMIFS('reductions data'!H:H,'reductions data'!$C:$C,'team overview'!$B$6,'reductions data'!G:G,'team overview'!B61)</f>
        <v>0</v>
      </c>
      <c r="E61" s="101"/>
      <c r="F61" s="101"/>
      <c r="G61" s="73"/>
    </row>
    <row r="62" spans="2:7" x14ac:dyDescent="0.15">
      <c r="B62" s="123" t="s">
        <v>959</v>
      </c>
      <c r="C62" s="100">
        <f>COUNTIFS('reductions data'!C:C,'team overview'!$B$6,'reductions data'!G:G,'team overview'!B62)</f>
        <v>0</v>
      </c>
      <c r="D62" s="99">
        <f>SUMIFS('reductions data'!H:H,'reductions data'!$C:$C,'team overview'!$B$6,'reductions data'!G:G,'team overview'!B62)</f>
        <v>0</v>
      </c>
      <c r="E62" s="101"/>
      <c r="F62" s="101"/>
      <c r="G62" s="73"/>
    </row>
    <row r="63" spans="2:7" x14ac:dyDescent="0.15">
      <c r="B63" s="123" t="s">
        <v>955</v>
      </c>
      <c r="C63" s="100">
        <f>COUNTIFS('reductions data'!C:C,'team overview'!$B$6,'reductions data'!G:G,'team overview'!B63)</f>
        <v>0</v>
      </c>
      <c r="D63" s="99">
        <f>SUMIFS('reductions data'!H:H,'reductions data'!$C:$C,'team overview'!$B$6,'reductions data'!G:G,'team overview'!B63)</f>
        <v>0</v>
      </c>
      <c r="E63" s="101"/>
      <c r="F63" s="101"/>
      <c r="G63" s="73"/>
    </row>
    <row r="64" spans="2:7" x14ac:dyDescent="0.15">
      <c r="B64" s="123" t="s">
        <v>956</v>
      </c>
      <c r="C64" s="100">
        <f>COUNTIFS('reductions data'!C:C,'team overview'!$B$6,'reductions data'!G:G,'team overview'!B64)</f>
        <v>0</v>
      </c>
      <c r="D64" s="99">
        <f>SUMIFS('reductions data'!H:H,'reductions data'!$C:$C,'team overview'!$B$6,'reductions data'!G:G,'team overview'!B64)</f>
        <v>0</v>
      </c>
      <c r="E64" s="101"/>
      <c r="F64" s="101"/>
      <c r="G64" s="73"/>
    </row>
    <row r="65" spans="2:19" x14ac:dyDescent="0.15">
      <c r="B65" s="123" t="s">
        <v>948</v>
      </c>
      <c r="C65" s="100">
        <f>COUNTIFS('reductions data'!C:C,'team overview'!$B$6,'reductions data'!G:G,'team overview'!B65)</f>
        <v>0</v>
      </c>
      <c r="D65" s="99">
        <f>SUMIFS('reductions data'!H:H,'reductions data'!$C:$C,'team overview'!$B$6,'reductions data'!G:G,'team overview'!B65)</f>
        <v>0</v>
      </c>
      <c r="E65" s="101"/>
      <c r="F65" s="101"/>
      <c r="G65" s="73"/>
    </row>
    <row r="66" spans="2:19" x14ac:dyDescent="0.15">
      <c r="B66" s="123" t="s">
        <v>954</v>
      </c>
      <c r="C66" s="100">
        <f>COUNTIFS('reductions data'!C:C,'team overview'!$B$6,'reductions data'!G:G,'team overview'!B66)</f>
        <v>0</v>
      </c>
      <c r="D66" s="99">
        <f>SUMIFS('reductions data'!H:H,'reductions data'!$C:$C,'team overview'!$B$6,'reductions data'!G:G,'team overview'!B66)</f>
        <v>0</v>
      </c>
      <c r="E66" s="101"/>
      <c r="F66" s="101"/>
      <c r="G66" s="73"/>
    </row>
    <row r="67" spans="2:19" x14ac:dyDescent="0.15">
      <c r="B67" s="123" t="s">
        <v>973</v>
      </c>
      <c r="C67" s="100">
        <f>COUNTIFS('reductions data'!C:C,'team overview'!$B$6,'reductions data'!G:G,'team overview'!B67)</f>
        <v>0</v>
      </c>
      <c r="D67" s="99">
        <f>SUMIFS('reductions data'!H:H,'reductions data'!$C:$C,'team overview'!$B$6,'reductions data'!G:G,'team overview'!B67)</f>
        <v>0</v>
      </c>
      <c r="E67" s="101"/>
      <c r="F67" s="101"/>
      <c r="G67" s="73"/>
    </row>
    <row r="68" spans="2:19" x14ac:dyDescent="0.15">
      <c r="B68" s="123" t="s">
        <v>965</v>
      </c>
      <c r="C68" s="100">
        <f>COUNTIFS('reductions data'!C:C,'team overview'!$B$6,'reductions data'!G:G,'team overview'!B68)</f>
        <v>0</v>
      </c>
      <c r="D68" s="99">
        <f>SUMIFS('reductions data'!H:H,'reductions data'!$C:$C,'team overview'!$B$6,'reductions data'!G:G,'team overview'!B68)</f>
        <v>0</v>
      </c>
      <c r="E68" s="101"/>
      <c r="F68" s="101"/>
      <c r="G68" s="73"/>
    </row>
    <row r="69" spans="2:19" x14ac:dyDescent="0.15">
      <c r="B69" s="123" t="s">
        <v>976</v>
      </c>
      <c r="C69" s="100">
        <f>COUNTIFS('reductions data'!C:C,'team overview'!$B$6,'reductions data'!G:G,'team overview'!B69)</f>
        <v>0</v>
      </c>
      <c r="D69" s="99">
        <f>SUMIFS('reductions data'!H:H,'reductions data'!$C:$C,'team overview'!$B$6,'reductions data'!G:G,'team overview'!B69)</f>
        <v>0</v>
      </c>
      <c r="E69" s="101"/>
      <c r="F69" s="101"/>
      <c r="G69" s="73"/>
    </row>
    <row r="70" spans="2:19" x14ac:dyDescent="0.15">
      <c r="B70" s="123" t="s">
        <v>977</v>
      </c>
      <c r="C70" s="100">
        <f>COUNTIFS('reductions data'!C:C,'team overview'!$B$6,'reductions data'!G:G,'team overview'!B70)</f>
        <v>0</v>
      </c>
      <c r="D70" s="99">
        <f>SUMIFS('reductions data'!H:H,'reductions data'!$C:$C,'team overview'!$B$6,'reductions data'!G:G,'team overview'!B70)</f>
        <v>0</v>
      </c>
      <c r="E70" s="101"/>
      <c r="F70" s="101"/>
      <c r="G70" s="73"/>
    </row>
    <row r="71" spans="2:19" x14ac:dyDescent="0.15">
      <c r="B71" s="123" t="s">
        <v>961</v>
      </c>
      <c r="C71" s="100">
        <f>COUNTIFS('reductions data'!C:C,'team overview'!$B$6,'reductions data'!G:G,'team overview'!B71)</f>
        <v>0</v>
      </c>
      <c r="D71" s="99">
        <f>SUMIFS('reductions data'!H:H,'reductions data'!$C:$C,'team overview'!$B$6,'reductions data'!G:G,'team overview'!B71)</f>
        <v>0</v>
      </c>
      <c r="E71" s="101"/>
      <c r="F71" s="101"/>
      <c r="G71" s="73"/>
    </row>
    <row r="72" spans="2:19" x14ac:dyDescent="0.15">
      <c r="B72" s="123" t="s">
        <v>994</v>
      </c>
      <c r="C72" s="100">
        <f>COUNTIFS('reductions data'!C:C,'team overview'!$B$6,'reductions data'!G:G,'team overview'!B72)</f>
        <v>0</v>
      </c>
      <c r="D72" s="99">
        <f>SUMIFS('reductions data'!H:H,'reductions data'!$C:$C,'team overview'!$B$6,'reductions data'!G:G,'team overview'!B72)</f>
        <v>0</v>
      </c>
      <c r="E72" s="101"/>
      <c r="F72" s="101"/>
      <c r="G72" s="73"/>
    </row>
    <row r="73" spans="2:19" x14ac:dyDescent="0.15">
      <c r="B73" s="123" t="s">
        <v>946</v>
      </c>
      <c r="C73" s="100">
        <f>COUNTIFS('reductions data'!C:C,'team overview'!$B$6,'reductions data'!G:G,'team overview'!B73)</f>
        <v>0</v>
      </c>
      <c r="D73" s="99">
        <f>SUMIFS('reductions data'!H:H,'reductions data'!$C:$C,'team overview'!$B$6,'reductions data'!G:G,'team overview'!B73)</f>
        <v>0</v>
      </c>
      <c r="E73" s="101"/>
      <c r="F73" s="101"/>
      <c r="G73" s="73"/>
    </row>
    <row r="74" spans="2:19" x14ac:dyDescent="0.15">
      <c r="B74" s="123" t="s">
        <v>969</v>
      </c>
      <c r="C74" s="100">
        <f>COUNTIFS('reductions data'!C:C,'team overview'!$B$6,'reductions data'!G:G,'team overview'!B74)</f>
        <v>0</v>
      </c>
      <c r="D74" s="99">
        <f>SUMIFS('reductions data'!H:H,'reductions data'!$C:$C,'team overview'!$B$6,'reductions data'!G:G,'team overview'!B74)</f>
        <v>0</v>
      </c>
      <c r="E74" s="101"/>
      <c r="F74" s="101"/>
      <c r="G74" s="73"/>
    </row>
    <row r="75" spans="2:19" x14ac:dyDescent="0.15">
      <c r="B75" s="123" t="s">
        <v>967</v>
      </c>
      <c r="C75" s="100">
        <f>COUNTIFS('reductions data'!C:C,'team overview'!$B$6,'reductions data'!G:G,'team overview'!B75)</f>
        <v>0</v>
      </c>
      <c r="D75" s="99">
        <f>SUMIFS('reductions data'!H:H,'reductions data'!$C:$C,'team overview'!$B$6,'reductions data'!G:G,'team overview'!B75)</f>
        <v>0</v>
      </c>
      <c r="E75" s="101"/>
      <c r="F75" s="101"/>
      <c r="G75" s="73"/>
    </row>
    <row r="76" spans="2:19" x14ac:dyDescent="0.15">
      <c r="B76" s="123" t="s">
        <v>971</v>
      </c>
      <c r="C76" s="100">
        <f>COUNTIFS('reductions data'!C:C,'team overview'!$B$6,'reductions data'!G:G,'team overview'!B76)</f>
        <v>0</v>
      </c>
      <c r="D76" s="99">
        <f>SUMIFS('reductions data'!H:H,'reductions data'!$C:$C,'team overview'!$B$6,'reductions data'!G:G,'team overview'!B76)</f>
        <v>0</v>
      </c>
      <c r="E76" s="101"/>
      <c r="F76" s="101"/>
      <c r="G76" s="73"/>
    </row>
    <row r="77" spans="2:19" x14ac:dyDescent="0.15">
      <c r="B77" s="101"/>
      <c r="C77" s="101"/>
      <c r="D77" s="101"/>
      <c r="E77" s="101"/>
      <c r="F77" s="101"/>
      <c r="G77" s="73"/>
    </row>
    <row r="78" spans="2:19" x14ac:dyDescent="0.15">
      <c r="B78" s="101"/>
      <c r="C78" s="101"/>
      <c r="D78" s="101"/>
      <c r="E78" s="101"/>
      <c r="F78" s="101"/>
      <c r="G78" s="73"/>
      <c r="S78" s="44"/>
    </row>
    <row r="79" spans="2:19" x14ac:dyDescent="0.15">
      <c r="B79" s="101"/>
      <c r="C79" s="101"/>
      <c r="D79" s="101"/>
      <c r="E79" s="101"/>
      <c r="F79" s="101"/>
      <c r="G79" s="73"/>
    </row>
    <row r="80" spans="2:19" ht="16" x14ac:dyDescent="0.2">
      <c r="B80" s="67"/>
      <c r="C80" s="65"/>
      <c r="D80" s="66"/>
      <c r="E80" s="1"/>
      <c r="F80" s="1"/>
    </row>
  </sheetData>
  <mergeCells count="15">
    <mergeCell ref="B32:D32"/>
    <mergeCell ref="F32:G32"/>
    <mergeCell ref="A1:S1"/>
    <mergeCell ref="A2:S2"/>
    <mergeCell ref="B8:F8"/>
    <mergeCell ref="B19:H19"/>
    <mergeCell ref="B26:K26"/>
    <mergeCell ref="F46:F50"/>
    <mergeCell ref="G46:G50"/>
    <mergeCell ref="F34:F36"/>
    <mergeCell ref="G34:G36"/>
    <mergeCell ref="F37:F39"/>
    <mergeCell ref="G37:G39"/>
    <mergeCell ref="F41:F45"/>
    <mergeCell ref="G41:G45"/>
  </mergeCells>
  <conditionalFormatting sqref="C11:E11 C10:F10">
    <cfRule type="cellIs" dxfId="6411" priority="3" operator="lessThan">
      <formula>0.9</formula>
    </cfRule>
    <cfRule type="cellIs" dxfId="6410" priority="4" operator="greaterThanOrEqual">
      <formula>1.1</formula>
    </cfRule>
  </conditionalFormatting>
  <conditionalFormatting sqref="F11">
    <cfRule type="cellIs" dxfId="6409" priority="1" operator="lessThan">
      <formula>0.9</formula>
    </cfRule>
    <cfRule type="cellIs" dxfId="6408" priority="2" operator="greaterThanOrEqual">
      <formula>1.1</formula>
    </cfRule>
  </conditionalFormatting>
  <dataValidations count="2">
    <dataValidation type="list" allowBlank="1" showInputMessage="1" showErrorMessage="1" sqref="B5" xr:uid="{4B8F142B-4063-4AD5-B318-91BFFDFF1B8F}">
      <formula1>Regions</formula1>
    </dataValidation>
    <dataValidation type="list" allowBlank="1" showInputMessage="1" showErrorMessage="1" sqref="B6" xr:uid="{00000000-0002-0000-0900-000001000000}">
      <formula1>OFFSET(Second_Anchor,1,MATCH($B$5,Team_Regions,0)-1,COUNTA(OFFSET(Second_Anchor,1,MATCH(B5,Team_Regions,0)-1,200)),1)</formula1>
    </dataValidation>
  </dataValidation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O177"/>
  <sheetViews>
    <sheetView showGridLines="0" topLeftCell="D2" zoomScale="85" zoomScaleNormal="70" workbookViewId="0">
      <selection activeCell="D11" sqref="D11:T11"/>
    </sheetView>
  </sheetViews>
  <sheetFormatPr baseColWidth="10" defaultColWidth="8.83203125" defaultRowHeight="14" x14ac:dyDescent="0.15"/>
  <cols>
    <col min="2" max="2" width="40.83203125" bestFit="1" customWidth="1"/>
    <col min="3" max="3" width="35" bestFit="1" customWidth="1"/>
    <col min="14" max="15" width="10" bestFit="1" customWidth="1"/>
    <col min="16" max="16" width="10.5" customWidth="1"/>
    <col min="17" max="17" width="10" bestFit="1" customWidth="1"/>
    <col min="18" max="18" width="10.1640625" bestFit="1" customWidth="1"/>
    <col min="19" max="19" width="10.83203125" bestFit="1" customWidth="1"/>
    <col min="20" max="20" width="11.5" bestFit="1" customWidth="1"/>
    <col min="23" max="23" width="40.83203125" bestFit="1" customWidth="1"/>
    <col min="24" max="24" width="20.1640625" customWidth="1"/>
    <col min="25" max="25" width="11.5" bestFit="1" customWidth="1"/>
    <col min="26" max="26" width="12.1640625" bestFit="1" customWidth="1"/>
    <col min="27" max="27" width="11.5" bestFit="1" customWidth="1"/>
    <col min="28" max="29" width="12.1640625" bestFit="1" customWidth="1"/>
    <col min="30" max="31" width="11.5" bestFit="1" customWidth="1"/>
  </cols>
  <sheetData>
    <row r="1" spans="1:41" ht="70.5" customHeight="1" x14ac:dyDescent="0.15">
      <c r="A1" s="349" t="s">
        <v>1315</v>
      </c>
      <c r="B1" s="350"/>
      <c r="C1" s="350"/>
      <c r="D1" s="350"/>
      <c r="E1" s="350"/>
      <c r="F1" s="350"/>
      <c r="G1" s="350"/>
      <c r="H1" s="350"/>
      <c r="I1" s="350"/>
      <c r="J1" s="350"/>
      <c r="K1" s="350"/>
      <c r="L1" s="350"/>
      <c r="M1" s="350"/>
      <c r="N1" s="350"/>
      <c r="O1" s="350"/>
      <c r="P1" s="350"/>
      <c r="Q1" s="350"/>
      <c r="R1" s="350"/>
      <c r="S1" s="350"/>
      <c r="T1" s="350"/>
      <c r="U1" s="350"/>
      <c r="V1" s="350"/>
      <c r="W1" s="350"/>
      <c r="X1" s="350"/>
      <c r="Y1" s="350"/>
      <c r="Z1" s="350"/>
      <c r="AA1" s="350"/>
      <c r="AB1" s="350"/>
      <c r="AC1" s="350"/>
      <c r="AD1" s="350"/>
      <c r="AE1" s="350"/>
      <c r="AF1" s="350"/>
      <c r="AG1" s="350"/>
      <c r="AH1" s="350"/>
      <c r="AI1" s="350"/>
      <c r="AJ1" s="350"/>
      <c r="AK1" s="350"/>
      <c r="AL1" s="350"/>
      <c r="AM1" s="350"/>
      <c r="AN1" s="350"/>
      <c r="AO1" t="s">
        <v>1108</v>
      </c>
    </row>
    <row r="2" spans="1:41" ht="51" customHeight="1" x14ac:dyDescent="0.15">
      <c r="A2" s="351"/>
      <c r="B2" s="351"/>
      <c r="C2" s="351"/>
      <c r="D2" s="351"/>
      <c r="E2" s="351"/>
      <c r="F2" s="351"/>
      <c r="G2" s="351"/>
      <c r="H2" s="351"/>
      <c r="I2" s="351"/>
      <c r="J2" s="351"/>
      <c r="K2" s="351"/>
      <c r="L2" s="351"/>
      <c r="M2" s="351"/>
      <c r="N2" s="351"/>
      <c r="O2" s="351"/>
      <c r="P2" s="351"/>
      <c r="Q2" s="351"/>
      <c r="R2" s="351"/>
      <c r="S2" s="351"/>
      <c r="T2" s="351"/>
      <c r="U2" s="351"/>
      <c r="V2" s="351"/>
      <c r="W2" s="351"/>
      <c r="X2" s="351"/>
      <c r="Y2" s="351"/>
      <c r="Z2" s="351"/>
      <c r="AA2" s="351"/>
      <c r="AB2" s="351"/>
      <c r="AC2" s="351"/>
      <c r="AD2" s="351"/>
      <c r="AE2" s="351"/>
      <c r="AF2" s="351"/>
      <c r="AG2" s="351"/>
      <c r="AH2" s="351"/>
      <c r="AI2" s="351"/>
      <c r="AJ2" s="351"/>
      <c r="AK2" s="351"/>
      <c r="AL2" s="351"/>
      <c r="AM2" s="351"/>
      <c r="AN2" s="351"/>
    </row>
    <row r="7" spans="1:41" ht="51" customHeight="1" x14ac:dyDescent="0.15"/>
    <row r="8" spans="1:41" ht="15" thickBot="1" x14ac:dyDescent="0.2"/>
    <row r="9" spans="1:41" ht="17" thickBot="1" x14ac:dyDescent="0.25">
      <c r="B9" s="1"/>
      <c r="C9" s="2"/>
      <c r="D9" s="346" t="s">
        <v>1109</v>
      </c>
      <c r="E9" s="347"/>
      <c r="F9" s="347"/>
      <c r="G9" s="347"/>
      <c r="H9" s="347"/>
      <c r="I9" s="347"/>
      <c r="J9" s="347"/>
      <c r="K9" s="347"/>
      <c r="L9" s="347"/>
      <c r="M9" s="347"/>
      <c r="N9" s="347"/>
      <c r="O9" s="347"/>
      <c r="P9" s="347"/>
      <c r="Q9" s="347"/>
      <c r="R9" s="347"/>
      <c r="S9" s="347"/>
      <c r="T9" s="348"/>
      <c r="W9" s="1"/>
      <c r="X9" s="2"/>
      <c r="Y9" s="352" t="s">
        <v>1110</v>
      </c>
      <c r="Z9" s="353"/>
      <c r="AA9" s="353"/>
      <c r="AB9" s="353"/>
      <c r="AC9" s="353"/>
      <c r="AD9" s="353"/>
      <c r="AE9" s="353"/>
      <c r="AF9" s="353"/>
      <c r="AG9" s="353"/>
      <c r="AH9" s="353"/>
      <c r="AI9" s="353"/>
      <c r="AJ9" s="353"/>
      <c r="AK9" s="353"/>
      <c r="AL9" s="353"/>
      <c r="AM9" s="353"/>
      <c r="AN9" s="353"/>
    </row>
    <row r="10" spans="1:41" x14ac:dyDescent="0.15">
      <c r="B10" s="134" t="s">
        <v>1111</v>
      </c>
      <c r="C10" s="135" t="s">
        <v>1112</v>
      </c>
      <c r="D10" s="41" t="s">
        <v>922</v>
      </c>
      <c r="E10" s="41" t="s">
        <v>923</v>
      </c>
      <c r="F10" s="41" t="s">
        <v>924</v>
      </c>
      <c r="G10" s="41" t="s">
        <v>925</v>
      </c>
      <c r="H10" s="41" t="s">
        <v>926</v>
      </c>
      <c r="I10" s="41" t="s">
        <v>927</v>
      </c>
      <c r="J10" s="41" t="s">
        <v>928</v>
      </c>
      <c r="K10" s="41" t="s">
        <v>929</v>
      </c>
      <c r="L10" s="41" t="s">
        <v>930</v>
      </c>
      <c r="M10" s="41" t="s">
        <v>931</v>
      </c>
      <c r="N10" s="41" t="s">
        <v>932</v>
      </c>
      <c r="O10" s="41" t="s">
        <v>933</v>
      </c>
      <c r="P10" s="41" t="s">
        <v>934</v>
      </c>
      <c r="Q10" s="41" t="s">
        <v>935</v>
      </c>
      <c r="R10" s="41" t="s">
        <v>936</v>
      </c>
      <c r="S10" s="41" t="s">
        <v>937</v>
      </c>
      <c r="T10" s="135" t="s">
        <v>939</v>
      </c>
      <c r="U10" s="73"/>
      <c r="V10" s="73"/>
      <c r="W10" s="134" t="s">
        <v>1111</v>
      </c>
      <c r="X10" s="136" t="s">
        <v>1112</v>
      </c>
      <c r="Y10" s="41" t="s">
        <v>922</v>
      </c>
      <c r="Z10" s="41" t="s">
        <v>923</v>
      </c>
      <c r="AA10" s="41" t="s">
        <v>924</v>
      </c>
      <c r="AB10" s="41" t="s">
        <v>925</v>
      </c>
      <c r="AC10" s="41" t="s">
        <v>926</v>
      </c>
      <c r="AD10" s="41" t="s">
        <v>927</v>
      </c>
      <c r="AE10" s="41" t="s">
        <v>928</v>
      </c>
      <c r="AF10" s="41" t="s">
        <v>929</v>
      </c>
      <c r="AG10" s="41" t="s">
        <v>930</v>
      </c>
      <c r="AH10" s="41" t="s">
        <v>931</v>
      </c>
      <c r="AI10" s="41" t="s">
        <v>932</v>
      </c>
      <c r="AJ10" s="41" t="s">
        <v>933</v>
      </c>
      <c r="AK10" s="41" t="s">
        <v>934</v>
      </c>
      <c r="AL10" s="41" t="s">
        <v>935</v>
      </c>
      <c r="AM10" s="41" t="s">
        <v>936</v>
      </c>
      <c r="AN10" s="41" t="s">
        <v>937</v>
      </c>
    </row>
    <row r="11" spans="1:41" x14ac:dyDescent="0.15">
      <c r="B11" s="340" t="s">
        <v>20</v>
      </c>
      <c r="C11" s="138" t="s">
        <v>911</v>
      </c>
      <c r="D11" s="104">
        <f>SUMIFS('caseload data'!E:E,'caseload data'!$D:$D,"PO",'caseload data'!$A:$A,EMR)</f>
        <v>0</v>
      </c>
      <c r="E11" s="104">
        <f>SUMIFS('caseload data'!F:F,'caseload data'!$D:$D,"PO",'caseload data'!$A:$A,EMR)</f>
        <v>0</v>
      </c>
      <c r="F11" s="104">
        <f>SUMIFS('caseload data'!G:G,'caseload data'!$D:$D,"PO",'caseload data'!$A:$A,EMR)</f>
        <v>0</v>
      </c>
      <c r="G11" s="104">
        <f>SUMIFS('caseload data'!H:H,'caseload data'!$D:$D,"PO",'caseload data'!$A:$A,EMR)</f>
        <v>0</v>
      </c>
      <c r="H11" s="104">
        <f>SUMIFS('caseload data'!I:I,'caseload data'!$D:$D,"PO",'caseload data'!$A:$A,EMR)</f>
        <v>0</v>
      </c>
      <c r="I11" s="104">
        <f>SUMIFS('caseload data'!J:J,'caseload data'!$D:$D,"PO",'caseload data'!$A:$A,EMR)</f>
        <v>0</v>
      </c>
      <c r="J11" s="104">
        <f>SUMIFS('caseload data'!K:K,'caseload data'!$D:$D,"PO",'caseload data'!$A:$A,EMR)</f>
        <v>0</v>
      </c>
      <c r="K11" s="104">
        <f>SUMIFS('caseload data'!L:L,'caseload data'!$D:$D,"PO",'caseload data'!$A:$A,EMR)</f>
        <v>0</v>
      </c>
      <c r="L11" s="104">
        <f>SUMIFS('caseload data'!M:M,'caseload data'!$D:$D,"PO",'caseload data'!$A:$A,EMR)</f>
        <v>0</v>
      </c>
      <c r="M11" s="104">
        <f>SUMIFS('caseload data'!N:N,'caseload data'!$D:$D,"PO",'caseload data'!$A:$A,EMR)</f>
        <v>0</v>
      </c>
      <c r="N11" s="104">
        <f>SUMIFS('caseload data'!O:O,'caseload data'!$D:$D,"PO",'caseload data'!$A:$A,EMR)</f>
        <v>0</v>
      </c>
      <c r="O11" s="104">
        <f>SUMIFS('caseload data'!P:P,'caseload data'!$D:$D,"PO",'caseload data'!$A:$A,EMR)</f>
        <v>0</v>
      </c>
      <c r="P11" s="104">
        <f>SUMIFS('caseload data'!Q:Q,'caseload data'!$D:$D,"PO",'caseload data'!$A:$A,EMR)</f>
        <v>0</v>
      </c>
      <c r="Q11" s="104">
        <f>SUMIFS('caseload data'!R:R,'caseload data'!$D:$D,"PO",'caseload data'!$A:$A,EMR)</f>
        <v>0</v>
      </c>
      <c r="R11" s="104">
        <f>SUMIFS('caseload data'!S:S,'caseload data'!$D:$D,"PO",'caseload data'!$A:$A,EMR)</f>
        <v>0</v>
      </c>
      <c r="S11" s="104">
        <f>SUMIFS('caseload data'!T:T,'caseload data'!$D:$D,"PO",'caseload data'!$A:$A,EMR)</f>
        <v>0</v>
      </c>
      <c r="T11" s="104">
        <f>SUMIFS('caseload data'!V:V,'caseload data'!$D:$D,"PO",'caseload data'!$A:$A,'national caseload'!B11:B13)</f>
        <v>0</v>
      </c>
      <c r="U11" s="73"/>
      <c r="V11" s="73"/>
      <c r="W11" s="340" t="s">
        <v>20</v>
      </c>
      <c r="X11" s="138" t="s">
        <v>911</v>
      </c>
      <c r="Y11" s="181" t="e">
        <f t="shared" ref="Y11:AN14" si="0">SUM(D11)/SUM(D$11:D$14)</f>
        <v>#DIV/0!</v>
      </c>
      <c r="Z11" s="181" t="e">
        <f t="shared" si="0"/>
        <v>#DIV/0!</v>
      </c>
      <c r="AA11" s="181" t="e">
        <f t="shared" si="0"/>
        <v>#DIV/0!</v>
      </c>
      <c r="AB11" s="181" t="e">
        <f t="shared" si="0"/>
        <v>#DIV/0!</v>
      </c>
      <c r="AC11" s="181" t="e">
        <f t="shared" si="0"/>
        <v>#DIV/0!</v>
      </c>
      <c r="AD11" s="181" t="e">
        <f t="shared" si="0"/>
        <v>#DIV/0!</v>
      </c>
      <c r="AE11" s="181" t="e">
        <f t="shared" si="0"/>
        <v>#DIV/0!</v>
      </c>
      <c r="AF11" s="181" t="e">
        <f t="shared" si="0"/>
        <v>#DIV/0!</v>
      </c>
      <c r="AG11" s="181" t="e">
        <f t="shared" si="0"/>
        <v>#DIV/0!</v>
      </c>
      <c r="AH11" s="181" t="e">
        <f t="shared" si="0"/>
        <v>#DIV/0!</v>
      </c>
      <c r="AI11" s="181" t="e">
        <f t="shared" si="0"/>
        <v>#DIV/0!</v>
      </c>
      <c r="AJ11" s="181" t="e">
        <f t="shared" si="0"/>
        <v>#DIV/0!</v>
      </c>
      <c r="AK11" s="181" t="e">
        <f t="shared" si="0"/>
        <v>#DIV/0!</v>
      </c>
      <c r="AL11" s="181" t="e">
        <f t="shared" si="0"/>
        <v>#DIV/0!</v>
      </c>
      <c r="AM11" s="181" t="e">
        <f t="shared" si="0"/>
        <v>#DIV/0!</v>
      </c>
      <c r="AN11" s="181" t="e">
        <f t="shared" si="0"/>
        <v>#DIV/0!</v>
      </c>
    </row>
    <row r="12" spans="1:41" x14ac:dyDescent="0.15">
      <c r="B12" s="341"/>
      <c r="C12" s="139" t="s">
        <v>912</v>
      </c>
      <c r="D12" s="104">
        <f>SUMIFS('caseload data'!E:E,'caseload data'!$D:$D,"PSO",'caseload data'!$A:$A,"East Midlands Region")</f>
        <v>0</v>
      </c>
      <c r="E12" s="104">
        <f>SUMIFS('caseload data'!F:F,'caseload data'!$D:$D,"PSO",'caseload data'!$A:$A,"East Midlands Region")</f>
        <v>0</v>
      </c>
      <c r="F12" s="104">
        <f>SUMIFS('caseload data'!G:G,'caseload data'!$D:$D,"PSO",'caseload data'!$A:$A,"East Midlands Region")</f>
        <v>0</v>
      </c>
      <c r="G12" s="104">
        <f>SUMIFS('caseload data'!H:H,'caseload data'!$D:$D,"PSO",'caseload data'!$A:$A,"East Midlands Region")</f>
        <v>0</v>
      </c>
      <c r="H12" s="104">
        <f>SUMIFS('caseload data'!I:I,'caseload data'!$D:$D,"PSO",'caseload data'!$A:$A,"East Midlands Region")</f>
        <v>0</v>
      </c>
      <c r="I12" s="104">
        <f>SUMIFS('caseload data'!J:J,'caseload data'!$D:$D,"PSO",'caseload data'!$A:$A,"East Midlands Region")</f>
        <v>0</v>
      </c>
      <c r="J12" s="104">
        <f>SUMIFS('caseload data'!K:K,'caseload data'!$D:$D,"PSO",'caseload data'!$A:$A,"East Midlands Region")</f>
        <v>0</v>
      </c>
      <c r="K12" s="104">
        <f>SUMIFS('caseload data'!L:L,'caseload data'!$D:$D,"PSO",'caseload data'!$A:$A,"East Midlands Region")</f>
        <v>0</v>
      </c>
      <c r="L12" s="104">
        <f>SUMIFS('caseload data'!M:M,'caseload data'!$D:$D,"PSO",'caseload data'!$A:$A,"East Midlands Region")</f>
        <v>0</v>
      </c>
      <c r="M12" s="104">
        <f>SUMIFS('caseload data'!N:N,'caseload data'!$D:$D,"PSO",'caseload data'!$A:$A,"East Midlands Region")</f>
        <v>0</v>
      </c>
      <c r="N12" s="104">
        <f>SUMIFS('caseload data'!O:O,'caseload data'!$D:$D,"PSO",'caseload data'!$A:$A,"East Midlands Region")</f>
        <v>0</v>
      </c>
      <c r="O12" s="104">
        <f>SUMIFS('caseload data'!P:P,'caseload data'!$D:$D,"PSO",'caseload data'!$A:$A,"East Midlands Region")</f>
        <v>0</v>
      </c>
      <c r="P12" s="104">
        <f>SUMIFS('caseload data'!Q:Q,'caseload data'!$D:$D,"PSO",'caseload data'!$A:$A,"East Midlands Region")</f>
        <v>0</v>
      </c>
      <c r="Q12" s="104">
        <f>SUMIFS('caseload data'!R:R,'caseload data'!$D:$D,"PSO",'caseload data'!$A:$A,"East Midlands Region")</f>
        <v>0</v>
      </c>
      <c r="R12" s="104">
        <f>SUMIFS('caseload data'!S:S,'caseload data'!$D:$D,"PSO",'caseload data'!$A:$A,"East Midlands Region")</f>
        <v>0</v>
      </c>
      <c r="S12" s="104">
        <f>SUMIFS('caseload data'!T:T,'caseload data'!$D:$D,"PSO",'caseload data'!$A:$A,"East Midlands Region")</f>
        <v>0</v>
      </c>
      <c r="T12" s="104">
        <f>SUMIFS('caseload data'!V:V,'caseload data'!$D:$D,"PSO",'caseload data'!$A:$A,"East Midlands Region")</f>
        <v>0</v>
      </c>
      <c r="U12" s="73"/>
      <c r="V12" s="73"/>
      <c r="W12" s="341"/>
      <c r="X12" s="139" t="s">
        <v>912</v>
      </c>
      <c r="Y12" s="181" t="e">
        <f t="shared" si="0"/>
        <v>#DIV/0!</v>
      </c>
      <c r="Z12" s="181" t="e">
        <f t="shared" si="0"/>
        <v>#DIV/0!</v>
      </c>
      <c r="AA12" s="181" t="e">
        <f t="shared" si="0"/>
        <v>#DIV/0!</v>
      </c>
      <c r="AB12" s="181" t="e">
        <f t="shared" si="0"/>
        <v>#DIV/0!</v>
      </c>
      <c r="AC12" s="181" t="e">
        <f t="shared" si="0"/>
        <v>#DIV/0!</v>
      </c>
      <c r="AD12" s="181" t="e">
        <f t="shared" si="0"/>
        <v>#DIV/0!</v>
      </c>
      <c r="AE12" s="181" t="e">
        <f t="shared" si="0"/>
        <v>#DIV/0!</v>
      </c>
      <c r="AF12" s="181" t="e">
        <f t="shared" si="0"/>
        <v>#DIV/0!</v>
      </c>
      <c r="AG12" s="181" t="e">
        <f t="shared" si="0"/>
        <v>#DIV/0!</v>
      </c>
      <c r="AH12" s="181" t="e">
        <f t="shared" si="0"/>
        <v>#DIV/0!</v>
      </c>
      <c r="AI12" s="181" t="e">
        <f t="shared" si="0"/>
        <v>#DIV/0!</v>
      </c>
      <c r="AJ12" s="181" t="e">
        <f t="shared" si="0"/>
        <v>#DIV/0!</v>
      </c>
      <c r="AK12" s="181" t="e">
        <f t="shared" si="0"/>
        <v>#DIV/0!</v>
      </c>
      <c r="AL12" s="181" t="e">
        <f t="shared" si="0"/>
        <v>#DIV/0!</v>
      </c>
      <c r="AM12" s="181" t="e">
        <f t="shared" si="0"/>
        <v>#DIV/0!</v>
      </c>
      <c r="AN12" s="181" t="e">
        <f t="shared" si="0"/>
        <v>#DIV/0!</v>
      </c>
    </row>
    <row r="13" spans="1:41" x14ac:dyDescent="0.15">
      <c r="B13" s="341"/>
      <c r="C13" s="139" t="s">
        <v>913</v>
      </c>
      <c r="D13" s="104">
        <f>SUMIFS('caseload data'!E:E,'caseload data'!$D:$D,"TPO",'caseload data'!$A:$A,"East Midlands Region")</f>
        <v>0</v>
      </c>
      <c r="E13" s="104">
        <f>SUMIFS('caseload data'!F:F,'caseload data'!$D:$D,"TPO",'caseload data'!$A:$A,"East Midlands Region")</f>
        <v>0</v>
      </c>
      <c r="F13" s="104">
        <f>SUMIFS('caseload data'!G:G,'caseload data'!$D:$D,"TPO",'caseload data'!$A:$A,"East Midlands Region")</f>
        <v>0</v>
      </c>
      <c r="G13" s="104">
        <f>SUMIFS('caseload data'!H:H,'caseload data'!$D:$D,"TPO",'caseload data'!$A:$A,"East Midlands Region")</f>
        <v>0</v>
      </c>
      <c r="H13" s="104">
        <f>SUMIFS('caseload data'!I:I,'caseload data'!$D:$D,"TPO",'caseload data'!$A:$A,"East Midlands Region")</f>
        <v>0</v>
      </c>
      <c r="I13" s="104">
        <f>SUMIFS('caseload data'!J:J,'caseload data'!$D:$D,"TPO",'caseload data'!$A:$A,"East Midlands Region")</f>
        <v>0</v>
      </c>
      <c r="J13" s="104">
        <f>SUMIFS('caseload data'!K:K,'caseload data'!$D:$D,"TPO",'caseload data'!$A:$A,"East Midlands Region")</f>
        <v>0</v>
      </c>
      <c r="K13" s="104">
        <f>SUMIFS('caseload data'!L:L,'caseload data'!$D:$D,"TPO",'caseload data'!$A:$A,"East Midlands Region")</f>
        <v>0</v>
      </c>
      <c r="L13" s="104">
        <f>SUMIFS('caseload data'!M:M,'caseload data'!$D:$D,"TPO",'caseload data'!$A:$A,"East Midlands Region")</f>
        <v>0</v>
      </c>
      <c r="M13" s="104">
        <f>SUMIFS('caseload data'!N:N,'caseload data'!$D:$D,"TPO",'caseload data'!$A:$A,"East Midlands Region")</f>
        <v>0</v>
      </c>
      <c r="N13" s="104">
        <f>SUMIFS('caseload data'!O:O,'caseload data'!$D:$D,"TPO",'caseload data'!$A:$A,"East Midlands Region")</f>
        <v>0</v>
      </c>
      <c r="O13" s="104">
        <f>SUMIFS('caseload data'!P:P,'caseload data'!$D:$D,"TPO",'caseload data'!$A:$A,"East Midlands Region")</f>
        <v>0</v>
      </c>
      <c r="P13" s="104">
        <f>SUMIFS('caseload data'!Q:Q,'caseload data'!$D:$D,"TPO",'caseload data'!$A:$A,"East Midlands Region")</f>
        <v>0</v>
      </c>
      <c r="Q13" s="104">
        <f>SUMIFS('caseload data'!R:R,'caseload data'!$D:$D,"TPO",'caseload data'!$A:$A,"East Midlands Region")</f>
        <v>0</v>
      </c>
      <c r="R13" s="104">
        <f>SUMIFS('caseload data'!S:S,'caseload data'!$D:$D,"TPO",'caseload data'!$A:$A,"East Midlands Region")</f>
        <v>0</v>
      </c>
      <c r="S13" s="104">
        <f>SUMIFS('caseload data'!T:T,'caseload data'!$D:$D,"TPO",'caseload data'!$A:$A,"East Midlands Region")</f>
        <v>0</v>
      </c>
      <c r="T13" s="104">
        <f>SUMIFS('caseload data'!V:V,'caseload data'!$D:$D,"TPO",'caseload data'!$A:$A,"East Midlands Region")</f>
        <v>0</v>
      </c>
      <c r="U13" s="73"/>
      <c r="V13" s="73"/>
      <c r="W13" s="341"/>
      <c r="X13" s="139" t="s">
        <v>913</v>
      </c>
      <c r="Y13" s="181" t="e">
        <f t="shared" si="0"/>
        <v>#DIV/0!</v>
      </c>
      <c r="Z13" s="181" t="e">
        <f t="shared" si="0"/>
        <v>#DIV/0!</v>
      </c>
      <c r="AA13" s="181" t="e">
        <f t="shared" si="0"/>
        <v>#DIV/0!</v>
      </c>
      <c r="AB13" s="181" t="e">
        <f t="shared" si="0"/>
        <v>#DIV/0!</v>
      </c>
      <c r="AC13" s="181" t="e">
        <f t="shared" si="0"/>
        <v>#DIV/0!</v>
      </c>
      <c r="AD13" s="181" t="e">
        <f t="shared" si="0"/>
        <v>#DIV/0!</v>
      </c>
      <c r="AE13" s="181" t="e">
        <f t="shared" si="0"/>
        <v>#DIV/0!</v>
      </c>
      <c r="AF13" s="181" t="e">
        <f t="shared" si="0"/>
        <v>#DIV/0!</v>
      </c>
      <c r="AG13" s="181" t="e">
        <f t="shared" si="0"/>
        <v>#DIV/0!</v>
      </c>
      <c r="AH13" s="181" t="e">
        <f t="shared" si="0"/>
        <v>#DIV/0!</v>
      </c>
      <c r="AI13" s="181" t="e">
        <f t="shared" si="0"/>
        <v>#DIV/0!</v>
      </c>
      <c r="AJ13" s="181" t="e">
        <f t="shared" si="0"/>
        <v>#DIV/0!</v>
      </c>
      <c r="AK13" s="181" t="e">
        <f t="shared" si="0"/>
        <v>#DIV/0!</v>
      </c>
      <c r="AL13" s="181" t="e">
        <f t="shared" si="0"/>
        <v>#DIV/0!</v>
      </c>
      <c r="AM13" s="181" t="e">
        <f t="shared" si="0"/>
        <v>#DIV/0!</v>
      </c>
      <c r="AN13" s="181" t="e">
        <f t="shared" si="0"/>
        <v>#DIV/0!</v>
      </c>
    </row>
    <row r="14" spans="1:41" x14ac:dyDescent="0.15">
      <c r="B14" s="342"/>
      <c r="C14" s="140" t="s">
        <v>914</v>
      </c>
      <c r="D14" s="104">
        <f>SUMIFS('caseload data'!E:E,'caseload data'!$D:$D,"SPO",'caseload data'!$A:$A,"East Midlands Region")</f>
        <v>0</v>
      </c>
      <c r="E14" s="104">
        <f>SUMIFS('caseload data'!F:F,'caseload data'!$D:$D,"SPO",'caseload data'!$A:$A,"East Midlands Region")</f>
        <v>0</v>
      </c>
      <c r="F14" s="104">
        <f>SUMIFS('caseload data'!G:G,'caseload data'!$D:$D,"SPO",'caseload data'!$A:$A,"East Midlands Region")</f>
        <v>0</v>
      </c>
      <c r="G14" s="104">
        <f>SUMIFS('caseload data'!H:H,'caseload data'!$D:$D,"SPO",'caseload data'!$A:$A,"East Midlands Region")</f>
        <v>0</v>
      </c>
      <c r="H14" s="104">
        <f>SUMIFS('caseload data'!I:I,'caseload data'!$D:$D,"SPO",'caseload data'!$A:$A,"East Midlands Region")</f>
        <v>0</v>
      </c>
      <c r="I14" s="104">
        <f>SUMIFS('caseload data'!J:J,'caseload data'!$D:$D,"SPO",'caseload data'!$A:$A,"East Midlands Region")</f>
        <v>0</v>
      </c>
      <c r="J14" s="104">
        <f>SUMIFS('caseload data'!K:K,'caseload data'!$D:$D,"SPO",'caseload data'!$A:$A,"East Midlands Region")</f>
        <v>0</v>
      </c>
      <c r="K14" s="104">
        <f>SUMIFS('caseload data'!L:L,'caseload data'!$D:$D,"SPO",'caseload data'!$A:$A,"East Midlands Region")</f>
        <v>0</v>
      </c>
      <c r="L14" s="104">
        <f>SUMIFS('caseload data'!M:M,'caseload data'!$D:$D,"SPO",'caseload data'!$A:$A,"East Midlands Region")</f>
        <v>0</v>
      </c>
      <c r="M14" s="104">
        <f>SUMIFS('caseload data'!N:N,'caseload data'!$D:$D,"SPO",'caseload data'!$A:$A,"East Midlands Region")</f>
        <v>0</v>
      </c>
      <c r="N14" s="104">
        <f>SUMIFS('caseload data'!O:O,'caseload data'!$D:$D,"SPO",'caseload data'!$A:$A,"East Midlands Region")</f>
        <v>0</v>
      </c>
      <c r="O14" s="104">
        <f>SUMIFS('caseload data'!P:P,'caseload data'!$D:$D,"SPO",'caseload data'!$A:$A,"East Midlands Region")</f>
        <v>0</v>
      </c>
      <c r="P14" s="104">
        <f>SUMIFS('caseload data'!Q:Q,'caseload data'!$D:$D,"SPO",'caseload data'!$A:$A,"East Midlands Region")</f>
        <v>0</v>
      </c>
      <c r="Q14" s="104">
        <f>SUMIFS('caseload data'!R:R,'caseload data'!$D:$D,"SPO",'caseload data'!$A:$A,"East Midlands Region")</f>
        <v>0</v>
      </c>
      <c r="R14" s="104">
        <f>SUMIFS('caseload data'!S:S,'caseload data'!$D:$D,"SPO",'caseload data'!$A:$A,"East Midlands Region")</f>
        <v>0</v>
      </c>
      <c r="S14" s="104">
        <f>SUMIFS('caseload data'!T:T,'caseload data'!$D:$D,"SPO",'caseload data'!$A:$A,"East Midlands Region")</f>
        <v>0</v>
      </c>
      <c r="T14" s="104">
        <f>SUMIFS('caseload data'!V:V,'caseload data'!$D:$D,"SPO",'caseload data'!$A:$A,"East Midlands Region")</f>
        <v>0</v>
      </c>
      <c r="U14" s="73"/>
      <c r="V14" s="73"/>
      <c r="W14" s="342"/>
      <c r="X14" s="140" t="s">
        <v>914</v>
      </c>
      <c r="Y14" s="181" t="e">
        <f t="shared" si="0"/>
        <v>#DIV/0!</v>
      </c>
      <c r="Z14" s="181" t="e">
        <f t="shared" si="0"/>
        <v>#DIV/0!</v>
      </c>
      <c r="AA14" s="181" t="e">
        <f t="shared" si="0"/>
        <v>#DIV/0!</v>
      </c>
      <c r="AB14" s="181" t="e">
        <f t="shared" si="0"/>
        <v>#DIV/0!</v>
      </c>
      <c r="AC14" s="181" t="e">
        <f t="shared" si="0"/>
        <v>#DIV/0!</v>
      </c>
      <c r="AD14" s="181" t="e">
        <f t="shared" si="0"/>
        <v>#DIV/0!</v>
      </c>
      <c r="AE14" s="181" t="e">
        <f t="shared" si="0"/>
        <v>#DIV/0!</v>
      </c>
      <c r="AF14" s="181" t="e">
        <f t="shared" si="0"/>
        <v>#DIV/0!</v>
      </c>
      <c r="AG14" s="181" t="e">
        <f t="shared" si="0"/>
        <v>#DIV/0!</v>
      </c>
      <c r="AH14" s="181" t="e">
        <f t="shared" si="0"/>
        <v>#DIV/0!</v>
      </c>
      <c r="AI14" s="181" t="e">
        <f t="shared" si="0"/>
        <v>#DIV/0!</v>
      </c>
      <c r="AJ14" s="181" t="e">
        <f t="shared" si="0"/>
        <v>#DIV/0!</v>
      </c>
      <c r="AK14" s="181" t="e">
        <f t="shared" si="0"/>
        <v>#DIV/0!</v>
      </c>
      <c r="AL14" s="181" t="e">
        <f t="shared" si="0"/>
        <v>#DIV/0!</v>
      </c>
      <c r="AM14" s="181" t="e">
        <f t="shared" si="0"/>
        <v>#DIV/0!</v>
      </c>
      <c r="AN14" s="181" t="e">
        <f t="shared" si="0"/>
        <v>#DIV/0!</v>
      </c>
    </row>
    <row r="15" spans="1:41" x14ac:dyDescent="0.15">
      <c r="B15" s="340" t="s">
        <v>21</v>
      </c>
      <c r="C15" s="138" t="s">
        <v>911</v>
      </c>
      <c r="D15" s="104">
        <f>SUMIFS('caseload data'!E:E,'caseload data'!$D:$D,"PO",'caseload data'!$A:$A,EoE)</f>
        <v>0</v>
      </c>
      <c r="E15" s="104">
        <f>SUMIFS('caseload data'!F:F,'caseload data'!$D:$D,"PO",'caseload data'!$A:$A,EoE)</f>
        <v>0</v>
      </c>
      <c r="F15" s="104">
        <f>SUMIFS('caseload data'!G:G,'caseload data'!$D:$D,"PO",'caseload data'!$A:$A,EoE)</f>
        <v>0</v>
      </c>
      <c r="G15" s="104">
        <f>SUMIFS('caseload data'!H:H,'caseload data'!$D:$D,"PO",'caseload data'!$A:$A,EoE)</f>
        <v>0</v>
      </c>
      <c r="H15" s="104">
        <f>SUMIFS('caseload data'!I:I,'caseload data'!$D:$D,"PO",'caseload data'!$A:$A,EoE)</f>
        <v>0</v>
      </c>
      <c r="I15" s="104">
        <f>SUMIFS('caseload data'!J:J,'caseload data'!$D:$D,"PO",'caseload data'!$A:$A,EoE)</f>
        <v>0</v>
      </c>
      <c r="J15" s="104">
        <f>SUMIFS('caseload data'!K:K,'caseload data'!$D:$D,"PO",'caseload data'!$A:$A,EoE)</f>
        <v>0</v>
      </c>
      <c r="K15" s="104">
        <f>SUMIFS('caseload data'!L:L,'caseload data'!$D:$D,"PO",'caseload data'!$A:$A,EoE)</f>
        <v>0</v>
      </c>
      <c r="L15" s="104">
        <f>SUMIFS('caseload data'!M:M,'caseload data'!$D:$D,"PO",'caseload data'!$A:$A,EoE)</f>
        <v>0</v>
      </c>
      <c r="M15" s="104">
        <f>SUMIFS('caseload data'!N:N,'caseload data'!$D:$D,"PO",'caseload data'!$A:$A,EoE)</f>
        <v>0</v>
      </c>
      <c r="N15" s="104">
        <f>SUMIFS('caseload data'!O:O,'caseload data'!$D:$D,"PO",'caseload data'!$A:$A,EoE)</f>
        <v>0</v>
      </c>
      <c r="O15" s="104">
        <f>SUMIFS('caseload data'!P:P,'caseload data'!$D:$D,"PO",'caseload data'!$A:$A,EoE)</f>
        <v>0</v>
      </c>
      <c r="P15" s="104">
        <f>SUMIFS('caseload data'!Q:Q,'caseload data'!$D:$D,"PO",'caseload data'!$A:$A,EoE)</f>
        <v>0</v>
      </c>
      <c r="Q15" s="104">
        <f>SUMIFS('caseload data'!R:R,'caseload data'!$D:$D,"PO",'caseload data'!$A:$A,EoE)</f>
        <v>0</v>
      </c>
      <c r="R15" s="104">
        <f>SUMIFS('caseload data'!S:S,'caseload data'!$D:$D,"PO",'caseload data'!$A:$A,EoE)</f>
        <v>0</v>
      </c>
      <c r="S15" s="104">
        <f>SUMIFS('caseload data'!T:T,'caseload data'!$D:$D,"PO",'caseload data'!$A:$A,EoE)</f>
        <v>0</v>
      </c>
      <c r="T15" s="104">
        <f>SUMIFS('caseload data'!V:V,'caseload data'!$D:$D,"PO",'caseload data'!$A:$A,EoE)</f>
        <v>0</v>
      </c>
      <c r="U15" s="73"/>
      <c r="V15" s="73"/>
      <c r="W15" s="340" t="s">
        <v>21</v>
      </c>
      <c r="X15" s="138" t="s">
        <v>911</v>
      </c>
      <c r="Y15" s="181" t="e">
        <f>SUM(D15)/SUM(D$15:D$18)</f>
        <v>#DIV/0!</v>
      </c>
      <c r="Z15" s="181" t="e">
        <f t="shared" ref="Z15:AN18" si="1">SUM(E15)/SUM(E$15:E$18)</f>
        <v>#DIV/0!</v>
      </c>
      <c r="AA15" s="181" t="e">
        <f t="shared" si="1"/>
        <v>#DIV/0!</v>
      </c>
      <c r="AB15" s="181" t="e">
        <f t="shared" si="1"/>
        <v>#DIV/0!</v>
      </c>
      <c r="AC15" s="181" t="e">
        <f t="shared" si="1"/>
        <v>#DIV/0!</v>
      </c>
      <c r="AD15" s="181" t="e">
        <f t="shared" si="1"/>
        <v>#DIV/0!</v>
      </c>
      <c r="AE15" s="181" t="e">
        <f t="shared" si="1"/>
        <v>#DIV/0!</v>
      </c>
      <c r="AF15" s="181" t="e">
        <f t="shared" si="1"/>
        <v>#DIV/0!</v>
      </c>
      <c r="AG15" s="181" t="e">
        <f t="shared" si="1"/>
        <v>#DIV/0!</v>
      </c>
      <c r="AH15" s="181" t="e">
        <f t="shared" si="1"/>
        <v>#DIV/0!</v>
      </c>
      <c r="AI15" s="181" t="e">
        <f t="shared" si="1"/>
        <v>#DIV/0!</v>
      </c>
      <c r="AJ15" s="181" t="e">
        <f t="shared" si="1"/>
        <v>#DIV/0!</v>
      </c>
      <c r="AK15" s="181" t="e">
        <f t="shared" si="1"/>
        <v>#DIV/0!</v>
      </c>
      <c r="AL15" s="181" t="e">
        <f t="shared" si="1"/>
        <v>#DIV/0!</v>
      </c>
      <c r="AM15" s="181" t="e">
        <f t="shared" si="1"/>
        <v>#DIV/0!</v>
      </c>
      <c r="AN15" s="181" t="e">
        <f t="shared" si="1"/>
        <v>#DIV/0!</v>
      </c>
    </row>
    <row r="16" spans="1:41" x14ac:dyDescent="0.15">
      <c r="B16" s="341"/>
      <c r="C16" s="139" t="s">
        <v>912</v>
      </c>
      <c r="D16" s="104">
        <f>SUMIFS('caseload data'!E:E,'caseload data'!$D:$D,"PSO",'caseload data'!$A:$A,"East of England")</f>
        <v>0</v>
      </c>
      <c r="E16" s="104">
        <f>SUMIFS('caseload data'!F:F,'caseload data'!$D:$D,"PSO",'caseload data'!$A:$A,"East of England")</f>
        <v>0</v>
      </c>
      <c r="F16" s="104">
        <f>SUMIFS('caseload data'!G:G,'caseload data'!$D:$D,"PSO",'caseload data'!$A:$A,"East of England")</f>
        <v>0</v>
      </c>
      <c r="G16" s="104">
        <f>SUMIFS('caseload data'!H:H,'caseload data'!$D:$D,"PSO",'caseload data'!$A:$A,"East of England")</f>
        <v>0</v>
      </c>
      <c r="H16" s="104">
        <f>SUMIFS('caseload data'!I:I,'caseload data'!$D:$D,"PSO",'caseload data'!$A:$A,"East of England")</f>
        <v>0</v>
      </c>
      <c r="I16" s="104">
        <f>SUMIFS('caseload data'!J:J,'caseload data'!$D:$D,"PSO",'caseload data'!$A:$A,"East of England")</f>
        <v>0</v>
      </c>
      <c r="J16" s="104">
        <f>SUMIFS('caseload data'!K:K,'caseload data'!$D:$D,"PSO",'caseload data'!$A:$A,"East of England")</f>
        <v>0</v>
      </c>
      <c r="K16" s="104">
        <f>SUMIFS('caseload data'!L:L,'caseload data'!$D:$D,"PSO",'caseload data'!$A:$A,"East of England")</f>
        <v>0</v>
      </c>
      <c r="L16" s="104">
        <f>SUMIFS('caseload data'!M:M,'caseload data'!$D:$D,"PSO",'caseload data'!$A:$A,"East of England")</f>
        <v>0</v>
      </c>
      <c r="M16" s="104">
        <f>SUMIFS('caseload data'!N:N,'caseload data'!$D:$D,"PSO",'caseload data'!$A:$A,"East of England")</f>
        <v>0</v>
      </c>
      <c r="N16" s="104">
        <f>SUMIFS('caseload data'!O:O,'caseload data'!$D:$D,"PSO",'caseload data'!$A:$A,"East of England")</f>
        <v>0</v>
      </c>
      <c r="O16" s="104">
        <f>SUMIFS('caseload data'!P:P,'caseload data'!$D:$D,"PSO",'caseload data'!$A:$A,"East of England")</f>
        <v>0</v>
      </c>
      <c r="P16" s="104">
        <f>SUMIFS('caseload data'!Q:Q,'caseload data'!$D:$D,"PSO",'caseload data'!$A:$A,"East of England")</f>
        <v>0</v>
      </c>
      <c r="Q16" s="104">
        <f>SUMIFS('caseload data'!R:R,'caseload data'!$D:$D,"PSO",'caseload data'!$A:$A,"East of England")</f>
        <v>0</v>
      </c>
      <c r="R16" s="104">
        <f>SUMIFS('caseload data'!S:S,'caseload data'!$D:$D,"PSO",'caseload data'!$A:$A,"East of England")</f>
        <v>0</v>
      </c>
      <c r="S16" s="104">
        <f>SUMIFS('caseload data'!T:T,'caseload data'!$D:$D,"PSO",'caseload data'!$A:$A,"East of England")</f>
        <v>0</v>
      </c>
      <c r="T16" s="104">
        <f>SUMIFS('caseload data'!V:V,'caseload data'!$D:$D,"PSO",'caseload data'!$A:$A,"East of England")</f>
        <v>0</v>
      </c>
      <c r="U16" s="73"/>
      <c r="V16" s="73"/>
      <c r="W16" s="341"/>
      <c r="X16" s="139" t="s">
        <v>912</v>
      </c>
      <c r="Y16" s="181" t="e">
        <f>SUM(D16)/SUM(D$15:D$18)</f>
        <v>#DIV/0!</v>
      </c>
      <c r="Z16" s="181" t="e">
        <f t="shared" si="1"/>
        <v>#DIV/0!</v>
      </c>
      <c r="AA16" s="181" t="e">
        <f t="shared" si="1"/>
        <v>#DIV/0!</v>
      </c>
      <c r="AB16" s="181" t="e">
        <f t="shared" si="1"/>
        <v>#DIV/0!</v>
      </c>
      <c r="AC16" s="181" t="e">
        <f t="shared" si="1"/>
        <v>#DIV/0!</v>
      </c>
      <c r="AD16" s="181" t="e">
        <f t="shared" si="1"/>
        <v>#DIV/0!</v>
      </c>
      <c r="AE16" s="181" t="e">
        <f t="shared" si="1"/>
        <v>#DIV/0!</v>
      </c>
      <c r="AF16" s="181" t="e">
        <f t="shared" si="1"/>
        <v>#DIV/0!</v>
      </c>
      <c r="AG16" s="181" t="e">
        <f t="shared" si="1"/>
        <v>#DIV/0!</v>
      </c>
      <c r="AH16" s="181" t="e">
        <f t="shared" si="1"/>
        <v>#DIV/0!</v>
      </c>
      <c r="AI16" s="181" t="e">
        <f t="shared" si="1"/>
        <v>#DIV/0!</v>
      </c>
      <c r="AJ16" s="181" t="e">
        <f t="shared" si="1"/>
        <v>#DIV/0!</v>
      </c>
      <c r="AK16" s="181" t="e">
        <f t="shared" si="1"/>
        <v>#DIV/0!</v>
      </c>
      <c r="AL16" s="181" t="e">
        <f t="shared" si="1"/>
        <v>#DIV/0!</v>
      </c>
      <c r="AM16" s="181" t="e">
        <f t="shared" si="1"/>
        <v>#DIV/0!</v>
      </c>
      <c r="AN16" s="181" t="e">
        <f t="shared" si="1"/>
        <v>#DIV/0!</v>
      </c>
    </row>
    <row r="17" spans="2:40" x14ac:dyDescent="0.15">
      <c r="B17" s="341"/>
      <c r="C17" s="139" t="s">
        <v>913</v>
      </c>
      <c r="D17" s="104">
        <f>SUMIFS('caseload data'!E:E,'caseload data'!$D:$D,"TPO",'caseload data'!$A:$A,"East of England")</f>
        <v>0</v>
      </c>
      <c r="E17" s="104">
        <f>SUMIFS('caseload data'!F:F,'caseload data'!$D:$D,"TPO",'caseload data'!$A:$A,"East of England")</f>
        <v>0</v>
      </c>
      <c r="F17" s="104">
        <f>SUMIFS('caseload data'!G:G,'caseload data'!$D:$D,"TPO",'caseload data'!$A:$A,"East of England")</f>
        <v>0</v>
      </c>
      <c r="G17" s="104">
        <f>SUMIFS('caseload data'!H:H,'caseload data'!$D:$D,"TPO",'caseload data'!$A:$A,"East of England")</f>
        <v>0</v>
      </c>
      <c r="H17" s="104">
        <f>SUMIFS('caseload data'!I:I,'caseload data'!$D:$D,"TPO",'caseload data'!$A:$A,"East of England")</f>
        <v>0</v>
      </c>
      <c r="I17" s="104">
        <f>SUMIFS('caseload data'!J:J,'caseload data'!$D:$D,"TPO",'caseload data'!$A:$A,"East of England")</f>
        <v>0</v>
      </c>
      <c r="J17" s="104">
        <f>SUMIFS('caseload data'!K:K,'caseload data'!$D:$D,"TPO",'caseload data'!$A:$A,"East of England")</f>
        <v>0</v>
      </c>
      <c r="K17" s="104">
        <f>SUMIFS('caseload data'!L:L,'caseload data'!$D:$D,"TPO",'caseload data'!$A:$A,"East of England")</f>
        <v>0</v>
      </c>
      <c r="L17" s="104">
        <f>SUMIFS('caseload data'!M:M,'caseload data'!$D:$D,"TPO",'caseload data'!$A:$A,"East of England")</f>
        <v>0</v>
      </c>
      <c r="M17" s="104">
        <f>SUMIFS('caseload data'!N:N,'caseload data'!$D:$D,"TPO",'caseload data'!$A:$A,"East of England")</f>
        <v>0</v>
      </c>
      <c r="N17" s="104">
        <f>SUMIFS('caseload data'!O:O,'caseload data'!$D:$D,"TPO",'caseload data'!$A:$A,"East of England")</f>
        <v>0</v>
      </c>
      <c r="O17" s="104">
        <f>SUMIFS('caseload data'!P:P,'caseload data'!$D:$D,"TPO",'caseload data'!$A:$A,"East of England")</f>
        <v>0</v>
      </c>
      <c r="P17" s="104">
        <f>SUMIFS('caseload data'!Q:Q,'caseload data'!$D:$D,"TPO",'caseload data'!$A:$A,"East of England")</f>
        <v>0</v>
      </c>
      <c r="Q17" s="104">
        <f>SUMIFS('caseload data'!R:R,'caseload data'!$D:$D,"TPO",'caseload data'!$A:$A,"East of England")</f>
        <v>0</v>
      </c>
      <c r="R17" s="104">
        <f>SUMIFS('caseload data'!S:S,'caseload data'!$D:$D,"TPO",'caseload data'!$A:$A,"East of England")</f>
        <v>0</v>
      </c>
      <c r="S17" s="104">
        <f>SUMIFS('caseload data'!T:T,'caseload data'!$D:$D,"TPO",'caseload data'!$A:$A,"East of England")</f>
        <v>0</v>
      </c>
      <c r="T17" s="104">
        <f>SUMIFS('caseload data'!V:V,'caseload data'!$D:$D,"TPO",'caseload data'!$A:$A,"East of England")</f>
        <v>0</v>
      </c>
      <c r="U17" s="73"/>
      <c r="V17" s="73"/>
      <c r="W17" s="341"/>
      <c r="X17" s="139" t="s">
        <v>913</v>
      </c>
      <c r="Y17" s="181" t="e">
        <f>SUM(D17)/SUM(D$15:D$18)</f>
        <v>#DIV/0!</v>
      </c>
      <c r="Z17" s="181" t="e">
        <f t="shared" si="1"/>
        <v>#DIV/0!</v>
      </c>
      <c r="AA17" s="181" t="e">
        <f t="shared" si="1"/>
        <v>#DIV/0!</v>
      </c>
      <c r="AB17" s="181" t="e">
        <f t="shared" si="1"/>
        <v>#DIV/0!</v>
      </c>
      <c r="AC17" s="181" t="e">
        <f t="shared" si="1"/>
        <v>#DIV/0!</v>
      </c>
      <c r="AD17" s="181" t="e">
        <f t="shared" si="1"/>
        <v>#DIV/0!</v>
      </c>
      <c r="AE17" s="181" t="e">
        <f t="shared" si="1"/>
        <v>#DIV/0!</v>
      </c>
      <c r="AF17" s="181" t="e">
        <f t="shared" si="1"/>
        <v>#DIV/0!</v>
      </c>
      <c r="AG17" s="181" t="e">
        <f t="shared" si="1"/>
        <v>#DIV/0!</v>
      </c>
      <c r="AH17" s="181" t="e">
        <f t="shared" si="1"/>
        <v>#DIV/0!</v>
      </c>
      <c r="AI17" s="181" t="e">
        <f t="shared" si="1"/>
        <v>#DIV/0!</v>
      </c>
      <c r="AJ17" s="181" t="e">
        <f t="shared" si="1"/>
        <v>#DIV/0!</v>
      </c>
      <c r="AK17" s="181" t="e">
        <f t="shared" si="1"/>
        <v>#DIV/0!</v>
      </c>
      <c r="AL17" s="181" t="e">
        <f t="shared" si="1"/>
        <v>#DIV/0!</v>
      </c>
      <c r="AM17" s="181" t="e">
        <f t="shared" si="1"/>
        <v>#DIV/0!</v>
      </c>
      <c r="AN17" s="181" t="e">
        <f t="shared" si="1"/>
        <v>#DIV/0!</v>
      </c>
    </row>
    <row r="18" spans="2:40" x14ac:dyDescent="0.15">
      <c r="B18" s="342"/>
      <c r="C18" s="140" t="s">
        <v>914</v>
      </c>
      <c r="D18" s="104">
        <f>SUMIFS('caseload data'!E:E,'caseload data'!$D:$D,"SPO",'caseload data'!$A:$A,"East of England")</f>
        <v>0</v>
      </c>
      <c r="E18" s="104">
        <f>SUMIFS('caseload data'!F:F,'caseload data'!$D:$D,"SPO",'caseload data'!$A:$A,"East of England")</f>
        <v>0</v>
      </c>
      <c r="F18" s="104">
        <f>SUMIFS('caseload data'!G:G,'caseload data'!$D:$D,"SPO",'caseload data'!$A:$A,"East of England")</f>
        <v>0</v>
      </c>
      <c r="G18" s="104">
        <f>SUMIFS('caseload data'!H:H,'caseload data'!$D:$D,"SPO",'caseload data'!$A:$A,"East of England")</f>
        <v>0</v>
      </c>
      <c r="H18" s="104">
        <f>SUMIFS('caseload data'!I:I,'caseload data'!$D:$D,"SPO",'caseload data'!$A:$A,"East of England")</f>
        <v>0</v>
      </c>
      <c r="I18" s="104">
        <f>SUMIFS('caseload data'!J:J,'caseload data'!$D:$D,"SPO",'caseload data'!$A:$A,"East of England")</f>
        <v>0</v>
      </c>
      <c r="J18" s="104">
        <f>SUMIFS('caseload data'!K:K,'caseload data'!$D:$D,"SPO",'caseload data'!$A:$A,"East of England")</f>
        <v>0</v>
      </c>
      <c r="K18" s="104">
        <f>SUMIFS('caseload data'!L:L,'caseload data'!$D:$D,"SPO",'caseload data'!$A:$A,"East of England")</f>
        <v>0</v>
      </c>
      <c r="L18" s="104">
        <f>SUMIFS('caseload data'!M:M,'caseload data'!$D:$D,"SPO",'caseload data'!$A:$A,"East of England")</f>
        <v>0</v>
      </c>
      <c r="M18" s="104">
        <f>SUMIFS('caseload data'!N:N,'caseload data'!$D:$D,"SPO",'caseload data'!$A:$A,"East of England")</f>
        <v>0</v>
      </c>
      <c r="N18" s="104">
        <f>SUMIFS('caseload data'!O:O,'caseload data'!$D:$D,"SPO",'caseload data'!$A:$A,"East of England")</f>
        <v>0</v>
      </c>
      <c r="O18" s="104">
        <f>SUMIFS('caseload data'!P:P,'caseload data'!$D:$D,"SPO",'caseload data'!$A:$A,"East of England")</f>
        <v>0</v>
      </c>
      <c r="P18" s="104">
        <f>SUMIFS('caseload data'!Q:Q,'caseload data'!$D:$D,"SPO",'caseload data'!$A:$A,"East of England")</f>
        <v>0</v>
      </c>
      <c r="Q18" s="104">
        <f>SUMIFS('caseload data'!R:R,'caseload data'!$D:$D,"SPO",'caseload data'!$A:$A,"East of England")</f>
        <v>0</v>
      </c>
      <c r="R18" s="104">
        <f>SUMIFS('caseload data'!S:S,'caseload data'!$D:$D,"SPO",'caseload data'!$A:$A,"East of England")</f>
        <v>0</v>
      </c>
      <c r="S18" s="104">
        <f>SUMIFS('caseload data'!T:T,'caseload data'!$D:$D,"SPO",'caseload data'!$A:$A,"East of England")</f>
        <v>0</v>
      </c>
      <c r="T18" s="104">
        <f>SUMIFS('caseload data'!V:V,'caseload data'!$D:$D,"SPO",'caseload data'!$A:$A,"East of England")</f>
        <v>0</v>
      </c>
      <c r="U18" s="73"/>
      <c r="V18" s="73"/>
      <c r="W18" s="342"/>
      <c r="X18" s="140" t="s">
        <v>914</v>
      </c>
      <c r="Y18" s="181" t="e">
        <f>SUM(D18)/SUM(D$15:D$18)</f>
        <v>#DIV/0!</v>
      </c>
      <c r="Z18" s="181" t="e">
        <f t="shared" si="1"/>
        <v>#DIV/0!</v>
      </c>
      <c r="AA18" s="181" t="e">
        <f t="shared" si="1"/>
        <v>#DIV/0!</v>
      </c>
      <c r="AB18" s="181" t="e">
        <f t="shared" si="1"/>
        <v>#DIV/0!</v>
      </c>
      <c r="AC18" s="181" t="e">
        <f t="shared" si="1"/>
        <v>#DIV/0!</v>
      </c>
      <c r="AD18" s="181" t="e">
        <f t="shared" si="1"/>
        <v>#DIV/0!</v>
      </c>
      <c r="AE18" s="181" t="e">
        <f t="shared" si="1"/>
        <v>#DIV/0!</v>
      </c>
      <c r="AF18" s="181" t="e">
        <f t="shared" si="1"/>
        <v>#DIV/0!</v>
      </c>
      <c r="AG18" s="181" t="e">
        <f t="shared" si="1"/>
        <v>#DIV/0!</v>
      </c>
      <c r="AH18" s="181" t="e">
        <f t="shared" si="1"/>
        <v>#DIV/0!</v>
      </c>
      <c r="AI18" s="181" t="e">
        <f t="shared" si="1"/>
        <v>#DIV/0!</v>
      </c>
      <c r="AJ18" s="181" t="e">
        <f t="shared" si="1"/>
        <v>#DIV/0!</v>
      </c>
      <c r="AK18" s="181" t="e">
        <f t="shared" si="1"/>
        <v>#DIV/0!</v>
      </c>
      <c r="AL18" s="181" t="e">
        <f t="shared" si="1"/>
        <v>#DIV/0!</v>
      </c>
      <c r="AM18" s="181" t="e">
        <f t="shared" si="1"/>
        <v>#DIV/0!</v>
      </c>
      <c r="AN18" s="181" t="e">
        <f t="shared" si="1"/>
        <v>#DIV/0!</v>
      </c>
    </row>
    <row r="19" spans="2:40" x14ac:dyDescent="0.15">
      <c r="B19" s="340" t="s">
        <v>22</v>
      </c>
      <c r="C19" s="138" t="s">
        <v>911</v>
      </c>
      <c r="D19" s="104">
        <f>SUMIFS('caseload data'!E:E,'caseload data'!$D:$D,"PO",'caseload data'!$A:$A,'national caseload'!$B$19:$B$21)</f>
        <v>0</v>
      </c>
      <c r="E19" s="104">
        <f>SUMIFS('caseload data'!F:F,'caseload data'!$D:$D,"PO",'caseload data'!$A:$A,'national caseload'!$B$19:$B$21)</f>
        <v>0</v>
      </c>
      <c r="F19" s="104">
        <f>SUMIFS('caseload data'!G:G,'caseload data'!$D:$D,"PO",'caseload data'!$A:$A,'national caseload'!$B$19:$B$21)</f>
        <v>0</v>
      </c>
      <c r="G19" s="104">
        <f>SUMIFS('caseload data'!H:H,'caseload data'!$D:$D,"PO",'caseload data'!$A:$A,'national caseload'!$B$19:$B$21)</f>
        <v>0</v>
      </c>
      <c r="H19" s="104">
        <f>SUMIFS('caseload data'!I:I,'caseload data'!$D:$D,"PO",'caseload data'!$A:$A,'national caseload'!$B$19:$B$21)</f>
        <v>0</v>
      </c>
      <c r="I19" s="104">
        <f>SUMIFS('caseload data'!J:J,'caseload data'!$D:$D,"PO",'caseload data'!$A:$A,'national caseload'!$B$19:$B$21)</f>
        <v>0</v>
      </c>
      <c r="J19" s="104">
        <f>SUMIFS('caseload data'!K:K,'caseload data'!$D:$D,"PO",'caseload data'!$A:$A,'national caseload'!$B$19:$B$21)</f>
        <v>0</v>
      </c>
      <c r="K19" s="104">
        <f>SUMIFS('caseload data'!L:L,'caseload data'!$D:$D,"PO",'caseload data'!$A:$A,'national caseload'!$B$19:$B$21)</f>
        <v>0</v>
      </c>
      <c r="L19" s="104">
        <f>SUMIFS('caseload data'!M:M,'caseload data'!$D:$D,"PO",'caseload data'!$A:$A,'national caseload'!$B$19:$B$21)</f>
        <v>0</v>
      </c>
      <c r="M19" s="104">
        <f>SUMIFS('caseload data'!N:N,'caseload data'!$D:$D,"PO",'caseload data'!$A:$A,'national caseload'!$B$19:$B$21)</f>
        <v>0</v>
      </c>
      <c r="N19" s="104">
        <f>SUMIFS('caseload data'!O:O,'caseload data'!$D:$D,"PO",'caseload data'!$A:$A,'national caseload'!$B$19:$B$21)</f>
        <v>0</v>
      </c>
      <c r="O19" s="104">
        <f>SUMIFS('caseload data'!P:P,'caseload data'!$D:$D,"PO",'caseload data'!$A:$A,'national caseload'!$B$19:$B$21)</f>
        <v>0</v>
      </c>
      <c r="P19" s="104">
        <f>SUMIFS('caseload data'!Q:Q,'caseload data'!$D:$D,"PO",'caseload data'!$A:$A,'national caseload'!$B$19:$B$21)</f>
        <v>0</v>
      </c>
      <c r="Q19" s="104">
        <f>SUMIFS('caseload data'!R:R,'caseload data'!$D:$D,"PO",'caseload data'!$A:$A,'national caseload'!$B$19:$B$21)</f>
        <v>0</v>
      </c>
      <c r="R19" s="104">
        <f>SUMIFS('caseload data'!S:S,'caseload data'!$D:$D,"PO",'caseload data'!$A:$A,'national caseload'!$B$19:$B$21)</f>
        <v>0</v>
      </c>
      <c r="S19" s="104">
        <f>SUMIFS('caseload data'!T:T,'caseload data'!$D:$D,"PO",'caseload data'!$A:$A,'national caseload'!$B$19:$B$21)</f>
        <v>0</v>
      </c>
      <c r="T19" s="104">
        <f>SUMIFS('caseload data'!V:V,'caseload data'!$D:$D,"PO",'caseload data'!$A:$A,'national caseload'!B19:B21)</f>
        <v>0</v>
      </c>
      <c r="U19" s="73"/>
      <c r="V19" s="73"/>
      <c r="W19" s="340" t="s">
        <v>22</v>
      </c>
      <c r="X19" s="138" t="s">
        <v>911</v>
      </c>
      <c r="Y19" s="181" t="e">
        <f>SUM(D19)/SUM(D$19:D$22)</f>
        <v>#DIV/0!</v>
      </c>
      <c r="Z19" s="181" t="e">
        <f t="shared" ref="Z19:AN22" si="2">SUM(E19)/SUM(E$19:E$22)</f>
        <v>#DIV/0!</v>
      </c>
      <c r="AA19" s="181" t="e">
        <f t="shared" si="2"/>
        <v>#DIV/0!</v>
      </c>
      <c r="AB19" s="181" t="e">
        <f t="shared" si="2"/>
        <v>#DIV/0!</v>
      </c>
      <c r="AC19" s="181" t="e">
        <f t="shared" si="2"/>
        <v>#DIV/0!</v>
      </c>
      <c r="AD19" s="181" t="e">
        <f t="shared" si="2"/>
        <v>#DIV/0!</v>
      </c>
      <c r="AE19" s="181" t="e">
        <f t="shared" si="2"/>
        <v>#DIV/0!</v>
      </c>
      <c r="AF19" s="181" t="e">
        <f t="shared" si="2"/>
        <v>#DIV/0!</v>
      </c>
      <c r="AG19" s="181" t="e">
        <f t="shared" si="2"/>
        <v>#DIV/0!</v>
      </c>
      <c r="AH19" s="181" t="e">
        <f t="shared" si="2"/>
        <v>#DIV/0!</v>
      </c>
      <c r="AI19" s="181" t="e">
        <f t="shared" si="2"/>
        <v>#DIV/0!</v>
      </c>
      <c r="AJ19" s="181" t="e">
        <f t="shared" si="2"/>
        <v>#DIV/0!</v>
      </c>
      <c r="AK19" s="181" t="e">
        <f t="shared" si="2"/>
        <v>#DIV/0!</v>
      </c>
      <c r="AL19" s="181" t="e">
        <f t="shared" si="2"/>
        <v>#DIV/0!</v>
      </c>
      <c r="AM19" s="181" t="e">
        <f t="shared" si="2"/>
        <v>#DIV/0!</v>
      </c>
      <c r="AN19" s="181" t="e">
        <f t="shared" si="2"/>
        <v>#DIV/0!</v>
      </c>
    </row>
    <row r="20" spans="2:40" x14ac:dyDescent="0.15">
      <c r="B20" s="341"/>
      <c r="C20" s="139" t="s">
        <v>912</v>
      </c>
      <c r="D20" s="104">
        <f>SUMIFS('caseload data'!E:E,'caseload data'!$D:$D,"PSO",'caseload data'!$A:$A,"Greater Manchester")</f>
        <v>0</v>
      </c>
      <c r="E20" s="104">
        <f>SUMIFS('caseload data'!F:F,'caseload data'!$D:$D,"PSO",'caseload data'!$A:$A,"Greater Manchester")</f>
        <v>0</v>
      </c>
      <c r="F20" s="104">
        <f>SUMIFS('caseload data'!G:G,'caseload data'!$D:$D,"PSO",'caseload data'!$A:$A,"Greater Manchester")</f>
        <v>0</v>
      </c>
      <c r="G20" s="104">
        <f>SUMIFS('caseload data'!H:H,'caseload data'!$D:$D,"PSO",'caseload data'!$A:$A,"Greater Manchester")</f>
        <v>0</v>
      </c>
      <c r="H20" s="104">
        <f>SUMIFS('caseload data'!I:I,'caseload data'!$D:$D,"PSO",'caseload data'!$A:$A,"Greater Manchester")</f>
        <v>0</v>
      </c>
      <c r="I20" s="104">
        <f>SUMIFS('caseload data'!J:J,'caseload data'!$D:$D,"PSO",'caseload data'!$A:$A,"Greater Manchester")</f>
        <v>0</v>
      </c>
      <c r="J20" s="104">
        <f>SUMIFS('caseload data'!K:K,'caseload data'!$D:$D,"PSO",'caseload data'!$A:$A,"Greater Manchester")</f>
        <v>0</v>
      </c>
      <c r="K20" s="104">
        <f>SUMIFS('caseload data'!L:L,'caseload data'!$D:$D,"PSO",'caseload data'!$A:$A,"Greater Manchester")</f>
        <v>0</v>
      </c>
      <c r="L20" s="104">
        <f>SUMIFS('caseload data'!M:M,'caseload data'!$D:$D,"PSO",'caseload data'!$A:$A,"Greater Manchester")</f>
        <v>0</v>
      </c>
      <c r="M20" s="104">
        <f>SUMIFS('caseload data'!N:N,'caseload data'!$D:$D,"PSO",'caseload data'!$A:$A,"Greater Manchester")</f>
        <v>0</v>
      </c>
      <c r="N20" s="104">
        <f>SUMIFS('caseload data'!O:O,'caseload data'!$D:$D,"PSO",'caseload data'!$A:$A,"Greater Manchester")</f>
        <v>0</v>
      </c>
      <c r="O20" s="104">
        <f>SUMIFS('caseload data'!P:P,'caseload data'!$D:$D,"PSO",'caseload data'!$A:$A,"Greater Manchester")</f>
        <v>0</v>
      </c>
      <c r="P20" s="104">
        <f>SUMIFS('caseload data'!Q:Q,'caseload data'!$D:$D,"PSO",'caseload data'!$A:$A,"Greater Manchester")</f>
        <v>0</v>
      </c>
      <c r="Q20" s="104">
        <f>SUMIFS('caseload data'!R:R,'caseload data'!$D:$D,"PSO",'caseload data'!$A:$A,"Greater Manchester")</f>
        <v>0</v>
      </c>
      <c r="R20" s="104">
        <f>SUMIFS('caseload data'!S:S,'caseload data'!$D:$D,"PSO",'caseload data'!$A:$A,"Greater Manchester")</f>
        <v>0</v>
      </c>
      <c r="S20" s="104">
        <f>SUMIFS('caseload data'!T:T,'caseload data'!$D:$D,"PSO",'caseload data'!$A:$A,"Greater Manchester")</f>
        <v>0</v>
      </c>
      <c r="T20" s="104">
        <f>SUMIFS('caseload data'!V:V,'caseload data'!$D:$D,"PSO",'caseload data'!$A:$A,"Greater Manchester")</f>
        <v>0</v>
      </c>
      <c r="U20" s="73"/>
      <c r="V20" s="73"/>
      <c r="W20" s="341"/>
      <c r="X20" s="139" t="s">
        <v>912</v>
      </c>
      <c r="Y20" s="181" t="e">
        <f>SUM(D20)/SUM(D$19:D$22)</f>
        <v>#DIV/0!</v>
      </c>
      <c r="Z20" s="181" t="e">
        <f t="shared" si="2"/>
        <v>#DIV/0!</v>
      </c>
      <c r="AA20" s="181" t="e">
        <f t="shared" si="2"/>
        <v>#DIV/0!</v>
      </c>
      <c r="AB20" s="181" t="e">
        <f t="shared" si="2"/>
        <v>#DIV/0!</v>
      </c>
      <c r="AC20" s="181" t="e">
        <f t="shared" si="2"/>
        <v>#DIV/0!</v>
      </c>
      <c r="AD20" s="181" t="e">
        <f t="shared" si="2"/>
        <v>#DIV/0!</v>
      </c>
      <c r="AE20" s="181" t="e">
        <f t="shared" si="2"/>
        <v>#DIV/0!</v>
      </c>
      <c r="AF20" s="181" t="e">
        <f t="shared" si="2"/>
        <v>#DIV/0!</v>
      </c>
      <c r="AG20" s="181" t="e">
        <f t="shared" si="2"/>
        <v>#DIV/0!</v>
      </c>
      <c r="AH20" s="181" t="e">
        <f t="shared" si="2"/>
        <v>#DIV/0!</v>
      </c>
      <c r="AI20" s="181" t="e">
        <f t="shared" si="2"/>
        <v>#DIV/0!</v>
      </c>
      <c r="AJ20" s="181" t="e">
        <f t="shared" si="2"/>
        <v>#DIV/0!</v>
      </c>
      <c r="AK20" s="181" t="e">
        <f t="shared" si="2"/>
        <v>#DIV/0!</v>
      </c>
      <c r="AL20" s="181" t="e">
        <f t="shared" si="2"/>
        <v>#DIV/0!</v>
      </c>
      <c r="AM20" s="181" t="e">
        <f t="shared" si="2"/>
        <v>#DIV/0!</v>
      </c>
      <c r="AN20" s="181" t="e">
        <f t="shared" si="2"/>
        <v>#DIV/0!</v>
      </c>
    </row>
    <row r="21" spans="2:40" x14ac:dyDescent="0.15">
      <c r="B21" s="341"/>
      <c r="C21" s="139" t="s">
        <v>913</v>
      </c>
      <c r="D21" s="104">
        <f>SUMIFS('caseload data'!E:E,'caseload data'!$D:$D,"TPO",'caseload data'!$A:$A,"Greater Manchester")</f>
        <v>0</v>
      </c>
      <c r="E21" s="104">
        <f>SUMIFS('caseload data'!F:F,'caseload data'!$D:$D,"TPO",'caseload data'!$A:$A,"Greater Manchester")</f>
        <v>0</v>
      </c>
      <c r="F21" s="104">
        <f>SUMIFS('caseload data'!G:G,'caseload data'!$D:$D,"TPO",'caseload data'!$A:$A,"Greater Manchester")</f>
        <v>0</v>
      </c>
      <c r="G21" s="104">
        <f>SUMIFS('caseload data'!H:H,'caseload data'!$D:$D,"TPO",'caseload data'!$A:$A,"Greater Manchester")</f>
        <v>0</v>
      </c>
      <c r="H21" s="104">
        <f>SUMIFS('caseload data'!I:I,'caseload data'!$D:$D,"TPO",'caseload data'!$A:$A,"Greater Manchester")</f>
        <v>0</v>
      </c>
      <c r="I21" s="104">
        <f>SUMIFS('caseload data'!J:J,'caseload data'!$D:$D,"TPO",'caseload data'!$A:$A,"Greater Manchester")</f>
        <v>0</v>
      </c>
      <c r="J21" s="104">
        <f>SUMIFS('caseload data'!K:K,'caseload data'!$D:$D,"TPO",'caseload data'!$A:$A,"Greater Manchester")</f>
        <v>0</v>
      </c>
      <c r="K21" s="104">
        <f>SUMIFS('caseload data'!L:L,'caseload data'!$D:$D,"TPO",'caseload data'!$A:$A,"Greater Manchester")</f>
        <v>0</v>
      </c>
      <c r="L21" s="104">
        <f>SUMIFS('caseload data'!M:M,'caseload data'!$D:$D,"TPO",'caseload data'!$A:$A,"Greater Manchester")</f>
        <v>0</v>
      </c>
      <c r="M21" s="104">
        <f>SUMIFS('caseload data'!N:N,'caseload data'!$D:$D,"TPO",'caseload data'!$A:$A,"Greater Manchester")</f>
        <v>0</v>
      </c>
      <c r="N21" s="104">
        <f>SUMIFS('caseload data'!O:O,'caseload data'!$D:$D,"TPO",'caseload data'!$A:$A,"Greater Manchester")</f>
        <v>0</v>
      </c>
      <c r="O21" s="104">
        <f>SUMIFS('caseload data'!P:P,'caseload data'!$D:$D,"TPO",'caseload data'!$A:$A,"Greater Manchester")</f>
        <v>0</v>
      </c>
      <c r="P21" s="104">
        <f>SUMIFS('caseload data'!Q:Q,'caseload data'!$D:$D,"TPO",'caseload data'!$A:$A,"Greater Manchester")</f>
        <v>0</v>
      </c>
      <c r="Q21" s="104">
        <f>SUMIFS('caseload data'!R:R,'caseload data'!$D:$D,"TPO",'caseload data'!$A:$A,"Greater Manchester")</f>
        <v>0</v>
      </c>
      <c r="R21" s="104">
        <f>SUMIFS('caseload data'!S:S,'caseload data'!$D:$D,"TPO",'caseload data'!$A:$A,"Greater Manchester")</f>
        <v>0</v>
      </c>
      <c r="S21" s="104">
        <f>SUMIFS('caseload data'!T:T,'caseload data'!$D:$D,"TPO",'caseload data'!$A:$A,"Greater Manchester")</f>
        <v>0</v>
      </c>
      <c r="T21" s="104">
        <f>SUMIFS('caseload data'!V:V,'caseload data'!$D:$D,"TPO",'caseload data'!$A:$A,"Greater Manchester")</f>
        <v>0</v>
      </c>
      <c r="U21" s="73"/>
      <c r="V21" s="73"/>
      <c r="W21" s="341"/>
      <c r="X21" s="139" t="s">
        <v>913</v>
      </c>
      <c r="Y21" s="181" t="e">
        <f>SUM(D21)/SUM(D$19:D$22)</f>
        <v>#DIV/0!</v>
      </c>
      <c r="Z21" s="181" t="e">
        <f t="shared" si="2"/>
        <v>#DIV/0!</v>
      </c>
      <c r="AA21" s="181" t="e">
        <f t="shared" si="2"/>
        <v>#DIV/0!</v>
      </c>
      <c r="AB21" s="181" t="e">
        <f t="shared" si="2"/>
        <v>#DIV/0!</v>
      </c>
      <c r="AC21" s="181" t="e">
        <f t="shared" si="2"/>
        <v>#DIV/0!</v>
      </c>
      <c r="AD21" s="181" t="e">
        <f t="shared" si="2"/>
        <v>#DIV/0!</v>
      </c>
      <c r="AE21" s="181" t="e">
        <f t="shared" si="2"/>
        <v>#DIV/0!</v>
      </c>
      <c r="AF21" s="181" t="e">
        <f t="shared" si="2"/>
        <v>#DIV/0!</v>
      </c>
      <c r="AG21" s="181" t="e">
        <f t="shared" si="2"/>
        <v>#DIV/0!</v>
      </c>
      <c r="AH21" s="181" t="e">
        <f t="shared" si="2"/>
        <v>#DIV/0!</v>
      </c>
      <c r="AI21" s="181" t="e">
        <f t="shared" si="2"/>
        <v>#DIV/0!</v>
      </c>
      <c r="AJ21" s="181" t="e">
        <f t="shared" si="2"/>
        <v>#DIV/0!</v>
      </c>
      <c r="AK21" s="181" t="e">
        <f t="shared" si="2"/>
        <v>#DIV/0!</v>
      </c>
      <c r="AL21" s="181" t="e">
        <f t="shared" si="2"/>
        <v>#DIV/0!</v>
      </c>
      <c r="AM21" s="181" t="e">
        <f t="shared" si="2"/>
        <v>#DIV/0!</v>
      </c>
      <c r="AN21" s="181" t="e">
        <f t="shared" si="2"/>
        <v>#DIV/0!</v>
      </c>
    </row>
    <row r="22" spans="2:40" x14ac:dyDescent="0.15">
      <c r="B22" s="342"/>
      <c r="C22" s="140" t="s">
        <v>914</v>
      </c>
      <c r="D22" s="104">
        <f>SUMIFS('caseload data'!E:E,'caseload data'!$D:$D,"SPO",'caseload data'!$A:$A,"Greater Manchester")</f>
        <v>0</v>
      </c>
      <c r="E22" s="104">
        <f>SUMIFS('caseload data'!F:F,'caseload data'!$D:$D,"SPO",'caseload data'!$A:$A,"Greater Manchester")</f>
        <v>0</v>
      </c>
      <c r="F22" s="104">
        <f>SUMIFS('caseload data'!G:G,'caseload data'!$D:$D,"SPO",'caseload data'!$A:$A,"Greater Manchester")</f>
        <v>0</v>
      </c>
      <c r="G22" s="104">
        <f>SUMIFS('caseload data'!H:H,'caseload data'!$D:$D,"SPO",'caseload data'!$A:$A,"Greater Manchester")</f>
        <v>0</v>
      </c>
      <c r="H22" s="104">
        <f>SUMIFS('caseload data'!I:I,'caseload data'!$D:$D,"SPO",'caseload data'!$A:$A,"Greater Manchester")</f>
        <v>0</v>
      </c>
      <c r="I22" s="104">
        <f>SUMIFS('caseload data'!J:J,'caseload data'!$D:$D,"SPO",'caseload data'!$A:$A,"Greater Manchester")</f>
        <v>0</v>
      </c>
      <c r="J22" s="104">
        <f>SUMIFS('caseload data'!K:K,'caseload data'!$D:$D,"SPO",'caseload data'!$A:$A,"Greater Manchester")</f>
        <v>0</v>
      </c>
      <c r="K22" s="104">
        <f>SUMIFS('caseload data'!L:L,'caseload data'!$D:$D,"SPO",'caseload data'!$A:$A,"Greater Manchester")</f>
        <v>0</v>
      </c>
      <c r="L22" s="104">
        <f>SUMIFS('caseload data'!M:M,'caseload data'!$D:$D,"SPO",'caseload data'!$A:$A,"Greater Manchester")</f>
        <v>0</v>
      </c>
      <c r="M22" s="104">
        <f>SUMIFS('caseload data'!N:N,'caseload data'!$D:$D,"SPO",'caseload data'!$A:$A,"Greater Manchester")</f>
        <v>0</v>
      </c>
      <c r="N22" s="104">
        <f>SUMIFS('caseload data'!O:O,'caseload data'!$D:$D,"SPO",'caseload data'!$A:$A,"Greater Manchester")</f>
        <v>0</v>
      </c>
      <c r="O22" s="104">
        <f>SUMIFS('caseload data'!P:P,'caseload data'!$D:$D,"SPO",'caseload data'!$A:$A,"Greater Manchester")</f>
        <v>0</v>
      </c>
      <c r="P22" s="104">
        <f>SUMIFS('caseload data'!Q:Q,'caseload data'!$D:$D,"SPO",'caseload data'!$A:$A,"Greater Manchester")</f>
        <v>0</v>
      </c>
      <c r="Q22" s="104">
        <f>SUMIFS('caseload data'!R:R,'caseload data'!$D:$D,"SPO",'caseload data'!$A:$A,"Greater Manchester")</f>
        <v>0</v>
      </c>
      <c r="R22" s="104">
        <f>SUMIFS('caseload data'!S:S,'caseload data'!$D:$D,"SPO",'caseload data'!$A:$A,"Greater Manchester")</f>
        <v>0</v>
      </c>
      <c r="S22" s="104">
        <f>SUMIFS('caseload data'!T:T,'caseload data'!$D:$D,"SPO",'caseload data'!$A:$A,"Greater Manchester")</f>
        <v>0</v>
      </c>
      <c r="T22" s="104">
        <f>SUMIFS('caseload data'!V:V,'caseload data'!$D:$D,"SPO",'caseload data'!$A:$A,"Greater Manchester")</f>
        <v>0</v>
      </c>
      <c r="U22" s="73"/>
      <c r="V22" s="73"/>
      <c r="W22" s="342"/>
      <c r="X22" s="140" t="s">
        <v>914</v>
      </c>
      <c r="Y22" s="181" t="e">
        <f>SUM(D22)/SUM(D$19:D$22)</f>
        <v>#DIV/0!</v>
      </c>
      <c r="Z22" s="181" t="e">
        <f t="shared" si="2"/>
        <v>#DIV/0!</v>
      </c>
      <c r="AA22" s="181" t="e">
        <f t="shared" si="2"/>
        <v>#DIV/0!</v>
      </c>
      <c r="AB22" s="181" t="e">
        <f t="shared" si="2"/>
        <v>#DIV/0!</v>
      </c>
      <c r="AC22" s="181" t="e">
        <f t="shared" si="2"/>
        <v>#DIV/0!</v>
      </c>
      <c r="AD22" s="181" t="e">
        <f t="shared" si="2"/>
        <v>#DIV/0!</v>
      </c>
      <c r="AE22" s="181" t="e">
        <f t="shared" si="2"/>
        <v>#DIV/0!</v>
      </c>
      <c r="AF22" s="181" t="e">
        <f t="shared" si="2"/>
        <v>#DIV/0!</v>
      </c>
      <c r="AG22" s="181" t="e">
        <f t="shared" si="2"/>
        <v>#DIV/0!</v>
      </c>
      <c r="AH22" s="181" t="e">
        <f t="shared" si="2"/>
        <v>#DIV/0!</v>
      </c>
      <c r="AI22" s="181" t="e">
        <f t="shared" si="2"/>
        <v>#DIV/0!</v>
      </c>
      <c r="AJ22" s="181" t="e">
        <f t="shared" si="2"/>
        <v>#DIV/0!</v>
      </c>
      <c r="AK22" s="181" t="e">
        <f t="shared" si="2"/>
        <v>#DIV/0!</v>
      </c>
      <c r="AL22" s="181" t="e">
        <f t="shared" si="2"/>
        <v>#DIV/0!</v>
      </c>
      <c r="AM22" s="181" t="e">
        <f t="shared" si="2"/>
        <v>#DIV/0!</v>
      </c>
      <c r="AN22" s="181" t="e">
        <f t="shared" si="2"/>
        <v>#DIV/0!</v>
      </c>
    </row>
    <row r="23" spans="2:40" x14ac:dyDescent="0.15">
      <c r="B23" s="340" t="s">
        <v>23</v>
      </c>
      <c r="C23" s="138" t="s">
        <v>911</v>
      </c>
      <c r="D23" s="104">
        <f>SUMIFS('caseload data'!E:E,'caseload data'!$D:$D,"PO",'caseload data'!$A:$A,'national caseload'!$B$23:$B$25)</f>
        <v>0</v>
      </c>
      <c r="E23" s="104">
        <f>SUMIFS('caseload data'!F:F,'caseload data'!$D:$D,"PO",'caseload data'!$A:$A,'national caseload'!$B$23:$B$25)</f>
        <v>0</v>
      </c>
      <c r="F23" s="104">
        <f>SUMIFS('caseload data'!G:G,'caseload data'!$D:$D,"PO",'caseload data'!$A:$A,'national caseload'!$B$23:$B$25)</f>
        <v>0</v>
      </c>
      <c r="G23" s="104">
        <f>SUMIFS('caseload data'!H:H,'caseload data'!$D:$D,"PO",'caseload data'!$A:$A,'national caseload'!$B$23:$B$25)</f>
        <v>0</v>
      </c>
      <c r="H23" s="104">
        <f>SUMIFS('caseload data'!I:I,'caseload data'!$D:$D,"PO",'caseload data'!$A:$A,'national caseload'!$B$23:$B$25)</f>
        <v>0</v>
      </c>
      <c r="I23" s="104">
        <f>SUMIFS('caseload data'!J:J,'caseload data'!$D:$D,"PO",'caseload data'!$A:$A,'national caseload'!$B$23:$B$25)</f>
        <v>0</v>
      </c>
      <c r="J23" s="104">
        <f>SUMIFS('caseload data'!K:K,'caseload data'!$D:$D,"PO",'caseload data'!$A:$A,'national caseload'!$B$23:$B$25)</f>
        <v>0</v>
      </c>
      <c r="K23" s="104">
        <f>SUMIFS('caseload data'!L:L,'caseload data'!$D:$D,"PO",'caseload data'!$A:$A,'national caseload'!$B$23:$B$25)</f>
        <v>0</v>
      </c>
      <c r="L23" s="104">
        <f>SUMIFS('caseload data'!M:M,'caseload data'!$D:$D,"PO",'caseload data'!$A:$A,'national caseload'!$B$23:$B$25)</f>
        <v>0</v>
      </c>
      <c r="M23" s="104">
        <f>SUMIFS('caseload data'!N:N,'caseload data'!$D:$D,"PO",'caseload data'!$A:$A,'national caseload'!$B$23:$B$25)</f>
        <v>0</v>
      </c>
      <c r="N23" s="104">
        <f>SUMIFS('caseload data'!O:O,'caseload data'!$D:$D,"PO",'caseload data'!$A:$A,'national caseload'!$B$23:$B$25)</f>
        <v>0</v>
      </c>
      <c r="O23" s="104">
        <f>SUMIFS('caseload data'!P:P,'caseload data'!$D:$D,"PO",'caseload data'!$A:$A,'national caseload'!$B$23:$B$25)</f>
        <v>0</v>
      </c>
      <c r="P23" s="104">
        <f>SUMIFS('caseload data'!Q:Q,'caseload data'!$D:$D,"PO",'caseload data'!$A:$A,'national caseload'!$B$23:$B$25)</f>
        <v>0</v>
      </c>
      <c r="Q23" s="104">
        <f>SUMIFS('caseload data'!R:R,'caseload data'!$D:$D,"PO",'caseload data'!$A:$A,'national caseload'!$B$23:$B$25)</f>
        <v>0</v>
      </c>
      <c r="R23" s="104">
        <f>SUMIFS('caseload data'!S:S,'caseload data'!$D:$D,"PO",'caseload data'!$A:$A,'national caseload'!$B$23:$B$25)</f>
        <v>0</v>
      </c>
      <c r="S23" s="104">
        <f>SUMIFS('caseload data'!T:T,'caseload data'!$D:$D,"PO",'caseload data'!$A:$A,'national caseload'!$B$23:$B$25)</f>
        <v>0</v>
      </c>
      <c r="T23" s="104">
        <f>SUMIFS('caseload data'!V:V,'caseload data'!$D:$D,"PO",'caseload data'!$A:$A,'national caseload'!B23:B25)</f>
        <v>0</v>
      </c>
      <c r="U23" s="73"/>
      <c r="V23" s="73"/>
      <c r="W23" s="340" t="s">
        <v>23</v>
      </c>
      <c r="X23" s="138" t="s">
        <v>911</v>
      </c>
      <c r="Y23" s="181" t="e">
        <f>SUM(D23)/SUM(D$23:D$26)</f>
        <v>#DIV/0!</v>
      </c>
      <c r="Z23" s="181" t="e">
        <f t="shared" ref="Z23:AN26" si="3">SUM(E23)/SUM(E$23:E$26)</f>
        <v>#DIV/0!</v>
      </c>
      <c r="AA23" s="181" t="e">
        <f t="shared" si="3"/>
        <v>#DIV/0!</v>
      </c>
      <c r="AB23" s="181" t="e">
        <f t="shared" si="3"/>
        <v>#DIV/0!</v>
      </c>
      <c r="AC23" s="181" t="e">
        <f t="shared" si="3"/>
        <v>#DIV/0!</v>
      </c>
      <c r="AD23" s="181" t="e">
        <f t="shared" si="3"/>
        <v>#DIV/0!</v>
      </c>
      <c r="AE23" s="181" t="e">
        <f t="shared" si="3"/>
        <v>#DIV/0!</v>
      </c>
      <c r="AF23" s="181" t="e">
        <f t="shared" si="3"/>
        <v>#DIV/0!</v>
      </c>
      <c r="AG23" s="181" t="e">
        <f t="shared" si="3"/>
        <v>#DIV/0!</v>
      </c>
      <c r="AH23" s="181" t="e">
        <f t="shared" si="3"/>
        <v>#DIV/0!</v>
      </c>
      <c r="AI23" s="181" t="e">
        <f t="shared" si="3"/>
        <v>#DIV/0!</v>
      </c>
      <c r="AJ23" s="181" t="e">
        <f t="shared" si="3"/>
        <v>#DIV/0!</v>
      </c>
      <c r="AK23" s="181" t="e">
        <f t="shared" si="3"/>
        <v>#DIV/0!</v>
      </c>
      <c r="AL23" s="181" t="e">
        <f t="shared" si="3"/>
        <v>#DIV/0!</v>
      </c>
      <c r="AM23" s="181" t="e">
        <f t="shared" si="3"/>
        <v>#DIV/0!</v>
      </c>
      <c r="AN23" s="181" t="e">
        <f t="shared" si="3"/>
        <v>#DIV/0!</v>
      </c>
    </row>
    <row r="24" spans="2:40" x14ac:dyDescent="0.15">
      <c r="B24" s="341"/>
      <c r="C24" s="139" t="s">
        <v>912</v>
      </c>
      <c r="D24" s="104">
        <f>SUMIFS('caseload data'!E:E,'caseload data'!$D:$D,"PSO",'caseload data'!$A:$A,"Kent Surrey Sussex Region")</f>
        <v>0</v>
      </c>
      <c r="E24" s="104">
        <f>SUMIFS('caseload data'!F:F,'caseload data'!$D:$D,"PSO",'caseload data'!$A:$A,"Kent Surrey Sussex Region")</f>
        <v>0</v>
      </c>
      <c r="F24" s="104">
        <f>SUMIFS('caseload data'!G:G,'caseload data'!$D:$D,"PSO",'caseload data'!$A:$A,"Kent Surrey Sussex Region")</f>
        <v>0</v>
      </c>
      <c r="G24" s="104">
        <f>SUMIFS('caseload data'!H:H,'caseload data'!$D:$D,"PSO",'caseload data'!$A:$A,"Kent Surrey Sussex Region")</f>
        <v>0</v>
      </c>
      <c r="H24" s="104">
        <f>SUMIFS('caseload data'!I:I,'caseload data'!$D:$D,"PSO",'caseload data'!$A:$A,"Kent Surrey Sussex Region")</f>
        <v>0</v>
      </c>
      <c r="I24" s="104">
        <f>SUMIFS('caseload data'!J:J,'caseload data'!$D:$D,"PSO",'caseload data'!$A:$A,"Kent Surrey Sussex Region")</f>
        <v>0</v>
      </c>
      <c r="J24" s="104">
        <f>SUMIFS('caseload data'!K:K,'caseload data'!$D:$D,"PSO",'caseload data'!$A:$A,"Kent Surrey Sussex Region")</f>
        <v>0</v>
      </c>
      <c r="K24" s="104">
        <f>SUMIFS('caseload data'!L:L,'caseload data'!$D:$D,"PSO",'caseload data'!$A:$A,"Kent Surrey Sussex Region")</f>
        <v>0</v>
      </c>
      <c r="L24" s="104">
        <f>SUMIFS('caseload data'!M:M,'caseload data'!$D:$D,"PSO",'caseload data'!$A:$A,"Kent Surrey Sussex Region")</f>
        <v>0</v>
      </c>
      <c r="M24" s="104">
        <f>SUMIFS('caseload data'!N:N,'caseload data'!$D:$D,"PSO",'caseload data'!$A:$A,"Kent Surrey Sussex Region")</f>
        <v>0</v>
      </c>
      <c r="N24" s="104">
        <f>SUMIFS('caseload data'!O:O,'caseload data'!$D:$D,"PSO",'caseload data'!$A:$A,"Kent Surrey Sussex Region")</f>
        <v>0</v>
      </c>
      <c r="O24" s="104">
        <f>SUMIFS('caseload data'!P:P,'caseload data'!$D:$D,"PSO",'caseload data'!$A:$A,"Kent Surrey Sussex Region")</f>
        <v>0</v>
      </c>
      <c r="P24" s="104">
        <f>SUMIFS('caseload data'!Q:Q,'caseload data'!$D:$D,"PSO",'caseload data'!$A:$A,"Kent Surrey Sussex Region")</f>
        <v>0</v>
      </c>
      <c r="Q24" s="104">
        <f>SUMIFS('caseload data'!R:R,'caseload data'!$D:$D,"PSO",'caseload data'!$A:$A,"Kent Surrey Sussex Region")</f>
        <v>0</v>
      </c>
      <c r="R24" s="104">
        <f>SUMIFS('caseload data'!S:S,'caseload data'!$D:$D,"PSO",'caseload data'!$A:$A,"Kent Surrey Sussex Region")</f>
        <v>0</v>
      </c>
      <c r="S24" s="104">
        <f>SUMIFS('caseload data'!T:T,'caseload data'!$D:$D,"PSO",'caseload data'!$A:$A,"Kent Surrey Sussex Region")</f>
        <v>0</v>
      </c>
      <c r="T24" s="104">
        <f>SUMIFS('caseload data'!V:V,'caseload data'!$D:$D,"PSO",'caseload data'!$A:$A,"Kent Surrey Sussex Region")</f>
        <v>0</v>
      </c>
      <c r="U24" s="73"/>
      <c r="V24" s="73"/>
      <c r="W24" s="341"/>
      <c r="X24" s="139" t="s">
        <v>912</v>
      </c>
      <c r="Y24" s="181" t="e">
        <f>SUM(D24)/SUM(D$23:D$26)</f>
        <v>#DIV/0!</v>
      </c>
      <c r="Z24" s="181" t="e">
        <f t="shared" si="3"/>
        <v>#DIV/0!</v>
      </c>
      <c r="AA24" s="181" t="e">
        <f t="shared" si="3"/>
        <v>#DIV/0!</v>
      </c>
      <c r="AB24" s="181" t="e">
        <f t="shared" si="3"/>
        <v>#DIV/0!</v>
      </c>
      <c r="AC24" s="181" t="e">
        <f t="shared" si="3"/>
        <v>#DIV/0!</v>
      </c>
      <c r="AD24" s="181" t="e">
        <f t="shared" si="3"/>
        <v>#DIV/0!</v>
      </c>
      <c r="AE24" s="181" t="e">
        <f t="shared" si="3"/>
        <v>#DIV/0!</v>
      </c>
      <c r="AF24" s="181" t="e">
        <f t="shared" si="3"/>
        <v>#DIV/0!</v>
      </c>
      <c r="AG24" s="181" t="e">
        <f t="shared" si="3"/>
        <v>#DIV/0!</v>
      </c>
      <c r="AH24" s="181" t="e">
        <f t="shared" si="3"/>
        <v>#DIV/0!</v>
      </c>
      <c r="AI24" s="181" t="e">
        <f t="shared" si="3"/>
        <v>#DIV/0!</v>
      </c>
      <c r="AJ24" s="181" t="e">
        <f t="shared" si="3"/>
        <v>#DIV/0!</v>
      </c>
      <c r="AK24" s="181" t="e">
        <f t="shared" si="3"/>
        <v>#DIV/0!</v>
      </c>
      <c r="AL24" s="181" t="e">
        <f t="shared" si="3"/>
        <v>#DIV/0!</v>
      </c>
      <c r="AM24" s="181" t="e">
        <f t="shared" si="3"/>
        <v>#DIV/0!</v>
      </c>
      <c r="AN24" s="181" t="e">
        <f t="shared" si="3"/>
        <v>#DIV/0!</v>
      </c>
    </row>
    <row r="25" spans="2:40" x14ac:dyDescent="0.15">
      <c r="B25" s="341"/>
      <c r="C25" s="139" t="s">
        <v>913</v>
      </c>
      <c r="D25" s="104">
        <f>SUMIFS('caseload data'!E:E,'caseload data'!$D:$D,"TPO",'caseload data'!$A:$A,"Kent Surrey Sussex Region")</f>
        <v>0</v>
      </c>
      <c r="E25" s="104">
        <f>SUMIFS('caseload data'!F:F,'caseload data'!$D:$D,"TPO",'caseload data'!$A:$A,"Kent Surrey Sussex Region")</f>
        <v>0</v>
      </c>
      <c r="F25" s="104">
        <f>SUMIFS('caseload data'!G:G,'caseload data'!$D:$D,"TPO",'caseload data'!$A:$A,"Kent Surrey Sussex Region")</f>
        <v>0</v>
      </c>
      <c r="G25" s="104">
        <f>SUMIFS('caseload data'!H:H,'caseload data'!$D:$D,"TPO",'caseload data'!$A:$A,"Kent Surrey Sussex Region")</f>
        <v>0</v>
      </c>
      <c r="H25" s="104">
        <f>SUMIFS('caseload data'!I:I,'caseload data'!$D:$D,"TPO",'caseload data'!$A:$A,"Kent Surrey Sussex Region")</f>
        <v>0</v>
      </c>
      <c r="I25" s="104">
        <f>SUMIFS('caseload data'!J:J,'caseload data'!$D:$D,"TPO",'caseload data'!$A:$A,"Kent Surrey Sussex Region")</f>
        <v>0</v>
      </c>
      <c r="J25" s="104">
        <f>SUMIFS('caseload data'!K:K,'caseload data'!$D:$D,"TPO",'caseload data'!$A:$A,"Kent Surrey Sussex Region")</f>
        <v>0</v>
      </c>
      <c r="K25" s="104">
        <f>SUMIFS('caseload data'!L:L,'caseload data'!$D:$D,"TPO",'caseload data'!$A:$A,"Kent Surrey Sussex Region")</f>
        <v>0</v>
      </c>
      <c r="L25" s="104">
        <f>SUMIFS('caseload data'!M:M,'caseload data'!$D:$D,"TPO",'caseload data'!$A:$A,"Kent Surrey Sussex Region")</f>
        <v>0</v>
      </c>
      <c r="M25" s="104">
        <f>SUMIFS('caseload data'!N:N,'caseload data'!$D:$D,"TPO",'caseload data'!$A:$A,"Kent Surrey Sussex Region")</f>
        <v>0</v>
      </c>
      <c r="N25" s="104">
        <f>SUMIFS('caseload data'!O:O,'caseload data'!$D:$D,"TPO",'caseload data'!$A:$A,"Kent Surrey Sussex Region")</f>
        <v>0</v>
      </c>
      <c r="O25" s="104">
        <f>SUMIFS('caseload data'!P:P,'caseload data'!$D:$D,"TPO",'caseload data'!$A:$A,"Kent Surrey Sussex Region")</f>
        <v>0</v>
      </c>
      <c r="P25" s="104">
        <f>SUMIFS('caseload data'!Q:Q,'caseload data'!$D:$D,"TPO",'caseload data'!$A:$A,"Kent Surrey Sussex Region")</f>
        <v>0</v>
      </c>
      <c r="Q25" s="104">
        <f>SUMIFS('caseload data'!R:R,'caseload data'!$D:$D,"TPO",'caseload data'!$A:$A,"Kent Surrey Sussex Region")</f>
        <v>0</v>
      </c>
      <c r="R25" s="104">
        <f>SUMIFS('caseload data'!S:S,'caseload data'!$D:$D,"TPO",'caseload data'!$A:$A,"Kent Surrey Sussex Region")</f>
        <v>0</v>
      </c>
      <c r="S25" s="104">
        <f>SUMIFS('caseload data'!T:T,'caseload data'!$D:$D,"TPO",'caseload data'!$A:$A,"Kent Surrey Sussex Region")</f>
        <v>0</v>
      </c>
      <c r="T25" s="104">
        <f>SUMIFS('caseload data'!V:V,'caseload data'!$D:$D,"TPO",'caseload data'!$A:$A,"Kent Surrey Sussex Region")</f>
        <v>0</v>
      </c>
      <c r="U25" s="73"/>
      <c r="V25" s="73"/>
      <c r="W25" s="341"/>
      <c r="X25" s="139" t="s">
        <v>913</v>
      </c>
      <c r="Y25" s="181" t="e">
        <f>SUM(D25)/SUM(D$23:D$26)</f>
        <v>#DIV/0!</v>
      </c>
      <c r="Z25" s="181" t="e">
        <f t="shared" si="3"/>
        <v>#DIV/0!</v>
      </c>
      <c r="AA25" s="181" t="e">
        <f t="shared" si="3"/>
        <v>#DIV/0!</v>
      </c>
      <c r="AB25" s="181" t="e">
        <f t="shared" si="3"/>
        <v>#DIV/0!</v>
      </c>
      <c r="AC25" s="181" t="e">
        <f t="shared" si="3"/>
        <v>#DIV/0!</v>
      </c>
      <c r="AD25" s="181" t="e">
        <f t="shared" si="3"/>
        <v>#DIV/0!</v>
      </c>
      <c r="AE25" s="181" t="e">
        <f t="shared" si="3"/>
        <v>#DIV/0!</v>
      </c>
      <c r="AF25" s="181" t="e">
        <f t="shared" si="3"/>
        <v>#DIV/0!</v>
      </c>
      <c r="AG25" s="181" t="e">
        <f t="shared" si="3"/>
        <v>#DIV/0!</v>
      </c>
      <c r="AH25" s="181" t="e">
        <f t="shared" si="3"/>
        <v>#DIV/0!</v>
      </c>
      <c r="AI25" s="181" t="e">
        <f t="shared" si="3"/>
        <v>#DIV/0!</v>
      </c>
      <c r="AJ25" s="181" t="e">
        <f t="shared" si="3"/>
        <v>#DIV/0!</v>
      </c>
      <c r="AK25" s="181" t="e">
        <f t="shared" si="3"/>
        <v>#DIV/0!</v>
      </c>
      <c r="AL25" s="181" t="e">
        <f t="shared" si="3"/>
        <v>#DIV/0!</v>
      </c>
      <c r="AM25" s="181" t="e">
        <f t="shared" si="3"/>
        <v>#DIV/0!</v>
      </c>
      <c r="AN25" s="181" t="e">
        <f t="shared" si="3"/>
        <v>#DIV/0!</v>
      </c>
    </row>
    <row r="26" spans="2:40" x14ac:dyDescent="0.15">
      <c r="B26" s="342"/>
      <c r="C26" s="140" t="s">
        <v>914</v>
      </c>
      <c r="D26" s="104">
        <f>SUMIFS('caseload data'!E:E,'caseload data'!$D:$D,"SPO",'caseload data'!$A:$A,"Kent Surrey Sussex Region")</f>
        <v>0</v>
      </c>
      <c r="E26" s="104">
        <f>SUMIFS('caseload data'!F:F,'caseload data'!$D:$D,"SPO",'caseload data'!$A:$A,"Kent Surrey Sussex Region")</f>
        <v>0</v>
      </c>
      <c r="F26" s="104">
        <f>SUMIFS('caseload data'!G:G,'caseload data'!$D:$D,"SPO",'caseload data'!$A:$A,"Kent Surrey Sussex Region")</f>
        <v>0</v>
      </c>
      <c r="G26" s="104">
        <f>SUMIFS('caseload data'!H:H,'caseload data'!$D:$D,"SPO",'caseload data'!$A:$A,"Kent Surrey Sussex Region")</f>
        <v>0</v>
      </c>
      <c r="H26" s="104">
        <f>SUMIFS('caseload data'!I:I,'caseload data'!$D:$D,"SPO",'caseload data'!$A:$A,"Kent Surrey Sussex Region")</f>
        <v>0</v>
      </c>
      <c r="I26" s="104">
        <f>SUMIFS('caseload data'!J:J,'caseload data'!$D:$D,"SPO",'caseload data'!$A:$A,"Kent Surrey Sussex Region")</f>
        <v>0</v>
      </c>
      <c r="J26" s="104">
        <f>SUMIFS('caseload data'!K:K,'caseload data'!$D:$D,"SPO",'caseload data'!$A:$A,"Kent Surrey Sussex Region")</f>
        <v>0</v>
      </c>
      <c r="K26" s="104">
        <f>SUMIFS('caseload data'!L:L,'caseload data'!$D:$D,"SPO",'caseload data'!$A:$A,"Kent Surrey Sussex Region")</f>
        <v>0</v>
      </c>
      <c r="L26" s="104">
        <f>SUMIFS('caseload data'!M:M,'caseload data'!$D:$D,"SPO",'caseload data'!$A:$A,"Kent Surrey Sussex Region")</f>
        <v>0</v>
      </c>
      <c r="M26" s="104">
        <f>SUMIFS('caseload data'!N:N,'caseload data'!$D:$D,"SPO",'caseload data'!$A:$A,"Kent Surrey Sussex Region")</f>
        <v>0</v>
      </c>
      <c r="N26" s="104">
        <f>SUMIFS('caseload data'!O:O,'caseload data'!$D:$D,"SPO",'caseload data'!$A:$A,"Kent Surrey Sussex Region")</f>
        <v>0</v>
      </c>
      <c r="O26" s="104">
        <f>SUMIFS('caseload data'!P:P,'caseload data'!$D:$D,"SPO",'caseload data'!$A:$A,"Kent Surrey Sussex Region")</f>
        <v>0</v>
      </c>
      <c r="P26" s="104">
        <f>SUMIFS('caseload data'!Q:Q,'caseload data'!$D:$D,"SPO",'caseload data'!$A:$A,"Kent Surrey Sussex Region")</f>
        <v>0</v>
      </c>
      <c r="Q26" s="104">
        <f>SUMIFS('caseload data'!R:R,'caseload data'!$D:$D,"SPO",'caseload data'!$A:$A,"Kent Surrey Sussex Region")</f>
        <v>0</v>
      </c>
      <c r="R26" s="104">
        <f>SUMIFS('caseload data'!S:S,'caseload data'!$D:$D,"SPO",'caseload data'!$A:$A,"Kent Surrey Sussex Region")</f>
        <v>0</v>
      </c>
      <c r="S26" s="104">
        <f>SUMIFS('caseload data'!T:T,'caseload data'!$D:$D,"SPO",'caseload data'!$A:$A,"Kent Surrey Sussex Region")</f>
        <v>0</v>
      </c>
      <c r="T26" s="104">
        <f>SUMIFS('caseload data'!V:V,'caseload data'!$D:$D,"SPO",'caseload data'!$A:$A,"Kent Surrey Sussex Region")</f>
        <v>0</v>
      </c>
      <c r="U26" s="73"/>
      <c r="V26" s="73"/>
      <c r="W26" s="342"/>
      <c r="X26" s="140" t="s">
        <v>914</v>
      </c>
      <c r="Y26" s="181" t="e">
        <f>SUM(D26)/SUM(D$23:D$26)</f>
        <v>#DIV/0!</v>
      </c>
      <c r="Z26" s="181" t="e">
        <f t="shared" si="3"/>
        <v>#DIV/0!</v>
      </c>
      <c r="AA26" s="181" t="e">
        <f t="shared" si="3"/>
        <v>#DIV/0!</v>
      </c>
      <c r="AB26" s="181" t="e">
        <f t="shared" si="3"/>
        <v>#DIV/0!</v>
      </c>
      <c r="AC26" s="181" t="e">
        <f t="shared" si="3"/>
        <v>#DIV/0!</v>
      </c>
      <c r="AD26" s="181" t="e">
        <f t="shared" si="3"/>
        <v>#DIV/0!</v>
      </c>
      <c r="AE26" s="181" t="e">
        <f t="shared" si="3"/>
        <v>#DIV/0!</v>
      </c>
      <c r="AF26" s="181" t="e">
        <f t="shared" si="3"/>
        <v>#DIV/0!</v>
      </c>
      <c r="AG26" s="181" t="e">
        <f t="shared" si="3"/>
        <v>#DIV/0!</v>
      </c>
      <c r="AH26" s="181" t="e">
        <f t="shared" si="3"/>
        <v>#DIV/0!</v>
      </c>
      <c r="AI26" s="181" t="e">
        <f t="shared" si="3"/>
        <v>#DIV/0!</v>
      </c>
      <c r="AJ26" s="181" t="e">
        <f t="shared" si="3"/>
        <v>#DIV/0!</v>
      </c>
      <c r="AK26" s="181" t="e">
        <f t="shared" si="3"/>
        <v>#DIV/0!</v>
      </c>
      <c r="AL26" s="181" t="e">
        <f t="shared" si="3"/>
        <v>#DIV/0!</v>
      </c>
      <c r="AM26" s="181" t="e">
        <f t="shared" si="3"/>
        <v>#DIV/0!</v>
      </c>
      <c r="AN26" s="181" t="e">
        <f t="shared" si="3"/>
        <v>#DIV/0!</v>
      </c>
    </row>
    <row r="27" spans="2:40" x14ac:dyDescent="0.15">
      <c r="B27" s="340" t="s">
        <v>24</v>
      </c>
      <c r="C27" s="138" t="s">
        <v>911</v>
      </c>
      <c r="D27" s="104">
        <f>SUMIFS('caseload data'!E:E,'caseload data'!$D:$D,"PO",'caseload data'!$A:$A,'national caseload'!$B$27:$B$29)</f>
        <v>0</v>
      </c>
      <c r="E27" s="104">
        <f>SUMIFS('caseload data'!F:F,'caseload data'!$D:$D,"PO",'caseload data'!$A:$A,'national caseload'!$B$27:$B$29)</f>
        <v>0</v>
      </c>
      <c r="F27" s="104">
        <f>SUMIFS('caseload data'!G:G,'caseload data'!$D:$D,"PO",'caseload data'!$A:$A,'national caseload'!$B$27:$B$29)</f>
        <v>0</v>
      </c>
      <c r="G27" s="104">
        <f>SUMIFS('caseload data'!H:H,'caseload data'!$D:$D,"PO",'caseload data'!$A:$A,'national caseload'!$B$27:$B$29)</f>
        <v>0</v>
      </c>
      <c r="H27" s="104">
        <f>SUMIFS('caseload data'!I:I,'caseload data'!$D:$D,"PO",'caseload data'!$A:$A,'national caseload'!$B$27:$B$29)</f>
        <v>0</v>
      </c>
      <c r="I27" s="104">
        <f>SUMIFS('caseload data'!J:J,'caseload data'!$D:$D,"PO",'caseload data'!$A:$A,'national caseload'!$B$27:$B$29)</f>
        <v>0</v>
      </c>
      <c r="J27" s="104">
        <f>SUMIFS('caseload data'!K:K,'caseload data'!$D:$D,"PO",'caseload data'!$A:$A,'national caseload'!$B$27:$B$29)</f>
        <v>0</v>
      </c>
      <c r="K27" s="104">
        <f>SUMIFS('caseload data'!L:L,'caseload data'!$D:$D,"PO",'caseload data'!$A:$A,'national caseload'!$B$27:$B$29)</f>
        <v>0</v>
      </c>
      <c r="L27" s="104">
        <f>SUMIFS('caseload data'!M:M,'caseload data'!$D:$D,"PO",'caseload data'!$A:$A,'national caseload'!$B$27:$B$29)</f>
        <v>0</v>
      </c>
      <c r="M27" s="104">
        <f>SUMIFS('caseload data'!N:N,'caseload data'!$D:$D,"PO",'caseload data'!$A:$A,'national caseload'!$B$27:$B$29)</f>
        <v>0</v>
      </c>
      <c r="N27" s="104">
        <f>SUMIFS('caseload data'!O:O,'caseload data'!$D:$D,"PO",'caseload data'!$A:$A,'national caseload'!$B$27:$B$29)</f>
        <v>0</v>
      </c>
      <c r="O27" s="104">
        <f>SUMIFS('caseload data'!P:P,'caseload data'!$D:$D,"PO",'caseload data'!$A:$A,'national caseload'!$B$27:$B$29)</f>
        <v>0</v>
      </c>
      <c r="P27" s="104">
        <f>SUMIFS('caseload data'!Q:Q,'caseload data'!$D:$D,"PO",'caseload data'!$A:$A,'national caseload'!$B$27:$B$29)</f>
        <v>0</v>
      </c>
      <c r="Q27" s="104">
        <f>SUMIFS('caseload data'!R:R,'caseload data'!$D:$D,"PO",'caseload data'!$A:$A,'national caseload'!$B$27:$B$29)</f>
        <v>0</v>
      </c>
      <c r="R27" s="104">
        <f>SUMIFS('caseload data'!S:S,'caseload data'!$D:$D,"PO",'caseload data'!$A:$A,'national caseload'!$B$27:$B$29)</f>
        <v>0</v>
      </c>
      <c r="S27" s="104">
        <f>SUMIFS('caseload data'!T:T,'caseload data'!$D:$D,"PO",'caseload data'!$A:$A,'national caseload'!$B$27:$B$29)</f>
        <v>0</v>
      </c>
      <c r="T27" s="104">
        <f>SUMIFS('caseload data'!V:V,'caseload data'!$D:$D,"PO",'caseload data'!$A:$A,'national caseload'!B27:B29)</f>
        <v>0</v>
      </c>
      <c r="U27" s="73"/>
      <c r="V27" s="73"/>
      <c r="W27" s="340" t="s">
        <v>24</v>
      </c>
      <c r="X27" s="138" t="s">
        <v>911</v>
      </c>
      <c r="Y27" s="181" t="e">
        <f>SUM(D27)/SUM(D$27:D$30)</f>
        <v>#DIV/0!</v>
      </c>
      <c r="Z27" s="181" t="e">
        <f t="shared" ref="Z27:AN30" si="4">SUM(E27)/SUM(E$27:E$30)</f>
        <v>#DIV/0!</v>
      </c>
      <c r="AA27" s="181" t="e">
        <f t="shared" si="4"/>
        <v>#DIV/0!</v>
      </c>
      <c r="AB27" s="181" t="e">
        <f t="shared" si="4"/>
        <v>#DIV/0!</v>
      </c>
      <c r="AC27" s="181" t="e">
        <f t="shared" si="4"/>
        <v>#DIV/0!</v>
      </c>
      <c r="AD27" s="181" t="e">
        <f t="shared" si="4"/>
        <v>#DIV/0!</v>
      </c>
      <c r="AE27" s="181" t="e">
        <f t="shared" si="4"/>
        <v>#DIV/0!</v>
      </c>
      <c r="AF27" s="181" t="e">
        <f t="shared" si="4"/>
        <v>#DIV/0!</v>
      </c>
      <c r="AG27" s="181" t="e">
        <f t="shared" si="4"/>
        <v>#DIV/0!</v>
      </c>
      <c r="AH27" s="181" t="e">
        <f t="shared" si="4"/>
        <v>#DIV/0!</v>
      </c>
      <c r="AI27" s="181" t="e">
        <f t="shared" si="4"/>
        <v>#DIV/0!</v>
      </c>
      <c r="AJ27" s="181" t="e">
        <f t="shared" si="4"/>
        <v>#DIV/0!</v>
      </c>
      <c r="AK27" s="181" t="e">
        <f t="shared" si="4"/>
        <v>#DIV/0!</v>
      </c>
      <c r="AL27" s="181" t="e">
        <f t="shared" si="4"/>
        <v>#DIV/0!</v>
      </c>
      <c r="AM27" s="181" t="e">
        <f t="shared" si="4"/>
        <v>#DIV/0!</v>
      </c>
      <c r="AN27" s="181" t="e">
        <f t="shared" si="4"/>
        <v>#DIV/0!</v>
      </c>
    </row>
    <row r="28" spans="2:40" x14ac:dyDescent="0.15">
      <c r="B28" s="341"/>
      <c r="C28" s="139" t="s">
        <v>912</v>
      </c>
      <c r="D28" s="104">
        <f>SUMIFS('caseload data'!E:E,'caseload data'!$D:$D,"PSO",'caseload data'!$A:$A,"London")</f>
        <v>0</v>
      </c>
      <c r="E28" s="104">
        <f>SUMIFS('caseload data'!F:F,'caseload data'!$D:$D,"PSO",'caseload data'!$A:$A,"London")</f>
        <v>0</v>
      </c>
      <c r="F28" s="104">
        <f>SUMIFS('caseload data'!G:G,'caseload data'!$D:$D,"PSO",'caseload data'!$A:$A,"London")</f>
        <v>0</v>
      </c>
      <c r="G28" s="104">
        <f>SUMIFS('caseload data'!H:H,'caseload data'!$D:$D,"PSO",'caseload data'!$A:$A,"London")</f>
        <v>0</v>
      </c>
      <c r="H28" s="104">
        <f>SUMIFS('caseload data'!I:I,'caseload data'!$D:$D,"PSO",'caseload data'!$A:$A,"London")</f>
        <v>0</v>
      </c>
      <c r="I28" s="104">
        <f>SUMIFS('caseload data'!J:J,'caseload data'!$D:$D,"PSO",'caseload data'!$A:$A,"London")</f>
        <v>0</v>
      </c>
      <c r="J28" s="104">
        <f>SUMIFS('caseload data'!K:K,'caseload data'!$D:$D,"PSO",'caseload data'!$A:$A,"London")</f>
        <v>0</v>
      </c>
      <c r="K28" s="104">
        <f>SUMIFS('caseload data'!L:L,'caseload data'!$D:$D,"PSO",'caseload data'!$A:$A,"London")</f>
        <v>0</v>
      </c>
      <c r="L28" s="104">
        <f>SUMIFS('caseload data'!M:M,'caseload data'!$D:$D,"PSO",'caseload data'!$A:$A,"London")</f>
        <v>0</v>
      </c>
      <c r="M28" s="104">
        <f>SUMIFS('caseload data'!N:N,'caseload data'!$D:$D,"PSO",'caseload data'!$A:$A,"London")</f>
        <v>0</v>
      </c>
      <c r="N28" s="104">
        <f>SUMIFS('caseload data'!O:O,'caseload data'!$D:$D,"PSO",'caseload data'!$A:$A,"London")</f>
        <v>0</v>
      </c>
      <c r="O28" s="104">
        <f>SUMIFS('caseload data'!P:P,'caseload data'!$D:$D,"PSO",'caseload data'!$A:$A,"London")</f>
        <v>0</v>
      </c>
      <c r="P28" s="104">
        <f>SUMIFS('caseload data'!Q:Q,'caseload data'!$D:$D,"PSO",'caseload data'!$A:$A,"London")</f>
        <v>0</v>
      </c>
      <c r="Q28" s="104">
        <f>SUMIFS('caseload data'!R:R,'caseload data'!$D:$D,"PSO",'caseload data'!$A:$A,"London")</f>
        <v>0</v>
      </c>
      <c r="R28" s="104">
        <f>SUMIFS('caseload data'!S:S,'caseload data'!$D:$D,"PSO",'caseload data'!$A:$A,"London")</f>
        <v>0</v>
      </c>
      <c r="S28" s="104">
        <f>SUMIFS('caseload data'!T:T,'caseload data'!$D:$D,"PSO",'caseload data'!$A:$A,"London")</f>
        <v>0</v>
      </c>
      <c r="T28" s="104">
        <f>SUMIFS('caseload data'!V:V,'caseload data'!$D:$D,"PSO",'caseload data'!$A:$A,"London")</f>
        <v>0</v>
      </c>
      <c r="U28" s="73"/>
      <c r="V28" s="73"/>
      <c r="W28" s="341"/>
      <c r="X28" s="139" t="s">
        <v>912</v>
      </c>
      <c r="Y28" s="181" t="e">
        <f>SUM(D28)/SUM(D$27:D$30)</f>
        <v>#DIV/0!</v>
      </c>
      <c r="Z28" s="181" t="e">
        <f t="shared" si="4"/>
        <v>#DIV/0!</v>
      </c>
      <c r="AA28" s="181" t="e">
        <f t="shared" si="4"/>
        <v>#DIV/0!</v>
      </c>
      <c r="AB28" s="181" t="e">
        <f t="shared" si="4"/>
        <v>#DIV/0!</v>
      </c>
      <c r="AC28" s="181" t="e">
        <f t="shared" si="4"/>
        <v>#DIV/0!</v>
      </c>
      <c r="AD28" s="181" t="e">
        <f t="shared" si="4"/>
        <v>#DIV/0!</v>
      </c>
      <c r="AE28" s="181" t="e">
        <f t="shared" si="4"/>
        <v>#DIV/0!</v>
      </c>
      <c r="AF28" s="181" t="e">
        <f t="shared" si="4"/>
        <v>#DIV/0!</v>
      </c>
      <c r="AG28" s="181" t="e">
        <f t="shared" si="4"/>
        <v>#DIV/0!</v>
      </c>
      <c r="AH28" s="181" t="e">
        <f t="shared" si="4"/>
        <v>#DIV/0!</v>
      </c>
      <c r="AI28" s="181" t="e">
        <f t="shared" si="4"/>
        <v>#DIV/0!</v>
      </c>
      <c r="AJ28" s="181" t="e">
        <f t="shared" si="4"/>
        <v>#DIV/0!</v>
      </c>
      <c r="AK28" s="181" t="e">
        <f t="shared" si="4"/>
        <v>#DIV/0!</v>
      </c>
      <c r="AL28" s="181" t="e">
        <f t="shared" si="4"/>
        <v>#DIV/0!</v>
      </c>
      <c r="AM28" s="181" t="e">
        <f t="shared" si="4"/>
        <v>#DIV/0!</v>
      </c>
      <c r="AN28" s="181" t="e">
        <f t="shared" si="4"/>
        <v>#DIV/0!</v>
      </c>
    </row>
    <row r="29" spans="2:40" x14ac:dyDescent="0.15">
      <c r="B29" s="341"/>
      <c r="C29" s="139" t="s">
        <v>913</v>
      </c>
      <c r="D29" s="104">
        <f>SUMIFS('caseload data'!E:E,'caseload data'!$D:$D,"TPO",'caseload data'!$A:$A,"London")</f>
        <v>0</v>
      </c>
      <c r="E29" s="104">
        <f>SUMIFS('caseload data'!F:F,'caseload data'!$D:$D,"TPO",'caseload data'!$A:$A,"London")</f>
        <v>0</v>
      </c>
      <c r="F29" s="104">
        <f>SUMIFS('caseload data'!G:G,'caseload data'!$D:$D,"TPO",'caseload data'!$A:$A,"London")</f>
        <v>0</v>
      </c>
      <c r="G29" s="104">
        <f>SUMIFS('caseload data'!H:H,'caseload data'!$D:$D,"TPO",'caseload data'!$A:$A,"London")</f>
        <v>0</v>
      </c>
      <c r="H29" s="104">
        <f>SUMIFS('caseload data'!I:I,'caseload data'!$D:$D,"TPO",'caseload data'!$A:$A,"London")</f>
        <v>0</v>
      </c>
      <c r="I29" s="104">
        <f>SUMIFS('caseload data'!J:J,'caseload data'!$D:$D,"TPO",'caseload data'!$A:$A,"London")</f>
        <v>0</v>
      </c>
      <c r="J29" s="104">
        <f>SUMIFS('caseload data'!K:K,'caseload data'!$D:$D,"TPO",'caseload data'!$A:$A,"London")</f>
        <v>0</v>
      </c>
      <c r="K29" s="104">
        <f>SUMIFS('caseload data'!L:L,'caseload data'!$D:$D,"TPO",'caseload data'!$A:$A,"London")</f>
        <v>0</v>
      </c>
      <c r="L29" s="104">
        <f>SUMIFS('caseload data'!M:M,'caseload data'!$D:$D,"TPO",'caseload data'!$A:$A,"London")</f>
        <v>0</v>
      </c>
      <c r="M29" s="104">
        <f>SUMIFS('caseload data'!N:N,'caseload data'!$D:$D,"TPO",'caseload data'!$A:$A,"London")</f>
        <v>0</v>
      </c>
      <c r="N29" s="104">
        <f>SUMIFS('caseload data'!O:O,'caseload data'!$D:$D,"TPO",'caseload data'!$A:$A,"London")</f>
        <v>0</v>
      </c>
      <c r="O29" s="104">
        <f>SUMIFS('caseload data'!P:P,'caseload data'!$D:$D,"TPO",'caseload data'!$A:$A,"London")</f>
        <v>0</v>
      </c>
      <c r="P29" s="104">
        <f>SUMIFS('caseload data'!Q:Q,'caseload data'!$D:$D,"TPO",'caseload data'!$A:$A,"London")</f>
        <v>0</v>
      </c>
      <c r="Q29" s="104">
        <f>SUMIFS('caseload data'!R:R,'caseload data'!$D:$D,"TPO",'caseload data'!$A:$A,"London")</f>
        <v>0</v>
      </c>
      <c r="R29" s="104">
        <f>SUMIFS('caseload data'!S:S,'caseload data'!$D:$D,"TPO",'caseload data'!$A:$A,"London")</f>
        <v>0</v>
      </c>
      <c r="S29" s="104">
        <f>SUMIFS('caseload data'!T:T,'caseload data'!$D:$D,"TPO",'caseload data'!$A:$A,"London")</f>
        <v>0</v>
      </c>
      <c r="T29" s="104">
        <f>SUMIFS('caseload data'!V:V,'caseload data'!$D:$D,"TPO",'caseload data'!$A:$A,"London")</f>
        <v>0</v>
      </c>
      <c r="U29" s="73"/>
      <c r="V29" s="73"/>
      <c r="W29" s="341"/>
      <c r="X29" s="139" t="s">
        <v>913</v>
      </c>
      <c r="Y29" s="181" t="e">
        <f>SUM(D29)/SUM(D$27:D$30)</f>
        <v>#DIV/0!</v>
      </c>
      <c r="Z29" s="181" t="e">
        <f t="shared" si="4"/>
        <v>#DIV/0!</v>
      </c>
      <c r="AA29" s="181" t="e">
        <f t="shared" si="4"/>
        <v>#DIV/0!</v>
      </c>
      <c r="AB29" s="181" t="e">
        <f t="shared" si="4"/>
        <v>#DIV/0!</v>
      </c>
      <c r="AC29" s="181" t="e">
        <f t="shared" si="4"/>
        <v>#DIV/0!</v>
      </c>
      <c r="AD29" s="181" t="e">
        <f t="shared" si="4"/>
        <v>#DIV/0!</v>
      </c>
      <c r="AE29" s="181" t="e">
        <f t="shared" si="4"/>
        <v>#DIV/0!</v>
      </c>
      <c r="AF29" s="181" t="e">
        <f t="shared" si="4"/>
        <v>#DIV/0!</v>
      </c>
      <c r="AG29" s="181" t="e">
        <f t="shared" si="4"/>
        <v>#DIV/0!</v>
      </c>
      <c r="AH29" s="181" t="e">
        <f t="shared" si="4"/>
        <v>#DIV/0!</v>
      </c>
      <c r="AI29" s="181" t="e">
        <f t="shared" si="4"/>
        <v>#DIV/0!</v>
      </c>
      <c r="AJ29" s="181" t="e">
        <f t="shared" si="4"/>
        <v>#DIV/0!</v>
      </c>
      <c r="AK29" s="181" t="e">
        <f t="shared" si="4"/>
        <v>#DIV/0!</v>
      </c>
      <c r="AL29" s="181" t="e">
        <f t="shared" si="4"/>
        <v>#DIV/0!</v>
      </c>
      <c r="AM29" s="181" t="e">
        <f t="shared" si="4"/>
        <v>#DIV/0!</v>
      </c>
      <c r="AN29" s="181" t="e">
        <f t="shared" si="4"/>
        <v>#DIV/0!</v>
      </c>
    </row>
    <row r="30" spans="2:40" x14ac:dyDescent="0.15">
      <c r="B30" s="342"/>
      <c r="C30" s="140" t="s">
        <v>914</v>
      </c>
      <c r="D30" s="104">
        <f>SUMIFS('caseload data'!E:E,'caseload data'!$D:$D,"SPO",'caseload data'!$A:$A,"London")</f>
        <v>0</v>
      </c>
      <c r="E30" s="104">
        <f>SUMIFS('caseload data'!F:F,'caseload data'!$D:$D,"SPO",'caseload data'!$A:$A,"London")</f>
        <v>0</v>
      </c>
      <c r="F30" s="104">
        <f>SUMIFS('caseload data'!G:G,'caseload data'!$D:$D,"SPO",'caseload data'!$A:$A,"London")</f>
        <v>0</v>
      </c>
      <c r="G30" s="104">
        <f>SUMIFS('caseload data'!H:H,'caseload data'!$D:$D,"SPO",'caseload data'!$A:$A,"London")</f>
        <v>0</v>
      </c>
      <c r="H30" s="104">
        <f>SUMIFS('caseload data'!I:I,'caseload data'!$D:$D,"SPO",'caseload data'!$A:$A,"London")</f>
        <v>0</v>
      </c>
      <c r="I30" s="104">
        <f>SUMIFS('caseload data'!J:J,'caseload data'!$D:$D,"SPO",'caseload data'!$A:$A,"London")</f>
        <v>0</v>
      </c>
      <c r="J30" s="104">
        <f>SUMIFS('caseload data'!K:K,'caseload data'!$D:$D,"SPO",'caseload data'!$A:$A,"London")</f>
        <v>0</v>
      </c>
      <c r="K30" s="104">
        <f>SUMIFS('caseload data'!L:L,'caseload data'!$D:$D,"SPO",'caseload data'!$A:$A,"London")</f>
        <v>0</v>
      </c>
      <c r="L30" s="104">
        <f>SUMIFS('caseload data'!M:M,'caseload data'!$D:$D,"SPO",'caseload data'!$A:$A,"London")</f>
        <v>0</v>
      </c>
      <c r="M30" s="104">
        <f>SUMIFS('caseload data'!N:N,'caseload data'!$D:$D,"SPO",'caseload data'!$A:$A,"London")</f>
        <v>0</v>
      </c>
      <c r="N30" s="104">
        <f>SUMIFS('caseload data'!O:O,'caseload data'!$D:$D,"SPO",'caseload data'!$A:$A,"London")</f>
        <v>0</v>
      </c>
      <c r="O30" s="104">
        <f>SUMIFS('caseload data'!P:P,'caseload data'!$D:$D,"SPO",'caseload data'!$A:$A,"London")</f>
        <v>0</v>
      </c>
      <c r="P30" s="104">
        <f>SUMIFS('caseload data'!Q:Q,'caseload data'!$D:$D,"SPO",'caseload data'!$A:$A,"London")</f>
        <v>0</v>
      </c>
      <c r="Q30" s="104">
        <f>SUMIFS('caseload data'!R:R,'caseload data'!$D:$D,"SPO",'caseload data'!$A:$A,"London")</f>
        <v>0</v>
      </c>
      <c r="R30" s="104">
        <f>SUMIFS('caseload data'!S:S,'caseload data'!$D:$D,"SPO",'caseload data'!$A:$A,"London")</f>
        <v>0</v>
      </c>
      <c r="S30" s="104">
        <f>SUMIFS('caseload data'!T:T,'caseload data'!$D:$D,"SPO",'caseload data'!$A:$A,"London")</f>
        <v>0</v>
      </c>
      <c r="T30" s="104">
        <f>SUMIFS('caseload data'!V:V,'caseload data'!$D:$D,"SPO",'caseload data'!$A:$A,"London")</f>
        <v>0</v>
      </c>
      <c r="U30" s="73"/>
      <c r="V30" s="73"/>
      <c r="W30" s="342"/>
      <c r="X30" s="140" t="s">
        <v>914</v>
      </c>
      <c r="Y30" s="181" t="e">
        <f>SUM(D30)/SUM(D$27:D$30)</f>
        <v>#DIV/0!</v>
      </c>
      <c r="Z30" s="181" t="e">
        <f t="shared" si="4"/>
        <v>#DIV/0!</v>
      </c>
      <c r="AA30" s="181" t="e">
        <f t="shared" si="4"/>
        <v>#DIV/0!</v>
      </c>
      <c r="AB30" s="181" t="e">
        <f t="shared" si="4"/>
        <v>#DIV/0!</v>
      </c>
      <c r="AC30" s="181" t="e">
        <f t="shared" si="4"/>
        <v>#DIV/0!</v>
      </c>
      <c r="AD30" s="181" t="e">
        <f t="shared" si="4"/>
        <v>#DIV/0!</v>
      </c>
      <c r="AE30" s="181" t="e">
        <f t="shared" si="4"/>
        <v>#DIV/0!</v>
      </c>
      <c r="AF30" s="181" t="e">
        <f t="shared" si="4"/>
        <v>#DIV/0!</v>
      </c>
      <c r="AG30" s="181" t="e">
        <f t="shared" si="4"/>
        <v>#DIV/0!</v>
      </c>
      <c r="AH30" s="181" t="e">
        <f t="shared" si="4"/>
        <v>#DIV/0!</v>
      </c>
      <c r="AI30" s="181" t="e">
        <f t="shared" si="4"/>
        <v>#DIV/0!</v>
      </c>
      <c r="AJ30" s="181" t="e">
        <f t="shared" si="4"/>
        <v>#DIV/0!</v>
      </c>
      <c r="AK30" s="181" t="e">
        <f t="shared" si="4"/>
        <v>#DIV/0!</v>
      </c>
      <c r="AL30" s="181" t="e">
        <f t="shared" si="4"/>
        <v>#DIV/0!</v>
      </c>
      <c r="AM30" s="181" t="e">
        <f t="shared" si="4"/>
        <v>#DIV/0!</v>
      </c>
      <c r="AN30" s="181" t="e">
        <f t="shared" si="4"/>
        <v>#DIV/0!</v>
      </c>
    </row>
    <row r="31" spans="2:40" x14ac:dyDescent="0.15">
      <c r="B31" s="337" t="s">
        <v>25</v>
      </c>
      <c r="C31" s="138" t="s">
        <v>911</v>
      </c>
      <c r="D31" s="104">
        <f>SUMIFS('caseload data'!E:E,'caseload data'!$D:$D,"PO",'caseload data'!$A:$A,$B$31)</f>
        <v>0</v>
      </c>
      <c r="E31" s="104">
        <f>SUMIFS('caseload data'!F:F,'caseload data'!$D:$D,"PO",'caseload data'!$A:$A,$B$31)</f>
        <v>0</v>
      </c>
      <c r="F31" s="104">
        <f>SUMIFS('caseload data'!G:G,'caseload data'!$D:$D,"PO",'caseload data'!$A:$A,$B$31)</f>
        <v>0</v>
      </c>
      <c r="G31" s="104">
        <f>SUMIFS('caseload data'!H:H,'caseload data'!$D:$D,"PO",'caseload data'!$A:$A,$B$31)</f>
        <v>0</v>
      </c>
      <c r="H31" s="104">
        <f>SUMIFS('caseload data'!I:I,'caseload data'!$D:$D,"PO",'caseload data'!$A:$A,$B$31)</f>
        <v>0</v>
      </c>
      <c r="I31" s="104">
        <f>SUMIFS('caseload data'!J:J,'caseload data'!$D:$D,"PO",'caseload data'!$A:$A,$B$31)</f>
        <v>0</v>
      </c>
      <c r="J31" s="104">
        <f>SUMIFS('caseload data'!K:K,'caseload data'!$D:$D,"PO",'caseload data'!$A:$A,$B$31)</f>
        <v>0</v>
      </c>
      <c r="K31" s="104">
        <f>SUMIFS('caseload data'!L:L,'caseload data'!$D:$D,"PO",'caseload data'!$A:$A,$B$31)</f>
        <v>0</v>
      </c>
      <c r="L31" s="104">
        <f>SUMIFS('caseload data'!M:M,'caseload data'!$D:$D,"PO",'caseload data'!$A:$A,$B$31)</f>
        <v>0</v>
      </c>
      <c r="M31" s="104">
        <f>SUMIFS('caseload data'!N:N,'caseload data'!$D:$D,"PO",'caseload data'!$A:$A,$B$31)</f>
        <v>0</v>
      </c>
      <c r="N31" s="104">
        <f>SUMIFS('caseload data'!O:O,'caseload data'!$D:$D,"PO",'caseload data'!$A:$A,$B$31)</f>
        <v>0</v>
      </c>
      <c r="O31" s="104">
        <f>SUMIFS('caseload data'!P:P,'caseload data'!$D:$D,"PO",'caseload data'!$A:$A,$B$31)</f>
        <v>0</v>
      </c>
      <c r="P31" s="104">
        <f>SUMIFS('caseload data'!Q:Q,'caseload data'!$D:$D,"PO",'caseload data'!$A:$A,$B$31)</f>
        <v>0</v>
      </c>
      <c r="Q31" s="104">
        <f>SUMIFS('caseload data'!R:R,'caseload data'!$D:$D,"PO",'caseload data'!$A:$A,$B$31)</f>
        <v>0</v>
      </c>
      <c r="R31" s="104">
        <f>SUMIFS('caseload data'!S:S,'caseload data'!$D:$D,"PO",'caseload data'!$A:$A,$B$31)</f>
        <v>0</v>
      </c>
      <c r="S31" s="104">
        <f>SUMIFS('caseload data'!T:T,'caseload data'!$D:$D,"PO",'caseload data'!$A:$A,$B$31)</f>
        <v>0</v>
      </c>
      <c r="T31" s="104">
        <f>SUMIFS('caseload data'!V:V,'caseload data'!$D:$D,"PO",'caseload data'!$A:$A,B31)</f>
        <v>0</v>
      </c>
      <c r="U31" s="73"/>
      <c r="V31" s="73"/>
      <c r="W31" s="337" t="s">
        <v>25</v>
      </c>
      <c r="X31" s="138" t="s">
        <v>911</v>
      </c>
      <c r="Y31" s="181" t="e">
        <f>SUM(D31)/SUM(D$31:D$34)</f>
        <v>#DIV/0!</v>
      </c>
      <c r="Z31" s="181" t="e">
        <f t="shared" ref="Z31:AN34" si="5">SUM(E31)/SUM(E$31:E$34)</f>
        <v>#DIV/0!</v>
      </c>
      <c r="AA31" s="181" t="e">
        <f t="shared" si="5"/>
        <v>#DIV/0!</v>
      </c>
      <c r="AB31" s="181" t="e">
        <f t="shared" si="5"/>
        <v>#DIV/0!</v>
      </c>
      <c r="AC31" s="181" t="e">
        <f t="shared" si="5"/>
        <v>#DIV/0!</v>
      </c>
      <c r="AD31" s="181" t="e">
        <f t="shared" si="5"/>
        <v>#DIV/0!</v>
      </c>
      <c r="AE31" s="181" t="e">
        <f t="shared" si="5"/>
        <v>#DIV/0!</v>
      </c>
      <c r="AF31" s="181" t="e">
        <f t="shared" si="5"/>
        <v>#DIV/0!</v>
      </c>
      <c r="AG31" s="181" t="e">
        <f t="shared" si="5"/>
        <v>#DIV/0!</v>
      </c>
      <c r="AH31" s="181" t="e">
        <f t="shared" si="5"/>
        <v>#DIV/0!</v>
      </c>
      <c r="AI31" s="181" t="e">
        <f t="shared" si="5"/>
        <v>#DIV/0!</v>
      </c>
      <c r="AJ31" s="181" t="e">
        <f t="shared" si="5"/>
        <v>#DIV/0!</v>
      </c>
      <c r="AK31" s="181" t="e">
        <f t="shared" si="5"/>
        <v>#DIV/0!</v>
      </c>
      <c r="AL31" s="181" t="e">
        <f t="shared" si="5"/>
        <v>#DIV/0!</v>
      </c>
      <c r="AM31" s="181" t="e">
        <f t="shared" si="5"/>
        <v>#DIV/0!</v>
      </c>
      <c r="AN31" s="181" t="e">
        <f t="shared" si="5"/>
        <v>#DIV/0!</v>
      </c>
    </row>
    <row r="32" spans="2:40" x14ac:dyDescent="0.15">
      <c r="B32" s="338"/>
      <c r="C32" s="139" t="s">
        <v>912</v>
      </c>
      <c r="D32" s="104">
        <f>SUMIFS('caseload data'!E:E,'caseload data'!$D:$D,"PSO",'caseload data'!$A:$A,"North East Region")</f>
        <v>0</v>
      </c>
      <c r="E32" s="104">
        <f>SUMIFS('caseload data'!F:F,'caseload data'!$D:$D,"PSO",'caseload data'!$A:$A,"North East Region")</f>
        <v>0</v>
      </c>
      <c r="F32" s="104">
        <f>SUMIFS('caseload data'!G:G,'caseload data'!$D:$D,"PSO",'caseload data'!$A:$A,"North East Region")</f>
        <v>0</v>
      </c>
      <c r="G32" s="104">
        <f>SUMIFS('caseload data'!H:H,'caseload data'!$D:$D,"PSO",'caseload data'!$A:$A,"North East Region")</f>
        <v>0</v>
      </c>
      <c r="H32" s="104">
        <f>SUMIFS('caseload data'!I:I,'caseload data'!$D:$D,"PSO",'caseload data'!$A:$A,"North East Region")</f>
        <v>0</v>
      </c>
      <c r="I32" s="104">
        <f>SUMIFS('caseload data'!J:J,'caseload data'!$D:$D,"PSO",'caseload data'!$A:$A,"North East Region")</f>
        <v>0</v>
      </c>
      <c r="J32" s="104">
        <f>SUMIFS('caseload data'!K:K,'caseload data'!$D:$D,"PSO",'caseload data'!$A:$A,"North East Region")</f>
        <v>0</v>
      </c>
      <c r="K32" s="104">
        <f>SUMIFS('caseload data'!L:L,'caseload data'!$D:$D,"PSO",'caseload data'!$A:$A,"North East Region")</f>
        <v>0</v>
      </c>
      <c r="L32" s="104">
        <f>SUMIFS('caseload data'!M:M,'caseload data'!$D:$D,"PSO",'caseload data'!$A:$A,"North East Region")</f>
        <v>0</v>
      </c>
      <c r="M32" s="104">
        <f>SUMIFS('caseload data'!N:N,'caseload data'!$D:$D,"PSO",'caseload data'!$A:$A,"North East Region")</f>
        <v>0</v>
      </c>
      <c r="N32" s="104">
        <f>SUMIFS('caseload data'!O:O,'caseload data'!$D:$D,"PSO",'caseload data'!$A:$A,"North East Region")</f>
        <v>0</v>
      </c>
      <c r="O32" s="104">
        <f>SUMIFS('caseload data'!P:P,'caseload data'!$D:$D,"PSO",'caseload data'!$A:$A,"North East Region")</f>
        <v>0</v>
      </c>
      <c r="P32" s="104">
        <f>SUMIFS('caseload data'!Q:Q,'caseload data'!$D:$D,"PSO",'caseload data'!$A:$A,"North East Region")</f>
        <v>0</v>
      </c>
      <c r="Q32" s="104">
        <f>SUMIFS('caseload data'!R:R,'caseload data'!$D:$D,"PSO",'caseload data'!$A:$A,"North East Region")</f>
        <v>0</v>
      </c>
      <c r="R32" s="104">
        <f>SUMIFS('caseload data'!S:S,'caseload data'!$D:$D,"PSO",'caseload data'!$A:$A,"North East Region")</f>
        <v>0</v>
      </c>
      <c r="S32" s="104">
        <f>SUMIFS('caseload data'!T:T,'caseload data'!$D:$D,"PSO",'caseload data'!$A:$A,"North East Region")</f>
        <v>0</v>
      </c>
      <c r="T32" s="104">
        <f>SUMIFS('caseload data'!V:V,'caseload data'!$D:$D,"PSO",'caseload data'!$A:$A,"North East Region")</f>
        <v>0</v>
      </c>
      <c r="U32" s="73"/>
      <c r="V32" s="73"/>
      <c r="W32" s="338"/>
      <c r="X32" s="139" t="s">
        <v>912</v>
      </c>
      <c r="Y32" s="181" t="e">
        <f>SUM(D32)/SUM(D$31:D$34)</f>
        <v>#DIV/0!</v>
      </c>
      <c r="Z32" s="181" t="e">
        <f t="shared" si="5"/>
        <v>#DIV/0!</v>
      </c>
      <c r="AA32" s="181" t="e">
        <f t="shared" si="5"/>
        <v>#DIV/0!</v>
      </c>
      <c r="AB32" s="181" t="e">
        <f t="shared" si="5"/>
        <v>#DIV/0!</v>
      </c>
      <c r="AC32" s="181" t="e">
        <f t="shared" si="5"/>
        <v>#DIV/0!</v>
      </c>
      <c r="AD32" s="181" t="e">
        <f t="shared" si="5"/>
        <v>#DIV/0!</v>
      </c>
      <c r="AE32" s="181" t="e">
        <f t="shared" si="5"/>
        <v>#DIV/0!</v>
      </c>
      <c r="AF32" s="181" t="e">
        <f t="shared" si="5"/>
        <v>#DIV/0!</v>
      </c>
      <c r="AG32" s="181" t="e">
        <f t="shared" si="5"/>
        <v>#DIV/0!</v>
      </c>
      <c r="AH32" s="181" t="e">
        <f t="shared" si="5"/>
        <v>#DIV/0!</v>
      </c>
      <c r="AI32" s="181" t="e">
        <f t="shared" si="5"/>
        <v>#DIV/0!</v>
      </c>
      <c r="AJ32" s="181" t="e">
        <f t="shared" si="5"/>
        <v>#DIV/0!</v>
      </c>
      <c r="AK32" s="181" t="e">
        <f t="shared" si="5"/>
        <v>#DIV/0!</v>
      </c>
      <c r="AL32" s="181" t="e">
        <f t="shared" si="5"/>
        <v>#DIV/0!</v>
      </c>
      <c r="AM32" s="181" t="e">
        <f t="shared" si="5"/>
        <v>#DIV/0!</v>
      </c>
      <c r="AN32" s="181" t="e">
        <f t="shared" si="5"/>
        <v>#DIV/0!</v>
      </c>
    </row>
    <row r="33" spans="2:40" x14ac:dyDescent="0.15">
      <c r="B33" s="338"/>
      <c r="C33" s="139" t="s">
        <v>913</v>
      </c>
      <c r="D33" s="104">
        <f>SUMIFS('caseload data'!E:E,'caseload data'!$D:$D,"TPO",'caseload data'!$A:$A,"North East Region")</f>
        <v>0</v>
      </c>
      <c r="E33" s="104">
        <f>SUMIFS('caseload data'!F:F,'caseload data'!$D:$D,"TPO",'caseload data'!$A:$A,"North East Region")</f>
        <v>0</v>
      </c>
      <c r="F33" s="104">
        <f>SUMIFS('caseload data'!G:G,'caseload data'!$D:$D,"TPO",'caseload data'!$A:$A,"North East Region")</f>
        <v>0</v>
      </c>
      <c r="G33" s="104">
        <f>SUMIFS('caseload data'!H:H,'caseload data'!$D:$D,"TPO",'caseload data'!$A:$A,"North East Region")</f>
        <v>0</v>
      </c>
      <c r="H33" s="104">
        <f>SUMIFS('caseload data'!I:I,'caseload data'!$D:$D,"TPO",'caseload data'!$A:$A,"North East Region")</f>
        <v>0</v>
      </c>
      <c r="I33" s="104">
        <f>SUMIFS('caseload data'!J:J,'caseload data'!$D:$D,"TPO",'caseload data'!$A:$A,"North East Region")</f>
        <v>0</v>
      </c>
      <c r="J33" s="104">
        <f>SUMIFS('caseload data'!K:K,'caseload data'!$D:$D,"TPO",'caseload data'!$A:$A,"North East Region")</f>
        <v>0</v>
      </c>
      <c r="K33" s="104">
        <f>SUMIFS('caseload data'!L:L,'caseload data'!$D:$D,"TPO",'caseload data'!$A:$A,"North East Region")</f>
        <v>0</v>
      </c>
      <c r="L33" s="104">
        <f>SUMIFS('caseload data'!M:M,'caseload data'!$D:$D,"TPO",'caseload data'!$A:$A,"North East Region")</f>
        <v>0</v>
      </c>
      <c r="M33" s="104">
        <f>SUMIFS('caseload data'!N:N,'caseload data'!$D:$D,"TPO",'caseload data'!$A:$A,"North East Region")</f>
        <v>0</v>
      </c>
      <c r="N33" s="104">
        <f>SUMIFS('caseload data'!O:O,'caseload data'!$D:$D,"TPO",'caseload data'!$A:$A,"North East Region")</f>
        <v>0</v>
      </c>
      <c r="O33" s="104">
        <f>SUMIFS('caseload data'!P:P,'caseload data'!$D:$D,"TPO",'caseload data'!$A:$A,"North East Region")</f>
        <v>0</v>
      </c>
      <c r="P33" s="104">
        <f>SUMIFS('caseload data'!Q:Q,'caseload data'!$D:$D,"TPO",'caseload data'!$A:$A,"North East Region")</f>
        <v>0</v>
      </c>
      <c r="Q33" s="104">
        <f>SUMIFS('caseload data'!R:R,'caseload data'!$D:$D,"TPO",'caseload data'!$A:$A,"North East Region")</f>
        <v>0</v>
      </c>
      <c r="R33" s="104">
        <f>SUMIFS('caseload data'!S:S,'caseload data'!$D:$D,"TPO",'caseload data'!$A:$A,"North East Region")</f>
        <v>0</v>
      </c>
      <c r="S33" s="104">
        <f>SUMIFS('caseload data'!T:T,'caseload data'!$D:$D,"TPO",'caseload data'!$A:$A,"North East Region")</f>
        <v>0</v>
      </c>
      <c r="T33" s="104">
        <f>SUMIFS('caseload data'!V:V,'caseload data'!$D:$D,"TPO",'caseload data'!$A:$A,"North East Region")</f>
        <v>0</v>
      </c>
      <c r="U33" s="73"/>
      <c r="V33" s="73"/>
      <c r="W33" s="338"/>
      <c r="X33" s="139" t="s">
        <v>913</v>
      </c>
      <c r="Y33" s="181" t="e">
        <f>SUM(D33)/SUM(D$31:D$34)</f>
        <v>#DIV/0!</v>
      </c>
      <c r="Z33" s="181" t="e">
        <f t="shared" si="5"/>
        <v>#DIV/0!</v>
      </c>
      <c r="AA33" s="181" t="e">
        <f t="shared" si="5"/>
        <v>#DIV/0!</v>
      </c>
      <c r="AB33" s="181" t="e">
        <f t="shared" si="5"/>
        <v>#DIV/0!</v>
      </c>
      <c r="AC33" s="181" t="e">
        <f t="shared" si="5"/>
        <v>#DIV/0!</v>
      </c>
      <c r="AD33" s="181" t="e">
        <f t="shared" si="5"/>
        <v>#DIV/0!</v>
      </c>
      <c r="AE33" s="181" t="e">
        <f t="shared" si="5"/>
        <v>#DIV/0!</v>
      </c>
      <c r="AF33" s="181" t="e">
        <f t="shared" si="5"/>
        <v>#DIV/0!</v>
      </c>
      <c r="AG33" s="181" t="e">
        <f t="shared" si="5"/>
        <v>#DIV/0!</v>
      </c>
      <c r="AH33" s="181" t="e">
        <f t="shared" si="5"/>
        <v>#DIV/0!</v>
      </c>
      <c r="AI33" s="181" t="e">
        <f t="shared" si="5"/>
        <v>#DIV/0!</v>
      </c>
      <c r="AJ33" s="181" t="e">
        <f t="shared" si="5"/>
        <v>#DIV/0!</v>
      </c>
      <c r="AK33" s="181" t="e">
        <f t="shared" si="5"/>
        <v>#DIV/0!</v>
      </c>
      <c r="AL33" s="181" t="e">
        <f t="shared" si="5"/>
        <v>#DIV/0!</v>
      </c>
      <c r="AM33" s="181" t="e">
        <f t="shared" si="5"/>
        <v>#DIV/0!</v>
      </c>
      <c r="AN33" s="181" t="e">
        <f t="shared" si="5"/>
        <v>#DIV/0!</v>
      </c>
    </row>
    <row r="34" spans="2:40" x14ac:dyDescent="0.15">
      <c r="B34" s="339"/>
      <c r="C34" s="140" t="s">
        <v>914</v>
      </c>
      <c r="D34" s="104">
        <f>SUMIFS('caseload data'!E:E,'caseload data'!$D:$D,"SPO",'caseload data'!$A:$A,"North East Region")</f>
        <v>0</v>
      </c>
      <c r="E34" s="104">
        <f>SUMIFS('caseload data'!F:F,'caseload data'!$D:$D,"SPO",'caseload data'!$A:$A,"North East Region")</f>
        <v>0</v>
      </c>
      <c r="F34" s="104">
        <f>SUMIFS('caseload data'!G:G,'caseload data'!$D:$D,"SPO",'caseload data'!$A:$A,"North East Region")</f>
        <v>0</v>
      </c>
      <c r="G34" s="104">
        <f>SUMIFS('caseload data'!H:H,'caseload data'!$D:$D,"SPO",'caseload data'!$A:$A,"North East Region")</f>
        <v>0</v>
      </c>
      <c r="H34" s="104">
        <f>SUMIFS('caseload data'!I:I,'caseload data'!$D:$D,"SPO",'caseload data'!$A:$A,"North East Region")</f>
        <v>0</v>
      </c>
      <c r="I34" s="104">
        <f>SUMIFS('caseload data'!J:J,'caseload data'!$D:$D,"SPO",'caseload data'!$A:$A,"North East Region")</f>
        <v>0</v>
      </c>
      <c r="J34" s="104">
        <f>SUMIFS('caseload data'!K:K,'caseload data'!$D:$D,"SPO",'caseload data'!$A:$A,"North East Region")</f>
        <v>0</v>
      </c>
      <c r="K34" s="104">
        <f>SUMIFS('caseload data'!L:L,'caseload data'!$D:$D,"SPO",'caseload data'!$A:$A,"North East Region")</f>
        <v>0</v>
      </c>
      <c r="L34" s="104">
        <f>SUMIFS('caseload data'!M:M,'caseload data'!$D:$D,"SPO",'caseload data'!$A:$A,"North East Region")</f>
        <v>0</v>
      </c>
      <c r="M34" s="104">
        <f>SUMIFS('caseload data'!N:N,'caseload data'!$D:$D,"SPO",'caseload data'!$A:$A,"North East Region")</f>
        <v>0</v>
      </c>
      <c r="N34" s="104">
        <f>SUMIFS('caseload data'!O:O,'caseload data'!$D:$D,"SPO",'caseload data'!$A:$A,"North East Region")</f>
        <v>0</v>
      </c>
      <c r="O34" s="104">
        <f>SUMIFS('caseload data'!P:P,'caseload data'!$D:$D,"SPO",'caseload data'!$A:$A,"North East Region")</f>
        <v>0</v>
      </c>
      <c r="P34" s="104">
        <f>SUMIFS('caseload data'!Q:Q,'caseload data'!$D:$D,"SPO",'caseload data'!$A:$A,"North East Region")</f>
        <v>0</v>
      </c>
      <c r="Q34" s="104">
        <f>SUMIFS('caseload data'!R:R,'caseload data'!$D:$D,"SPO",'caseload data'!$A:$A,"North East Region")</f>
        <v>0</v>
      </c>
      <c r="R34" s="104">
        <f>SUMIFS('caseload data'!S:S,'caseload data'!$D:$D,"SPO",'caseload data'!$A:$A,"North East Region")</f>
        <v>0</v>
      </c>
      <c r="S34" s="104">
        <f>SUMIFS('caseload data'!T:T,'caseload data'!$D:$D,"SPO",'caseload data'!$A:$A,"North East Region")</f>
        <v>0</v>
      </c>
      <c r="T34" s="104">
        <f>SUMIFS('caseload data'!V:V,'caseload data'!$D:$D,"SPO",'caseload data'!$A:$A,"North East Region")</f>
        <v>0</v>
      </c>
      <c r="U34" s="73"/>
      <c r="V34" s="73"/>
      <c r="W34" s="339"/>
      <c r="X34" s="140" t="s">
        <v>914</v>
      </c>
      <c r="Y34" s="181" t="e">
        <f>SUM(D34)/SUM(D$31:D$34)</f>
        <v>#DIV/0!</v>
      </c>
      <c r="Z34" s="181" t="e">
        <f t="shared" si="5"/>
        <v>#DIV/0!</v>
      </c>
      <c r="AA34" s="181" t="e">
        <f t="shared" si="5"/>
        <v>#DIV/0!</v>
      </c>
      <c r="AB34" s="181" t="e">
        <f t="shared" si="5"/>
        <v>#DIV/0!</v>
      </c>
      <c r="AC34" s="181" t="e">
        <f t="shared" si="5"/>
        <v>#DIV/0!</v>
      </c>
      <c r="AD34" s="181" t="e">
        <f t="shared" si="5"/>
        <v>#DIV/0!</v>
      </c>
      <c r="AE34" s="181" t="e">
        <f t="shared" si="5"/>
        <v>#DIV/0!</v>
      </c>
      <c r="AF34" s="181" t="e">
        <f t="shared" si="5"/>
        <v>#DIV/0!</v>
      </c>
      <c r="AG34" s="181" t="e">
        <f t="shared" si="5"/>
        <v>#DIV/0!</v>
      </c>
      <c r="AH34" s="181" t="e">
        <f t="shared" si="5"/>
        <v>#DIV/0!</v>
      </c>
      <c r="AI34" s="181" t="e">
        <f t="shared" si="5"/>
        <v>#DIV/0!</v>
      </c>
      <c r="AJ34" s="181" t="e">
        <f t="shared" si="5"/>
        <v>#DIV/0!</v>
      </c>
      <c r="AK34" s="181" t="e">
        <f t="shared" si="5"/>
        <v>#DIV/0!</v>
      </c>
      <c r="AL34" s="181" t="e">
        <f t="shared" si="5"/>
        <v>#DIV/0!</v>
      </c>
      <c r="AM34" s="181" t="e">
        <f t="shared" si="5"/>
        <v>#DIV/0!</v>
      </c>
      <c r="AN34" s="181" t="e">
        <f t="shared" si="5"/>
        <v>#DIV/0!</v>
      </c>
    </row>
    <row r="35" spans="2:40" x14ac:dyDescent="0.15">
      <c r="B35" s="337" t="s">
        <v>26</v>
      </c>
      <c r="C35" s="138" t="s">
        <v>911</v>
      </c>
      <c r="D35" s="104">
        <f>SUMIFS('caseload data'!E:E,'caseload data'!$D:$D,"PO",'caseload data'!$A:$A,$B$35)</f>
        <v>0</v>
      </c>
      <c r="E35" s="104">
        <f>SUMIFS('caseload data'!F:F,'caseload data'!$D:$D,"PO",'caseload data'!$A:$A,$B$35)</f>
        <v>0</v>
      </c>
      <c r="F35" s="104">
        <f>SUMIFS('caseload data'!G:G,'caseload data'!$D:$D,"PO",'caseload data'!$A:$A,$B$35)</f>
        <v>0</v>
      </c>
      <c r="G35" s="104">
        <f>SUMIFS('caseload data'!H:H,'caseload data'!$D:$D,"PO",'caseload data'!$A:$A,$B$35)</f>
        <v>0</v>
      </c>
      <c r="H35" s="104">
        <f>SUMIFS('caseload data'!I:I,'caseload data'!$D:$D,"PO",'caseload data'!$A:$A,$B$35)</f>
        <v>0</v>
      </c>
      <c r="I35" s="104">
        <f>SUMIFS('caseload data'!J:J,'caseload data'!$D:$D,"PO",'caseload data'!$A:$A,$B$35)</f>
        <v>0</v>
      </c>
      <c r="J35" s="104">
        <f>SUMIFS('caseload data'!K:K,'caseload data'!$D:$D,"PO",'caseload data'!$A:$A,$B$35)</f>
        <v>0</v>
      </c>
      <c r="K35" s="104">
        <f>SUMIFS('caseload data'!L:L,'caseload data'!$D:$D,"PO",'caseload data'!$A:$A,$B$35)</f>
        <v>0</v>
      </c>
      <c r="L35" s="104">
        <f>SUMIFS('caseload data'!M:M,'caseload data'!$D:$D,"PO",'caseload data'!$A:$A,$B$35)</f>
        <v>0</v>
      </c>
      <c r="M35" s="104">
        <f>SUMIFS('caseload data'!N:N,'caseload data'!$D:$D,"PO",'caseload data'!$A:$A,$B$35)</f>
        <v>0</v>
      </c>
      <c r="N35" s="104">
        <f>SUMIFS('caseload data'!O:O,'caseload data'!$D:$D,"PO",'caseload data'!$A:$A,$B$35)</f>
        <v>0</v>
      </c>
      <c r="O35" s="104">
        <f>SUMIFS('caseload data'!P:P,'caseload data'!$D:$D,"PO",'caseload data'!$A:$A,$B$35)</f>
        <v>0</v>
      </c>
      <c r="P35" s="104">
        <f>SUMIFS('caseload data'!Q:Q,'caseload data'!$D:$D,"PO",'caseload data'!$A:$A,$B$35)</f>
        <v>0</v>
      </c>
      <c r="Q35" s="104">
        <f>SUMIFS('caseload data'!R:R,'caseload data'!$D:$D,"PO",'caseload data'!$A:$A,$B$35)</f>
        <v>0</v>
      </c>
      <c r="R35" s="104">
        <f>SUMIFS('caseload data'!S:S,'caseload data'!$D:$D,"PO",'caseload data'!$A:$A,$B$35)</f>
        <v>0</v>
      </c>
      <c r="S35" s="104">
        <f>SUMIFS('caseload data'!T:T,'caseload data'!$D:$D,"PO",'caseload data'!$A:$A,$B$35)</f>
        <v>0</v>
      </c>
      <c r="T35" s="104">
        <f>SUMIFS('caseload data'!V:V,'caseload data'!$D:$D,"PO",'caseload data'!$A:$A,B35)</f>
        <v>0</v>
      </c>
      <c r="U35" s="73"/>
      <c r="V35" s="73"/>
      <c r="W35" s="337" t="s">
        <v>26</v>
      </c>
      <c r="X35" s="138" t="s">
        <v>911</v>
      </c>
      <c r="Y35" s="181" t="e">
        <f>SUM(D35)/SUM(D$35:D$38)</f>
        <v>#DIV/0!</v>
      </c>
      <c r="Z35" s="181" t="e">
        <f t="shared" ref="Z35:AN38" si="6">SUM(E35)/SUM(E$35:E$38)</f>
        <v>#DIV/0!</v>
      </c>
      <c r="AA35" s="181" t="e">
        <f t="shared" si="6"/>
        <v>#DIV/0!</v>
      </c>
      <c r="AB35" s="181" t="e">
        <f t="shared" si="6"/>
        <v>#DIV/0!</v>
      </c>
      <c r="AC35" s="181" t="e">
        <f t="shared" si="6"/>
        <v>#DIV/0!</v>
      </c>
      <c r="AD35" s="181" t="e">
        <f t="shared" si="6"/>
        <v>#DIV/0!</v>
      </c>
      <c r="AE35" s="181" t="e">
        <f t="shared" si="6"/>
        <v>#DIV/0!</v>
      </c>
      <c r="AF35" s="181" t="e">
        <f t="shared" si="6"/>
        <v>#DIV/0!</v>
      </c>
      <c r="AG35" s="181" t="e">
        <f t="shared" si="6"/>
        <v>#DIV/0!</v>
      </c>
      <c r="AH35" s="181" t="e">
        <f t="shared" si="6"/>
        <v>#DIV/0!</v>
      </c>
      <c r="AI35" s="181" t="e">
        <f t="shared" si="6"/>
        <v>#DIV/0!</v>
      </c>
      <c r="AJ35" s="181" t="e">
        <f t="shared" si="6"/>
        <v>#DIV/0!</v>
      </c>
      <c r="AK35" s="181" t="e">
        <f t="shared" si="6"/>
        <v>#DIV/0!</v>
      </c>
      <c r="AL35" s="181" t="e">
        <f t="shared" si="6"/>
        <v>#DIV/0!</v>
      </c>
      <c r="AM35" s="181" t="e">
        <f t="shared" si="6"/>
        <v>#DIV/0!</v>
      </c>
      <c r="AN35" s="181" t="e">
        <f t="shared" si="6"/>
        <v>#DIV/0!</v>
      </c>
    </row>
    <row r="36" spans="2:40" x14ac:dyDescent="0.15">
      <c r="B36" s="338"/>
      <c r="C36" s="139" t="s">
        <v>912</v>
      </c>
      <c r="D36" s="104">
        <f>SUMIFS('caseload data'!E:E,'caseload data'!$D:$D,"PSO",'caseload data'!$A:$A,"North West Region")</f>
        <v>0</v>
      </c>
      <c r="E36" s="104">
        <f>SUMIFS('caseload data'!F:F,'caseload data'!$D:$D,"PSO",'caseload data'!$A:$A,"North West Region")</f>
        <v>0</v>
      </c>
      <c r="F36" s="104">
        <f>SUMIFS('caseload data'!G:G,'caseload data'!$D:$D,"PSO",'caseload data'!$A:$A,"North West Region")</f>
        <v>0</v>
      </c>
      <c r="G36" s="104">
        <f>SUMIFS('caseload data'!H:H,'caseload data'!$D:$D,"PSO",'caseload data'!$A:$A,"North West Region")</f>
        <v>0</v>
      </c>
      <c r="H36" s="104">
        <f>SUMIFS('caseload data'!I:I,'caseload data'!$D:$D,"PSO",'caseload data'!$A:$A,"North West Region")</f>
        <v>0</v>
      </c>
      <c r="I36" s="104">
        <f>SUMIFS('caseload data'!J:J,'caseload data'!$D:$D,"PSO",'caseload data'!$A:$A,"North West Region")</f>
        <v>0</v>
      </c>
      <c r="J36" s="104">
        <f>SUMIFS('caseload data'!K:K,'caseload data'!$D:$D,"PSO",'caseload data'!$A:$A,"North West Region")</f>
        <v>0</v>
      </c>
      <c r="K36" s="104">
        <f>SUMIFS('caseload data'!L:L,'caseload data'!$D:$D,"PSO",'caseload data'!$A:$A,"North West Region")</f>
        <v>0</v>
      </c>
      <c r="L36" s="104">
        <f>SUMIFS('caseload data'!M:M,'caseload data'!$D:$D,"PSO",'caseload data'!$A:$A,"North West Region")</f>
        <v>0</v>
      </c>
      <c r="M36" s="104">
        <f>SUMIFS('caseload data'!N:N,'caseload data'!$D:$D,"PSO",'caseload data'!$A:$A,"North West Region")</f>
        <v>0</v>
      </c>
      <c r="N36" s="104">
        <f>SUMIFS('caseload data'!O:O,'caseload data'!$D:$D,"PSO",'caseload data'!$A:$A,"North West Region")</f>
        <v>0</v>
      </c>
      <c r="O36" s="104">
        <f>SUMIFS('caseload data'!P:P,'caseload data'!$D:$D,"PSO",'caseload data'!$A:$A,"North West Region")</f>
        <v>0</v>
      </c>
      <c r="P36" s="104">
        <f>SUMIFS('caseload data'!Q:Q,'caseload data'!$D:$D,"PSO",'caseload data'!$A:$A,"North West Region")</f>
        <v>0</v>
      </c>
      <c r="Q36" s="104">
        <f>SUMIFS('caseload data'!R:R,'caseload data'!$D:$D,"PSO",'caseload data'!$A:$A,"North West Region")</f>
        <v>0</v>
      </c>
      <c r="R36" s="104">
        <f>SUMIFS('caseload data'!S:S,'caseload data'!$D:$D,"PSO",'caseload data'!$A:$A,"North West Region")</f>
        <v>0</v>
      </c>
      <c r="S36" s="104">
        <f>SUMIFS('caseload data'!T:T,'caseload data'!$D:$D,"PSO",'caseload data'!$A:$A,"North West Region")</f>
        <v>0</v>
      </c>
      <c r="T36" s="104">
        <f>SUMIFS('caseload data'!V:V,'caseload data'!$D:$D,"PSO",'caseload data'!$A:$A,"North West Region")</f>
        <v>0</v>
      </c>
      <c r="U36" s="73"/>
      <c r="V36" s="73"/>
      <c r="W36" s="338"/>
      <c r="X36" s="139" t="s">
        <v>912</v>
      </c>
      <c r="Y36" s="181" t="e">
        <f>SUM(D36)/SUM(D$35:D$38)</f>
        <v>#DIV/0!</v>
      </c>
      <c r="Z36" s="181" t="e">
        <f t="shared" si="6"/>
        <v>#DIV/0!</v>
      </c>
      <c r="AA36" s="181" t="e">
        <f t="shared" si="6"/>
        <v>#DIV/0!</v>
      </c>
      <c r="AB36" s="181" t="e">
        <f t="shared" si="6"/>
        <v>#DIV/0!</v>
      </c>
      <c r="AC36" s="181" t="e">
        <f t="shared" si="6"/>
        <v>#DIV/0!</v>
      </c>
      <c r="AD36" s="181" t="e">
        <f t="shared" si="6"/>
        <v>#DIV/0!</v>
      </c>
      <c r="AE36" s="181" t="e">
        <f t="shared" si="6"/>
        <v>#DIV/0!</v>
      </c>
      <c r="AF36" s="181" t="e">
        <f t="shared" si="6"/>
        <v>#DIV/0!</v>
      </c>
      <c r="AG36" s="181" t="e">
        <f t="shared" si="6"/>
        <v>#DIV/0!</v>
      </c>
      <c r="AH36" s="181" t="e">
        <f t="shared" si="6"/>
        <v>#DIV/0!</v>
      </c>
      <c r="AI36" s="181" t="e">
        <f t="shared" si="6"/>
        <v>#DIV/0!</v>
      </c>
      <c r="AJ36" s="181" t="e">
        <f t="shared" si="6"/>
        <v>#DIV/0!</v>
      </c>
      <c r="AK36" s="181" t="e">
        <f t="shared" si="6"/>
        <v>#DIV/0!</v>
      </c>
      <c r="AL36" s="181" t="e">
        <f t="shared" si="6"/>
        <v>#DIV/0!</v>
      </c>
      <c r="AM36" s="181" t="e">
        <f t="shared" si="6"/>
        <v>#DIV/0!</v>
      </c>
      <c r="AN36" s="181" t="e">
        <f t="shared" si="6"/>
        <v>#DIV/0!</v>
      </c>
    </row>
    <row r="37" spans="2:40" x14ac:dyDescent="0.15">
      <c r="B37" s="338"/>
      <c r="C37" s="139" t="s">
        <v>913</v>
      </c>
      <c r="D37" s="104">
        <f>SUMIFS('caseload data'!E:E,'caseload data'!$D:$D,"TPO",'caseload data'!$A:$A,"North West Region")</f>
        <v>0</v>
      </c>
      <c r="E37" s="104">
        <f>SUMIFS('caseload data'!F:F,'caseload data'!$D:$D,"TPO",'caseload data'!$A:$A,"North West Region")</f>
        <v>0</v>
      </c>
      <c r="F37" s="104">
        <f>SUMIFS('caseload data'!G:G,'caseload data'!$D:$D,"TPO",'caseload data'!$A:$A,"North West Region")</f>
        <v>0</v>
      </c>
      <c r="G37" s="104">
        <f>SUMIFS('caseload data'!H:H,'caseload data'!$D:$D,"TPO",'caseload data'!$A:$A,"North West Region")</f>
        <v>0</v>
      </c>
      <c r="H37" s="104">
        <f>SUMIFS('caseload data'!I:I,'caseload data'!$D:$D,"TPO",'caseload data'!$A:$A,"North West Region")</f>
        <v>0</v>
      </c>
      <c r="I37" s="104">
        <f>SUMIFS('caseload data'!J:J,'caseload data'!$D:$D,"TPO",'caseload data'!$A:$A,"North West Region")</f>
        <v>0</v>
      </c>
      <c r="J37" s="104">
        <f>SUMIFS('caseload data'!K:K,'caseload data'!$D:$D,"TPO",'caseload data'!$A:$A,"North West Region")</f>
        <v>0</v>
      </c>
      <c r="K37" s="104">
        <f>SUMIFS('caseload data'!L:L,'caseload data'!$D:$D,"TPO",'caseload data'!$A:$A,"North West Region")</f>
        <v>0</v>
      </c>
      <c r="L37" s="104">
        <f>SUMIFS('caseload data'!M:M,'caseload data'!$D:$D,"TPO",'caseload data'!$A:$A,"North West Region")</f>
        <v>0</v>
      </c>
      <c r="M37" s="104">
        <f>SUMIFS('caseload data'!N:N,'caseload data'!$D:$D,"TPO",'caseload data'!$A:$A,"North West Region")</f>
        <v>0</v>
      </c>
      <c r="N37" s="104">
        <f>SUMIFS('caseload data'!O:O,'caseload data'!$D:$D,"TPO",'caseload data'!$A:$A,"North West Region")</f>
        <v>0</v>
      </c>
      <c r="O37" s="104">
        <f>SUMIFS('caseload data'!P:P,'caseload data'!$D:$D,"TPO",'caseload data'!$A:$A,"North West Region")</f>
        <v>0</v>
      </c>
      <c r="P37" s="104">
        <f>SUMIFS('caseload data'!Q:Q,'caseload data'!$D:$D,"TPO",'caseload data'!$A:$A,"North West Region")</f>
        <v>0</v>
      </c>
      <c r="Q37" s="104">
        <f>SUMIFS('caseload data'!R:R,'caseload data'!$D:$D,"TPO",'caseload data'!$A:$A,"North West Region")</f>
        <v>0</v>
      </c>
      <c r="R37" s="104">
        <f>SUMIFS('caseload data'!S:S,'caseload data'!$D:$D,"TPO",'caseload data'!$A:$A,"North West Region")</f>
        <v>0</v>
      </c>
      <c r="S37" s="104">
        <f>SUMIFS('caseload data'!T:T,'caseload data'!$D:$D,"TPO",'caseload data'!$A:$A,"North West Region")</f>
        <v>0</v>
      </c>
      <c r="T37" s="104">
        <f>SUMIFS('caseload data'!V:V,'caseload data'!$D:$D,"TPO",'caseload data'!$A:$A,"North West Region")</f>
        <v>0</v>
      </c>
      <c r="U37" s="73"/>
      <c r="V37" s="73"/>
      <c r="W37" s="338"/>
      <c r="X37" s="139" t="s">
        <v>913</v>
      </c>
      <c r="Y37" s="181" t="e">
        <f>SUM(D37)/SUM(D$35:D$38)</f>
        <v>#DIV/0!</v>
      </c>
      <c r="Z37" s="181" t="e">
        <f t="shared" si="6"/>
        <v>#DIV/0!</v>
      </c>
      <c r="AA37" s="181" t="e">
        <f t="shared" si="6"/>
        <v>#DIV/0!</v>
      </c>
      <c r="AB37" s="181" t="e">
        <f t="shared" si="6"/>
        <v>#DIV/0!</v>
      </c>
      <c r="AC37" s="181" t="e">
        <f t="shared" si="6"/>
        <v>#DIV/0!</v>
      </c>
      <c r="AD37" s="181" t="e">
        <f t="shared" si="6"/>
        <v>#DIV/0!</v>
      </c>
      <c r="AE37" s="181" t="e">
        <f t="shared" si="6"/>
        <v>#DIV/0!</v>
      </c>
      <c r="AF37" s="181" t="e">
        <f t="shared" si="6"/>
        <v>#DIV/0!</v>
      </c>
      <c r="AG37" s="181" t="e">
        <f t="shared" si="6"/>
        <v>#DIV/0!</v>
      </c>
      <c r="AH37" s="181" t="e">
        <f t="shared" si="6"/>
        <v>#DIV/0!</v>
      </c>
      <c r="AI37" s="181" t="e">
        <f t="shared" si="6"/>
        <v>#DIV/0!</v>
      </c>
      <c r="AJ37" s="181" t="e">
        <f t="shared" si="6"/>
        <v>#DIV/0!</v>
      </c>
      <c r="AK37" s="181" t="e">
        <f t="shared" si="6"/>
        <v>#DIV/0!</v>
      </c>
      <c r="AL37" s="181" t="e">
        <f t="shared" si="6"/>
        <v>#DIV/0!</v>
      </c>
      <c r="AM37" s="181" t="e">
        <f t="shared" si="6"/>
        <v>#DIV/0!</v>
      </c>
      <c r="AN37" s="181" t="e">
        <f t="shared" si="6"/>
        <v>#DIV/0!</v>
      </c>
    </row>
    <row r="38" spans="2:40" x14ac:dyDescent="0.15">
      <c r="B38" s="339"/>
      <c r="C38" s="140" t="s">
        <v>914</v>
      </c>
      <c r="D38" s="104">
        <f>SUMIFS('caseload data'!E:E,'caseload data'!$D:$D,"SPO",'caseload data'!$A:$A,"North West Region")</f>
        <v>0</v>
      </c>
      <c r="E38" s="104">
        <f>SUMIFS('caseload data'!F:F,'caseload data'!$D:$D,"SPO",'caseload data'!$A:$A,"North West Region")</f>
        <v>0</v>
      </c>
      <c r="F38" s="104">
        <f>SUMIFS('caseload data'!G:G,'caseload data'!$D:$D,"SPO",'caseload data'!$A:$A,"North West Region")</f>
        <v>0</v>
      </c>
      <c r="G38" s="104">
        <f>SUMIFS('caseload data'!H:H,'caseload data'!$D:$D,"SPO",'caseload data'!$A:$A,"North West Region")</f>
        <v>0</v>
      </c>
      <c r="H38" s="104">
        <f>SUMIFS('caseload data'!I:I,'caseload data'!$D:$D,"SPO",'caseload data'!$A:$A,"North West Region")</f>
        <v>0</v>
      </c>
      <c r="I38" s="104">
        <f>SUMIFS('caseload data'!J:J,'caseload data'!$D:$D,"SPO",'caseload data'!$A:$A,"North West Region")</f>
        <v>0</v>
      </c>
      <c r="J38" s="104">
        <f>SUMIFS('caseload data'!K:K,'caseload data'!$D:$D,"SPO",'caseload data'!$A:$A,"North West Region")</f>
        <v>0</v>
      </c>
      <c r="K38" s="104">
        <f>SUMIFS('caseload data'!L:L,'caseload data'!$D:$D,"SPO",'caseload data'!$A:$A,"North West Region")</f>
        <v>0</v>
      </c>
      <c r="L38" s="104">
        <f>SUMIFS('caseload data'!M:M,'caseload data'!$D:$D,"SPO",'caseload data'!$A:$A,"North West Region")</f>
        <v>0</v>
      </c>
      <c r="M38" s="104">
        <f>SUMIFS('caseload data'!N:N,'caseload data'!$D:$D,"SPO",'caseload data'!$A:$A,"North West Region")</f>
        <v>0</v>
      </c>
      <c r="N38" s="104">
        <f>SUMIFS('caseload data'!O:O,'caseload data'!$D:$D,"SPO",'caseload data'!$A:$A,"North West Region")</f>
        <v>0</v>
      </c>
      <c r="O38" s="104">
        <f>SUMIFS('caseload data'!P:P,'caseload data'!$D:$D,"SPO",'caseload data'!$A:$A,"North West Region")</f>
        <v>0</v>
      </c>
      <c r="P38" s="104">
        <f>SUMIFS('caseload data'!Q:Q,'caseload data'!$D:$D,"SPO",'caseload data'!$A:$A,"North West Region")</f>
        <v>0</v>
      </c>
      <c r="Q38" s="104">
        <f>SUMIFS('caseload data'!R:R,'caseload data'!$D:$D,"SPO",'caseload data'!$A:$A,"North West Region")</f>
        <v>0</v>
      </c>
      <c r="R38" s="104">
        <f>SUMIFS('caseload data'!S:S,'caseload data'!$D:$D,"SPO",'caseload data'!$A:$A,"North West Region")</f>
        <v>0</v>
      </c>
      <c r="S38" s="104">
        <f>SUMIFS('caseload data'!T:T,'caseload data'!$D:$D,"SPO",'caseload data'!$A:$A,"North West Region")</f>
        <v>0</v>
      </c>
      <c r="T38" s="104">
        <f>SUMIFS('caseload data'!V:V,'caseload data'!$D:$D,"SPO",'caseload data'!$A:$A,"North West Region")</f>
        <v>0</v>
      </c>
      <c r="U38" s="73"/>
      <c r="V38" s="73"/>
      <c r="W38" s="339"/>
      <c r="X38" s="140" t="s">
        <v>914</v>
      </c>
      <c r="Y38" s="181" t="e">
        <f>SUM(D38)/SUM(D$35:D$38)</f>
        <v>#DIV/0!</v>
      </c>
      <c r="Z38" s="181" t="e">
        <f t="shared" si="6"/>
        <v>#DIV/0!</v>
      </c>
      <c r="AA38" s="181" t="e">
        <f t="shared" si="6"/>
        <v>#DIV/0!</v>
      </c>
      <c r="AB38" s="181" t="e">
        <f t="shared" si="6"/>
        <v>#DIV/0!</v>
      </c>
      <c r="AC38" s="181" t="e">
        <f t="shared" si="6"/>
        <v>#DIV/0!</v>
      </c>
      <c r="AD38" s="181" t="e">
        <f t="shared" si="6"/>
        <v>#DIV/0!</v>
      </c>
      <c r="AE38" s="181" t="e">
        <f t="shared" si="6"/>
        <v>#DIV/0!</v>
      </c>
      <c r="AF38" s="181" t="e">
        <f t="shared" si="6"/>
        <v>#DIV/0!</v>
      </c>
      <c r="AG38" s="181" t="e">
        <f t="shared" si="6"/>
        <v>#DIV/0!</v>
      </c>
      <c r="AH38" s="181" t="e">
        <f t="shared" si="6"/>
        <v>#DIV/0!</v>
      </c>
      <c r="AI38" s="181" t="e">
        <f t="shared" si="6"/>
        <v>#DIV/0!</v>
      </c>
      <c r="AJ38" s="181" t="e">
        <f t="shared" si="6"/>
        <v>#DIV/0!</v>
      </c>
      <c r="AK38" s="181" t="e">
        <f t="shared" si="6"/>
        <v>#DIV/0!</v>
      </c>
      <c r="AL38" s="181" t="e">
        <f t="shared" si="6"/>
        <v>#DIV/0!</v>
      </c>
      <c r="AM38" s="181" t="e">
        <f t="shared" si="6"/>
        <v>#DIV/0!</v>
      </c>
      <c r="AN38" s="181" t="e">
        <f t="shared" si="6"/>
        <v>#DIV/0!</v>
      </c>
    </row>
    <row r="39" spans="2:40" x14ac:dyDescent="0.15">
      <c r="B39" s="337" t="s">
        <v>27</v>
      </c>
      <c r="C39" s="138" t="s">
        <v>911</v>
      </c>
      <c r="D39" s="104">
        <f>SUMIFS('caseload data'!E:E,'caseload data'!$D:$D,"PO",'caseload data'!$A:$A,$B$39)</f>
        <v>0</v>
      </c>
      <c r="E39" s="104">
        <f>SUMIFS('caseload data'!F:F,'caseload data'!$D:$D,"PO",'caseload data'!$A:$A,$B$39)</f>
        <v>0</v>
      </c>
      <c r="F39" s="104">
        <f>SUMIFS('caseload data'!G:G,'caseload data'!$D:$D,"PO",'caseload data'!$A:$A,$B$39)</f>
        <v>0</v>
      </c>
      <c r="G39" s="104">
        <f>SUMIFS('caseload data'!H:H,'caseload data'!$D:$D,"PO",'caseload data'!$A:$A,$B$39)</f>
        <v>0</v>
      </c>
      <c r="H39" s="104">
        <f>SUMIFS('caseload data'!I:I,'caseload data'!$D:$D,"PO",'caseload data'!$A:$A,$B$39)</f>
        <v>0</v>
      </c>
      <c r="I39" s="104">
        <f>SUMIFS('caseload data'!J:J,'caseload data'!$D:$D,"PO",'caseload data'!$A:$A,$B$39)</f>
        <v>0</v>
      </c>
      <c r="J39" s="104">
        <f>SUMIFS('caseload data'!K:K,'caseload data'!$D:$D,"PO",'caseload data'!$A:$A,$B$39)</f>
        <v>0</v>
      </c>
      <c r="K39" s="104">
        <f>SUMIFS('caseload data'!L:L,'caseload data'!$D:$D,"PO",'caseload data'!$A:$A,$B$39)</f>
        <v>0</v>
      </c>
      <c r="L39" s="104">
        <f>SUMIFS('caseload data'!M:M,'caseload data'!$D:$D,"PO",'caseload data'!$A:$A,$B$39)</f>
        <v>0</v>
      </c>
      <c r="M39" s="104">
        <f>SUMIFS('caseload data'!N:N,'caseload data'!$D:$D,"PO",'caseload data'!$A:$A,$B$39)</f>
        <v>0</v>
      </c>
      <c r="N39" s="104">
        <f>SUMIFS('caseload data'!O:O,'caseload data'!$D:$D,"PO",'caseload data'!$A:$A,$B$39)</f>
        <v>0</v>
      </c>
      <c r="O39" s="104">
        <f>SUMIFS('caseload data'!P:P,'caseload data'!$D:$D,"PO",'caseload data'!$A:$A,$B$39)</f>
        <v>0</v>
      </c>
      <c r="P39" s="104">
        <f>SUMIFS('caseload data'!Q:Q,'caseload data'!$D:$D,"PO",'caseload data'!$A:$A,$B$39)</f>
        <v>0</v>
      </c>
      <c r="Q39" s="104">
        <f>SUMIFS('caseload data'!R:R,'caseload data'!$D:$D,"PO",'caseload data'!$A:$A,$B$39)</f>
        <v>0</v>
      </c>
      <c r="R39" s="104">
        <f>SUMIFS('caseload data'!S:S,'caseload data'!$D:$D,"PO",'caseload data'!$A:$A,$B$39)</f>
        <v>0</v>
      </c>
      <c r="S39" s="104">
        <f>SUMIFS('caseload data'!T:T,'caseload data'!$D:$D,"PO",'caseload data'!$A:$A,$B$39)</f>
        <v>0</v>
      </c>
      <c r="T39" s="104">
        <f>SUMIFS('caseload data'!V:V,'caseload data'!$D:$D,"PO",'caseload data'!$A:$A,B39)</f>
        <v>0</v>
      </c>
      <c r="U39" s="73"/>
      <c r="V39" s="73"/>
      <c r="W39" s="337" t="s">
        <v>27</v>
      </c>
      <c r="X39" s="138" t="s">
        <v>911</v>
      </c>
      <c r="Y39" s="181" t="e">
        <f>SUM(D39)/SUM(D$39:D$42)</f>
        <v>#DIV/0!</v>
      </c>
      <c r="Z39" s="181" t="e">
        <f t="shared" ref="Z39:AN42" si="7">SUM(E39)/SUM(E$39:E$42)</f>
        <v>#DIV/0!</v>
      </c>
      <c r="AA39" s="181" t="e">
        <f t="shared" si="7"/>
        <v>#DIV/0!</v>
      </c>
      <c r="AB39" s="181" t="e">
        <f t="shared" si="7"/>
        <v>#DIV/0!</v>
      </c>
      <c r="AC39" s="181" t="e">
        <f t="shared" si="7"/>
        <v>#DIV/0!</v>
      </c>
      <c r="AD39" s="181" t="e">
        <f t="shared" si="7"/>
        <v>#DIV/0!</v>
      </c>
      <c r="AE39" s="181" t="e">
        <f t="shared" si="7"/>
        <v>#DIV/0!</v>
      </c>
      <c r="AF39" s="181" t="e">
        <f t="shared" si="7"/>
        <v>#DIV/0!</v>
      </c>
      <c r="AG39" s="181" t="e">
        <f t="shared" si="7"/>
        <v>#DIV/0!</v>
      </c>
      <c r="AH39" s="181" t="e">
        <f t="shared" si="7"/>
        <v>#DIV/0!</v>
      </c>
      <c r="AI39" s="181" t="e">
        <f t="shared" si="7"/>
        <v>#DIV/0!</v>
      </c>
      <c r="AJ39" s="181" t="e">
        <f t="shared" si="7"/>
        <v>#DIV/0!</v>
      </c>
      <c r="AK39" s="181" t="e">
        <f t="shared" si="7"/>
        <v>#DIV/0!</v>
      </c>
      <c r="AL39" s="181" t="e">
        <f t="shared" si="7"/>
        <v>#DIV/0!</v>
      </c>
      <c r="AM39" s="181" t="e">
        <f t="shared" si="7"/>
        <v>#DIV/0!</v>
      </c>
      <c r="AN39" s="181" t="e">
        <f t="shared" si="7"/>
        <v>#DIV/0!</v>
      </c>
    </row>
    <row r="40" spans="2:40" x14ac:dyDescent="0.15">
      <c r="B40" s="338"/>
      <c r="C40" s="139" t="s">
        <v>912</v>
      </c>
      <c r="D40" s="104">
        <f>SUMIFS('caseload data'!E:E,'caseload data'!$D:$D,"PSO",'caseload data'!$A:$A,"South Central")</f>
        <v>0</v>
      </c>
      <c r="E40" s="104">
        <f>SUMIFS('caseload data'!F:F,'caseload data'!$D:$D,"PSO",'caseload data'!$A:$A,"South Central")</f>
        <v>0</v>
      </c>
      <c r="F40" s="104">
        <f>SUMIFS('caseload data'!G:G,'caseload data'!$D:$D,"PSO",'caseload data'!$A:$A,"South Central")</f>
        <v>0</v>
      </c>
      <c r="G40" s="104">
        <f>SUMIFS('caseload data'!H:H,'caseload data'!$D:$D,"PSO",'caseload data'!$A:$A,"South Central")</f>
        <v>0</v>
      </c>
      <c r="H40" s="104">
        <f>SUMIFS('caseload data'!I:I,'caseload data'!$D:$D,"PSO",'caseload data'!$A:$A,"South Central")</f>
        <v>0</v>
      </c>
      <c r="I40" s="104">
        <f>SUMIFS('caseload data'!J:J,'caseload data'!$D:$D,"PSO",'caseload data'!$A:$A,"South Central")</f>
        <v>0</v>
      </c>
      <c r="J40" s="104">
        <f>SUMIFS('caseload data'!K:K,'caseload data'!$D:$D,"PSO",'caseload data'!$A:$A,"South Central")</f>
        <v>0</v>
      </c>
      <c r="K40" s="104">
        <f>SUMIFS('caseload data'!L:L,'caseload data'!$D:$D,"PSO",'caseload data'!$A:$A,"South Central")</f>
        <v>0</v>
      </c>
      <c r="L40" s="104">
        <f>SUMIFS('caseload data'!M:M,'caseload data'!$D:$D,"PSO",'caseload data'!$A:$A,"South Central")</f>
        <v>0</v>
      </c>
      <c r="M40" s="104">
        <f>SUMIFS('caseload data'!N:N,'caseload data'!$D:$D,"PSO",'caseload data'!$A:$A,"South Central")</f>
        <v>0</v>
      </c>
      <c r="N40" s="104">
        <f>SUMIFS('caseload data'!O:O,'caseload data'!$D:$D,"PSO",'caseload data'!$A:$A,"South Central")</f>
        <v>0</v>
      </c>
      <c r="O40" s="104">
        <f>SUMIFS('caseload data'!P:P,'caseload data'!$D:$D,"PSO",'caseload data'!$A:$A,"South Central")</f>
        <v>0</v>
      </c>
      <c r="P40" s="104">
        <f>SUMIFS('caseload data'!Q:Q,'caseload data'!$D:$D,"PSO",'caseload data'!$A:$A,"South Central")</f>
        <v>0</v>
      </c>
      <c r="Q40" s="104">
        <f>SUMIFS('caseload data'!R:R,'caseload data'!$D:$D,"PSO",'caseload data'!$A:$A,"South Central")</f>
        <v>0</v>
      </c>
      <c r="R40" s="104">
        <f>SUMIFS('caseload data'!S:S,'caseload data'!$D:$D,"PSO",'caseload data'!$A:$A,"South Central")</f>
        <v>0</v>
      </c>
      <c r="S40" s="104">
        <f>SUMIFS('caseload data'!T:T,'caseload data'!$D:$D,"PSO",'caseload data'!$A:$A,"South Central")</f>
        <v>0</v>
      </c>
      <c r="T40" s="104">
        <f>SUMIFS('caseload data'!V:V,'caseload data'!$D:$D,"PSO",'caseload data'!$A:$A,"South Central")</f>
        <v>0</v>
      </c>
      <c r="U40" s="73"/>
      <c r="V40" s="73"/>
      <c r="W40" s="338"/>
      <c r="X40" s="139" t="s">
        <v>912</v>
      </c>
      <c r="Y40" s="181" t="e">
        <f>SUM(D40)/SUM(D$39:D$42)</f>
        <v>#DIV/0!</v>
      </c>
      <c r="Z40" s="181" t="e">
        <f t="shared" si="7"/>
        <v>#DIV/0!</v>
      </c>
      <c r="AA40" s="181" t="e">
        <f t="shared" si="7"/>
        <v>#DIV/0!</v>
      </c>
      <c r="AB40" s="181" t="e">
        <f t="shared" si="7"/>
        <v>#DIV/0!</v>
      </c>
      <c r="AC40" s="181" t="e">
        <f t="shared" si="7"/>
        <v>#DIV/0!</v>
      </c>
      <c r="AD40" s="181" t="e">
        <f t="shared" si="7"/>
        <v>#DIV/0!</v>
      </c>
      <c r="AE40" s="181" t="e">
        <f t="shared" si="7"/>
        <v>#DIV/0!</v>
      </c>
      <c r="AF40" s="181" t="e">
        <f t="shared" si="7"/>
        <v>#DIV/0!</v>
      </c>
      <c r="AG40" s="181" t="e">
        <f t="shared" si="7"/>
        <v>#DIV/0!</v>
      </c>
      <c r="AH40" s="181" t="e">
        <f t="shared" si="7"/>
        <v>#DIV/0!</v>
      </c>
      <c r="AI40" s="181" t="e">
        <f t="shared" si="7"/>
        <v>#DIV/0!</v>
      </c>
      <c r="AJ40" s="181" t="e">
        <f t="shared" si="7"/>
        <v>#DIV/0!</v>
      </c>
      <c r="AK40" s="181" t="e">
        <f t="shared" si="7"/>
        <v>#DIV/0!</v>
      </c>
      <c r="AL40" s="181" t="e">
        <f t="shared" si="7"/>
        <v>#DIV/0!</v>
      </c>
      <c r="AM40" s="181" t="e">
        <f t="shared" si="7"/>
        <v>#DIV/0!</v>
      </c>
      <c r="AN40" s="181" t="e">
        <f t="shared" si="7"/>
        <v>#DIV/0!</v>
      </c>
    </row>
    <row r="41" spans="2:40" x14ac:dyDescent="0.15">
      <c r="B41" s="338"/>
      <c r="C41" s="139" t="s">
        <v>913</v>
      </c>
      <c r="D41" s="104">
        <f>SUMIFS('caseload data'!E:E,'caseload data'!$D:$D,"TPO",'caseload data'!$A:$A,"South Central")</f>
        <v>0</v>
      </c>
      <c r="E41" s="104">
        <f>SUMIFS('caseload data'!F:F,'caseload data'!$D:$D,"TPO",'caseload data'!$A:$A,"South Central")</f>
        <v>0</v>
      </c>
      <c r="F41" s="104">
        <f>SUMIFS('caseload data'!G:G,'caseload data'!$D:$D,"TPO",'caseload data'!$A:$A,"South Central")</f>
        <v>0</v>
      </c>
      <c r="G41" s="104">
        <f>SUMIFS('caseload data'!H:H,'caseload data'!$D:$D,"TPO",'caseload data'!$A:$A,"South Central")</f>
        <v>0</v>
      </c>
      <c r="H41" s="104">
        <f>SUMIFS('caseload data'!I:I,'caseload data'!$D:$D,"TPO",'caseload data'!$A:$A,"South Central")</f>
        <v>0</v>
      </c>
      <c r="I41" s="104">
        <f>SUMIFS('caseload data'!J:J,'caseload data'!$D:$D,"TPO",'caseload data'!$A:$A,"South Central")</f>
        <v>0</v>
      </c>
      <c r="J41" s="104">
        <f>SUMIFS('caseload data'!K:K,'caseload data'!$D:$D,"TPO",'caseload data'!$A:$A,"South Central")</f>
        <v>0</v>
      </c>
      <c r="K41" s="104">
        <f>SUMIFS('caseload data'!L:L,'caseload data'!$D:$D,"TPO",'caseload data'!$A:$A,"South Central")</f>
        <v>0</v>
      </c>
      <c r="L41" s="104">
        <f>SUMIFS('caseload data'!M:M,'caseload data'!$D:$D,"TPO",'caseload data'!$A:$A,"South Central")</f>
        <v>0</v>
      </c>
      <c r="M41" s="104">
        <f>SUMIFS('caseload data'!N:N,'caseload data'!$D:$D,"TPO",'caseload data'!$A:$A,"South Central")</f>
        <v>0</v>
      </c>
      <c r="N41" s="104">
        <f>SUMIFS('caseload data'!O:O,'caseload data'!$D:$D,"TPO",'caseload data'!$A:$A,"South Central")</f>
        <v>0</v>
      </c>
      <c r="O41" s="104">
        <f>SUMIFS('caseload data'!P:P,'caseload data'!$D:$D,"TPO",'caseload data'!$A:$A,"South Central")</f>
        <v>0</v>
      </c>
      <c r="P41" s="104">
        <f>SUMIFS('caseload data'!Q:Q,'caseload data'!$D:$D,"TPO",'caseload data'!$A:$A,"South Central")</f>
        <v>0</v>
      </c>
      <c r="Q41" s="104">
        <f>SUMIFS('caseload data'!R:R,'caseload data'!$D:$D,"TPO",'caseload data'!$A:$A,"South Central")</f>
        <v>0</v>
      </c>
      <c r="R41" s="104">
        <f>SUMIFS('caseload data'!S:S,'caseload data'!$D:$D,"TPO",'caseload data'!$A:$A,"South Central")</f>
        <v>0</v>
      </c>
      <c r="S41" s="104">
        <f>SUMIFS('caseload data'!T:T,'caseload data'!$D:$D,"TPO",'caseload data'!$A:$A,"South Central")</f>
        <v>0</v>
      </c>
      <c r="T41" s="104">
        <f>SUMIFS('caseload data'!V:V,'caseload data'!$D:$D,"TPO",'caseload data'!$A:$A,"South Central")</f>
        <v>0</v>
      </c>
      <c r="U41" s="73"/>
      <c r="V41" s="73"/>
      <c r="W41" s="338"/>
      <c r="X41" s="139" t="s">
        <v>913</v>
      </c>
      <c r="Y41" s="181" t="e">
        <f>SUM(D41)/SUM(D$39:D$42)</f>
        <v>#DIV/0!</v>
      </c>
      <c r="Z41" s="181" t="e">
        <f t="shared" si="7"/>
        <v>#DIV/0!</v>
      </c>
      <c r="AA41" s="181" t="e">
        <f t="shared" si="7"/>
        <v>#DIV/0!</v>
      </c>
      <c r="AB41" s="181" t="e">
        <f t="shared" si="7"/>
        <v>#DIV/0!</v>
      </c>
      <c r="AC41" s="181" t="e">
        <f t="shared" si="7"/>
        <v>#DIV/0!</v>
      </c>
      <c r="AD41" s="181" t="e">
        <f t="shared" si="7"/>
        <v>#DIV/0!</v>
      </c>
      <c r="AE41" s="181" t="e">
        <f t="shared" si="7"/>
        <v>#DIV/0!</v>
      </c>
      <c r="AF41" s="181" t="e">
        <f t="shared" si="7"/>
        <v>#DIV/0!</v>
      </c>
      <c r="AG41" s="181" t="e">
        <f t="shared" si="7"/>
        <v>#DIV/0!</v>
      </c>
      <c r="AH41" s="181" t="e">
        <f t="shared" si="7"/>
        <v>#DIV/0!</v>
      </c>
      <c r="AI41" s="181" t="e">
        <f t="shared" si="7"/>
        <v>#DIV/0!</v>
      </c>
      <c r="AJ41" s="181" t="e">
        <f t="shared" si="7"/>
        <v>#DIV/0!</v>
      </c>
      <c r="AK41" s="181" t="e">
        <f t="shared" si="7"/>
        <v>#DIV/0!</v>
      </c>
      <c r="AL41" s="181" t="e">
        <f t="shared" si="7"/>
        <v>#DIV/0!</v>
      </c>
      <c r="AM41" s="181" t="e">
        <f t="shared" si="7"/>
        <v>#DIV/0!</v>
      </c>
      <c r="AN41" s="181" t="e">
        <f t="shared" si="7"/>
        <v>#DIV/0!</v>
      </c>
    </row>
    <row r="42" spans="2:40" x14ac:dyDescent="0.15">
      <c r="B42" s="339"/>
      <c r="C42" s="140" t="s">
        <v>914</v>
      </c>
      <c r="D42" s="104">
        <f>SUMIFS('caseload data'!E:E,'caseload data'!$D:$D,"SPO",'caseload data'!$A:$A,"South Central")</f>
        <v>0</v>
      </c>
      <c r="E42" s="104">
        <f>SUMIFS('caseload data'!F:F,'caseload data'!$D:$D,"SPO",'caseload data'!$A:$A,"South Central")</f>
        <v>0</v>
      </c>
      <c r="F42" s="104">
        <f>SUMIFS('caseload data'!G:G,'caseload data'!$D:$D,"SPO",'caseload data'!$A:$A,"South Central")</f>
        <v>0</v>
      </c>
      <c r="G42" s="104">
        <f>SUMIFS('caseload data'!H:H,'caseload data'!$D:$D,"SPO",'caseload data'!$A:$A,"South Central")</f>
        <v>0</v>
      </c>
      <c r="H42" s="104">
        <f>SUMIFS('caseload data'!I:I,'caseload data'!$D:$D,"SPO",'caseload data'!$A:$A,"South Central")</f>
        <v>0</v>
      </c>
      <c r="I42" s="104">
        <f>SUMIFS('caseload data'!J:J,'caseload data'!$D:$D,"SPO",'caseload data'!$A:$A,"South Central")</f>
        <v>0</v>
      </c>
      <c r="J42" s="104">
        <f>SUMIFS('caseload data'!K:K,'caseload data'!$D:$D,"SPO",'caseload data'!$A:$A,"South Central")</f>
        <v>0</v>
      </c>
      <c r="K42" s="104">
        <f>SUMIFS('caseload data'!L:L,'caseload data'!$D:$D,"SPO",'caseload data'!$A:$A,"South Central")</f>
        <v>0</v>
      </c>
      <c r="L42" s="104">
        <f>SUMIFS('caseload data'!M:M,'caseload data'!$D:$D,"SPO",'caseload data'!$A:$A,"South Central")</f>
        <v>0</v>
      </c>
      <c r="M42" s="104">
        <f>SUMIFS('caseload data'!N:N,'caseload data'!$D:$D,"SPO",'caseload data'!$A:$A,"South Central")</f>
        <v>0</v>
      </c>
      <c r="N42" s="104">
        <f>SUMIFS('caseload data'!O:O,'caseload data'!$D:$D,"SPO",'caseload data'!$A:$A,"South Central")</f>
        <v>0</v>
      </c>
      <c r="O42" s="104">
        <f>SUMIFS('caseload data'!P:P,'caseload data'!$D:$D,"SPO",'caseload data'!$A:$A,"South Central")</f>
        <v>0</v>
      </c>
      <c r="P42" s="104">
        <f>SUMIFS('caseload data'!Q:Q,'caseload data'!$D:$D,"SPO",'caseload data'!$A:$A,"South Central")</f>
        <v>0</v>
      </c>
      <c r="Q42" s="104">
        <f>SUMIFS('caseload data'!R:R,'caseload data'!$D:$D,"SPO",'caseload data'!$A:$A,"South Central")</f>
        <v>0</v>
      </c>
      <c r="R42" s="104">
        <f>SUMIFS('caseload data'!S:S,'caseload data'!$D:$D,"SPO",'caseload data'!$A:$A,"South Central")</f>
        <v>0</v>
      </c>
      <c r="S42" s="104">
        <f>SUMIFS('caseload data'!T:T,'caseload data'!$D:$D,"SPO",'caseload data'!$A:$A,"South Central")</f>
        <v>0</v>
      </c>
      <c r="T42" s="104">
        <f>SUMIFS('caseload data'!V:V,'caseload data'!$D:$D,"SPO",'caseload data'!$A:$A,"South Central")</f>
        <v>0</v>
      </c>
      <c r="U42" s="73"/>
      <c r="V42" s="73"/>
      <c r="W42" s="339"/>
      <c r="X42" s="140" t="s">
        <v>914</v>
      </c>
      <c r="Y42" s="181" t="e">
        <f>SUM(D42)/SUM(D$39:D$42)</f>
        <v>#DIV/0!</v>
      </c>
      <c r="Z42" s="181" t="e">
        <f t="shared" si="7"/>
        <v>#DIV/0!</v>
      </c>
      <c r="AA42" s="181" t="e">
        <f t="shared" si="7"/>
        <v>#DIV/0!</v>
      </c>
      <c r="AB42" s="181" t="e">
        <f t="shared" si="7"/>
        <v>#DIV/0!</v>
      </c>
      <c r="AC42" s="181" t="e">
        <f t="shared" si="7"/>
        <v>#DIV/0!</v>
      </c>
      <c r="AD42" s="181" t="e">
        <f t="shared" si="7"/>
        <v>#DIV/0!</v>
      </c>
      <c r="AE42" s="181" t="e">
        <f t="shared" si="7"/>
        <v>#DIV/0!</v>
      </c>
      <c r="AF42" s="181" t="e">
        <f t="shared" si="7"/>
        <v>#DIV/0!</v>
      </c>
      <c r="AG42" s="181" t="e">
        <f t="shared" si="7"/>
        <v>#DIV/0!</v>
      </c>
      <c r="AH42" s="181" t="e">
        <f t="shared" si="7"/>
        <v>#DIV/0!</v>
      </c>
      <c r="AI42" s="181" t="e">
        <f t="shared" si="7"/>
        <v>#DIV/0!</v>
      </c>
      <c r="AJ42" s="181" t="e">
        <f t="shared" si="7"/>
        <v>#DIV/0!</v>
      </c>
      <c r="AK42" s="181" t="e">
        <f t="shared" si="7"/>
        <v>#DIV/0!</v>
      </c>
      <c r="AL42" s="181" t="e">
        <f t="shared" si="7"/>
        <v>#DIV/0!</v>
      </c>
      <c r="AM42" s="181" t="e">
        <f t="shared" si="7"/>
        <v>#DIV/0!</v>
      </c>
      <c r="AN42" s="181" t="e">
        <f t="shared" si="7"/>
        <v>#DIV/0!</v>
      </c>
    </row>
    <row r="43" spans="2:40" x14ac:dyDescent="0.15">
      <c r="B43" s="337" t="s">
        <v>28</v>
      </c>
      <c r="C43" s="138" t="s">
        <v>911</v>
      </c>
      <c r="D43" s="104">
        <f>SUMIFS('caseload data'!E:E,'caseload data'!$D:$D,"PO",'caseload data'!$A:$A,$B$43)</f>
        <v>0</v>
      </c>
      <c r="E43" s="104">
        <f>SUMIFS('caseload data'!F:F,'caseload data'!$D:$D,"PO",'caseload data'!$A:$A,$B$43)</f>
        <v>0</v>
      </c>
      <c r="F43" s="104">
        <f>SUMIFS('caseload data'!G:G,'caseload data'!$D:$D,"PO",'caseload data'!$A:$A,$B$43)</f>
        <v>0</v>
      </c>
      <c r="G43" s="104">
        <f>SUMIFS('caseload data'!H:H,'caseload data'!$D:$D,"PO",'caseload data'!$A:$A,$B$43)</f>
        <v>0</v>
      </c>
      <c r="H43" s="104">
        <f>SUMIFS('caseload data'!I:I,'caseload data'!$D:$D,"PO",'caseload data'!$A:$A,$B$43)</f>
        <v>0</v>
      </c>
      <c r="I43" s="104">
        <f>SUMIFS('caseload data'!J:J,'caseload data'!$D:$D,"PO",'caseload data'!$A:$A,$B$43)</f>
        <v>0</v>
      </c>
      <c r="J43" s="104">
        <f>SUMIFS('caseload data'!K:K,'caseload data'!$D:$D,"PO",'caseload data'!$A:$A,$B$43)</f>
        <v>0</v>
      </c>
      <c r="K43" s="104">
        <f>SUMIFS('caseload data'!L:L,'caseload data'!$D:$D,"PO",'caseload data'!$A:$A,$B$43)</f>
        <v>0</v>
      </c>
      <c r="L43" s="104">
        <f>SUMIFS('caseload data'!M:M,'caseload data'!$D:$D,"PO",'caseload data'!$A:$A,$B$43)</f>
        <v>0</v>
      </c>
      <c r="M43" s="104">
        <f>SUMIFS('caseload data'!N:N,'caseload data'!$D:$D,"PO",'caseload data'!$A:$A,$B$43)</f>
        <v>0</v>
      </c>
      <c r="N43" s="104">
        <f>SUMIFS('caseload data'!O:O,'caseload data'!$D:$D,"PO",'caseload data'!$A:$A,$B$43)</f>
        <v>0</v>
      </c>
      <c r="O43" s="104">
        <f>SUMIFS('caseload data'!P:P,'caseload data'!$D:$D,"PO",'caseload data'!$A:$A,$B$43)</f>
        <v>0</v>
      </c>
      <c r="P43" s="104">
        <f>SUMIFS('caseload data'!Q:Q,'caseload data'!$D:$D,"PO",'caseload data'!$A:$A,$B$43)</f>
        <v>0</v>
      </c>
      <c r="Q43" s="104">
        <f>SUMIFS('caseload data'!R:R,'caseload data'!$D:$D,"PO",'caseload data'!$A:$A,$B$43)</f>
        <v>0</v>
      </c>
      <c r="R43" s="104">
        <f>SUMIFS('caseload data'!S:S,'caseload data'!$D:$D,"PO",'caseload data'!$A:$A,$B$43)</f>
        <v>0</v>
      </c>
      <c r="S43" s="104">
        <f>SUMIFS('caseload data'!T:T,'caseload data'!$D:$D,"PO",'caseload data'!$A:$A,$B$43)</f>
        <v>0</v>
      </c>
      <c r="T43" s="104">
        <f>SUMIFS('caseload data'!V:V,'caseload data'!$D:$D,"PO",'caseload data'!$A:$A,B43)</f>
        <v>0</v>
      </c>
      <c r="U43" s="73"/>
      <c r="V43" s="73"/>
      <c r="W43" s="337" t="s">
        <v>28</v>
      </c>
      <c r="X43" s="138" t="s">
        <v>911</v>
      </c>
      <c r="Y43" s="181" t="e">
        <f>SUM(D43)/SUM(D$43:D$46)</f>
        <v>#DIV/0!</v>
      </c>
      <c r="Z43" s="181" t="e">
        <f t="shared" ref="Z43:AN46" si="8">SUM(E43)/SUM(E$43:E$46)</f>
        <v>#DIV/0!</v>
      </c>
      <c r="AA43" s="181" t="e">
        <f t="shared" si="8"/>
        <v>#DIV/0!</v>
      </c>
      <c r="AB43" s="181" t="e">
        <f t="shared" si="8"/>
        <v>#DIV/0!</v>
      </c>
      <c r="AC43" s="181" t="e">
        <f t="shared" si="8"/>
        <v>#DIV/0!</v>
      </c>
      <c r="AD43" s="181" t="e">
        <f t="shared" si="8"/>
        <v>#DIV/0!</v>
      </c>
      <c r="AE43" s="181" t="e">
        <f t="shared" si="8"/>
        <v>#DIV/0!</v>
      </c>
      <c r="AF43" s="181" t="e">
        <f t="shared" si="8"/>
        <v>#DIV/0!</v>
      </c>
      <c r="AG43" s="181" t="e">
        <f t="shared" si="8"/>
        <v>#DIV/0!</v>
      </c>
      <c r="AH43" s="181" t="e">
        <f t="shared" si="8"/>
        <v>#DIV/0!</v>
      </c>
      <c r="AI43" s="181" t="e">
        <f t="shared" si="8"/>
        <v>#DIV/0!</v>
      </c>
      <c r="AJ43" s="181" t="e">
        <f t="shared" si="8"/>
        <v>#DIV/0!</v>
      </c>
      <c r="AK43" s="181" t="e">
        <f t="shared" si="8"/>
        <v>#DIV/0!</v>
      </c>
      <c r="AL43" s="181" t="e">
        <f t="shared" si="8"/>
        <v>#DIV/0!</v>
      </c>
      <c r="AM43" s="181" t="e">
        <f t="shared" si="8"/>
        <v>#DIV/0!</v>
      </c>
      <c r="AN43" s="181" t="e">
        <f t="shared" si="8"/>
        <v>#DIV/0!</v>
      </c>
    </row>
    <row r="44" spans="2:40" x14ac:dyDescent="0.15">
      <c r="B44" s="338"/>
      <c r="C44" s="139" t="s">
        <v>912</v>
      </c>
      <c r="D44" s="104">
        <f>SUMIFS('caseload data'!E:E,'caseload data'!$D:$D,"PSO",'caseload data'!$A:$A,"South West")</f>
        <v>0</v>
      </c>
      <c r="E44" s="104">
        <f>SUMIFS('caseload data'!F:F,'caseload data'!$D:$D,"PSO",'caseload data'!$A:$A,"South West")</f>
        <v>0</v>
      </c>
      <c r="F44" s="104">
        <f>SUMIFS('caseload data'!G:G,'caseload data'!$D:$D,"PSO",'caseload data'!$A:$A,"South West")</f>
        <v>0</v>
      </c>
      <c r="G44" s="104">
        <f>SUMIFS('caseload data'!H:H,'caseload data'!$D:$D,"PSO",'caseload data'!$A:$A,"South West")</f>
        <v>0</v>
      </c>
      <c r="H44" s="104">
        <f>SUMIFS('caseload data'!I:I,'caseload data'!$D:$D,"PSO",'caseload data'!$A:$A,"South West")</f>
        <v>0</v>
      </c>
      <c r="I44" s="104">
        <f>SUMIFS('caseload data'!J:J,'caseload data'!$D:$D,"PSO",'caseload data'!$A:$A,"South West")</f>
        <v>0</v>
      </c>
      <c r="J44" s="104">
        <f>SUMIFS('caseload data'!K:K,'caseload data'!$D:$D,"PSO",'caseload data'!$A:$A,"South West")</f>
        <v>0</v>
      </c>
      <c r="K44" s="104">
        <f>SUMIFS('caseload data'!L:L,'caseload data'!$D:$D,"PSO",'caseload data'!$A:$A,"South West")</f>
        <v>0</v>
      </c>
      <c r="L44" s="104">
        <f>SUMIFS('caseload data'!M:M,'caseload data'!$D:$D,"PSO",'caseload data'!$A:$A,"South West")</f>
        <v>0</v>
      </c>
      <c r="M44" s="104">
        <f>SUMIFS('caseload data'!N:N,'caseload data'!$D:$D,"PSO",'caseload data'!$A:$A,"South West")</f>
        <v>0</v>
      </c>
      <c r="N44" s="104">
        <f>SUMIFS('caseload data'!O:O,'caseload data'!$D:$D,"PSO",'caseload data'!$A:$A,"South West")</f>
        <v>0</v>
      </c>
      <c r="O44" s="104">
        <f>SUMIFS('caseload data'!P:P,'caseload data'!$D:$D,"PSO",'caseload data'!$A:$A,"South West")</f>
        <v>0</v>
      </c>
      <c r="P44" s="104">
        <f>SUMIFS('caseload data'!Q:Q,'caseload data'!$D:$D,"PSO",'caseload data'!$A:$A,"South West")</f>
        <v>0</v>
      </c>
      <c r="Q44" s="104">
        <f>SUMIFS('caseload data'!R:R,'caseload data'!$D:$D,"PSO",'caseload data'!$A:$A,"South West")</f>
        <v>0</v>
      </c>
      <c r="R44" s="104">
        <f>SUMIFS('caseload data'!S:S,'caseload data'!$D:$D,"PSO",'caseload data'!$A:$A,"South West")</f>
        <v>0</v>
      </c>
      <c r="S44" s="104">
        <f>SUMIFS('caseload data'!T:T,'caseload data'!$D:$D,"PSO",'caseload data'!$A:$A,"South West")</f>
        <v>0</v>
      </c>
      <c r="T44" s="104">
        <f>SUMIFS('caseload data'!V:V,'caseload data'!$D:$D,"PSO",'caseload data'!$A:$A,"South West")</f>
        <v>0</v>
      </c>
      <c r="U44" s="73"/>
      <c r="V44" s="73"/>
      <c r="W44" s="338"/>
      <c r="X44" s="139" t="s">
        <v>912</v>
      </c>
      <c r="Y44" s="181" t="e">
        <f>SUM(D44)/SUM(D$43:D$46)</f>
        <v>#DIV/0!</v>
      </c>
      <c r="Z44" s="181" t="e">
        <f t="shared" si="8"/>
        <v>#DIV/0!</v>
      </c>
      <c r="AA44" s="181" t="e">
        <f t="shared" si="8"/>
        <v>#DIV/0!</v>
      </c>
      <c r="AB44" s="181" t="e">
        <f t="shared" si="8"/>
        <v>#DIV/0!</v>
      </c>
      <c r="AC44" s="181" t="e">
        <f t="shared" si="8"/>
        <v>#DIV/0!</v>
      </c>
      <c r="AD44" s="181" t="e">
        <f t="shared" si="8"/>
        <v>#DIV/0!</v>
      </c>
      <c r="AE44" s="181" t="e">
        <f t="shared" si="8"/>
        <v>#DIV/0!</v>
      </c>
      <c r="AF44" s="181" t="e">
        <f t="shared" si="8"/>
        <v>#DIV/0!</v>
      </c>
      <c r="AG44" s="181" t="e">
        <f t="shared" si="8"/>
        <v>#DIV/0!</v>
      </c>
      <c r="AH44" s="181" t="e">
        <f t="shared" si="8"/>
        <v>#DIV/0!</v>
      </c>
      <c r="AI44" s="181" t="e">
        <f t="shared" si="8"/>
        <v>#DIV/0!</v>
      </c>
      <c r="AJ44" s="181" t="e">
        <f t="shared" si="8"/>
        <v>#DIV/0!</v>
      </c>
      <c r="AK44" s="181" t="e">
        <f t="shared" si="8"/>
        <v>#DIV/0!</v>
      </c>
      <c r="AL44" s="181" t="e">
        <f t="shared" si="8"/>
        <v>#DIV/0!</v>
      </c>
      <c r="AM44" s="181" t="e">
        <f t="shared" si="8"/>
        <v>#DIV/0!</v>
      </c>
      <c r="AN44" s="181" t="e">
        <f t="shared" si="8"/>
        <v>#DIV/0!</v>
      </c>
    </row>
    <row r="45" spans="2:40" x14ac:dyDescent="0.15">
      <c r="B45" s="338"/>
      <c r="C45" s="139" t="s">
        <v>913</v>
      </c>
      <c r="D45" s="104">
        <f>SUMIFS('caseload data'!E:E,'caseload data'!$D:$D,"TPO",'caseload data'!$A:$A,"South West")</f>
        <v>0</v>
      </c>
      <c r="E45" s="104">
        <f>SUMIFS('caseload data'!F:F,'caseload data'!$D:$D,"TPO",'caseload data'!$A:$A,"South West")</f>
        <v>0</v>
      </c>
      <c r="F45" s="104">
        <f>SUMIFS('caseload data'!G:G,'caseload data'!$D:$D,"TPO",'caseload data'!$A:$A,"South West")</f>
        <v>0</v>
      </c>
      <c r="G45" s="104">
        <f>SUMIFS('caseload data'!H:H,'caseload data'!$D:$D,"TPO",'caseload data'!$A:$A,"South West")</f>
        <v>0</v>
      </c>
      <c r="H45" s="104">
        <f>SUMIFS('caseload data'!I:I,'caseload data'!$D:$D,"TPO",'caseload data'!$A:$A,"South West")</f>
        <v>0</v>
      </c>
      <c r="I45" s="104">
        <f>SUMIFS('caseload data'!J:J,'caseload data'!$D:$D,"TPO",'caseload data'!$A:$A,"South West")</f>
        <v>0</v>
      </c>
      <c r="J45" s="104">
        <f>SUMIFS('caseload data'!K:K,'caseload data'!$D:$D,"TPO",'caseload data'!$A:$A,"South West")</f>
        <v>0</v>
      </c>
      <c r="K45" s="104">
        <f>SUMIFS('caseload data'!L:L,'caseload data'!$D:$D,"TPO",'caseload data'!$A:$A,"South West")</f>
        <v>0</v>
      </c>
      <c r="L45" s="104">
        <f>SUMIFS('caseload data'!M:M,'caseload data'!$D:$D,"TPO",'caseload data'!$A:$A,"South West")</f>
        <v>0</v>
      </c>
      <c r="M45" s="104">
        <f>SUMIFS('caseload data'!N:N,'caseload data'!$D:$D,"TPO",'caseload data'!$A:$A,"South West")</f>
        <v>0</v>
      </c>
      <c r="N45" s="104">
        <f>SUMIFS('caseload data'!O:O,'caseload data'!$D:$D,"TPO",'caseload data'!$A:$A,"South West")</f>
        <v>0</v>
      </c>
      <c r="O45" s="104">
        <f>SUMIFS('caseload data'!P:P,'caseload data'!$D:$D,"TPO",'caseload data'!$A:$A,"South West")</f>
        <v>0</v>
      </c>
      <c r="P45" s="104">
        <f>SUMIFS('caseload data'!Q:Q,'caseload data'!$D:$D,"TPO",'caseload data'!$A:$A,"South West")</f>
        <v>0</v>
      </c>
      <c r="Q45" s="104">
        <f>SUMIFS('caseload data'!R:R,'caseload data'!$D:$D,"TPO",'caseload data'!$A:$A,"South West")</f>
        <v>0</v>
      </c>
      <c r="R45" s="104">
        <f>SUMIFS('caseload data'!S:S,'caseload data'!$D:$D,"TPO",'caseload data'!$A:$A,"South West")</f>
        <v>0</v>
      </c>
      <c r="S45" s="104">
        <f>SUMIFS('caseload data'!T:T,'caseload data'!$D:$D,"TPO",'caseload data'!$A:$A,"South West")</f>
        <v>0</v>
      </c>
      <c r="T45" s="104">
        <f>SUMIFS('caseload data'!V:V,'caseload data'!$D:$D,"TPO",'caseload data'!$A:$A,"South West")</f>
        <v>0</v>
      </c>
      <c r="U45" s="73"/>
      <c r="V45" s="73"/>
      <c r="W45" s="338"/>
      <c r="X45" s="139" t="s">
        <v>913</v>
      </c>
      <c r="Y45" s="181" t="e">
        <f>SUM(D45)/SUM(D$43:D$46)</f>
        <v>#DIV/0!</v>
      </c>
      <c r="Z45" s="181" t="e">
        <f t="shared" si="8"/>
        <v>#DIV/0!</v>
      </c>
      <c r="AA45" s="181" t="e">
        <f t="shared" si="8"/>
        <v>#DIV/0!</v>
      </c>
      <c r="AB45" s="181" t="e">
        <f t="shared" si="8"/>
        <v>#DIV/0!</v>
      </c>
      <c r="AC45" s="181" t="e">
        <f t="shared" si="8"/>
        <v>#DIV/0!</v>
      </c>
      <c r="AD45" s="181" t="e">
        <f t="shared" si="8"/>
        <v>#DIV/0!</v>
      </c>
      <c r="AE45" s="181" t="e">
        <f t="shared" si="8"/>
        <v>#DIV/0!</v>
      </c>
      <c r="AF45" s="181" t="e">
        <f t="shared" si="8"/>
        <v>#DIV/0!</v>
      </c>
      <c r="AG45" s="181" t="e">
        <f t="shared" si="8"/>
        <v>#DIV/0!</v>
      </c>
      <c r="AH45" s="181" t="e">
        <f t="shared" si="8"/>
        <v>#DIV/0!</v>
      </c>
      <c r="AI45" s="181" t="e">
        <f t="shared" si="8"/>
        <v>#DIV/0!</v>
      </c>
      <c r="AJ45" s="181" t="e">
        <f t="shared" si="8"/>
        <v>#DIV/0!</v>
      </c>
      <c r="AK45" s="181" t="e">
        <f t="shared" si="8"/>
        <v>#DIV/0!</v>
      </c>
      <c r="AL45" s="181" t="e">
        <f t="shared" si="8"/>
        <v>#DIV/0!</v>
      </c>
      <c r="AM45" s="181" t="e">
        <f t="shared" si="8"/>
        <v>#DIV/0!</v>
      </c>
      <c r="AN45" s="181" t="e">
        <f t="shared" si="8"/>
        <v>#DIV/0!</v>
      </c>
    </row>
    <row r="46" spans="2:40" x14ac:dyDescent="0.15">
      <c r="B46" s="339"/>
      <c r="C46" s="140" t="s">
        <v>914</v>
      </c>
      <c r="D46" s="104">
        <f>SUMIFS('caseload data'!E:E,'caseload data'!$D:$D,"SPO",'caseload data'!$A:$A,"South West")</f>
        <v>0</v>
      </c>
      <c r="E46" s="104">
        <f>SUMIFS('caseload data'!F:F,'caseload data'!$D:$D,"SPO",'caseload data'!$A:$A,"South West")</f>
        <v>0</v>
      </c>
      <c r="F46" s="104">
        <f>SUMIFS('caseload data'!G:G,'caseload data'!$D:$D,"SPO",'caseload data'!$A:$A,"South West")</f>
        <v>0</v>
      </c>
      <c r="G46" s="104">
        <f>SUMIFS('caseload data'!H:H,'caseload data'!$D:$D,"SPO",'caseload data'!$A:$A,"South West")</f>
        <v>0</v>
      </c>
      <c r="H46" s="104">
        <f>SUMIFS('caseload data'!I:I,'caseload data'!$D:$D,"SPO",'caseload data'!$A:$A,"South West")</f>
        <v>0</v>
      </c>
      <c r="I46" s="104">
        <f>SUMIFS('caseload data'!J:J,'caseload data'!$D:$D,"SPO",'caseload data'!$A:$A,"South West")</f>
        <v>0</v>
      </c>
      <c r="J46" s="104">
        <f>SUMIFS('caseload data'!K:K,'caseload data'!$D:$D,"SPO",'caseload data'!$A:$A,"South West")</f>
        <v>0</v>
      </c>
      <c r="K46" s="104">
        <f>SUMIFS('caseload data'!L:L,'caseload data'!$D:$D,"SPO",'caseload data'!$A:$A,"South West")</f>
        <v>0</v>
      </c>
      <c r="L46" s="104">
        <f>SUMIFS('caseload data'!M:M,'caseload data'!$D:$D,"SPO",'caseload data'!$A:$A,"South West")</f>
        <v>0</v>
      </c>
      <c r="M46" s="104">
        <f>SUMIFS('caseload data'!N:N,'caseload data'!$D:$D,"SPO",'caseload data'!$A:$A,"South West")</f>
        <v>0</v>
      </c>
      <c r="N46" s="104">
        <f>SUMIFS('caseload data'!O:O,'caseload data'!$D:$D,"SPO",'caseload data'!$A:$A,"South West")</f>
        <v>0</v>
      </c>
      <c r="O46" s="104">
        <f>SUMIFS('caseload data'!P:P,'caseload data'!$D:$D,"SPO",'caseload data'!$A:$A,"South West")</f>
        <v>0</v>
      </c>
      <c r="P46" s="104">
        <f>SUMIFS('caseload data'!Q:Q,'caseload data'!$D:$D,"SPO",'caseload data'!$A:$A,"South West")</f>
        <v>0</v>
      </c>
      <c r="Q46" s="104">
        <f>SUMIFS('caseload data'!R:R,'caseload data'!$D:$D,"SPO",'caseload data'!$A:$A,"South West")</f>
        <v>0</v>
      </c>
      <c r="R46" s="104">
        <f>SUMIFS('caseload data'!S:S,'caseload data'!$D:$D,"SPO",'caseload data'!$A:$A,"South West")</f>
        <v>0</v>
      </c>
      <c r="S46" s="104">
        <f>SUMIFS('caseload data'!T:T,'caseload data'!$D:$D,"SPO",'caseload data'!$A:$A,"South West")</f>
        <v>0</v>
      </c>
      <c r="T46" s="104">
        <f>SUMIFS('caseload data'!V:V,'caseload data'!$D:$D,"SPO",'caseload data'!$A:$A,"South West")</f>
        <v>0</v>
      </c>
      <c r="U46" s="73"/>
      <c r="V46" s="73"/>
      <c r="W46" s="339"/>
      <c r="X46" s="140" t="s">
        <v>914</v>
      </c>
      <c r="Y46" s="181" t="e">
        <f>SUM(D46)/SUM(D$43:D$46)</f>
        <v>#DIV/0!</v>
      </c>
      <c r="Z46" s="181" t="e">
        <f t="shared" si="8"/>
        <v>#DIV/0!</v>
      </c>
      <c r="AA46" s="181" t="e">
        <f t="shared" si="8"/>
        <v>#DIV/0!</v>
      </c>
      <c r="AB46" s="181" t="e">
        <f t="shared" si="8"/>
        <v>#DIV/0!</v>
      </c>
      <c r="AC46" s="181" t="e">
        <f t="shared" si="8"/>
        <v>#DIV/0!</v>
      </c>
      <c r="AD46" s="181" t="e">
        <f t="shared" si="8"/>
        <v>#DIV/0!</v>
      </c>
      <c r="AE46" s="181" t="e">
        <f t="shared" si="8"/>
        <v>#DIV/0!</v>
      </c>
      <c r="AF46" s="181" t="e">
        <f t="shared" si="8"/>
        <v>#DIV/0!</v>
      </c>
      <c r="AG46" s="181" t="e">
        <f t="shared" si="8"/>
        <v>#DIV/0!</v>
      </c>
      <c r="AH46" s="181" t="e">
        <f t="shared" si="8"/>
        <v>#DIV/0!</v>
      </c>
      <c r="AI46" s="181" t="e">
        <f t="shared" si="8"/>
        <v>#DIV/0!</v>
      </c>
      <c r="AJ46" s="181" t="e">
        <f t="shared" si="8"/>
        <v>#DIV/0!</v>
      </c>
      <c r="AK46" s="181" t="e">
        <f t="shared" si="8"/>
        <v>#DIV/0!</v>
      </c>
      <c r="AL46" s="181" t="e">
        <f t="shared" si="8"/>
        <v>#DIV/0!</v>
      </c>
      <c r="AM46" s="181" t="e">
        <f t="shared" si="8"/>
        <v>#DIV/0!</v>
      </c>
      <c r="AN46" s="181" t="e">
        <f t="shared" si="8"/>
        <v>#DIV/0!</v>
      </c>
    </row>
    <row r="47" spans="2:40" x14ac:dyDescent="0.15">
      <c r="B47" s="337" t="s">
        <v>29</v>
      </c>
      <c r="C47" s="138" t="s">
        <v>911</v>
      </c>
      <c r="D47" s="104">
        <f>SUMIFS('caseload data'!E:E,'caseload data'!$D:$D,"PO",'caseload data'!$A:$A,$B$47)</f>
        <v>0</v>
      </c>
      <c r="E47" s="104">
        <f>SUMIFS('caseload data'!F:F,'caseload data'!$D:$D,"PO",'caseload data'!$A:$A,$B$47)</f>
        <v>0</v>
      </c>
      <c r="F47" s="104">
        <f>SUMIFS('caseload data'!G:G,'caseload data'!$D:$D,"PO",'caseload data'!$A:$A,$B$47)</f>
        <v>0</v>
      </c>
      <c r="G47" s="104">
        <f>SUMIFS('caseload data'!H:H,'caseload data'!$D:$D,"PO",'caseload data'!$A:$A,$B$47)</f>
        <v>0</v>
      </c>
      <c r="H47" s="104">
        <f>SUMIFS('caseload data'!I:I,'caseload data'!$D:$D,"PO",'caseload data'!$A:$A,$B$47)</f>
        <v>0</v>
      </c>
      <c r="I47" s="104">
        <f>SUMIFS('caseload data'!J:J,'caseload data'!$D:$D,"PO",'caseload data'!$A:$A,$B$47)</f>
        <v>0</v>
      </c>
      <c r="J47" s="104">
        <f>SUMIFS('caseload data'!K:K,'caseload data'!$D:$D,"PO",'caseload data'!$A:$A,$B$47)</f>
        <v>0</v>
      </c>
      <c r="K47" s="104">
        <f>SUMIFS('caseload data'!L:L,'caseload data'!$D:$D,"PO",'caseload data'!$A:$A,$B$47)</f>
        <v>0</v>
      </c>
      <c r="L47" s="104">
        <f>SUMIFS('caseload data'!M:M,'caseload data'!$D:$D,"PO",'caseload data'!$A:$A,$B$47)</f>
        <v>0</v>
      </c>
      <c r="M47" s="104">
        <f>SUMIFS('caseload data'!N:N,'caseload data'!$D:$D,"PO",'caseload data'!$A:$A,$B$47)</f>
        <v>0</v>
      </c>
      <c r="N47" s="104">
        <f>SUMIFS('caseload data'!O:O,'caseload data'!$D:$D,"PO",'caseload data'!$A:$A,$B$47)</f>
        <v>0</v>
      </c>
      <c r="O47" s="104">
        <f>SUMIFS('caseload data'!P:P,'caseload data'!$D:$D,"PO",'caseload data'!$A:$A,$B$47)</f>
        <v>0</v>
      </c>
      <c r="P47" s="104">
        <f>SUMIFS('caseload data'!Q:Q,'caseload data'!$D:$D,"PO",'caseload data'!$A:$A,$B$47)</f>
        <v>0</v>
      </c>
      <c r="Q47" s="104">
        <f>SUMIFS('caseload data'!R:R,'caseload data'!$D:$D,"PO",'caseload data'!$A:$A,$B$47)</f>
        <v>0</v>
      </c>
      <c r="R47" s="104">
        <f>SUMIFS('caseload data'!S:S,'caseload data'!$D:$D,"PO",'caseload data'!$A:$A,$B$47)</f>
        <v>0</v>
      </c>
      <c r="S47" s="104">
        <f>SUMIFS('caseload data'!T:T,'caseload data'!$D:$D,"PO",'caseload data'!$A:$A,$B$47)</f>
        <v>0</v>
      </c>
      <c r="T47" s="104">
        <f>SUMIFS('caseload data'!V:V,'caseload data'!$D:$D,"PO",'caseload data'!$A:$A,B47)</f>
        <v>0</v>
      </c>
      <c r="U47" s="73"/>
      <c r="V47" s="73"/>
      <c r="W47" s="337" t="s">
        <v>29</v>
      </c>
      <c r="X47" s="138" t="s">
        <v>911</v>
      </c>
      <c r="Y47" s="181" t="e">
        <f>SUM(D47)/SUM(D$47:D$50)</f>
        <v>#DIV/0!</v>
      </c>
      <c r="Z47" s="181" t="e">
        <f t="shared" ref="Z47:AN50" si="9">SUM(E47)/SUM(E$47:E$50)</f>
        <v>#DIV/0!</v>
      </c>
      <c r="AA47" s="181" t="e">
        <f t="shared" si="9"/>
        <v>#DIV/0!</v>
      </c>
      <c r="AB47" s="181" t="e">
        <f t="shared" si="9"/>
        <v>#DIV/0!</v>
      </c>
      <c r="AC47" s="181" t="e">
        <f t="shared" si="9"/>
        <v>#DIV/0!</v>
      </c>
      <c r="AD47" s="181" t="e">
        <f t="shared" si="9"/>
        <v>#DIV/0!</v>
      </c>
      <c r="AE47" s="181" t="e">
        <f t="shared" si="9"/>
        <v>#DIV/0!</v>
      </c>
      <c r="AF47" s="181" t="e">
        <f t="shared" si="9"/>
        <v>#DIV/0!</v>
      </c>
      <c r="AG47" s="181" t="e">
        <f t="shared" si="9"/>
        <v>#DIV/0!</v>
      </c>
      <c r="AH47" s="181" t="e">
        <f t="shared" si="9"/>
        <v>#DIV/0!</v>
      </c>
      <c r="AI47" s="181" t="e">
        <f t="shared" si="9"/>
        <v>#DIV/0!</v>
      </c>
      <c r="AJ47" s="181" t="e">
        <f t="shared" si="9"/>
        <v>#DIV/0!</v>
      </c>
      <c r="AK47" s="181" t="e">
        <f t="shared" si="9"/>
        <v>#DIV/0!</v>
      </c>
      <c r="AL47" s="181" t="e">
        <f t="shared" si="9"/>
        <v>#DIV/0!</v>
      </c>
      <c r="AM47" s="181" t="e">
        <f t="shared" si="9"/>
        <v>#DIV/0!</v>
      </c>
      <c r="AN47" s="181" t="e">
        <f t="shared" si="9"/>
        <v>#DIV/0!</v>
      </c>
    </row>
    <row r="48" spans="2:40" x14ac:dyDescent="0.15">
      <c r="B48" s="338"/>
      <c r="C48" s="139" t="s">
        <v>912</v>
      </c>
      <c r="D48" s="104">
        <f>SUMIFS('caseload data'!E:E,'caseload data'!$D:$D,"PSO",'caseload data'!$A:$A,"Wales")</f>
        <v>0</v>
      </c>
      <c r="E48" s="104">
        <f>SUMIFS('caseload data'!F:F,'caseload data'!$D:$D,"PSO",'caseload data'!$A:$A,"Wales")</f>
        <v>0</v>
      </c>
      <c r="F48" s="104">
        <f>SUMIFS('caseload data'!G:G,'caseload data'!$D:$D,"PSO",'caseload data'!$A:$A,"Wales")</f>
        <v>0</v>
      </c>
      <c r="G48" s="104">
        <f>SUMIFS('caseload data'!H:H,'caseload data'!$D:$D,"PSO",'caseload data'!$A:$A,"Wales")</f>
        <v>0</v>
      </c>
      <c r="H48" s="104">
        <f>SUMIFS('caseload data'!I:I,'caseload data'!$D:$D,"PSO",'caseload data'!$A:$A,"Wales")</f>
        <v>0</v>
      </c>
      <c r="I48" s="104">
        <f>SUMIFS('caseload data'!J:J,'caseload data'!$D:$D,"PSO",'caseload data'!$A:$A,"Wales")</f>
        <v>0</v>
      </c>
      <c r="J48" s="104">
        <f>SUMIFS('caseload data'!K:K,'caseload data'!$D:$D,"PSO",'caseload data'!$A:$A,"Wales")</f>
        <v>0</v>
      </c>
      <c r="K48" s="104">
        <f>SUMIFS('caseload data'!L:L,'caseload data'!$D:$D,"PSO",'caseload data'!$A:$A,"Wales")</f>
        <v>0</v>
      </c>
      <c r="L48" s="104">
        <f>SUMIFS('caseload data'!M:M,'caseload data'!$D:$D,"PSO",'caseload data'!$A:$A,"Wales")</f>
        <v>0</v>
      </c>
      <c r="M48" s="104">
        <f>SUMIFS('caseload data'!N:N,'caseload data'!$D:$D,"PSO",'caseload data'!$A:$A,"Wales")</f>
        <v>0</v>
      </c>
      <c r="N48" s="104">
        <f>SUMIFS('caseload data'!O:O,'caseload data'!$D:$D,"PSO",'caseload data'!$A:$A,"Wales")</f>
        <v>0</v>
      </c>
      <c r="O48" s="104">
        <f>SUMIFS('caseload data'!P:P,'caseload data'!$D:$D,"PSO",'caseload data'!$A:$A,"Wales")</f>
        <v>0</v>
      </c>
      <c r="P48" s="104">
        <f>SUMIFS('caseload data'!Q:Q,'caseload data'!$D:$D,"PSO",'caseload data'!$A:$A,"Wales")</f>
        <v>0</v>
      </c>
      <c r="Q48" s="104">
        <f>SUMIFS('caseload data'!R:R,'caseload data'!$D:$D,"PSO",'caseload data'!$A:$A,"Wales")</f>
        <v>0</v>
      </c>
      <c r="R48" s="104">
        <f>SUMIFS('caseload data'!S:S,'caseload data'!$D:$D,"PSO",'caseload data'!$A:$A,"Wales")</f>
        <v>0</v>
      </c>
      <c r="S48" s="104">
        <f>SUMIFS('caseload data'!T:T,'caseload data'!$D:$D,"PSO",'caseload data'!$A:$A,"Wales")</f>
        <v>0</v>
      </c>
      <c r="T48" s="104">
        <f>SUMIFS('caseload data'!V:V,'caseload data'!$D:$D,"PSO",'caseload data'!$A:$A,"Wales")</f>
        <v>0</v>
      </c>
      <c r="U48" s="73"/>
      <c r="V48" s="73"/>
      <c r="W48" s="338"/>
      <c r="X48" s="139" t="s">
        <v>912</v>
      </c>
      <c r="Y48" s="181" t="e">
        <f>SUM(D48)/SUM(D$47:D$50)</f>
        <v>#DIV/0!</v>
      </c>
      <c r="Z48" s="181" t="e">
        <f t="shared" si="9"/>
        <v>#DIV/0!</v>
      </c>
      <c r="AA48" s="181" t="e">
        <f t="shared" si="9"/>
        <v>#DIV/0!</v>
      </c>
      <c r="AB48" s="181" t="e">
        <f t="shared" si="9"/>
        <v>#DIV/0!</v>
      </c>
      <c r="AC48" s="181" t="e">
        <f t="shared" si="9"/>
        <v>#DIV/0!</v>
      </c>
      <c r="AD48" s="181" t="e">
        <f t="shared" si="9"/>
        <v>#DIV/0!</v>
      </c>
      <c r="AE48" s="181" t="e">
        <f t="shared" si="9"/>
        <v>#DIV/0!</v>
      </c>
      <c r="AF48" s="181" t="e">
        <f t="shared" si="9"/>
        <v>#DIV/0!</v>
      </c>
      <c r="AG48" s="181" t="e">
        <f t="shared" si="9"/>
        <v>#DIV/0!</v>
      </c>
      <c r="AH48" s="181" t="e">
        <f t="shared" si="9"/>
        <v>#DIV/0!</v>
      </c>
      <c r="AI48" s="181" t="e">
        <f t="shared" si="9"/>
        <v>#DIV/0!</v>
      </c>
      <c r="AJ48" s="181" t="e">
        <f t="shared" si="9"/>
        <v>#DIV/0!</v>
      </c>
      <c r="AK48" s="181" t="e">
        <f t="shared" si="9"/>
        <v>#DIV/0!</v>
      </c>
      <c r="AL48" s="181" t="e">
        <f t="shared" si="9"/>
        <v>#DIV/0!</v>
      </c>
      <c r="AM48" s="181" t="e">
        <f t="shared" si="9"/>
        <v>#DIV/0!</v>
      </c>
      <c r="AN48" s="181" t="e">
        <f t="shared" si="9"/>
        <v>#DIV/0!</v>
      </c>
    </row>
    <row r="49" spans="2:40" x14ac:dyDescent="0.15">
      <c r="B49" s="338"/>
      <c r="C49" s="139" t="s">
        <v>913</v>
      </c>
      <c r="D49" s="104">
        <f>SUMIFS('caseload data'!E:E,'caseload data'!$D:$D,"TPO",'caseload data'!$A:$A,"Wales")</f>
        <v>0</v>
      </c>
      <c r="E49" s="104">
        <f>SUMIFS('caseload data'!F:F,'caseload data'!$D:$D,"TPO",'caseload data'!$A:$A,"Wales")</f>
        <v>0</v>
      </c>
      <c r="F49" s="104">
        <f>SUMIFS('caseload data'!G:G,'caseload data'!$D:$D,"TPO",'caseload data'!$A:$A,"Wales")</f>
        <v>0</v>
      </c>
      <c r="G49" s="104">
        <f>SUMIFS('caseload data'!H:H,'caseload data'!$D:$D,"TPO",'caseload data'!$A:$A,"Wales")</f>
        <v>0</v>
      </c>
      <c r="H49" s="104">
        <f>SUMIFS('caseload data'!I:I,'caseload data'!$D:$D,"TPO",'caseload data'!$A:$A,"Wales")</f>
        <v>0</v>
      </c>
      <c r="I49" s="104">
        <f>SUMIFS('caseload data'!J:J,'caseload data'!$D:$D,"TPO",'caseload data'!$A:$A,"Wales")</f>
        <v>0</v>
      </c>
      <c r="J49" s="104">
        <f>SUMIFS('caseload data'!K:K,'caseload data'!$D:$D,"TPO",'caseload data'!$A:$A,"Wales")</f>
        <v>0</v>
      </c>
      <c r="K49" s="104">
        <f>SUMIFS('caseload data'!L:L,'caseload data'!$D:$D,"TPO",'caseload data'!$A:$A,"Wales")</f>
        <v>0</v>
      </c>
      <c r="L49" s="104">
        <f>SUMIFS('caseload data'!M:M,'caseload data'!$D:$D,"TPO",'caseload data'!$A:$A,"Wales")</f>
        <v>0</v>
      </c>
      <c r="M49" s="104">
        <f>SUMIFS('caseload data'!N:N,'caseload data'!$D:$D,"TPO",'caseload data'!$A:$A,"Wales")</f>
        <v>0</v>
      </c>
      <c r="N49" s="104">
        <f>SUMIFS('caseload data'!O:O,'caseload data'!$D:$D,"TPO",'caseload data'!$A:$A,"Wales")</f>
        <v>0</v>
      </c>
      <c r="O49" s="104">
        <f>SUMIFS('caseload data'!P:P,'caseload data'!$D:$D,"TPO",'caseload data'!$A:$A,"Wales")</f>
        <v>0</v>
      </c>
      <c r="P49" s="104">
        <f>SUMIFS('caseload data'!Q:Q,'caseload data'!$D:$D,"TPO",'caseload data'!$A:$A,"Wales")</f>
        <v>0</v>
      </c>
      <c r="Q49" s="104">
        <f>SUMIFS('caseload data'!R:R,'caseload data'!$D:$D,"TPO",'caseload data'!$A:$A,"Wales")</f>
        <v>0</v>
      </c>
      <c r="R49" s="104">
        <f>SUMIFS('caseload data'!S:S,'caseload data'!$D:$D,"TPO",'caseload data'!$A:$A,"Wales")</f>
        <v>0</v>
      </c>
      <c r="S49" s="104">
        <f>SUMIFS('caseload data'!T:T,'caseload data'!$D:$D,"TPO",'caseload data'!$A:$A,"Wales")</f>
        <v>0</v>
      </c>
      <c r="T49" s="104">
        <f>SUMIFS('caseload data'!V:V,'caseload data'!$D:$D,"TPO",'caseload data'!$A:$A,"Wales")</f>
        <v>0</v>
      </c>
      <c r="U49" s="73"/>
      <c r="V49" s="73"/>
      <c r="W49" s="338"/>
      <c r="X49" s="139" t="s">
        <v>913</v>
      </c>
      <c r="Y49" s="181" t="e">
        <f>SUM(D49)/SUM(D$47:D$50)</f>
        <v>#DIV/0!</v>
      </c>
      <c r="Z49" s="181" t="e">
        <f t="shared" si="9"/>
        <v>#DIV/0!</v>
      </c>
      <c r="AA49" s="181" t="e">
        <f t="shared" si="9"/>
        <v>#DIV/0!</v>
      </c>
      <c r="AB49" s="181" t="e">
        <f t="shared" si="9"/>
        <v>#DIV/0!</v>
      </c>
      <c r="AC49" s="181" t="e">
        <f t="shared" si="9"/>
        <v>#DIV/0!</v>
      </c>
      <c r="AD49" s="181" t="e">
        <f t="shared" si="9"/>
        <v>#DIV/0!</v>
      </c>
      <c r="AE49" s="181" t="e">
        <f t="shared" si="9"/>
        <v>#DIV/0!</v>
      </c>
      <c r="AF49" s="181" t="e">
        <f t="shared" si="9"/>
        <v>#DIV/0!</v>
      </c>
      <c r="AG49" s="181" t="e">
        <f t="shared" si="9"/>
        <v>#DIV/0!</v>
      </c>
      <c r="AH49" s="181" t="e">
        <f t="shared" si="9"/>
        <v>#DIV/0!</v>
      </c>
      <c r="AI49" s="181" t="e">
        <f t="shared" si="9"/>
        <v>#DIV/0!</v>
      </c>
      <c r="AJ49" s="181" t="e">
        <f t="shared" si="9"/>
        <v>#DIV/0!</v>
      </c>
      <c r="AK49" s="181" t="e">
        <f t="shared" si="9"/>
        <v>#DIV/0!</v>
      </c>
      <c r="AL49" s="181" t="e">
        <f t="shared" si="9"/>
        <v>#DIV/0!</v>
      </c>
      <c r="AM49" s="181" t="e">
        <f t="shared" si="9"/>
        <v>#DIV/0!</v>
      </c>
      <c r="AN49" s="181" t="e">
        <f t="shared" si="9"/>
        <v>#DIV/0!</v>
      </c>
    </row>
    <row r="50" spans="2:40" x14ac:dyDescent="0.15">
      <c r="B50" s="339"/>
      <c r="C50" s="140" t="s">
        <v>914</v>
      </c>
      <c r="D50" s="104">
        <f>SUMIFS('caseload data'!E:E,'caseload data'!$D:$D,"SPO",'caseload data'!$A:$A,"Wales")</f>
        <v>0</v>
      </c>
      <c r="E50" s="104">
        <f>SUMIFS('caseload data'!F:F,'caseload data'!$D:$D,"SPO",'caseload data'!$A:$A,"Wales")</f>
        <v>0</v>
      </c>
      <c r="F50" s="104">
        <f>SUMIFS('caseload data'!G:G,'caseload data'!$D:$D,"SPO",'caseload data'!$A:$A,"Wales")</f>
        <v>0</v>
      </c>
      <c r="G50" s="104">
        <f>SUMIFS('caseload data'!H:H,'caseload data'!$D:$D,"SPO",'caseload data'!$A:$A,"Wales")</f>
        <v>0</v>
      </c>
      <c r="H50" s="104">
        <f>SUMIFS('caseload data'!I:I,'caseload data'!$D:$D,"SPO",'caseload data'!$A:$A,"Wales")</f>
        <v>0</v>
      </c>
      <c r="I50" s="104">
        <f>SUMIFS('caseload data'!J:J,'caseload data'!$D:$D,"SPO",'caseload data'!$A:$A,"Wales")</f>
        <v>0</v>
      </c>
      <c r="J50" s="104">
        <f>SUMIFS('caseload data'!K:K,'caseload data'!$D:$D,"SPO",'caseload data'!$A:$A,"Wales")</f>
        <v>0</v>
      </c>
      <c r="K50" s="104">
        <f>SUMIFS('caseload data'!L:L,'caseload data'!$D:$D,"SPO",'caseload data'!$A:$A,"Wales")</f>
        <v>0</v>
      </c>
      <c r="L50" s="104">
        <f>SUMIFS('caseload data'!M:M,'caseload data'!$D:$D,"SPO",'caseload data'!$A:$A,"Wales")</f>
        <v>0</v>
      </c>
      <c r="M50" s="104">
        <f>SUMIFS('caseload data'!N:N,'caseload data'!$D:$D,"SPO",'caseload data'!$A:$A,"Wales")</f>
        <v>0</v>
      </c>
      <c r="N50" s="104">
        <f>SUMIFS('caseload data'!O:O,'caseload data'!$D:$D,"SPO",'caseload data'!$A:$A,"Wales")</f>
        <v>0</v>
      </c>
      <c r="O50" s="104">
        <f>SUMIFS('caseload data'!P:P,'caseload data'!$D:$D,"SPO",'caseload data'!$A:$A,"Wales")</f>
        <v>0</v>
      </c>
      <c r="P50" s="104">
        <f>SUMIFS('caseload data'!Q:Q,'caseload data'!$D:$D,"SPO",'caseload data'!$A:$A,"Wales")</f>
        <v>0</v>
      </c>
      <c r="Q50" s="104">
        <f>SUMIFS('caseload data'!R:R,'caseload data'!$D:$D,"SPO",'caseload data'!$A:$A,"Wales")</f>
        <v>0</v>
      </c>
      <c r="R50" s="104">
        <f>SUMIFS('caseload data'!S:S,'caseload data'!$D:$D,"SPO",'caseload data'!$A:$A,"Wales")</f>
        <v>0</v>
      </c>
      <c r="S50" s="104">
        <f>SUMIFS('caseload data'!T:T,'caseload data'!$D:$D,"SPO",'caseload data'!$A:$A,"Wales")</f>
        <v>0</v>
      </c>
      <c r="T50" s="104">
        <f>SUMIFS('caseload data'!V:V,'caseload data'!$D:$D,"SPO",'caseload data'!$A:$A,"Wales")</f>
        <v>0</v>
      </c>
      <c r="U50" s="73"/>
      <c r="V50" s="73"/>
      <c r="W50" s="339"/>
      <c r="X50" s="140" t="s">
        <v>914</v>
      </c>
      <c r="Y50" s="181" t="e">
        <f>SUM(D50)/SUM(D$47:D$50)</f>
        <v>#DIV/0!</v>
      </c>
      <c r="Z50" s="181" t="e">
        <f t="shared" si="9"/>
        <v>#DIV/0!</v>
      </c>
      <c r="AA50" s="181" t="e">
        <f t="shared" si="9"/>
        <v>#DIV/0!</v>
      </c>
      <c r="AB50" s="181" t="e">
        <f t="shared" si="9"/>
        <v>#DIV/0!</v>
      </c>
      <c r="AC50" s="181" t="e">
        <f t="shared" si="9"/>
        <v>#DIV/0!</v>
      </c>
      <c r="AD50" s="181" t="e">
        <f t="shared" si="9"/>
        <v>#DIV/0!</v>
      </c>
      <c r="AE50" s="181" t="e">
        <f t="shared" si="9"/>
        <v>#DIV/0!</v>
      </c>
      <c r="AF50" s="181" t="e">
        <f t="shared" si="9"/>
        <v>#DIV/0!</v>
      </c>
      <c r="AG50" s="181" t="e">
        <f t="shared" si="9"/>
        <v>#DIV/0!</v>
      </c>
      <c r="AH50" s="181" t="e">
        <f t="shared" si="9"/>
        <v>#DIV/0!</v>
      </c>
      <c r="AI50" s="181" t="e">
        <f t="shared" si="9"/>
        <v>#DIV/0!</v>
      </c>
      <c r="AJ50" s="181" t="e">
        <f t="shared" si="9"/>
        <v>#DIV/0!</v>
      </c>
      <c r="AK50" s="181" t="e">
        <f t="shared" si="9"/>
        <v>#DIV/0!</v>
      </c>
      <c r="AL50" s="181" t="e">
        <f t="shared" si="9"/>
        <v>#DIV/0!</v>
      </c>
      <c r="AM50" s="181" t="e">
        <f t="shared" si="9"/>
        <v>#DIV/0!</v>
      </c>
      <c r="AN50" s="181" t="e">
        <f t="shared" si="9"/>
        <v>#DIV/0!</v>
      </c>
    </row>
    <row r="51" spans="2:40" x14ac:dyDescent="0.15">
      <c r="B51" s="337" t="s">
        <v>30</v>
      </c>
      <c r="C51" s="138" t="s">
        <v>911</v>
      </c>
      <c r="D51" s="104">
        <f>SUMIFS('caseload data'!E:E,'caseload data'!$D:$D,"PO",'caseload data'!$A:$A,$B$51)</f>
        <v>0</v>
      </c>
      <c r="E51" s="104">
        <f>SUMIFS('caseload data'!F:F,'caseload data'!$D:$D,"PO",'caseload data'!$A:$A,$B$51)</f>
        <v>0</v>
      </c>
      <c r="F51" s="104">
        <f>SUMIFS('caseload data'!G:G,'caseload data'!$D:$D,"PO",'caseload data'!$A:$A,$B$51)</f>
        <v>0</v>
      </c>
      <c r="G51" s="104">
        <f>SUMIFS('caseload data'!H:H,'caseload data'!$D:$D,"PO",'caseload data'!$A:$A,$B$51)</f>
        <v>0</v>
      </c>
      <c r="H51" s="104">
        <f>SUMIFS('caseload data'!I:I,'caseload data'!$D:$D,"PO",'caseload data'!$A:$A,$B$51)</f>
        <v>0</v>
      </c>
      <c r="I51" s="104">
        <f>SUMIFS('caseload data'!J:J,'caseload data'!$D:$D,"PO",'caseload data'!$A:$A,$B$51)</f>
        <v>0</v>
      </c>
      <c r="J51" s="104">
        <f>SUMIFS('caseload data'!K:K,'caseload data'!$D:$D,"PO",'caseload data'!$A:$A,$B$51)</f>
        <v>0</v>
      </c>
      <c r="K51" s="104">
        <f>SUMIFS('caseload data'!L:L,'caseload data'!$D:$D,"PO",'caseload data'!$A:$A,$B$51)</f>
        <v>0</v>
      </c>
      <c r="L51" s="104">
        <f>SUMIFS('caseload data'!M:M,'caseload data'!$D:$D,"PO",'caseload data'!$A:$A,$B$51)</f>
        <v>0</v>
      </c>
      <c r="M51" s="104">
        <f>SUMIFS('caseload data'!N:N,'caseload data'!$D:$D,"PO",'caseload data'!$A:$A,$B$51)</f>
        <v>0</v>
      </c>
      <c r="N51" s="104">
        <f>SUMIFS('caseload data'!O:O,'caseload data'!$D:$D,"PO",'caseload data'!$A:$A,$B$51)</f>
        <v>0</v>
      </c>
      <c r="O51" s="104">
        <f>SUMIFS('caseload data'!P:P,'caseload data'!$D:$D,"PO",'caseload data'!$A:$A,$B$51)</f>
        <v>0</v>
      </c>
      <c r="P51" s="104">
        <f>SUMIFS('caseload data'!Q:Q,'caseload data'!$D:$D,"PO",'caseload data'!$A:$A,$B$51)</f>
        <v>0</v>
      </c>
      <c r="Q51" s="104">
        <f>SUMIFS('caseload data'!R:R,'caseload data'!$D:$D,"PO",'caseload data'!$A:$A,$B$51)</f>
        <v>0</v>
      </c>
      <c r="R51" s="104">
        <f>SUMIFS('caseload data'!S:S,'caseload data'!$D:$D,"PO",'caseload data'!$A:$A,$B$51)</f>
        <v>0</v>
      </c>
      <c r="S51" s="104">
        <f>SUMIFS('caseload data'!T:T,'caseload data'!$D:$D,"PO",'caseload data'!$A:$A,$B$51)</f>
        <v>0</v>
      </c>
      <c r="T51" s="104">
        <f>SUMIFS('caseload data'!V:V,'caseload data'!$D:$D,"PO",'caseload data'!$A:$A,B51)</f>
        <v>0</v>
      </c>
      <c r="U51" s="73"/>
      <c r="V51" s="73"/>
      <c r="W51" s="337" t="s">
        <v>30</v>
      </c>
      <c r="X51" s="138" t="s">
        <v>911</v>
      </c>
      <c r="Y51" s="181" t="e">
        <f>SUM(D51)/SUM(D$51:D$54)</f>
        <v>#DIV/0!</v>
      </c>
      <c r="Z51" s="181" t="e">
        <f t="shared" ref="Z51:AN54" si="10">SUM(E51)/SUM(E$51:E$54)</f>
        <v>#DIV/0!</v>
      </c>
      <c r="AA51" s="181" t="e">
        <f t="shared" si="10"/>
        <v>#DIV/0!</v>
      </c>
      <c r="AB51" s="181" t="e">
        <f t="shared" si="10"/>
        <v>#DIV/0!</v>
      </c>
      <c r="AC51" s="181" t="e">
        <f t="shared" si="10"/>
        <v>#DIV/0!</v>
      </c>
      <c r="AD51" s="181" t="e">
        <f t="shared" si="10"/>
        <v>#DIV/0!</v>
      </c>
      <c r="AE51" s="181" t="e">
        <f t="shared" si="10"/>
        <v>#DIV/0!</v>
      </c>
      <c r="AF51" s="181" t="e">
        <f t="shared" si="10"/>
        <v>#DIV/0!</v>
      </c>
      <c r="AG51" s="181" t="e">
        <f t="shared" si="10"/>
        <v>#DIV/0!</v>
      </c>
      <c r="AH51" s="181" t="e">
        <f t="shared" si="10"/>
        <v>#DIV/0!</v>
      </c>
      <c r="AI51" s="181" t="e">
        <f t="shared" si="10"/>
        <v>#DIV/0!</v>
      </c>
      <c r="AJ51" s="181" t="e">
        <f t="shared" si="10"/>
        <v>#DIV/0!</v>
      </c>
      <c r="AK51" s="181" t="e">
        <f t="shared" si="10"/>
        <v>#DIV/0!</v>
      </c>
      <c r="AL51" s="181" t="e">
        <f t="shared" si="10"/>
        <v>#DIV/0!</v>
      </c>
      <c r="AM51" s="181" t="e">
        <f t="shared" si="10"/>
        <v>#DIV/0!</v>
      </c>
      <c r="AN51" s="181" t="e">
        <f t="shared" si="10"/>
        <v>#DIV/0!</v>
      </c>
    </row>
    <row r="52" spans="2:40" x14ac:dyDescent="0.15">
      <c r="B52" s="338"/>
      <c r="C52" s="139" t="s">
        <v>912</v>
      </c>
      <c r="D52" s="104">
        <f>SUMIFS('caseload data'!E:E,'caseload data'!$D:$D,"PSO",'caseload data'!$A:$A,"West Midlands Region")</f>
        <v>0</v>
      </c>
      <c r="E52" s="104">
        <f>SUMIFS('caseload data'!F:F,'caseload data'!$D:$D,"PSO",'caseload data'!$A:$A,"West Midlands Region")</f>
        <v>0</v>
      </c>
      <c r="F52" s="104">
        <f>SUMIFS('caseload data'!G:G,'caseload data'!$D:$D,"PSO",'caseload data'!$A:$A,"West Midlands Region")</f>
        <v>0</v>
      </c>
      <c r="G52" s="104">
        <f>SUMIFS('caseload data'!H:H,'caseload data'!$D:$D,"PSO",'caseload data'!$A:$A,"West Midlands Region")</f>
        <v>0</v>
      </c>
      <c r="H52" s="104">
        <f>SUMIFS('caseload data'!I:I,'caseload data'!$D:$D,"PSO",'caseload data'!$A:$A,"West Midlands Region")</f>
        <v>0</v>
      </c>
      <c r="I52" s="104">
        <f>SUMIFS('caseload data'!J:J,'caseload data'!$D:$D,"PSO",'caseload data'!$A:$A,"West Midlands Region")</f>
        <v>0</v>
      </c>
      <c r="J52" s="104">
        <f>SUMIFS('caseload data'!K:K,'caseload data'!$D:$D,"PSO",'caseload data'!$A:$A,"West Midlands Region")</f>
        <v>0</v>
      </c>
      <c r="K52" s="104">
        <f>SUMIFS('caseload data'!L:L,'caseload data'!$D:$D,"PSO",'caseload data'!$A:$A,"West Midlands Region")</f>
        <v>0</v>
      </c>
      <c r="L52" s="104">
        <f>SUMIFS('caseload data'!M:M,'caseload data'!$D:$D,"PSO",'caseload data'!$A:$A,"West Midlands Region")</f>
        <v>0</v>
      </c>
      <c r="M52" s="104">
        <f>SUMIFS('caseload data'!N:N,'caseload data'!$D:$D,"PSO",'caseload data'!$A:$A,"West Midlands Region")</f>
        <v>0</v>
      </c>
      <c r="N52" s="104">
        <f>SUMIFS('caseload data'!O:O,'caseload data'!$D:$D,"PSO",'caseload data'!$A:$A,"West Midlands Region")</f>
        <v>0</v>
      </c>
      <c r="O52" s="104">
        <f>SUMIFS('caseload data'!P:P,'caseload data'!$D:$D,"PSO",'caseload data'!$A:$A,"West Midlands Region")</f>
        <v>0</v>
      </c>
      <c r="P52" s="104">
        <f>SUMIFS('caseload data'!Q:Q,'caseload data'!$D:$D,"PSO",'caseload data'!$A:$A,"West Midlands Region")</f>
        <v>0</v>
      </c>
      <c r="Q52" s="104">
        <f>SUMIFS('caseload data'!R:R,'caseload data'!$D:$D,"PSO",'caseload data'!$A:$A,"West Midlands Region")</f>
        <v>0</v>
      </c>
      <c r="R52" s="104">
        <f>SUMIFS('caseload data'!S:S,'caseload data'!$D:$D,"PSO",'caseload data'!$A:$A,"West Midlands Region")</f>
        <v>0</v>
      </c>
      <c r="S52" s="104">
        <f>SUMIFS('caseload data'!T:T,'caseload data'!$D:$D,"PSO",'caseload data'!$A:$A,"West Midlands Region")</f>
        <v>0</v>
      </c>
      <c r="T52" s="104">
        <f>SUMIFS('caseload data'!V:V,'caseload data'!$D:$D,"PSO",'caseload data'!$A:$A,"West Midlands Region")</f>
        <v>0</v>
      </c>
      <c r="U52" s="73"/>
      <c r="V52" s="73"/>
      <c r="W52" s="338"/>
      <c r="X52" s="139" t="s">
        <v>912</v>
      </c>
      <c r="Y52" s="181" t="e">
        <f>SUM(D52)/SUM(D$51:D$54)</f>
        <v>#DIV/0!</v>
      </c>
      <c r="Z52" s="181" t="e">
        <f t="shared" si="10"/>
        <v>#DIV/0!</v>
      </c>
      <c r="AA52" s="181" t="e">
        <f t="shared" si="10"/>
        <v>#DIV/0!</v>
      </c>
      <c r="AB52" s="181" t="e">
        <f t="shared" si="10"/>
        <v>#DIV/0!</v>
      </c>
      <c r="AC52" s="181" t="e">
        <f t="shared" si="10"/>
        <v>#DIV/0!</v>
      </c>
      <c r="AD52" s="181" t="e">
        <f t="shared" si="10"/>
        <v>#DIV/0!</v>
      </c>
      <c r="AE52" s="181" t="e">
        <f t="shared" si="10"/>
        <v>#DIV/0!</v>
      </c>
      <c r="AF52" s="181" t="e">
        <f t="shared" si="10"/>
        <v>#DIV/0!</v>
      </c>
      <c r="AG52" s="181" t="e">
        <f t="shared" si="10"/>
        <v>#DIV/0!</v>
      </c>
      <c r="AH52" s="181" t="e">
        <f t="shared" si="10"/>
        <v>#DIV/0!</v>
      </c>
      <c r="AI52" s="181" t="e">
        <f t="shared" si="10"/>
        <v>#DIV/0!</v>
      </c>
      <c r="AJ52" s="181" t="e">
        <f t="shared" si="10"/>
        <v>#DIV/0!</v>
      </c>
      <c r="AK52" s="181" t="e">
        <f t="shared" si="10"/>
        <v>#DIV/0!</v>
      </c>
      <c r="AL52" s="181" t="e">
        <f t="shared" si="10"/>
        <v>#DIV/0!</v>
      </c>
      <c r="AM52" s="181" t="e">
        <f t="shared" si="10"/>
        <v>#DIV/0!</v>
      </c>
      <c r="AN52" s="181" t="e">
        <f t="shared" si="10"/>
        <v>#DIV/0!</v>
      </c>
    </row>
    <row r="53" spans="2:40" x14ac:dyDescent="0.15">
      <c r="B53" s="338"/>
      <c r="C53" s="139" t="s">
        <v>913</v>
      </c>
      <c r="D53" s="104">
        <f>SUMIFS('caseload data'!E:E,'caseload data'!$D:$D,"TPO",'caseload data'!$A:$A,"West Midlands Region")</f>
        <v>0</v>
      </c>
      <c r="E53" s="104">
        <f>SUMIFS('caseload data'!F:F,'caseload data'!$D:$D,"TPO",'caseload data'!$A:$A,"West Midlands Region")</f>
        <v>0</v>
      </c>
      <c r="F53" s="104">
        <f>SUMIFS('caseload data'!G:G,'caseload data'!$D:$D,"TPO",'caseload data'!$A:$A,"West Midlands Region")</f>
        <v>0</v>
      </c>
      <c r="G53" s="104">
        <f>SUMIFS('caseload data'!H:H,'caseload data'!$D:$D,"TPO",'caseload data'!$A:$A,"West Midlands Region")</f>
        <v>0</v>
      </c>
      <c r="H53" s="104">
        <f>SUMIFS('caseload data'!I:I,'caseload data'!$D:$D,"TPO",'caseload data'!$A:$A,"West Midlands Region")</f>
        <v>0</v>
      </c>
      <c r="I53" s="104">
        <f>SUMIFS('caseload data'!J:J,'caseload data'!$D:$D,"TPO",'caseload data'!$A:$A,"West Midlands Region")</f>
        <v>0</v>
      </c>
      <c r="J53" s="104">
        <f>SUMIFS('caseload data'!K:K,'caseload data'!$D:$D,"TPO",'caseload data'!$A:$A,"West Midlands Region")</f>
        <v>0</v>
      </c>
      <c r="K53" s="104">
        <f>SUMIFS('caseload data'!L:L,'caseload data'!$D:$D,"TPO",'caseload data'!$A:$A,"West Midlands Region")</f>
        <v>0</v>
      </c>
      <c r="L53" s="104">
        <f>SUMIFS('caseload data'!M:M,'caseload data'!$D:$D,"TPO",'caseload data'!$A:$A,"West Midlands Region")</f>
        <v>0</v>
      </c>
      <c r="M53" s="104">
        <f>SUMIFS('caseload data'!N:N,'caseload data'!$D:$D,"TPO",'caseload data'!$A:$A,"West Midlands Region")</f>
        <v>0</v>
      </c>
      <c r="N53" s="104">
        <f>SUMIFS('caseload data'!O:O,'caseload data'!$D:$D,"TPO",'caseload data'!$A:$A,"West Midlands Region")</f>
        <v>0</v>
      </c>
      <c r="O53" s="104">
        <f>SUMIFS('caseload data'!P:P,'caseload data'!$D:$D,"TPO",'caseload data'!$A:$A,"West Midlands Region")</f>
        <v>0</v>
      </c>
      <c r="P53" s="104">
        <f>SUMIFS('caseload data'!Q:Q,'caseload data'!$D:$D,"TPO",'caseload data'!$A:$A,"West Midlands Region")</f>
        <v>0</v>
      </c>
      <c r="Q53" s="104">
        <f>SUMIFS('caseload data'!R:R,'caseload data'!$D:$D,"TPO",'caseload data'!$A:$A,"West Midlands Region")</f>
        <v>0</v>
      </c>
      <c r="R53" s="104">
        <f>SUMIFS('caseload data'!S:S,'caseload data'!$D:$D,"TPO",'caseload data'!$A:$A,"West Midlands Region")</f>
        <v>0</v>
      </c>
      <c r="S53" s="104">
        <f>SUMIFS('caseload data'!T:T,'caseload data'!$D:$D,"TPO",'caseload data'!$A:$A,"West Midlands Region")</f>
        <v>0</v>
      </c>
      <c r="T53" s="104">
        <f>SUMIFS('caseload data'!V:V,'caseload data'!$D:$D,"TPO",'caseload data'!$A:$A,"West Midlands Region")</f>
        <v>0</v>
      </c>
      <c r="U53" s="73"/>
      <c r="V53" s="73"/>
      <c r="W53" s="338"/>
      <c r="X53" s="139" t="s">
        <v>913</v>
      </c>
      <c r="Y53" s="181" t="e">
        <f>SUM(D53)/SUM(D$51:D$54)</f>
        <v>#DIV/0!</v>
      </c>
      <c r="Z53" s="181" t="e">
        <f t="shared" si="10"/>
        <v>#DIV/0!</v>
      </c>
      <c r="AA53" s="181" t="e">
        <f t="shared" si="10"/>
        <v>#DIV/0!</v>
      </c>
      <c r="AB53" s="181" t="e">
        <f t="shared" si="10"/>
        <v>#DIV/0!</v>
      </c>
      <c r="AC53" s="181" t="e">
        <f t="shared" si="10"/>
        <v>#DIV/0!</v>
      </c>
      <c r="AD53" s="181" t="e">
        <f t="shared" si="10"/>
        <v>#DIV/0!</v>
      </c>
      <c r="AE53" s="181" t="e">
        <f t="shared" si="10"/>
        <v>#DIV/0!</v>
      </c>
      <c r="AF53" s="181" t="e">
        <f t="shared" si="10"/>
        <v>#DIV/0!</v>
      </c>
      <c r="AG53" s="181" t="e">
        <f t="shared" si="10"/>
        <v>#DIV/0!</v>
      </c>
      <c r="AH53" s="181" t="e">
        <f t="shared" si="10"/>
        <v>#DIV/0!</v>
      </c>
      <c r="AI53" s="181" t="e">
        <f t="shared" si="10"/>
        <v>#DIV/0!</v>
      </c>
      <c r="AJ53" s="181" t="e">
        <f t="shared" si="10"/>
        <v>#DIV/0!</v>
      </c>
      <c r="AK53" s="181" t="e">
        <f t="shared" si="10"/>
        <v>#DIV/0!</v>
      </c>
      <c r="AL53" s="181" t="e">
        <f t="shared" si="10"/>
        <v>#DIV/0!</v>
      </c>
      <c r="AM53" s="181" t="e">
        <f t="shared" si="10"/>
        <v>#DIV/0!</v>
      </c>
      <c r="AN53" s="181" t="e">
        <f t="shared" si="10"/>
        <v>#DIV/0!</v>
      </c>
    </row>
    <row r="54" spans="2:40" x14ac:dyDescent="0.15">
      <c r="B54" s="339"/>
      <c r="C54" s="140" t="s">
        <v>914</v>
      </c>
      <c r="D54" s="104">
        <f>SUMIFS('caseload data'!E:E,'caseload data'!$D:$D,"SPO",'caseload data'!$A:$A,"West Midlands Region")</f>
        <v>0</v>
      </c>
      <c r="E54" s="104">
        <f>SUMIFS('caseload data'!F:F,'caseload data'!$D:$D,"SPO",'caseload data'!$A:$A,"West Midlands Region")</f>
        <v>0</v>
      </c>
      <c r="F54" s="104">
        <f>SUMIFS('caseload data'!G:G,'caseload data'!$D:$D,"SPO",'caseload data'!$A:$A,"West Midlands Region")</f>
        <v>0</v>
      </c>
      <c r="G54" s="104">
        <f>SUMIFS('caseload data'!H:H,'caseload data'!$D:$D,"SPO",'caseload data'!$A:$A,"West Midlands Region")</f>
        <v>0</v>
      </c>
      <c r="H54" s="104">
        <f>SUMIFS('caseload data'!I:I,'caseload data'!$D:$D,"SPO",'caseload data'!$A:$A,"West Midlands Region")</f>
        <v>0</v>
      </c>
      <c r="I54" s="104">
        <f>SUMIFS('caseload data'!J:J,'caseload data'!$D:$D,"SPO",'caseload data'!$A:$A,"West Midlands Region")</f>
        <v>0</v>
      </c>
      <c r="J54" s="104">
        <f>SUMIFS('caseload data'!K:K,'caseload data'!$D:$D,"SPO",'caseload data'!$A:$A,"West Midlands Region")</f>
        <v>0</v>
      </c>
      <c r="K54" s="104">
        <f>SUMIFS('caseload data'!L:L,'caseload data'!$D:$D,"SPO",'caseload data'!$A:$A,"West Midlands Region")</f>
        <v>0</v>
      </c>
      <c r="L54" s="104">
        <f>SUMIFS('caseload data'!M:M,'caseload data'!$D:$D,"SPO",'caseload data'!$A:$A,"West Midlands Region")</f>
        <v>0</v>
      </c>
      <c r="M54" s="104">
        <f>SUMIFS('caseload data'!N:N,'caseload data'!$D:$D,"SPO",'caseload data'!$A:$A,"West Midlands Region")</f>
        <v>0</v>
      </c>
      <c r="N54" s="104">
        <f>SUMIFS('caseload data'!O:O,'caseload data'!$D:$D,"SPO",'caseload data'!$A:$A,"West Midlands Region")</f>
        <v>0</v>
      </c>
      <c r="O54" s="104">
        <f>SUMIFS('caseload data'!P:P,'caseload data'!$D:$D,"SPO",'caseload data'!$A:$A,"West Midlands Region")</f>
        <v>0</v>
      </c>
      <c r="P54" s="104">
        <f>SUMIFS('caseload data'!Q:Q,'caseload data'!$D:$D,"SPO",'caseload data'!$A:$A,"West Midlands Region")</f>
        <v>0</v>
      </c>
      <c r="Q54" s="104">
        <f>SUMIFS('caseload data'!R:R,'caseload data'!$D:$D,"SPO",'caseload data'!$A:$A,"West Midlands Region")</f>
        <v>0</v>
      </c>
      <c r="R54" s="104">
        <f>SUMIFS('caseload data'!S:S,'caseload data'!$D:$D,"SPO",'caseload data'!$A:$A,"West Midlands Region")</f>
        <v>0</v>
      </c>
      <c r="S54" s="104">
        <f>SUMIFS('caseload data'!T:T,'caseload data'!$D:$D,"SPO",'caseload data'!$A:$A,"West Midlands Region")</f>
        <v>0</v>
      </c>
      <c r="T54" s="104">
        <f>SUMIFS('caseload data'!V:V,'caseload data'!$D:$D,"SPO",'caseload data'!$A:$A,"West Midlands Region")</f>
        <v>0</v>
      </c>
      <c r="U54" s="73"/>
      <c r="V54" s="73"/>
      <c r="W54" s="339"/>
      <c r="X54" s="140" t="s">
        <v>914</v>
      </c>
      <c r="Y54" s="181" t="e">
        <f>SUM(D54)/SUM(D$51:D$54)</f>
        <v>#DIV/0!</v>
      </c>
      <c r="Z54" s="181" t="e">
        <f t="shared" si="10"/>
        <v>#DIV/0!</v>
      </c>
      <c r="AA54" s="181" t="e">
        <f t="shared" si="10"/>
        <v>#DIV/0!</v>
      </c>
      <c r="AB54" s="181" t="e">
        <f t="shared" si="10"/>
        <v>#DIV/0!</v>
      </c>
      <c r="AC54" s="181" t="e">
        <f t="shared" si="10"/>
        <v>#DIV/0!</v>
      </c>
      <c r="AD54" s="181" t="e">
        <f t="shared" si="10"/>
        <v>#DIV/0!</v>
      </c>
      <c r="AE54" s="181" t="e">
        <f t="shared" si="10"/>
        <v>#DIV/0!</v>
      </c>
      <c r="AF54" s="181" t="e">
        <f t="shared" si="10"/>
        <v>#DIV/0!</v>
      </c>
      <c r="AG54" s="181" t="e">
        <f t="shared" si="10"/>
        <v>#DIV/0!</v>
      </c>
      <c r="AH54" s="181" t="e">
        <f t="shared" si="10"/>
        <v>#DIV/0!</v>
      </c>
      <c r="AI54" s="181" t="e">
        <f t="shared" si="10"/>
        <v>#DIV/0!</v>
      </c>
      <c r="AJ54" s="181" t="e">
        <f t="shared" si="10"/>
        <v>#DIV/0!</v>
      </c>
      <c r="AK54" s="181" t="e">
        <f t="shared" si="10"/>
        <v>#DIV/0!</v>
      </c>
      <c r="AL54" s="181" t="e">
        <f t="shared" si="10"/>
        <v>#DIV/0!</v>
      </c>
      <c r="AM54" s="181" t="e">
        <f t="shared" si="10"/>
        <v>#DIV/0!</v>
      </c>
      <c r="AN54" s="181" t="e">
        <f t="shared" si="10"/>
        <v>#DIV/0!</v>
      </c>
    </row>
    <row r="55" spans="2:40" x14ac:dyDescent="0.15">
      <c r="B55" s="337" t="s">
        <v>31</v>
      </c>
      <c r="C55" s="138" t="s">
        <v>911</v>
      </c>
      <c r="D55" s="104">
        <f>SUMIFS('caseload data'!E:E,'caseload data'!$D:$D,"PO",'caseload data'!$A:$A,$B$55)</f>
        <v>0</v>
      </c>
      <c r="E55" s="104">
        <f>SUMIFS('caseload data'!F:F,'caseload data'!$D:$D,"PO",'caseload data'!$A:$A,$B$55)</f>
        <v>0</v>
      </c>
      <c r="F55" s="104">
        <f>SUMIFS('caseload data'!G:G,'caseload data'!$D:$D,"PO",'caseload data'!$A:$A,$B$55)</f>
        <v>0</v>
      </c>
      <c r="G55" s="104">
        <f>SUMIFS('caseload data'!H:H,'caseload data'!$D:$D,"PO",'caseload data'!$A:$A,$B$55)</f>
        <v>0</v>
      </c>
      <c r="H55" s="104">
        <f>SUMIFS('caseload data'!I:I,'caseload data'!$D:$D,"PO",'caseload data'!$A:$A,$B$55)</f>
        <v>0</v>
      </c>
      <c r="I55" s="104">
        <f>SUMIFS('caseload data'!J:J,'caseload data'!$D:$D,"PO",'caseload data'!$A:$A,$B$55)</f>
        <v>0</v>
      </c>
      <c r="J55" s="104">
        <f>SUMIFS('caseload data'!K:K,'caseload data'!$D:$D,"PO",'caseload data'!$A:$A,$B$55)</f>
        <v>0</v>
      </c>
      <c r="K55" s="104">
        <f>SUMIFS('caseload data'!L:L,'caseload data'!$D:$D,"PO",'caseload data'!$A:$A,$B$55)</f>
        <v>0</v>
      </c>
      <c r="L55" s="104">
        <f>SUMIFS('caseload data'!M:M,'caseload data'!$D:$D,"PO",'caseload data'!$A:$A,$B$55)</f>
        <v>0</v>
      </c>
      <c r="M55" s="104">
        <f>SUMIFS('caseload data'!N:N,'caseload data'!$D:$D,"PO",'caseload data'!$A:$A,$B$55)</f>
        <v>0</v>
      </c>
      <c r="N55" s="104">
        <f>SUMIFS('caseload data'!O:O,'caseload data'!$D:$D,"PO",'caseload data'!$A:$A,$B$55)</f>
        <v>0</v>
      </c>
      <c r="O55" s="104">
        <f>SUMIFS('caseload data'!P:P,'caseload data'!$D:$D,"PO",'caseload data'!$A:$A,$B$55)</f>
        <v>0</v>
      </c>
      <c r="P55" s="104">
        <f>SUMIFS('caseload data'!Q:Q,'caseload data'!$D:$D,"PO",'caseload data'!$A:$A,$B$55)</f>
        <v>0</v>
      </c>
      <c r="Q55" s="104">
        <f>SUMIFS('caseload data'!R:R,'caseload data'!$D:$D,"PO",'caseload data'!$A:$A,$B$55)</f>
        <v>0</v>
      </c>
      <c r="R55" s="104">
        <f>SUMIFS('caseload data'!S:S,'caseload data'!$D:$D,"PO",'caseload data'!$A:$A,$B$55)</f>
        <v>0</v>
      </c>
      <c r="S55" s="104">
        <f>SUMIFS('caseload data'!T:T,'caseload data'!$D:$D,"PO",'caseload data'!$A:$A,$B$55)</f>
        <v>0</v>
      </c>
      <c r="T55" s="104">
        <f>SUMIFS('caseload data'!V:V,'caseload data'!$D:$D,"PO",'caseload data'!$A:$A,B55)</f>
        <v>0</v>
      </c>
      <c r="U55" s="73"/>
      <c r="V55" s="73"/>
      <c r="W55" s="337" t="s">
        <v>31</v>
      </c>
      <c r="X55" s="138" t="s">
        <v>911</v>
      </c>
      <c r="Y55" s="181" t="e">
        <f t="shared" ref="Y55:AN58" si="11">SUM(D55)/SUM(D$55:D$58)</f>
        <v>#DIV/0!</v>
      </c>
      <c r="Z55" s="181" t="e">
        <f t="shared" si="11"/>
        <v>#DIV/0!</v>
      </c>
      <c r="AA55" s="181" t="e">
        <f t="shared" si="11"/>
        <v>#DIV/0!</v>
      </c>
      <c r="AB55" s="181" t="e">
        <f t="shared" si="11"/>
        <v>#DIV/0!</v>
      </c>
      <c r="AC55" s="181" t="e">
        <f t="shared" si="11"/>
        <v>#DIV/0!</v>
      </c>
      <c r="AD55" s="181" t="e">
        <f t="shared" si="11"/>
        <v>#DIV/0!</v>
      </c>
      <c r="AE55" s="181" t="e">
        <f t="shared" si="11"/>
        <v>#DIV/0!</v>
      </c>
      <c r="AF55" s="181" t="e">
        <f t="shared" si="11"/>
        <v>#DIV/0!</v>
      </c>
      <c r="AG55" s="181" t="e">
        <f t="shared" si="11"/>
        <v>#DIV/0!</v>
      </c>
      <c r="AH55" s="181" t="e">
        <f t="shared" si="11"/>
        <v>#DIV/0!</v>
      </c>
      <c r="AI55" s="181" t="e">
        <f t="shared" si="11"/>
        <v>#DIV/0!</v>
      </c>
      <c r="AJ55" s="181" t="e">
        <f t="shared" si="11"/>
        <v>#DIV/0!</v>
      </c>
      <c r="AK55" s="181" t="e">
        <f t="shared" si="11"/>
        <v>#DIV/0!</v>
      </c>
      <c r="AL55" s="181" t="e">
        <f t="shared" si="11"/>
        <v>#DIV/0!</v>
      </c>
      <c r="AM55" s="181" t="e">
        <f t="shared" si="11"/>
        <v>#DIV/0!</v>
      </c>
      <c r="AN55" s="181" t="e">
        <f t="shared" si="11"/>
        <v>#DIV/0!</v>
      </c>
    </row>
    <row r="56" spans="2:40" x14ac:dyDescent="0.15">
      <c r="B56" s="338"/>
      <c r="C56" s="139" t="s">
        <v>912</v>
      </c>
      <c r="D56" s="104">
        <f>SUMIFS('caseload data'!E:E,'caseload data'!$D:$D,"PSO",'caseload data'!$A:$A,"Yorkshire and The Humber")</f>
        <v>0</v>
      </c>
      <c r="E56" s="104">
        <f>SUMIFS('caseload data'!F:F,'caseload data'!$D:$D,"PSO",'caseload data'!$A:$A,"Yorkshire and The Humber")</f>
        <v>0</v>
      </c>
      <c r="F56" s="104">
        <f>SUMIFS('caseload data'!G:G,'caseload data'!$D:$D,"PSO",'caseload data'!$A:$A,"Yorkshire and The Humber")</f>
        <v>0</v>
      </c>
      <c r="G56" s="104">
        <f>SUMIFS('caseload data'!H:H,'caseload data'!$D:$D,"PSO",'caseload data'!$A:$A,"Yorkshire and The Humber")</f>
        <v>0</v>
      </c>
      <c r="H56" s="104">
        <f>SUMIFS('caseload data'!I:I,'caseload data'!$D:$D,"PSO",'caseload data'!$A:$A,"Yorkshire and The Humber")</f>
        <v>0</v>
      </c>
      <c r="I56" s="104">
        <f>SUMIFS('caseload data'!J:J,'caseload data'!$D:$D,"PSO",'caseload data'!$A:$A,"Yorkshire and The Humber")</f>
        <v>0</v>
      </c>
      <c r="J56" s="104">
        <f>SUMIFS('caseload data'!K:K,'caseload data'!$D:$D,"PSO",'caseload data'!$A:$A,"Yorkshire and The Humber")</f>
        <v>0</v>
      </c>
      <c r="K56" s="104">
        <f>SUMIFS('caseload data'!L:L,'caseload data'!$D:$D,"PSO",'caseload data'!$A:$A,"Yorkshire and The Humber")</f>
        <v>0</v>
      </c>
      <c r="L56" s="104">
        <f>SUMIFS('caseload data'!M:M,'caseload data'!$D:$D,"PSO",'caseload data'!$A:$A,"Yorkshire and The Humber")</f>
        <v>0</v>
      </c>
      <c r="M56" s="104">
        <f>SUMIFS('caseload data'!N:N,'caseload data'!$D:$D,"PSO",'caseload data'!$A:$A,"Yorkshire and The Humber")</f>
        <v>0</v>
      </c>
      <c r="N56" s="104">
        <f>SUMIFS('caseload data'!O:O,'caseload data'!$D:$D,"PSO",'caseload data'!$A:$A,"Yorkshire and The Humber")</f>
        <v>0</v>
      </c>
      <c r="O56" s="104">
        <f>SUMIFS('caseload data'!P:P,'caseload data'!$D:$D,"PSO",'caseload data'!$A:$A,"Yorkshire and The Humber")</f>
        <v>0</v>
      </c>
      <c r="P56" s="104">
        <f>SUMIFS('caseload data'!Q:Q,'caseload data'!$D:$D,"PSO",'caseload data'!$A:$A,"Yorkshire and The Humber")</f>
        <v>0</v>
      </c>
      <c r="Q56" s="104">
        <f>SUMIFS('caseload data'!R:R,'caseload data'!$D:$D,"PSO",'caseload data'!$A:$A,"Yorkshire and The Humber")</f>
        <v>0</v>
      </c>
      <c r="R56" s="104">
        <f>SUMIFS('caseload data'!S:S,'caseload data'!$D:$D,"PSO",'caseload data'!$A:$A,"Yorkshire and The Humber")</f>
        <v>0</v>
      </c>
      <c r="S56" s="104">
        <f>SUMIFS('caseload data'!T:T,'caseload data'!$D:$D,"PSO",'caseload data'!$A:$A,"Yorkshire and The Humber")</f>
        <v>0</v>
      </c>
      <c r="T56" s="104">
        <f>SUMIFS('caseload data'!V:V,'caseload data'!$D:$D,"PSO",'caseload data'!$A:$A,"Yorkshire and The Humber")</f>
        <v>0</v>
      </c>
      <c r="U56" s="73"/>
      <c r="V56" s="73"/>
      <c r="W56" s="338"/>
      <c r="X56" s="139" t="s">
        <v>912</v>
      </c>
      <c r="Y56" s="181" t="e">
        <f t="shared" si="11"/>
        <v>#DIV/0!</v>
      </c>
      <c r="Z56" s="181" t="e">
        <f t="shared" si="11"/>
        <v>#DIV/0!</v>
      </c>
      <c r="AA56" s="181" t="e">
        <f t="shared" si="11"/>
        <v>#DIV/0!</v>
      </c>
      <c r="AB56" s="181" t="e">
        <f t="shared" si="11"/>
        <v>#DIV/0!</v>
      </c>
      <c r="AC56" s="181" t="e">
        <f t="shared" si="11"/>
        <v>#DIV/0!</v>
      </c>
      <c r="AD56" s="181" t="e">
        <f t="shared" si="11"/>
        <v>#DIV/0!</v>
      </c>
      <c r="AE56" s="181" t="e">
        <f t="shared" si="11"/>
        <v>#DIV/0!</v>
      </c>
      <c r="AF56" s="181" t="e">
        <f t="shared" si="11"/>
        <v>#DIV/0!</v>
      </c>
      <c r="AG56" s="181" t="e">
        <f t="shared" si="11"/>
        <v>#DIV/0!</v>
      </c>
      <c r="AH56" s="181" t="e">
        <f t="shared" si="11"/>
        <v>#DIV/0!</v>
      </c>
      <c r="AI56" s="181" t="e">
        <f t="shared" si="11"/>
        <v>#DIV/0!</v>
      </c>
      <c r="AJ56" s="181" t="e">
        <f t="shared" si="11"/>
        <v>#DIV/0!</v>
      </c>
      <c r="AK56" s="181" t="e">
        <f t="shared" si="11"/>
        <v>#DIV/0!</v>
      </c>
      <c r="AL56" s="181" t="e">
        <f t="shared" si="11"/>
        <v>#DIV/0!</v>
      </c>
      <c r="AM56" s="181" t="e">
        <f t="shared" si="11"/>
        <v>#DIV/0!</v>
      </c>
      <c r="AN56" s="181" t="e">
        <f t="shared" si="11"/>
        <v>#DIV/0!</v>
      </c>
    </row>
    <row r="57" spans="2:40" x14ac:dyDescent="0.15">
      <c r="B57" s="338"/>
      <c r="C57" s="139" t="s">
        <v>913</v>
      </c>
      <c r="D57" s="104">
        <f>SUMIFS('caseload data'!E:E,'caseload data'!$D:$D,"TPO",'caseload data'!$A:$A,"Yorkshire and The Humber")</f>
        <v>0</v>
      </c>
      <c r="E57" s="104">
        <f>SUMIFS('caseload data'!F:F,'caseload data'!$D:$D,"TPO",'caseload data'!$A:$A,"Yorkshire and The Humber")</f>
        <v>0</v>
      </c>
      <c r="F57" s="104">
        <f>SUMIFS('caseload data'!G:G,'caseload data'!$D:$D,"TPO",'caseload data'!$A:$A,"Yorkshire and The Humber")</f>
        <v>0</v>
      </c>
      <c r="G57" s="104">
        <f>SUMIFS('caseload data'!H:H,'caseload data'!$D:$D,"TPO",'caseload data'!$A:$A,"Yorkshire and The Humber")</f>
        <v>0</v>
      </c>
      <c r="H57" s="104">
        <f>SUMIFS('caseload data'!I:I,'caseload data'!$D:$D,"TPO",'caseload data'!$A:$A,"Yorkshire and The Humber")</f>
        <v>0</v>
      </c>
      <c r="I57" s="104">
        <f>SUMIFS('caseload data'!J:J,'caseload data'!$D:$D,"TPO",'caseload data'!$A:$A,"Yorkshire and The Humber")</f>
        <v>0</v>
      </c>
      <c r="J57" s="104">
        <f>SUMIFS('caseload data'!K:K,'caseload data'!$D:$D,"TPO",'caseload data'!$A:$A,"Yorkshire and The Humber")</f>
        <v>0</v>
      </c>
      <c r="K57" s="104">
        <f>SUMIFS('caseload data'!L:L,'caseload data'!$D:$D,"TPO",'caseload data'!$A:$A,"Yorkshire and The Humber")</f>
        <v>0</v>
      </c>
      <c r="L57" s="104">
        <f>SUMIFS('caseload data'!M:M,'caseload data'!$D:$D,"TPO",'caseload data'!$A:$A,"Yorkshire and The Humber")</f>
        <v>0</v>
      </c>
      <c r="M57" s="104">
        <f>SUMIFS('caseload data'!N:N,'caseload data'!$D:$D,"TPO",'caseload data'!$A:$A,"Yorkshire and The Humber")</f>
        <v>0</v>
      </c>
      <c r="N57" s="104">
        <f>SUMIFS('caseload data'!O:O,'caseload data'!$D:$D,"TPO",'caseload data'!$A:$A,"Yorkshire and The Humber")</f>
        <v>0</v>
      </c>
      <c r="O57" s="104">
        <f>SUMIFS('caseload data'!P:P,'caseload data'!$D:$D,"TPO",'caseload data'!$A:$A,"Yorkshire and The Humber")</f>
        <v>0</v>
      </c>
      <c r="P57" s="104">
        <f>SUMIFS('caseload data'!Q:Q,'caseload data'!$D:$D,"TPO",'caseload data'!$A:$A,"Yorkshire and The Humber")</f>
        <v>0</v>
      </c>
      <c r="Q57" s="104">
        <f>SUMIFS('caseload data'!R:R,'caseload data'!$D:$D,"TPO",'caseload data'!$A:$A,"Yorkshire and The Humber")</f>
        <v>0</v>
      </c>
      <c r="R57" s="104">
        <f>SUMIFS('caseload data'!S:S,'caseload data'!$D:$D,"TPO",'caseload data'!$A:$A,"Yorkshire and The Humber")</f>
        <v>0</v>
      </c>
      <c r="S57" s="104">
        <f>SUMIFS('caseload data'!T:T,'caseload data'!$D:$D,"TPO",'caseload data'!$A:$A,"Yorkshire and The Humber")</f>
        <v>0</v>
      </c>
      <c r="T57" s="104">
        <f>SUMIFS('caseload data'!V:V,'caseload data'!$D:$D,"TPO",'caseload data'!$A:$A,"Yorkshire and The Humber")</f>
        <v>0</v>
      </c>
      <c r="U57" s="73"/>
      <c r="V57" s="73"/>
      <c r="W57" s="338"/>
      <c r="X57" s="139" t="s">
        <v>913</v>
      </c>
      <c r="Y57" s="181" t="e">
        <f t="shared" si="11"/>
        <v>#DIV/0!</v>
      </c>
      <c r="Z57" s="181" t="e">
        <f t="shared" si="11"/>
        <v>#DIV/0!</v>
      </c>
      <c r="AA57" s="181" t="e">
        <f t="shared" si="11"/>
        <v>#DIV/0!</v>
      </c>
      <c r="AB57" s="181" t="e">
        <f t="shared" si="11"/>
        <v>#DIV/0!</v>
      </c>
      <c r="AC57" s="181" t="e">
        <f t="shared" si="11"/>
        <v>#DIV/0!</v>
      </c>
      <c r="AD57" s="181" t="e">
        <f t="shared" si="11"/>
        <v>#DIV/0!</v>
      </c>
      <c r="AE57" s="181" t="e">
        <f t="shared" si="11"/>
        <v>#DIV/0!</v>
      </c>
      <c r="AF57" s="181" t="e">
        <f t="shared" si="11"/>
        <v>#DIV/0!</v>
      </c>
      <c r="AG57" s="181" t="e">
        <f t="shared" si="11"/>
        <v>#DIV/0!</v>
      </c>
      <c r="AH57" s="181" t="e">
        <f t="shared" si="11"/>
        <v>#DIV/0!</v>
      </c>
      <c r="AI57" s="181" t="e">
        <f t="shared" si="11"/>
        <v>#DIV/0!</v>
      </c>
      <c r="AJ57" s="181" t="e">
        <f t="shared" si="11"/>
        <v>#DIV/0!</v>
      </c>
      <c r="AK57" s="181" t="e">
        <f t="shared" si="11"/>
        <v>#DIV/0!</v>
      </c>
      <c r="AL57" s="181" t="e">
        <f t="shared" si="11"/>
        <v>#DIV/0!</v>
      </c>
      <c r="AM57" s="181" t="e">
        <f t="shared" si="11"/>
        <v>#DIV/0!</v>
      </c>
      <c r="AN57" s="181" t="e">
        <f t="shared" si="11"/>
        <v>#DIV/0!</v>
      </c>
    </row>
    <row r="58" spans="2:40" ht="15" thickBot="1" x14ac:dyDescent="0.2">
      <c r="B58" s="357"/>
      <c r="C58" s="139" t="s">
        <v>914</v>
      </c>
      <c r="D58" s="104">
        <f>SUMIFS('caseload data'!E:E,'caseload data'!$D:$D,"SPO",'caseload data'!$A:$A,"Yorkshire and The Humber")</f>
        <v>0</v>
      </c>
      <c r="E58" s="104">
        <f>SUMIFS('caseload data'!F:F,'caseload data'!$D:$D,"SPO",'caseload data'!$A:$A,"Yorkshire and The Humber")</f>
        <v>0</v>
      </c>
      <c r="F58" s="104">
        <f>SUMIFS('caseload data'!G:G,'caseload data'!$D:$D,"SPO",'caseload data'!$A:$A,"Yorkshire and The Humber")</f>
        <v>0</v>
      </c>
      <c r="G58" s="104">
        <f>SUMIFS('caseload data'!H:H,'caseload data'!$D:$D,"SPO",'caseload data'!$A:$A,"Yorkshire and The Humber")</f>
        <v>0</v>
      </c>
      <c r="H58" s="104">
        <f>SUMIFS('caseload data'!I:I,'caseload data'!$D:$D,"SPO",'caseload data'!$A:$A,"Yorkshire and The Humber")</f>
        <v>0</v>
      </c>
      <c r="I58" s="104">
        <f>SUMIFS('caseload data'!J:J,'caseload data'!$D:$D,"SPO",'caseload data'!$A:$A,"Yorkshire and The Humber")</f>
        <v>0</v>
      </c>
      <c r="J58" s="104">
        <f>SUMIFS('caseload data'!K:K,'caseload data'!$D:$D,"SPO",'caseload data'!$A:$A,"Yorkshire and The Humber")</f>
        <v>0</v>
      </c>
      <c r="K58" s="104">
        <f>SUMIFS('caseload data'!L:L,'caseload data'!$D:$D,"SPO",'caseload data'!$A:$A,"Yorkshire and The Humber")</f>
        <v>0</v>
      </c>
      <c r="L58" s="104">
        <f>SUMIFS('caseload data'!M:M,'caseload data'!$D:$D,"SPO",'caseload data'!$A:$A,"Yorkshire and The Humber")</f>
        <v>0</v>
      </c>
      <c r="M58" s="104">
        <f>SUMIFS('caseload data'!N:N,'caseload data'!$D:$D,"SPO",'caseload data'!$A:$A,"Yorkshire and The Humber")</f>
        <v>0</v>
      </c>
      <c r="N58" s="104">
        <f>SUMIFS('caseload data'!O:O,'caseload data'!$D:$D,"SPO",'caseload data'!$A:$A,"Yorkshire and The Humber")</f>
        <v>0</v>
      </c>
      <c r="O58" s="104">
        <f>SUMIFS('caseload data'!P:P,'caseload data'!$D:$D,"SPO",'caseload data'!$A:$A,"Yorkshire and The Humber")</f>
        <v>0</v>
      </c>
      <c r="P58" s="104">
        <f>SUMIFS('caseload data'!Q:Q,'caseload data'!$D:$D,"SPO",'caseload data'!$A:$A,"Yorkshire and The Humber")</f>
        <v>0</v>
      </c>
      <c r="Q58" s="104">
        <f>SUMIFS('caseload data'!R:R,'caseload data'!$D:$D,"SPO",'caseload data'!$A:$A,"Yorkshire and The Humber")</f>
        <v>0</v>
      </c>
      <c r="R58" s="104">
        <f>SUMIFS('caseload data'!S:S,'caseload data'!$D:$D,"SPO",'caseload data'!$A:$A,"Yorkshire and The Humber")</f>
        <v>0</v>
      </c>
      <c r="S58" s="104">
        <f>SUMIFS('caseload data'!T:T,'caseload data'!$D:$D,"SPO",'caseload data'!$A:$A,"Yorkshire and The Humber")</f>
        <v>0</v>
      </c>
      <c r="T58" s="104">
        <f>SUMIFS('caseload data'!V:V,'caseload data'!$D:$D,"SPO",'caseload data'!$A:$A,"Yorkshire and The Humber")</f>
        <v>0</v>
      </c>
      <c r="U58" s="73"/>
      <c r="V58" s="73"/>
      <c r="W58" s="339"/>
      <c r="X58" s="140" t="s">
        <v>914</v>
      </c>
      <c r="Y58" s="181" t="e">
        <f t="shared" si="11"/>
        <v>#DIV/0!</v>
      </c>
      <c r="Z58" s="181" t="e">
        <f t="shared" si="11"/>
        <v>#DIV/0!</v>
      </c>
      <c r="AA58" s="181" t="e">
        <f t="shared" si="11"/>
        <v>#DIV/0!</v>
      </c>
      <c r="AB58" s="181" t="e">
        <f t="shared" si="11"/>
        <v>#DIV/0!</v>
      </c>
      <c r="AC58" s="181" t="e">
        <f t="shared" si="11"/>
        <v>#DIV/0!</v>
      </c>
      <c r="AD58" s="181" t="e">
        <f t="shared" si="11"/>
        <v>#DIV/0!</v>
      </c>
      <c r="AE58" s="181" t="e">
        <f t="shared" si="11"/>
        <v>#DIV/0!</v>
      </c>
      <c r="AF58" s="181" t="e">
        <f t="shared" si="11"/>
        <v>#DIV/0!</v>
      </c>
      <c r="AG58" s="181" t="e">
        <f t="shared" si="11"/>
        <v>#DIV/0!</v>
      </c>
      <c r="AH58" s="181" t="e">
        <f t="shared" si="11"/>
        <v>#DIV/0!</v>
      </c>
      <c r="AI58" s="181" t="e">
        <f t="shared" si="11"/>
        <v>#DIV/0!</v>
      </c>
      <c r="AJ58" s="181" t="e">
        <f t="shared" si="11"/>
        <v>#DIV/0!</v>
      </c>
      <c r="AK58" s="181" t="e">
        <f t="shared" si="11"/>
        <v>#DIV/0!</v>
      </c>
      <c r="AL58" s="181" t="e">
        <f t="shared" si="11"/>
        <v>#DIV/0!</v>
      </c>
      <c r="AM58" s="181" t="e">
        <f t="shared" si="11"/>
        <v>#DIV/0!</v>
      </c>
      <c r="AN58" s="181" t="e">
        <f t="shared" si="11"/>
        <v>#DIV/0!</v>
      </c>
    </row>
    <row r="59" spans="2:40" x14ac:dyDescent="0.15">
      <c r="B59" s="354" t="s">
        <v>1113</v>
      </c>
      <c r="C59" s="147" t="s">
        <v>911</v>
      </c>
      <c r="D59" s="148">
        <f>SUMIF('caseload data'!$D:$D,"PO",'caseload data'!E:E)</f>
        <v>0</v>
      </c>
      <c r="E59" s="148">
        <f>SUMIF('caseload data'!$D:$D,"PO",'caseload data'!F:F)</f>
        <v>0</v>
      </c>
      <c r="F59" s="148">
        <f>SUMIF('caseload data'!$D:$D,"PO",'caseload data'!G:G)</f>
        <v>0</v>
      </c>
      <c r="G59" s="148">
        <f>SUMIF('caseload data'!$D:$D,"PO",'caseload data'!H:H)</f>
        <v>0</v>
      </c>
      <c r="H59" s="148">
        <f>SUMIF('caseload data'!$D:$D,"PO",'caseload data'!I:I)</f>
        <v>0</v>
      </c>
      <c r="I59" s="148">
        <f>SUMIF('caseload data'!$D:$D,"PO",'caseload data'!J:J)</f>
        <v>0</v>
      </c>
      <c r="J59" s="148">
        <f>SUMIF('caseload data'!$D:$D,"PO",'caseload data'!K:K)</f>
        <v>0</v>
      </c>
      <c r="K59" s="148">
        <f>SUMIF('caseload data'!$D:$D,"PO",'caseload data'!L:L)</f>
        <v>0</v>
      </c>
      <c r="L59" s="148">
        <f>SUMIF('caseload data'!$D:$D,"PO",'caseload data'!M:M)</f>
        <v>0</v>
      </c>
      <c r="M59" s="148">
        <f>SUMIF('caseload data'!$D:$D,"PO",'caseload data'!N:N)</f>
        <v>0</v>
      </c>
      <c r="N59" s="148">
        <f>SUMIF('caseload data'!$D:$D,"PO",'caseload data'!O:O)</f>
        <v>0</v>
      </c>
      <c r="O59" s="148">
        <f>SUMIF('caseload data'!$D:$D,"PO",'caseload data'!P:P)</f>
        <v>0</v>
      </c>
      <c r="P59" s="148">
        <f>SUMIF('caseload data'!$D:$D,"PO",'caseload data'!Q:Q)</f>
        <v>0</v>
      </c>
      <c r="Q59" s="148">
        <f>SUMIF('caseload data'!$D:$D,"PO",'caseload data'!R:R)</f>
        <v>0</v>
      </c>
      <c r="R59" s="148">
        <f>SUMIF('caseload data'!$D:$D,"PO",'caseload data'!S:S)</f>
        <v>0</v>
      </c>
      <c r="S59" s="148">
        <f>SUMIF('caseload data'!$D:$D,"PO",'caseload data'!T:T)</f>
        <v>0</v>
      </c>
      <c r="T59" s="149">
        <f>SUMIF('caseload data'!D:D,"PO",'caseload data'!V:V)</f>
        <v>0</v>
      </c>
      <c r="U59" s="73"/>
      <c r="V59" s="73"/>
      <c r="W59" s="343" t="s">
        <v>1113</v>
      </c>
      <c r="X59" s="147" t="s">
        <v>911</v>
      </c>
      <c r="Y59" s="151" t="e">
        <f>SUM(D59)/SUM(D$59:D$62)</f>
        <v>#DIV/0!</v>
      </c>
      <c r="Z59" s="151" t="e">
        <f t="shared" ref="Z59:AN62" si="12">SUM(E59)/SUM(E$59:E$62)</f>
        <v>#DIV/0!</v>
      </c>
      <c r="AA59" s="151" t="e">
        <f t="shared" si="12"/>
        <v>#DIV/0!</v>
      </c>
      <c r="AB59" s="151" t="e">
        <f t="shared" si="12"/>
        <v>#DIV/0!</v>
      </c>
      <c r="AC59" s="151" t="e">
        <f t="shared" si="12"/>
        <v>#DIV/0!</v>
      </c>
      <c r="AD59" s="151" t="e">
        <f t="shared" si="12"/>
        <v>#DIV/0!</v>
      </c>
      <c r="AE59" s="151" t="e">
        <f t="shared" si="12"/>
        <v>#DIV/0!</v>
      </c>
      <c r="AF59" s="151" t="e">
        <f t="shared" si="12"/>
        <v>#DIV/0!</v>
      </c>
      <c r="AG59" s="151" t="e">
        <f t="shared" si="12"/>
        <v>#DIV/0!</v>
      </c>
      <c r="AH59" s="151" t="e">
        <f t="shared" si="12"/>
        <v>#DIV/0!</v>
      </c>
      <c r="AI59" s="151" t="e">
        <f t="shared" si="12"/>
        <v>#DIV/0!</v>
      </c>
      <c r="AJ59" s="151" t="e">
        <f t="shared" si="12"/>
        <v>#DIV/0!</v>
      </c>
      <c r="AK59" s="151" t="e">
        <f t="shared" si="12"/>
        <v>#DIV/0!</v>
      </c>
      <c r="AL59" s="151" t="e">
        <f t="shared" si="12"/>
        <v>#DIV/0!</v>
      </c>
      <c r="AM59" s="151" t="e">
        <f t="shared" si="12"/>
        <v>#DIV/0!</v>
      </c>
      <c r="AN59" s="151" t="e">
        <f t="shared" si="12"/>
        <v>#DIV/0!</v>
      </c>
    </row>
    <row r="60" spans="2:40" x14ac:dyDescent="0.15">
      <c r="B60" s="355"/>
      <c r="C60" s="150" t="s">
        <v>912</v>
      </c>
      <c r="D60" s="148">
        <f>SUMIF('caseload data'!$D:$D,"PSO",'caseload data'!E:E)</f>
        <v>0</v>
      </c>
      <c r="E60" s="148">
        <f>SUMIF('caseload data'!$D:$D,"PSO",'caseload data'!F:F)</f>
        <v>0</v>
      </c>
      <c r="F60" s="148">
        <f>SUMIF('caseload data'!$D:$D,"PSO",'caseload data'!G:G)</f>
        <v>0</v>
      </c>
      <c r="G60" s="148">
        <f>SUMIF('caseload data'!$D:$D,"PSO",'caseload data'!H:H)</f>
        <v>0</v>
      </c>
      <c r="H60" s="148">
        <f>SUMIF('caseload data'!$D:$D,"PSO",'caseload data'!I:I)</f>
        <v>0</v>
      </c>
      <c r="I60" s="148">
        <f>SUMIF('caseload data'!$D:$D,"PSO",'caseload data'!J:J)</f>
        <v>0</v>
      </c>
      <c r="J60" s="148">
        <f>SUMIF('caseload data'!$D:$D,"PSO",'caseload data'!K:K)</f>
        <v>0</v>
      </c>
      <c r="K60" s="148">
        <f>SUMIF('caseload data'!$D:$D,"PSO",'caseload data'!L:L)</f>
        <v>0</v>
      </c>
      <c r="L60" s="148">
        <f>SUMIF('caseload data'!$D:$D,"PSO",'caseload data'!M:M)</f>
        <v>0</v>
      </c>
      <c r="M60" s="148">
        <f>SUMIF('caseload data'!$D:$D,"PSO",'caseload data'!N:N)</f>
        <v>0</v>
      </c>
      <c r="N60" s="148">
        <f>SUMIF('caseload data'!$D:$D,"PSO",'caseload data'!O:O)</f>
        <v>0</v>
      </c>
      <c r="O60" s="148">
        <f>SUMIF('caseload data'!$D:$D,"PSO",'caseload data'!P:P)</f>
        <v>0</v>
      </c>
      <c r="P60" s="148">
        <f>SUMIF('caseload data'!$D:$D,"PSO",'caseload data'!Q:Q)</f>
        <v>0</v>
      </c>
      <c r="Q60" s="148">
        <f>SUMIF('caseload data'!$D:$D,"PSO",'caseload data'!R:R)</f>
        <v>0</v>
      </c>
      <c r="R60" s="148">
        <f>SUMIF('caseload data'!$D:$D,"PSO",'caseload data'!S:S)</f>
        <v>0</v>
      </c>
      <c r="S60" s="148">
        <f>SUMIF('caseload data'!$D:$D,"PSO",'caseload data'!T:T)</f>
        <v>0</v>
      </c>
      <c r="T60" s="149">
        <f>SUMIF('caseload data'!D:D,"PSO",'caseload data'!V:V)</f>
        <v>0</v>
      </c>
      <c r="U60" s="73"/>
      <c r="V60" s="73"/>
      <c r="W60" s="344"/>
      <c r="X60" s="150" t="s">
        <v>912</v>
      </c>
      <c r="Y60" s="151" t="e">
        <f>SUM(D60)/SUM(D$59:D$62)</f>
        <v>#DIV/0!</v>
      </c>
      <c r="Z60" s="151" t="e">
        <f t="shared" si="12"/>
        <v>#DIV/0!</v>
      </c>
      <c r="AA60" s="151" t="e">
        <f t="shared" si="12"/>
        <v>#DIV/0!</v>
      </c>
      <c r="AB60" s="151" t="e">
        <f t="shared" si="12"/>
        <v>#DIV/0!</v>
      </c>
      <c r="AC60" s="151" t="e">
        <f t="shared" si="12"/>
        <v>#DIV/0!</v>
      </c>
      <c r="AD60" s="151" t="e">
        <f t="shared" si="12"/>
        <v>#DIV/0!</v>
      </c>
      <c r="AE60" s="151" t="e">
        <f t="shared" si="12"/>
        <v>#DIV/0!</v>
      </c>
      <c r="AF60" s="151" t="e">
        <f t="shared" si="12"/>
        <v>#DIV/0!</v>
      </c>
      <c r="AG60" s="151" t="e">
        <f t="shared" si="12"/>
        <v>#DIV/0!</v>
      </c>
      <c r="AH60" s="151" t="e">
        <f t="shared" si="12"/>
        <v>#DIV/0!</v>
      </c>
      <c r="AI60" s="151" t="e">
        <f t="shared" si="12"/>
        <v>#DIV/0!</v>
      </c>
      <c r="AJ60" s="151" t="e">
        <f t="shared" si="12"/>
        <v>#DIV/0!</v>
      </c>
      <c r="AK60" s="151" t="e">
        <f t="shared" si="12"/>
        <v>#DIV/0!</v>
      </c>
      <c r="AL60" s="151" t="e">
        <f t="shared" si="12"/>
        <v>#DIV/0!</v>
      </c>
      <c r="AM60" s="151" t="e">
        <f t="shared" si="12"/>
        <v>#DIV/0!</v>
      </c>
      <c r="AN60" s="151" t="e">
        <f t="shared" si="12"/>
        <v>#DIV/0!</v>
      </c>
    </row>
    <row r="61" spans="2:40" x14ac:dyDescent="0.15">
      <c r="B61" s="355"/>
      <c r="C61" s="150" t="s">
        <v>913</v>
      </c>
      <c r="D61" s="148">
        <f>SUMIF('caseload data'!$D:$D,"TPO",'caseload data'!E:E)</f>
        <v>0</v>
      </c>
      <c r="E61" s="148">
        <f>SUMIF('caseload data'!$D:$D,"TPO",'caseload data'!F:F)</f>
        <v>0</v>
      </c>
      <c r="F61" s="148">
        <f>SUMIF('caseload data'!$D:$D,"TPO",'caseload data'!G:G)</f>
        <v>0</v>
      </c>
      <c r="G61" s="148">
        <f>SUMIF('caseload data'!$D:$D,"TPO",'caseload data'!H:H)</f>
        <v>0</v>
      </c>
      <c r="H61" s="148">
        <f>SUMIF('caseload data'!$D:$D,"TPO",'caseload data'!I:I)</f>
        <v>0</v>
      </c>
      <c r="I61" s="148">
        <f>SUMIF('caseload data'!$D:$D,"TPO",'caseload data'!J:J)</f>
        <v>0</v>
      </c>
      <c r="J61" s="148">
        <f>SUMIF('caseload data'!$D:$D,"TPO",'caseload data'!K:K)</f>
        <v>0</v>
      </c>
      <c r="K61" s="148">
        <f>SUMIF('caseload data'!$D:$D,"TPO",'caseload data'!L:L)</f>
        <v>0</v>
      </c>
      <c r="L61" s="148">
        <f>SUMIF('caseload data'!$D:$D,"TPO",'caseload data'!M:M)</f>
        <v>0</v>
      </c>
      <c r="M61" s="148">
        <f>SUMIF('caseload data'!$D:$D,"TPO",'caseload data'!N:N)</f>
        <v>0</v>
      </c>
      <c r="N61" s="148">
        <f>SUMIF('caseload data'!$D:$D,"TPO",'caseload data'!O:O)</f>
        <v>0</v>
      </c>
      <c r="O61" s="148">
        <f>SUMIF('caseload data'!$D:$D,"TPO",'caseload data'!P:P)</f>
        <v>0</v>
      </c>
      <c r="P61" s="148">
        <f>SUMIF('caseload data'!$D:$D,"TPO",'caseload data'!Q:Q)</f>
        <v>0</v>
      </c>
      <c r="Q61" s="148">
        <f>SUMIF('caseload data'!$D:$D,"TPO",'caseload data'!R:R)</f>
        <v>0</v>
      </c>
      <c r="R61" s="148">
        <f>SUMIF('caseload data'!$D:$D,"TPO",'caseload data'!S:S)</f>
        <v>0</v>
      </c>
      <c r="S61" s="148">
        <f>SUMIF('caseload data'!$D:$D,"TPO",'caseload data'!T:T)</f>
        <v>0</v>
      </c>
      <c r="T61" s="149">
        <f>SUMIF('caseload data'!D:D,"TPO",'caseload data'!V:V)</f>
        <v>0</v>
      </c>
      <c r="U61" s="73"/>
      <c r="V61" s="73"/>
      <c r="W61" s="344"/>
      <c r="X61" s="150" t="s">
        <v>913</v>
      </c>
      <c r="Y61" s="151" t="e">
        <f>SUM(D61)/SUM(D$59:D$62)</f>
        <v>#DIV/0!</v>
      </c>
      <c r="Z61" s="151" t="e">
        <f t="shared" si="12"/>
        <v>#DIV/0!</v>
      </c>
      <c r="AA61" s="151" t="e">
        <f t="shared" si="12"/>
        <v>#DIV/0!</v>
      </c>
      <c r="AB61" s="151" t="e">
        <f t="shared" si="12"/>
        <v>#DIV/0!</v>
      </c>
      <c r="AC61" s="151" t="e">
        <f t="shared" si="12"/>
        <v>#DIV/0!</v>
      </c>
      <c r="AD61" s="151" t="e">
        <f t="shared" si="12"/>
        <v>#DIV/0!</v>
      </c>
      <c r="AE61" s="151" t="e">
        <f t="shared" si="12"/>
        <v>#DIV/0!</v>
      </c>
      <c r="AF61" s="151" t="e">
        <f t="shared" si="12"/>
        <v>#DIV/0!</v>
      </c>
      <c r="AG61" s="151" t="e">
        <f t="shared" si="12"/>
        <v>#DIV/0!</v>
      </c>
      <c r="AH61" s="151" t="e">
        <f t="shared" si="12"/>
        <v>#DIV/0!</v>
      </c>
      <c r="AI61" s="151" t="e">
        <f t="shared" si="12"/>
        <v>#DIV/0!</v>
      </c>
      <c r="AJ61" s="151" t="e">
        <f t="shared" si="12"/>
        <v>#DIV/0!</v>
      </c>
      <c r="AK61" s="151" t="e">
        <f t="shared" si="12"/>
        <v>#DIV/0!</v>
      </c>
      <c r="AL61" s="151" t="e">
        <f t="shared" si="12"/>
        <v>#DIV/0!</v>
      </c>
      <c r="AM61" s="151" t="e">
        <f t="shared" si="12"/>
        <v>#DIV/0!</v>
      </c>
      <c r="AN61" s="151" t="e">
        <f t="shared" si="12"/>
        <v>#DIV/0!</v>
      </c>
    </row>
    <row r="62" spans="2:40" ht="15" thickBot="1" x14ac:dyDescent="0.2">
      <c r="B62" s="355"/>
      <c r="C62" s="150" t="s">
        <v>914</v>
      </c>
      <c r="D62" s="148">
        <f>SUMIF('caseload data'!$D:$D,"SPO",'caseload data'!E:E)</f>
        <v>0</v>
      </c>
      <c r="E62" s="148">
        <f>SUMIF('caseload data'!$D:$D,"SPO",'caseload data'!F:F)</f>
        <v>0</v>
      </c>
      <c r="F62" s="148">
        <f>SUMIF('caseload data'!$D:$D,"SPO",'caseload data'!G:G)</f>
        <v>0</v>
      </c>
      <c r="G62" s="148">
        <f>SUMIF('caseload data'!$D:$D,"SPO",'caseload data'!H:H)</f>
        <v>0</v>
      </c>
      <c r="H62" s="148">
        <f>SUMIF('caseload data'!$D:$D,"SPO",'caseload data'!I:I)</f>
        <v>0</v>
      </c>
      <c r="I62" s="148">
        <f>SUMIF('caseload data'!$D:$D,"SPO",'caseload data'!J:J)</f>
        <v>0</v>
      </c>
      <c r="J62" s="148">
        <f>SUMIF('caseload data'!$D:$D,"SPO",'caseload data'!K:K)</f>
        <v>0</v>
      </c>
      <c r="K62" s="148">
        <f>SUMIF('caseload data'!$D:$D,"SPO",'caseload data'!L:L)</f>
        <v>0</v>
      </c>
      <c r="L62" s="148">
        <f>SUMIF('caseload data'!$D:$D,"SPO",'caseload data'!M:M)</f>
        <v>0</v>
      </c>
      <c r="M62" s="148">
        <f>SUMIF('caseload data'!$D:$D,"SPO",'caseload data'!N:N)</f>
        <v>0</v>
      </c>
      <c r="N62" s="148">
        <f>SUMIF('caseload data'!$D:$D,"SPO",'caseload data'!O:O)</f>
        <v>0</v>
      </c>
      <c r="O62" s="148">
        <f>SUMIF('caseload data'!$D:$D,"SPO",'caseload data'!P:P)</f>
        <v>0</v>
      </c>
      <c r="P62" s="148">
        <f>SUMIF('caseload data'!$D:$D,"SPO",'caseload data'!Q:Q)</f>
        <v>0</v>
      </c>
      <c r="Q62" s="148">
        <f>SUMIF('caseload data'!$D:$D,"SPO",'caseload data'!R:R)</f>
        <v>0</v>
      </c>
      <c r="R62" s="148">
        <f>SUMIF('caseload data'!$D:$D,"SPO",'caseload data'!S:S)</f>
        <v>0</v>
      </c>
      <c r="S62" s="148">
        <f>SUMIF('caseload data'!$D:$D,"SPO",'caseload data'!T:T)</f>
        <v>0</v>
      </c>
      <c r="T62" s="149">
        <f>SUMIF('caseload data'!D:D,"SPO",'caseload data'!V:V)</f>
        <v>0</v>
      </c>
      <c r="U62" s="73"/>
      <c r="V62" s="73"/>
      <c r="W62" s="345"/>
      <c r="X62" s="152" t="s">
        <v>914</v>
      </c>
      <c r="Y62" s="151" t="e">
        <f>SUM(D62)/SUM(D$59:D$62)</f>
        <v>#DIV/0!</v>
      </c>
      <c r="Z62" s="151" t="e">
        <f t="shared" si="12"/>
        <v>#DIV/0!</v>
      </c>
      <c r="AA62" s="151" t="e">
        <f t="shared" si="12"/>
        <v>#DIV/0!</v>
      </c>
      <c r="AB62" s="151" t="e">
        <f t="shared" si="12"/>
        <v>#DIV/0!</v>
      </c>
      <c r="AC62" s="151" t="e">
        <f t="shared" si="12"/>
        <v>#DIV/0!</v>
      </c>
      <c r="AD62" s="151" t="e">
        <f t="shared" si="12"/>
        <v>#DIV/0!</v>
      </c>
      <c r="AE62" s="151" t="e">
        <f t="shared" si="12"/>
        <v>#DIV/0!</v>
      </c>
      <c r="AF62" s="151" t="e">
        <f t="shared" si="12"/>
        <v>#DIV/0!</v>
      </c>
      <c r="AG62" s="151" t="e">
        <f t="shared" si="12"/>
        <v>#DIV/0!</v>
      </c>
      <c r="AH62" s="151" t="e">
        <f t="shared" si="12"/>
        <v>#DIV/0!</v>
      </c>
      <c r="AI62" s="151" t="e">
        <f t="shared" si="12"/>
        <v>#DIV/0!</v>
      </c>
      <c r="AJ62" s="151" t="e">
        <f t="shared" si="12"/>
        <v>#DIV/0!</v>
      </c>
      <c r="AK62" s="151" t="e">
        <f t="shared" si="12"/>
        <v>#DIV/0!</v>
      </c>
      <c r="AL62" s="151" t="e">
        <f t="shared" si="12"/>
        <v>#DIV/0!</v>
      </c>
      <c r="AM62" s="151" t="e">
        <f t="shared" si="12"/>
        <v>#DIV/0!</v>
      </c>
      <c r="AN62" s="151" t="e">
        <f t="shared" si="12"/>
        <v>#DIV/0!</v>
      </c>
    </row>
    <row r="63" spans="2:40" ht="35.25" customHeight="1" thickBot="1" x14ac:dyDescent="0.2">
      <c r="B63" s="356"/>
      <c r="C63" s="144" t="s">
        <v>1114</v>
      </c>
      <c r="D63" s="145">
        <f>SUM('caseload data'!E:E)</f>
        <v>0</v>
      </c>
      <c r="E63" s="145">
        <f>SUM('caseload data'!F:F)</f>
        <v>0</v>
      </c>
      <c r="F63" s="145">
        <f>SUM('caseload data'!G:G)</f>
        <v>0</v>
      </c>
      <c r="G63" s="145">
        <f>SUM('caseload data'!H:H)</f>
        <v>0</v>
      </c>
      <c r="H63" s="145">
        <f>SUM('caseload data'!I:I)</f>
        <v>0</v>
      </c>
      <c r="I63" s="145">
        <f>SUM('caseload data'!J:J)</f>
        <v>0</v>
      </c>
      <c r="J63" s="145">
        <f>SUM('caseload data'!K:K)</f>
        <v>0</v>
      </c>
      <c r="K63" s="145">
        <f>SUM('caseload data'!L:L)</f>
        <v>0</v>
      </c>
      <c r="L63" s="145">
        <f>SUM('caseload data'!M:M)</f>
        <v>0</v>
      </c>
      <c r="M63" s="145">
        <f>SUM('caseload data'!N:N)</f>
        <v>0</v>
      </c>
      <c r="N63" s="145">
        <f>SUM('caseload data'!O:O)</f>
        <v>0</v>
      </c>
      <c r="O63" s="145">
        <f>SUM('caseload data'!P:P)</f>
        <v>0</v>
      </c>
      <c r="P63" s="145">
        <f>SUM('caseload data'!Q:Q)</f>
        <v>0</v>
      </c>
      <c r="Q63" s="145">
        <f>SUM('caseload data'!R:R)</f>
        <v>0</v>
      </c>
      <c r="R63" s="145">
        <f>SUM('caseload data'!S:S)</f>
        <v>0</v>
      </c>
      <c r="S63" s="145">
        <f>SUM('caseload data'!T:T)</f>
        <v>0</v>
      </c>
      <c r="T63" s="146">
        <f>SUM('caseload data'!V:V)</f>
        <v>0</v>
      </c>
      <c r="U63" s="73"/>
      <c r="V63" s="73"/>
      <c r="W63" s="141"/>
      <c r="X63" s="142"/>
      <c r="Y63" s="143"/>
      <c r="Z63" s="143"/>
      <c r="AA63" s="143"/>
      <c r="AB63" s="143"/>
      <c r="AC63" s="143"/>
      <c r="AD63" s="143"/>
      <c r="AE63" s="143"/>
    </row>
    <row r="65" spans="2:40" ht="15" thickBot="1" x14ac:dyDescent="0.2"/>
    <row r="66" spans="2:40" ht="17" thickBot="1" x14ac:dyDescent="0.25">
      <c r="B66" s="1"/>
      <c r="C66" s="2"/>
      <c r="D66" s="346" t="s">
        <v>1115</v>
      </c>
      <c r="E66" s="347"/>
      <c r="F66" s="347"/>
      <c r="G66" s="347"/>
      <c r="H66" s="347"/>
      <c r="I66" s="347"/>
      <c r="J66" s="347"/>
      <c r="K66" s="347"/>
      <c r="L66" s="347"/>
      <c r="M66" s="347"/>
      <c r="N66" s="347"/>
      <c r="O66" s="347"/>
      <c r="P66" s="347"/>
      <c r="Q66" s="347"/>
      <c r="R66" s="347"/>
      <c r="S66" s="347"/>
      <c r="T66" s="348"/>
      <c r="W66" s="1"/>
      <c r="X66" s="2"/>
      <c r="Y66" s="352" t="s">
        <v>1116</v>
      </c>
      <c r="Z66" s="353"/>
      <c r="AA66" s="353"/>
      <c r="AB66" s="353"/>
      <c r="AC66" s="353"/>
      <c r="AD66" s="353"/>
      <c r="AE66" s="353"/>
      <c r="AF66" s="353"/>
      <c r="AG66" s="353"/>
      <c r="AH66" s="353"/>
      <c r="AI66" s="353"/>
      <c r="AJ66" s="353"/>
      <c r="AK66" s="353"/>
      <c r="AL66" s="353"/>
      <c r="AM66" s="353"/>
      <c r="AN66" s="353"/>
    </row>
    <row r="67" spans="2:40" x14ac:dyDescent="0.15">
      <c r="B67" s="134" t="s">
        <v>1111</v>
      </c>
      <c r="C67" s="136" t="s">
        <v>1112</v>
      </c>
      <c r="D67" s="41" t="s">
        <v>922</v>
      </c>
      <c r="E67" s="41" t="s">
        <v>923</v>
      </c>
      <c r="F67" s="41" t="s">
        <v>924</v>
      </c>
      <c r="G67" s="41" t="s">
        <v>925</v>
      </c>
      <c r="H67" s="41" t="s">
        <v>926</v>
      </c>
      <c r="I67" s="41" t="s">
        <v>927</v>
      </c>
      <c r="J67" s="41" t="s">
        <v>928</v>
      </c>
      <c r="K67" s="41" t="s">
        <v>929</v>
      </c>
      <c r="L67" s="41" t="s">
        <v>930</v>
      </c>
      <c r="M67" s="41" t="s">
        <v>931</v>
      </c>
      <c r="N67" s="41" t="s">
        <v>932</v>
      </c>
      <c r="O67" s="41" t="s">
        <v>933</v>
      </c>
      <c r="P67" s="41" t="s">
        <v>934</v>
      </c>
      <c r="Q67" s="41" t="s">
        <v>935</v>
      </c>
      <c r="R67" s="41" t="s">
        <v>936</v>
      </c>
      <c r="S67" s="41" t="s">
        <v>937</v>
      </c>
      <c r="T67" s="137" t="s">
        <v>939</v>
      </c>
      <c r="U67" s="73"/>
      <c r="V67" s="73"/>
      <c r="W67" s="134" t="s">
        <v>1111</v>
      </c>
      <c r="X67" s="136" t="s">
        <v>1112</v>
      </c>
      <c r="Y67" s="41" t="s">
        <v>922</v>
      </c>
      <c r="Z67" s="41" t="s">
        <v>923</v>
      </c>
      <c r="AA67" s="41" t="s">
        <v>924</v>
      </c>
      <c r="AB67" s="41" t="s">
        <v>925</v>
      </c>
      <c r="AC67" s="41" t="s">
        <v>926</v>
      </c>
      <c r="AD67" s="41" t="s">
        <v>927</v>
      </c>
      <c r="AE67" s="41" t="s">
        <v>928</v>
      </c>
      <c r="AF67" s="41" t="s">
        <v>929</v>
      </c>
      <c r="AG67" s="41" t="s">
        <v>930</v>
      </c>
      <c r="AH67" s="41" t="s">
        <v>931</v>
      </c>
      <c r="AI67" s="41" t="s">
        <v>932</v>
      </c>
      <c r="AJ67" s="41" t="s">
        <v>933</v>
      </c>
      <c r="AK67" s="41" t="s">
        <v>934</v>
      </c>
      <c r="AL67" s="41" t="s">
        <v>935</v>
      </c>
      <c r="AM67" s="41" t="s">
        <v>936</v>
      </c>
      <c r="AN67" s="41" t="s">
        <v>937</v>
      </c>
    </row>
    <row r="68" spans="2:40" x14ac:dyDescent="0.15">
      <c r="B68" s="340" t="s">
        <v>20</v>
      </c>
      <c r="C68" s="138" t="s">
        <v>911</v>
      </c>
      <c r="D68" s="104" cm="1">
        <f t="array" ref="D68">SUM(SUMIFS('caseload data'!E:E,'caseload data'!$D:$D,"PO",'caseload data'!$A:$A,_xlfn.SINGLE('national caseload'!$B$68:$B$70),'caseload data'!$B:$B,{"licence","community"}))</f>
        <v>0</v>
      </c>
      <c r="E68" s="104" cm="1">
        <f t="array" ref="E68">SUM(SUMIFS('caseload data'!F:F,'caseload data'!$D:$D,"PO",'caseload data'!$A:$A,_xlfn.SINGLE('national caseload'!$B$68:$B$70),'caseload data'!$B:$B,{"licence","community"}))</f>
        <v>0</v>
      </c>
      <c r="F68" s="104" cm="1">
        <f t="array" ref="F68">SUM(SUMIFS('caseload data'!G:G,'caseload data'!$D:$D,"PO",'caseload data'!$A:$A,_xlfn.SINGLE('national caseload'!$B$68:$B$70),'caseload data'!$B:$B,{"licence","community"}))</f>
        <v>0</v>
      </c>
      <c r="G68" s="104" cm="1">
        <f t="array" ref="G68">SUM(SUMIFS('caseload data'!H:H,'caseload data'!$D:$D,"PO",'caseload data'!$A:$A,_xlfn.SINGLE('national caseload'!$B$68:$B$70),'caseload data'!$B:$B,{"licence","community"}))</f>
        <v>0</v>
      </c>
      <c r="H68" s="104" cm="1">
        <f t="array" ref="H68">SUM(SUMIFS('caseload data'!I:I,'caseload data'!$D:$D,"PO",'caseload data'!$A:$A,_xlfn.SINGLE('national caseload'!$B$68:$B$70),'caseload data'!$B:$B,{"licence","community"}))</f>
        <v>0</v>
      </c>
      <c r="I68" s="104" cm="1">
        <f t="array" ref="I68">SUM(SUMIFS('caseload data'!J:J,'caseload data'!$D:$D,"PO",'caseload data'!$A:$A,_xlfn.SINGLE('national caseload'!$B$68:$B$70),'caseload data'!$B:$B,{"licence","community"}))</f>
        <v>0</v>
      </c>
      <c r="J68" s="104" cm="1">
        <f t="array" ref="J68">SUM(SUMIFS('caseload data'!K:K,'caseload data'!$D:$D,"PO",'caseload data'!$A:$A,_xlfn.SINGLE('national caseload'!$B$68:$B$70),'caseload data'!$B:$B,{"licence","community"}))</f>
        <v>0</v>
      </c>
      <c r="K68" s="104" cm="1">
        <f t="array" ref="K68">SUM(SUMIFS('caseload data'!L:L,'caseload data'!$D:$D,"PO",'caseload data'!$A:$A,_xlfn.SINGLE('national caseload'!$B$68:$B$70),'caseload data'!$B:$B,{"licence","community"}))</f>
        <v>0</v>
      </c>
      <c r="L68" s="104" cm="1">
        <f t="array" ref="L68">SUM(SUMIFS('caseload data'!M:M,'caseload data'!$D:$D,"PO",'caseload data'!$A:$A,_xlfn.SINGLE('national caseload'!$B$68:$B$70),'caseload data'!$B:$B,{"licence","community"}))</f>
        <v>0</v>
      </c>
      <c r="M68" s="104" cm="1">
        <f t="array" ref="M68">SUM(SUMIFS('caseload data'!N:N,'caseload data'!$D:$D,"PO",'caseload data'!$A:$A,_xlfn.SINGLE('national caseload'!$B$68:$B$70),'caseload data'!$B:$B,{"licence","community"}))</f>
        <v>0</v>
      </c>
      <c r="N68" s="104" cm="1">
        <f t="array" ref="N68">SUM(SUMIFS('caseload data'!O:O,'caseload data'!$D:$D,"PO",'caseload data'!$A:$A,_xlfn.SINGLE('national caseload'!$B$68:$B$70),'caseload data'!$B:$B,{"licence","community"}))</f>
        <v>0</v>
      </c>
      <c r="O68" s="104" cm="1">
        <f t="array" ref="O68">SUM(SUMIFS('caseload data'!P:P,'caseload data'!$D:$D,"PO",'caseload data'!$A:$A,_xlfn.SINGLE('national caseload'!$B$68:$B$70),'caseload data'!$B:$B,{"licence","community"}))</f>
        <v>0</v>
      </c>
      <c r="P68" s="104" cm="1">
        <f t="array" ref="P68">SUM(SUMIFS('caseload data'!Q:Q,'caseload data'!$D:$D,"PO",'caseload data'!$A:$A,_xlfn.SINGLE('national caseload'!$B$68:$B$70),'caseload data'!$B:$B,{"licence","community"}))</f>
        <v>0</v>
      </c>
      <c r="Q68" s="104" cm="1">
        <f t="array" ref="Q68">SUM(SUMIFS('caseload data'!R:R,'caseload data'!$D:$D,"PO",'caseload data'!$A:$A,_xlfn.SINGLE('national caseload'!$B$68:$B$70),'caseload data'!$B:$B,{"licence","community"}))</f>
        <v>0</v>
      </c>
      <c r="R68" s="104" cm="1">
        <f t="array" ref="R68">SUM(SUMIFS('caseload data'!S:S,'caseload data'!$D:$D,"PO",'caseload data'!$A:$A,_xlfn.SINGLE('national caseload'!$B$68:$B$70),'caseload data'!$B:$B,{"licence","community"}))</f>
        <v>0</v>
      </c>
      <c r="S68" s="104" cm="1">
        <f t="array" ref="S68">SUM(SUMIFS('caseload data'!T:T,'caseload data'!$D:$D,"PO",'caseload data'!$A:$A,_xlfn.SINGLE('national caseload'!$B$68:$B$70),'caseload data'!$B:$B,{"licence","community"}))</f>
        <v>0</v>
      </c>
      <c r="T68" s="104">
        <f>SUM(SUMIFS('caseload data'!V:V,'caseload data'!D:D,"PO",'caseload data'!A:A,'national caseload'!B68:B70,'caseload data'!B:B,{"licence","community"}))</f>
        <v>0</v>
      </c>
      <c r="U68" s="73"/>
      <c r="V68" s="73"/>
      <c r="W68" s="340" t="s">
        <v>20</v>
      </c>
      <c r="X68" s="138" t="s">
        <v>911</v>
      </c>
      <c r="Y68" s="181" t="e">
        <f t="shared" ref="Y68:Y87" si="13">SUM(D68)/SUM(D$68:D$71)</f>
        <v>#DIV/0!</v>
      </c>
      <c r="Z68" s="181" t="e">
        <f t="shared" ref="Z68:AN82" si="14">SUM(E68)/SUM(E$68:E$71)</f>
        <v>#DIV/0!</v>
      </c>
      <c r="AA68" s="181" t="e">
        <f t="shared" si="14"/>
        <v>#DIV/0!</v>
      </c>
      <c r="AB68" s="181" t="e">
        <f t="shared" si="14"/>
        <v>#DIV/0!</v>
      </c>
      <c r="AC68" s="181" t="e">
        <f t="shared" si="14"/>
        <v>#DIV/0!</v>
      </c>
      <c r="AD68" s="181" t="e">
        <f t="shared" si="14"/>
        <v>#DIV/0!</v>
      </c>
      <c r="AE68" s="181" t="e">
        <f t="shared" si="14"/>
        <v>#DIV/0!</v>
      </c>
      <c r="AF68" s="181" t="e">
        <f t="shared" si="14"/>
        <v>#DIV/0!</v>
      </c>
      <c r="AG68" s="181" t="e">
        <f t="shared" si="14"/>
        <v>#DIV/0!</v>
      </c>
      <c r="AH68" s="181" t="e">
        <f t="shared" si="14"/>
        <v>#DIV/0!</v>
      </c>
      <c r="AI68" s="181" t="e">
        <f t="shared" si="14"/>
        <v>#DIV/0!</v>
      </c>
      <c r="AJ68" s="181" t="e">
        <f t="shared" si="14"/>
        <v>#DIV/0!</v>
      </c>
      <c r="AK68" s="181" t="e">
        <f t="shared" si="14"/>
        <v>#DIV/0!</v>
      </c>
      <c r="AL68" s="181" t="e">
        <f t="shared" si="14"/>
        <v>#DIV/0!</v>
      </c>
      <c r="AM68" s="181" t="e">
        <f t="shared" si="14"/>
        <v>#DIV/0!</v>
      </c>
      <c r="AN68" s="181" t="e">
        <f t="shared" si="14"/>
        <v>#DIV/0!</v>
      </c>
    </row>
    <row r="69" spans="2:40" x14ac:dyDescent="0.15">
      <c r="B69" s="341"/>
      <c r="C69" s="139" t="s">
        <v>912</v>
      </c>
      <c r="D69" s="104" cm="1">
        <f t="array" ref="D69">SUM(SUMIFS('caseload data'!E:E,'caseload data'!$D:$D,"PSO",'caseload data'!$A:$A,"East Midlands Region",'caseload data'!$B:$B,{"licence","community"}))</f>
        <v>0</v>
      </c>
      <c r="E69" s="104" cm="1">
        <f t="array" ref="E69">SUM(SUMIFS('caseload data'!F:F,'caseload data'!$D:$D,"PSO",'caseload data'!$A:$A,"East Midlands Region",'caseload data'!$B:$B,{"licence","community"}))</f>
        <v>0</v>
      </c>
      <c r="F69" s="104" cm="1">
        <f t="array" ref="F69">SUM(SUMIFS('caseload data'!G:G,'caseload data'!$D:$D,"PSO",'caseload data'!$A:$A,"East Midlands Region",'caseload data'!$B:$B,{"licence","community"}))</f>
        <v>0</v>
      </c>
      <c r="G69" s="104" cm="1">
        <f t="array" ref="G69">SUM(SUMIFS('caseload data'!H:H,'caseload data'!$D:$D,"PSO",'caseload data'!$A:$A,"East Midlands Region",'caseload data'!$B:$B,{"licence","community"}))</f>
        <v>0</v>
      </c>
      <c r="H69" s="104" cm="1">
        <f t="array" ref="H69">SUM(SUMIFS('caseload data'!I:I,'caseload data'!$D:$D,"PSO",'caseload data'!$A:$A,"East Midlands Region",'caseload data'!$B:$B,{"licence","community"}))</f>
        <v>0</v>
      </c>
      <c r="I69" s="104" cm="1">
        <f t="array" ref="I69">SUM(SUMIFS('caseload data'!J:J,'caseload data'!$D:$D,"PSO",'caseload data'!$A:$A,"East Midlands Region",'caseload data'!$B:$B,{"licence","community"}))</f>
        <v>0</v>
      </c>
      <c r="J69" s="104" cm="1">
        <f t="array" ref="J69">SUM(SUMIFS('caseload data'!K:K,'caseload data'!$D:$D,"PSO",'caseload data'!$A:$A,"East Midlands Region",'caseload data'!$B:$B,{"licence","community"}))</f>
        <v>0</v>
      </c>
      <c r="K69" s="104" cm="1">
        <f t="array" ref="K69">SUM(SUMIFS('caseload data'!L:L,'caseload data'!$D:$D,"PSO",'caseload data'!$A:$A,"East Midlands Region",'caseload data'!$B:$B,{"licence","community"}))</f>
        <v>0</v>
      </c>
      <c r="L69" s="104" cm="1">
        <f t="array" ref="L69">SUM(SUMIFS('caseload data'!M:M,'caseload data'!$D:$D,"PSO",'caseload data'!$A:$A,"East Midlands Region",'caseload data'!$B:$B,{"licence","community"}))</f>
        <v>0</v>
      </c>
      <c r="M69" s="104" cm="1">
        <f t="array" ref="M69">SUM(SUMIFS('caseload data'!N:N,'caseload data'!$D:$D,"PSO",'caseload data'!$A:$A,"East Midlands Region",'caseload data'!$B:$B,{"licence","community"}))</f>
        <v>0</v>
      </c>
      <c r="N69" s="104" cm="1">
        <f t="array" ref="N69">SUM(SUMIFS('caseload data'!O:O,'caseload data'!$D:$D,"PSO",'caseload data'!$A:$A,"East Midlands Region",'caseload data'!$B:$B,{"licence","community"}))</f>
        <v>0</v>
      </c>
      <c r="O69" s="104" cm="1">
        <f t="array" ref="O69">SUM(SUMIFS('caseload data'!P:P,'caseload data'!$D:$D,"PSO",'caseload data'!$A:$A,"East Midlands Region",'caseload data'!$B:$B,{"licence","community"}))</f>
        <v>0</v>
      </c>
      <c r="P69" s="104" cm="1">
        <f t="array" ref="P69">SUM(SUMIFS('caseload data'!Q:Q,'caseload data'!$D:$D,"PSO",'caseload data'!$A:$A,"East Midlands Region",'caseload data'!$B:$B,{"licence","community"}))</f>
        <v>0</v>
      </c>
      <c r="Q69" s="104" cm="1">
        <f t="array" ref="Q69">SUM(SUMIFS('caseload data'!R:R,'caseload data'!$D:$D,"PSO",'caseload data'!$A:$A,"East Midlands Region",'caseload data'!$B:$B,{"licence","community"}))</f>
        <v>0</v>
      </c>
      <c r="R69" s="104" cm="1">
        <f t="array" ref="R69">SUM(SUMIFS('caseload data'!S:S,'caseload data'!$D:$D,"PSO",'caseload data'!$A:$A,"East Midlands Region",'caseload data'!$B:$B,{"licence","community"}))</f>
        <v>0</v>
      </c>
      <c r="S69" s="104" cm="1">
        <f t="array" ref="S69">SUM(SUMIFS('caseload data'!T:T,'caseload data'!$D:$D,"PSO",'caseload data'!$A:$A,"East Midlands Region",'caseload data'!$B:$B,{"licence","community"}))</f>
        <v>0</v>
      </c>
      <c r="T69" s="104" cm="1">
        <f t="array" ref="T69">SUM(SUMIFS('caseload data'!V:V,'caseload data'!D:D,"PSO",'caseload data'!A:A,"East Midlands Region",'caseload data'!B:B,{"licence","community"}))</f>
        <v>0</v>
      </c>
      <c r="U69" s="73"/>
      <c r="V69" s="73"/>
      <c r="W69" s="341"/>
      <c r="X69" s="139" t="s">
        <v>912</v>
      </c>
      <c r="Y69" s="181" t="e">
        <f t="shared" si="13"/>
        <v>#DIV/0!</v>
      </c>
      <c r="Z69" s="181" t="e">
        <f t="shared" si="14"/>
        <v>#DIV/0!</v>
      </c>
      <c r="AA69" s="181" t="e">
        <f t="shared" si="14"/>
        <v>#DIV/0!</v>
      </c>
      <c r="AB69" s="181" t="e">
        <f t="shared" si="14"/>
        <v>#DIV/0!</v>
      </c>
      <c r="AC69" s="181" t="e">
        <f t="shared" si="14"/>
        <v>#DIV/0!</v>
      </c>
      <c r="AD69" s="181" t="e">
        <f t="shared" si="14"/>
        <v>#DIV/0!</v>
      </c>
      <c r="AE69" s="181" t="e">
        <f t="shared" si="14"/>
        <v>#DIV/0!</v>
      </c>
      <c r="AF69" s="181" t="e">
        <f t="shared" si="14"/>
        <v>#DIV/0!</v>
      </c>
      <c r="AG69" s="181" t="e">
        <f t="shared" si="14"/>
        <v>#DIV/0!</v>
      </c>
      <c r="AH69" s="181" t="e">
        <f t="shared" si="14"/>
        <v>#DIV/0!</v>
      </c>
      <c r="AI69" s="181" t="e">
        <f t="shared" si="14"/>
        <v>#DIV/0!</v>
      </c>
      <c r="AJ69" s="181" t="e">
        <f t="shared" si="14"/>
        <v>#DIV/0!</v>
      </c>
      <c r="AK69" s="181" t="e">
        <f t="shared" si="14"/>
        <v>#DIV/0!</v>
      </c>
      <c r="AL69" s="181" t="e">
        <f t="shared" si="14"/>
        <v>#DIV/0!</v>
      </c>
      <c r="AM69" s="181" t="e">
        <f t="shared" si="14"/>
        <v>#DIV/0!</v>
      </c>
      <c r="AN69" s="181" t="e">
        <f t="shared" si="14"/>
        <v>#DIV/0!</v>
      </c>
    </row>
    <row r="70" spans="2:40" x14ac:dyDescent="0.15">
      <c r="B70" s="341"/>
      <c r="C70" s="139" t="s">
        <v>913</v>
      </c>
      <c r="D70" s="104" cm="1">
        <f t="array" ref="D70">SUM(SUMIFS('caseload data'!E:E,'caseload data'!$D:$D,"TPO",'caseload data'!$A:$A,"East Midlands Region",'caseload data'!$B:$B,{"licence","community"}))</f>
        <v>0</v>
      </c>
      <c r="E70" s="104" cm="1">
        <f t="array" ref="E70">SUM(SUMIFS('caseload data'!F:F,'caseload data'!$D:$D,"TPO",'caseload data'!$A:$A,"East Midlands Region",'caseload data'!$B:$B,{"licence","community"}))</f>
        <v>0</v>
      </c>
      <c r="F70" s="104" cm="1">
        <f t="array" ref="F70">SUM(SUMIFS('caseload data'!G:G,'caseload data'!$D:$D,"TPO",'caseload data'!$A:$A,"East Midlands Region",'caseload data'!$B:$B,{"licence","community"}))</f>
        <v>0</v>
      </c>
      <c r="G70" s="104" cm="1">
        <f t="array" ref="G70">SUM(SUMIFS('caseload data'!H:H,'caseload data'!$D:$D,"TPO",'caseload data'!$A:$A,"East Midlands Region",'caseload data'!$B:$B,{"licence","community"}))</f>
        <v>0</v>
      </c>
      <c r="H70" s="104" cm="1">
        <f t="array" ref="H70">SUM(SUMIFS('caseload data'!I:I,'caseload data'!$D:$D,"TPO",'caseload data'!$A:$A,"East Midlands Region",'caseload data'!$B:$B,{"licence","community"}))</f>
        <v>0</v>
      </c>
      <c r="I70" s="104" cm="1">
        <f t="array" ref="I70">SUM(SUMIFS('caseload data'!J:J,'caseload data'!$D:$D,"TPO",'caseload data'!$A:$A,"East Midlands Region",'caseload data'!$B:$B,{"licence","community"}))</f>
        <v>0</v>
      </c>
      <c r="J70" s="104" cm="1">
        <f t="array" ref="J70">SUM(SUMIFS('caseload data'!K:K,'caseload data'!$D:$D,"TPO",'caseload data'!$A:$A,"East Midlands Region",'caseload data'!$B:$B,{"licence","community"}))</f>
        <v>0</v>
      </c>
      <c r="K70" s="104" cm="1">
        <f t="array" ref="K70">SUM(SUMIFS('caseload data'!L:L,'caseload data'!$D:$D,"TPO",'caseload data'!$A:$A,"East Midlands Region",'caseload data'!$B:$B,{"licence","community"}))</f>
        <v>0</v>
      </c>
      <c r="L70" s="104" cm="1">
        <f t="array" ref="L70">SUM(SUMIFS('caseload data'!M:M,'caseload data'!$D:$D,"TPO",'caseload data'!$A:$A,"East Midlands Region",'caseload data'!$B:$B,{"licence","community"}))</f>
        <v>0</v>
      </c>
      <c r="M70" s="104" cm="1">
        <f t="array" ref="M70">SUM(SUMIFS('caseload data'!N:N,'caseload data'!$D:$D,"TPO",'caseload data'!$A:$A,"East Midlands Region",'caseload data'!$B:$B,{"licence","community"}))</f>
        <v>0</v>
      </c>
      <c r="N70" s="104" cm="1">
        <f t="array" ref="N70">SUM(SUMIFS('caseload data'!O:O,'caseload data'!$D:$D,"TPO",'caseload data'!$A:$A,"East Midlands Region",'caseload data'!$B:$B,{"licence","community"}))</f>
        <v>0</v>
      </c>
      <c r="O70" s="104" cm="1">
        <f t="array" ref="O70">SUM(SUMIFS('caseload data'!P:P,'caseload data'!$D:$D,"TPO",'caseload data'!$A:$A,"East Midlands Region",'caseload data'!$B:$B,{"licence","community"}))</f>
        <v>0</v>
      </c>
      <c r="P70" s="104" cm="1">
        <f t="array" ref="P70">SUM(SUMIFS('caseload data'!Q:Q,'caseload data'!$D:$D,"TPO",'caseload data'!$A:$A,"East Midlands Region",'caseload data'!$B:$B,{"licence","community"}))</f>
        <v>0</v>
      </c>
      <c r="Q70" s="104" cm="1">
        <f t="array" ref="Q70">SUM(SUMIFS('caseload data'!R:R,'caseload data'!$D:$D,"TPO",'caseload data'!$A:$A,"East Midlands Region",'caseload data'!$B:$B,{"licence","community"}))</f>
        <v>0</v>
      </c>
      <c r="R70" s="104" cm="1">
        <f t="array" ref="R70">SUM(SUMIFS('caseload data'!S:S,'caseload data'!$D:$D,"TPO",'caseload data'!$A:$A,"East Midlands Region",'caseload data'!$B:$B,{"licence","community"}))</f>
        <v>0</v>
      </c>
      <c r="S70" s="104" cm="1">
        <f t="array" ref="S70">SUM(SUMIFS('caseload data'!T:T,'caseload data'!$D:$D,"TPO",'caseload data'!$A:$A,"East Midlands Region",'caseload data'!$B:$B,{"licence","community"}))</f>
        <v>0</v>
      </c>
      <c r="T70" s="104" cm="1">
        <f t="array" ref="T70">SUM(SUMIFS('caseload data'!V:V,'caseload data'!D:D,"TPO",'caseload data'!A:A,"East Midlands Region",'caseload data'!B:B,{"licence","community"}))</f>
        <v>0</v>
      </c>
      <c r="U70" s="73"/>
      <c r="V70" s="73"/>
      <c r="W70" s="341"/>
      <c r="X70" s="139" t="s">
        <v>913</v>
      </c>
      <c r="Y70" s="181" t="e">
        <f t="shared" si="13"/>
        <v>#DIV/0!</v>
      </c>
      <c r="Z70" s="181" t="e">
        <f t="shared" si="14"/>
        <v>#DIV/0!</v>
      </c>
      <c r="AA70" s="181" t="e">
        <f t="shared" si="14"/>
        <v>#DIV/0!</v>
      </c>
      <c r="AB70" s="181" t="e">
        <f t="shared" si="14"/>
        <v>#DIV/0!</v>
      </c>
      <c r="AC70" s="181" t="e">
        <f t="shared" si="14"/>
        <v>#DIV/0!</v>
      </c>
      <c r="AD70" s="181" t="e">
        <f t="shared" si="14"/>
        <v>#DIV/0!</v>
      </c>
      <c r="AE70" s="181" t="e">
        <f t="shared" si="14"/>
        <v>#DIV/0!</v>
      </c>
      <c r="AF70" s="181" t="e">
        <f t="shared" si="14"/>
        <v>#DIV/0!</v>
      </c>
      <c r="AG70" s="181" t="e">
        <f t="shared" si="14"/>
        <v>#DIV/0!</v>
      </c>
      <c r="AH70" s="181" t="e">
        <f t="shared" si="14"/>
        <v>#DIV/0!</v>
      </c>
      <c r="AI70" s="181" t="e">
        <f t="shared" si="14"/>
        <v>#DIV/0!</v>
      </c>
      <c r="AJ70" s="181" t="e">
        <f t="shared" si="14"/>
        <v>#DIV/0!</v>
      </c>
      <c r="AK70" s="181" t="e">
        <f t="shared" si="14"/>
        <v>#DIV/0!</v>
      </c>
      <c r="AL70" s="181" t="e">
        <f t="shared" si="14"/>
        <v>#DIV/0!</v>
      </c>
      <c r="AM70" s="181" t="e">
        <f t="shared" si="14"/>
        <v>#DIV/0!</v>
      </c>
      <c r="AN70" s="181" t="e">
        <f t="shared" si="14"/>
        <v>#DIV/0!</v>
      </c>
    </row>
    <row r="71" spans="2:40" x14ac:dyDescent="0.15">
      <c r="B71" s="342"/>
      <c r="C71" s="140" t="s">
        <v>914</v>
      </c>
      <c r="D71" s="104" cm="1">
        <f t="array" ref="D71">SUM(SUMIFS('caseload data'!E:E,'caseload data'!$D:$D,"SPO",'caseload data'!$A:$A,"East Midlands Region",'caseload data'!$B:$B,{"licence","community"}))</f>
        <v>0</v>
      </c>
      <c r="E71" s="104" cm="1">
        <f t="array" ref="E71">SUM(SUMIFS('caseload data'!F:F,'caseload data'!$D:$D,"SPO",'caseload data'!$A:$A,"East Midlands Region",'caseload data'!$B:$B,{"licence","community"}))</f>
        <v>0</v>
      </c>
      <c r="F71" s="104" cm="1">
        <f t="array" ref="F71">SUM(SUMIFS('caseload data'!G:G,'caseload data'!$D:$D,"SPO",'caseload data'!$A:$A,"East Midlands Region",'caseload data'!$B:$B,{"licence","community"}))</f>
        <v>0</v>
      </c>
      <c r="G71" s="104" cm="1">
        <f t="array" ref="G71">SUM(SUMIFS('caseload data'!H:H,'caseload data'!$D:$D,"SPO",'caseload data'!$A:$A,"East Midlands Region",'caseload data'!$B:$B,{"licence","community"}))</f>
        <v>0</v>
      </c>
      <c r="H71" s="104" cm="1">
        <f t="array" ref="H71">SUM(SUMIFS('caseload data'!I:I,'caseload data'!$D:$D,"SPO",'caseload data'!$A:$A,"East Midlands Region",'caseload data'!$B:$B,{"licence","community"}))</f>
        <v>0</v>
      </c>
      <c r="I71" s="104" cm="1">
        <f t="array" ref="I71">SUM(SUMIFS('caseload data'!J:J,'caseload data'!$D:$D,"SPO",'caseload data'!$A:$A,"East Midlands Region",'caseload data'!$B:$B,{"licence","community"}))</f>
        <v>0</v>
      </c>
      <c r="J71" s="104" cm="1">
        <f t="array" ref="J71">SUM(SUMIFS('caseload data'!K:K,'caseload data'!$D:$D,"SPO",'caseload data'!$A:$A,"East Midlands Region",'caseload data'!$B:$B,{"licence","community"}))</f>
        <v>0</v>
      </c>
      <c r="K71" s="104" cm="1">
        <f t="array" ref="K71">SUM(SUMIFS('caseload data'!L:L,'caseload data'!$D:$D,"SPO",'caseload data'!$A:$A,"East Midlands Region",'caseload data'!$B:$B,{"licence","community"}))</f>
        <v>0</v>
      </c>
      <c r="L71" s="104" cm="1">
        <f t="array" ref="L71">SUM(SUMIFS('caseload data'!M:M,'caseload data'!$D:$D,"SPO",'caseload data'!$A:$A,"East Midlands Region",'caseload data'!$B:$B,{"licence","community"}))</f>
        <v>0</v>
      </c>
      <c r="M71" s="104" cm="1">
        <f t="array" ref="M71">SUM(SUMIFS('caseload data'!N:N,'caseload data'!$D:$D,"SPO",'caseload data'!$A:$A,"East Midlands Region",'caseload data'!$B:$B,{"licence","community"}))</f>
        <v>0</v>
      </c>
      <c r="N71" s="104" cm="1">
        <f t="array" ref="N71">SUM(SUMIFS('caseload data'!O:O,'caseload data'!$D:$D,"SPO",'caseload data'!$A:$A,"East Midlands Region",'caseload data'!$B:$B,{"licence","community"}))</f>
        <v>0</v>
      </c>
      <c r="O71" s="104" cm="1">
        <f t="array" ref="O71">SUM(SUMIFS('caseload data'!P:P,'caseload data'!$D:$D,"SPO",'caseload data'!$A:$A,"East Midlands Region",'caseload data'!$B:$B,{"licence","community"}))</f>
        <v>0</v>
      </c>
      <c r="P71" s="104" cm="1">
        <f t="array" ref="P71">SUM(SUMIFS('caseload data'!Q:Q,'caseload data'!$D:$D,"SPO",'caseload data'!$A:$A,"East Midlands Region",'caseload data'!$B:$B,{"licence","community"}))</f>
        <v>0</v>
      </c>
      <c r="Q71" s="104" cm="1">
        <f t="array" ref="Q71">SUM(SUMIFS('caseload data'!R:R,'caseload data'!$D:$D,"SPO",'caseload data'!$A:$A,"East Midlands Region",'caseload data'!$B:$B,{"licence","community"}))</f>
        <v>0</v>
      </c>
      <c r="R71" s="104" cm="1">
        <f t="array" ref="R71">SUM(SUMIFS('caseload data'!S:S,'caseload data'!$D:$D,"SPO",'caseload data'!$A:$A,"East Midlands Region",'caseload data'!$B:$B,{"licence","community"}))</f>
        <v>0</v>
      </c>
      <c r="S71" s="104" cm="1">
        <f t="array" ref="S71">SUM(SUMIFS('caseload data'!T:T,'caseload data'!$D:$D,"SPO",'caseload data'!$A:$A,"East Midlands Region",'caseload data'!$B:$B,{"licence","community"}))</f>
        <v>0</v>
      </c>
      <c r="T71" s="104" cm="1">
        <f t="array" ref="T71">SUM(SUMIFS('caseload data'!V:V,'caseload data'!$D:$D,"SPO",'caseload data'!$A:$A,"East Midlands Region",'caseload data'!$B:$B,{"licence","community"}))</f>
        <v>0</v>
      </c>
      <c r="U71" s="73"/>
      <c r="V71" s="73"/>
      <c r="W71" s="342"/>
      <c r="X71" s="140" t="s">
        <v>914</v>
      </c>
      <c r="Y71" s="181" t="e">
        <f t="shared" si="13"/>
        <v>#DIV/0!</v>
      </c>
      <c r="Z71" s="181" t="e">
        <f t="shared" si="14"/>
        <v>#DIV/0!</v>
      </c>
      <c r="AA71" s="181" t="e">
        <f t="shared" si="14"/>
        <v>#DIV/0!</v>
      </c>
      <c r="AB71" s="181" t="e">
        <f t="shared" si="14"/>
        <v>#DIV/0!</v>
      </c>
      <c r="AC71" s="181" t="e">
        <f t="shared" si="14"/>
        <v>#DIV/0!</v>
      </c>
      <c r="AD71" s="181" t="e">
        <f t="shared" si="14"/>
        <v>#DIV/0!</v>
      </c>
      <c r="AE71" s="181" t="e">
        <f t="shared" si="14"/>
        <v>#DIV/0!</v>
      </c>
      <c r="AF71" s="181" t="e">
        <f t="shared" si="14"/>
        <v>#DIV/0!</v>
      </c>
      <c r="AG71" s="181" t="e">
        <f t="shared" si="14"/>
        <v>#DIV/0!</v>
      </c>
      <c r="AH71" s="181" t="e">
        <f t="shared" si="14"/>
        <v>#DIV/0!</v>
      </c>
      <c r="AI71" s="181" t="e">
        <f t="shared" si="14"/>
        <v>#DIV/0!</v>
      </c>
      <c r="AJ71" s="181" t="e">
        <f t="shared" si="14"/>
        <v>#DIV/0!</v>
      </c>
      <c r="AK71" s="181" t="e">
        <f t="shared" si="14"/>
        <v>#DIV/0!</v>
      </c>
      <c r="AL71" s="181" t="e">
        <f t="shared" si="14"/>
        <v>#DIV/0!</v>
      </c>
      <c r="AM71" s="181" t="e">
        <f t="shared" si="14"/>
        <v>#DIV/0!</v>
      </c>
      <c r="AN71" s="181" t="e">
        <f t="shared" si="14"/>
        <v>#DIV/0!</v>
      </c>
    </row>
    <row r="72" spans="2:40" x14ac:dyDescent="0.15">
      <c r="B72" s="340" t="s">
        <v>21</v>
      </c>
      <c r="C72" s="138" t="s">
        <v>911</v>
      </c>
      <c r="D72" s="104" cm="1">
        <f t="array" ref="D72">SUM(SUMIFS('caseload data'!E:E,'caseload data'!$D:$D,"PO",'caseload data'!$A:$A,_xlfn.SINGLE('national caseload'!$B$72:$B$74),'caseload data'!$B:$B,{"licence","community"}))</f>
        <v>0</v>
      </c>
      <c r="E72" s="104" cm="1">
        <f t="array" ref="E72">SUM(SUMIFS('caseload data'!F:F,'caseload data'!$D:$D,"PO",'caseload data'!$A:$A,_xlfn.SINGLE('national caseload'!$B$72:$B$74),'caseload data'!$B:$B,{"licence","community"}))</f>
        <v>0</v>
      </c>
      <c r="F72" s="104" cm="1">
        <f t="array" ref="F72">SUM(SUMIFS('caseload data'!G:G,'caseload data'!$D:$D,"PO",'caseload data'!$A:$A,_xlfn.SINGLE('national caseload'!$B$72:$B$74),'caseload data'!$B:$B,{"licence","community"}))</f>
        <v>0</v>
      </c>
      <c r="G72" s="104" cm="1">
        <f t="array" ref="G72">SUM(SUMIFS('caseload data'!H:H,'caseload data'!$D:$D,"PO",'caseload data'!$A:$A,_xlfn.SINGLE('national caseload'!$B$72:$B$74),'caseload data'!$B:$B,{"licence","community"}))</f>
        <v>0</v>
      </c>
      <c r="H72" s="104" cm="1">
        <f t="array" ref="H72">SUM(SUMIFS('caseload data'!I:I,'caseload data'!$D:$D,"PO",'caseload data'!$A:$A,_xlfn.SINGLE('national caseload'!$B$72:$B$74),'caseload data'!$B:$B,{"licence","community"}))</f>
        <v>0</v>
      </c>
      <c r="I72" s="104" cm="1">
        <f t="array" ref="I72">SUM(SUMIFS('caseload data'!J:J,'caseload data'!$D:$D,"PO",'caseload data'!$A:$A,_xlfn.SINGLE('national caseload'!$B$72:$B$74),'caseload data'!$B:$B,{"licence","community"}))</f>
        <v>0</v>
      </c>
      <c r="J72" s="104" cm="1">
        <f t="array" ref="J72">SUM(SUMIFS('caseload data'!K:K,'caseload data'!$D:$D,"PO",'caseload data'!$A:$A,_xlfn.SINGLE('national caseload'!$B$72:$B$74),'caseload data'!$B:$B,{"licence","community"}))</f>
        <v>0</v>
      </c>
      <c r="K72" s="104" cm="1">
        <f t="array" ref="K72">SUM(SUMIFS('caseload data'!L:L,'caseload data'!$D:$D,"PO",'caseload data'!$A:$A,_xlfn.SINGLE('national caseload'!$B$72:$B$74),'caseload data'!$B:$B,{"licence","community"}))</f>
        <v>0</v>
      </c>
      <c r="L72" s="104" cm="1">
        <f t="array" ref="L72">SUM(SUMIFS('caseload data'!M:M,'caseload data'!$D:$D,"PO",'caseload data'!$A:$A,_xlfn.SINGLE('national caseload'!$B$72:$B$74),'caseload data'!$B:$B,{"licence","community"}))</f>
        <v>0</v>
      </c>
      <c r="M72" s="104" cm="1">
        <f t="array" ref="M72">SUM(SUMIFS('caseload data'!N:N,'caseload data'!$D:$D,"PO",'caseload data'!$A:$A,_xlfn.SINGLE('national caseload'!$B$72:$B$74),'caseload data'!$B:$B,{"licence","community"}))</f>
        <v>0</v>
      </c>
      <c r="N72" s="104" cm="1">
        <f t="array" ref="N72">SUM(SUMIFS('caseload data'!O:O,'caseload data'!$D:$D,"PO",'caseload data'!$A:$A,_xlfn.SINGLE('national caseload'!$B$72:$B$74),'caseload data'!$B:$B,{"licence","community"}))</f>
        <v>0</v>
      </c>
      <c r="O72" s="104" cm="1">
        <f t="array" ref="O72">SUM(SUMIFS('caseload data'!P:P,'caseload data'!$D:$D,"PO",'caseload data'!$A:$A,_xlfn.SINGLE('national caseload'!$B$72:$B$74),'caseload data'!$B:$B,{"licence","community"}))</f>
        <v>0</v>
      </c>
      <c r="P72" s="104" cm="1">
        <f t="array" ref="P72">SUM(SUMIFS('caseload data'!Q:Q,'caseload data'!$D:$D,"PO",'caseload data'!$A:$A,_xlfn.SINGLE('national caseload'!$B$72:$B$74),'caseload data'!$B:$B,{"licence","community"}))</f>
        <v>0</v>
      </c>
      <c r="Q72" s="104" cm="1">
        <f t="array" ref="Q72">SUM(SUMIFS('caseload data'!R:R,'caseload data'!$D:$D,"PO",'caseload data'!$A:$A,_xlfn.SINGLE('national caseload'!$B$72:$B$74),'caseload data'!$B:$B,{"licence","community"}))</f>
        <v>0</v>
      </c>
      <c r="R72" s="104" cm="1">
        <f t="array" ref="R72">SUM(SUMIFS('caseload data'!S:S,'caseload data'!$D:$D,"PO",'caseload data'!$A:$A,_xlfn.SINGLE('national caseload'!$B$72:$B$74),'caseload data'!$B:$B,{"licence","community"}))</f>
        <v>0</v>
      </c>
      <c r="S72" s="104" cm="1">
        <f t="array" ref="S72">SUM(SUMIFS('caseload data'!T:T,'caseload data'!$D:$D,"PO",'caseload data'!$A:$A,_xlfn.SINGLE('national caseload'!$B$72:$B$74),'caseload data'!$B:$B,{"licence","community"}))</f>
        <v>0</v>
      </c>
      <c r="T72" s="104">
        <f>SUM(SUMIFS('caseload data'!V:V,'caseload data'!D:D,"PO",'caseload data'!A:A,'national caseload'!B72:B74,'caseload data'!B:B,{"licence","community"}))</f>
        <v>0</v>
      </c>
      <c r="U72" s="73"/>
      <c r="V72" s="73"/>
      <c r="W72" s="340" t="s">
        <v>21</v>
      </c>
      <c r="X72" s="138" t="s">
        <v>911</v>
      </c>
      <c r="Y72" s="181" t="e">
        <f t="shared" si="13"/>
        <v>#DIV/0!</v>
      </c>
      <c r="Z72" s="181" t="e">
        <f t="shared" si="14"/>
        <v>#DIV/0!</v>
      </c>
      <c r="AA72" s="181" t="e">
        <f t="shared" si="14"/>
        <v>#DIV/0!</v>
      </c>
      <c r="AB72" s="181" t="e">
        <f t="shared" si="14"/>
        <v>#DIV/0!</v>
      </c>
      <c r="AC72" s="181" t="e">
        <f t="shared" si="14"/>
        <v>#DIV/0!</v>
      </c>
      <c r="AD72" s="181" t="e">
        <f t="shared" si="14"/>
        <v>#DIV/0!</v>
      </c>
      <c r="AE72" s="181" t="e">
        <f t="shared" si="14"/>
        <v>#DIV/0!</v>
      </c>
      <c r="AF72" s="181" t="e">
        <f t="shared" si="14"/>
        <v>#DIV/0!</v>
      </c>
      <c r="AG72" s="181" t="e">
        <f t="shared" si="14"/>
        <v>#DIV/0!</v>
      </c>
      <c r="AH72" s="181" t="e">
        <f t="shared" si="14"/>
        <v>#DIV/0!</v>
      </c>
      <c r="AI72" s="181" t="e">
        <f t="shared" si="14"/>
        <v>#DIV/0!</v>
      </c>
      <c r="AJ72" s="181" t="e">
        <f t="shared" si="14"/>
        <v>#DIV/0!</v>
      </c>
      <c r="AK72" s="181" t="e">
        <f t="shared" si="14"/>
        <v>#DIV/0!</v>
      </c>
      <c r="AL72" s="181" t="e">
        <f t="shared" si="14"/>
        <v>#DIV/0!</v>
      </c>
      <c r="AM72" s="181" t="e">
        <f t="shared" si="14"/>
        <v>#DIV/0!</v>
      </c>
      <c r="AN72" s="181" t="e">
        <f t="shared" si="14"/>
        <v>#DIV/0!</v>
      </c>
    </row>
    <row r="73" spans="2:40" x14ac:dyDescent="0.15">
      <c r="B73" s="341"/>
      <c r="C73" s="139" t="s">
        <v>912</v>
      </c>
      <c r="D73" s="104" cm="1">
        <f t="array" ref="D73">SUM(SUMIFS('caseload data'!E:E,'caseload data'!$D:$D,"PSO",'caseload data'!$A:$A,"East of England",'caseload data'!$B:$B,{"licence","community"}))</f>
        <v>0</v>
      </c>
      <c r="E73" s="104" cm="1">
        <f t="array" ref="E73">SUM(SUMIFS('caseload data'!F:F,'caseload data'!$D:$D,"PSO",'caseload data'!$A:$A,"East of England",'caseload data'!$B:$B,{"licence","community"}))</f>
        <v>0</v>
      </c>
      <c r="F73" s="104" cm="1">
        <f t="array" ref="F73">SUM(SUMIFS('caseload data'!G:G,'caseload data'!$D:$D,"PSO",'caseload data'!$A:$A,"East of England",'caseload data'!$B:$B,{"licence","community"}))</f>
        <v>0</v>
      </c>
      <c r="G73" s="104" cm="1">
        <f t="array" ref="G73">SUM(SUMIFS('caseload data'!H:H,'caseload data'!$D:$D,"PSO",'caseload data'!$A:$A,"East of England",'caseload data'!$B:$B,{"licence","community"}))</f>
        <v>0</v>
      </c>
      <c r="H73" s="104" cm="1">
        <f t="array" ref="H73">SUM(SUMIFS('caseload data'!I:I,'caseload data'!$D:$D,"PSO",'caseload data'!$A:$A,"East of England",'caseload data'!$B:$B,{"licence","community"}))</f>
        <v>0</v>
      </c>
      <c r="I73" s="104" cm="1">
        <f t="array" ref="I73">SUM(SUMIFS('caseload data'!J:J,'caseload data'!$D:$D,"PSO",'caseload data'!$A:$A,"East of England",'caseload data'!$B:$B,{"licence","community"}))</f>
        <v>0</v>
      </c>
      <c r="J73" s="104" cm="1">
        <f t="array" ref="J73">SUM(SUMIFS('caseload data'!K:K,'caseload data'!$D:$D,"PSO",'caseload data'!$A:$A,"East of England",'caseload data'!$B:$B,{"licence","community"}))</f>
        <v>0</v>
      </c>
      <c r="K73" s="104" cm="1">
        <f t="array" ref="K73">SUM(SUMIFS('caseload data'!L:L,'caseload data'!$D:$D,"PSO",'caseload data'!$A:$A,"East of England",'caseload data'!$B:$B,{"licence","community"}))</f>
        <v>0</v>
      </c>
      <c r="L73" s="104" cm="1">
        <f t="array" ref="L73">SUM(SUMIFS('caseload data'!M:M,'caseload data'!$D:$D,"PSO",'caseload data'!$A:$A,"East of England",'caseload data'!$B:$B,{"licence","community"}))</f>
        <v>0</v>
      </c>
      <c r="M73" s="104" cm="1">
        <f t="array" ref="M73">SUM(SUMIFS('caseload data'!N:N,'caseload data'!$D:$D,"PSO",'caseload data'!$A:$A,"East of England",'caseload data'!$B:$B,{"licence","community"}))</f>
        <v>0</v>
      </c>
      <c r="N73" s="104" cm="1">
        <f t="array" ref="N73">SUM(SUMIFS('caseload data'!O:O,'caseload data'!$D:$D,"PSO",'caseload data'!$A:$A,"East of England",'caseload data'!$B:$B,{"licence","community"}))</f>
        <v>0</v>
      </c>
      <c r="O73" s="104" cm="1">
        <f t="array" ref="O73">SUM(SUMIFS('caseload data'!P:P,'caseload data'!$D:$D,"PSO",'caseload data'!$A:$A,"East of England",'caseload data'!$B:$B,{"licence","community"}))</f>
        <v>0</v>
      </c>
      <c r="P73" s="104" cm="1">
        <f t="array" ref="P73">SUM(SUMIFS('caseload data'!Q:Q,'caseload data'!$D:$D,"PSO",'caseload data'!$A:$A,"East of England",'caseload data'!$B:$B,{"licence","community"}))</f>
        <v>0</v>
      </c>
      <c r="Q73" s="104" cm="1">
        <f t="array" ref="Q73">SUM(SUMIFS('caseload data'!R:R,'caseload data'!$D:$D,"PSO",'caseload data'!$A:$A,"East of England",'caseload data'!$B:$B,{"licence","community"}))</f>
        <v>0</v>
      </c>
      <c r="R73" s="104" cm="1">
        <f t="array" ref="R73">SUM(SUMIFS('caseload data'!S:S,'caseload data'!$D:$D,"PSO",'caseload data'!$A:$A,"East of England",'caseload data'!$B:$B,{"licence","community"}))</f>
        <v>0</v>
      </c>
      <c r="S73" s="104" cm="1">
        <f t="array" ref="S73">SUM(SUMIFS('caseload data'!T:T,'caseload data'!$D:$D,"PSO",'caseload data'!$A:$A,"East of England",'caseload data'!$B:$B,{"licence","community"}))</f>
        <v>0</v>
      </c>
      <c r="T73" s="104" cm="1">
        <f t="array" ref="T73">SUM(SUMIFS('caseload data'!V:V,'caseload data'!D:D,"PSO",'caseload data'!A:A,"East of England",'caseload data'!B:B,{"licence","community"}))</f>
        <v>0</v>
      </c>
      <c r="U73" s="73"/>
      <c r="V73" s="73"/>
      <c r="W73" s="341"/>
      <c r="X73" s="139" t="s">
        <v>912</v>
      </c>
      <c r="Y73" s="181" t="e">
        <f t="shared" si="13"/>
        <v>#DIV/0!</v>
      </c>
      <c r="Z73" s="181" t="e">
        <f t="shared" si="14"/>
        <v>#DIV/0!</v>
      </c>
      <c r="AA73" s="181" t="e">
        <f t="shared" si="14"/>
        <v>#DIV/0!</v>
      </c>
      <c r="AB73" s="181" t="e">
        <f t="shared" si="14"/>
        <v>#DIV/0!</v>
      </c>
      <c r="AC73" s="181" t="e">
        <f t="shared" si="14"/>
        <v>#DIV/0!</v>
      </c>
      <c r="AD73" s="181" t="e">
        <f t="shared" si="14"/>
        <v>#DIV/0!</v>
      </c>
      <c r="AE73" s="181" t="e">
        <f t="shared" si="14"/>
        <v>#DIV/0!</v>
      </c>
      <c r="AF73" s="181" t="e">
        <f t="shared" si="14"/>
        <v>#DIV/0!</v>
      </c>
      <c r="AG73" s="181" t="e">
        <f t="shared" si="14"/>
        <v>#DIV/0!</v>
      </c>
      <c r="AH73" s="181" t="e">
        <f t="shared" si="14"/>
        <v>#DIV/0!</v>
      </c>
      <c r="AI73" s="181" t="e">
        <f t="shared" si="14"/>
        <v>#DIV/0!</v>
      </c>
      <c r="AJ73" s="181" t="e">
        <f t="shared" si="14"/>
        <v>#DIV/0!</v>
      </c>
      <c r="AK73" s="181" t="e">
        <f t="shared" si="14"/>
        <v>#DIV/0!</v>
      </c>
      <c r="AL73" s="181" t="e">
        <f t="shared" si="14"/>
        <v>#DIV/0!</v>
      </c>
      <c r="AM73" s="181" t="e">
        <f t="shared" si="14"/>
        <v>#DIV/0!</v>
      </c>
      <c r="AN73" s="181" t="e">
        <f t="shared" si="14"/>
        <v>#DIV/0!</v>
      </c>
    </row>
    <row r="74" spans="2:40" x14ac:dyDescent="0.15">
      <c r="B74" s="341"/>
      <c r="C74" s="139" t="s">
        <v>913</v>
      </c>
      <c r="D74" s="104" cm="1">
        <f t="array" ref="D74">SUM(SUMIFS('caseload data'!E:E,'caseload data'!$D:$D,"TPO",'caseload data'!$A:$A,"East of England",'caseload data'!$B:$B,{"licence","community"}))</f>
        <v>0</v>
      </c>
      <c r="E74" s="104" cm="1">
        <f t="array" ref="E74">SUM(SUMIFS('caseload data'!F:F,'caseload data'!$D:$D,"TPO",'caseload data'!$A:$A,"East of England",'caseload data'!$B:$B,{"licence","community"}))</f>
        <v>0</v>
      </c>
      <c r="F74" s="104" cm="1">
        <f t="array" ref="F74">SUM(SUMIFS('caseload data'!G:G,'caseload data'!$D:$D,"TPO",'caseload data'!$A:$A,"East of England",'caseload data'!$B:$B,{"licence","community"}))</f>
        <v>0</v>
      </c>
      <c r="G74" s="104" cm="1">
        <f t="array" ref="G74">SUM(SUMIFS('caseload data'!H:H,'caseload data'!$D:$D,"TPO",'caseload data'!$A:$A,"East of England",'caseload data'!$B:$B,{"licence","community"}))</f>
        <v>0</v>
      </c>
      <c r="H74" s="104" cm="1">
        <f t="array" ref="H74">SUM(SUMIFS('caseload data'!I:I,'caseload data'!$D:$D,"TPO",'caseload data'!$A:$A,"East of England",'caseload data'!$B:$B,{"licence","community"}))</f>
        <v>0</v>
      </c>
      <c r="I74" s="104" cm="1">
        <f t="array" ref="I74">SUM(SUMIFS('caseload data'!J:J,'caseload data'!$D:$D,"TPO",'caseload data'!$A:$A,"East of England",'caseload data'!$B:$B,{"licence","community"}))</f>
        <v>0</v>
      </c>
      <c r="J74" s="104" cm="1">
        <f t="array" ref="J74">SUM(SUMIFS('caseload data'!K:K,'caseload data'!$D:$D,"TPO",'caseload data'!$A:$A,"East of England",'caseload data'!$B:$B,{"licence","community"}))</f>
        <v>0</v>
      </c>
      <c r="K74" s="104" cm="1">
        <f t="array" ref="K74">SUM(SUMIFS('caseload data'!L:L,'caseload data'!$D:$D,"TPO",'caseload data'!$A:$A,"East of England",'caseload data'!$B:$B,{"licence","community"}))</f>
        <v>0</v>
      </c>
      <c r="L74" s="104" cm="1">
        <f t="array" ref="L74">SUM(SUMIFS('caseload data'!M:M,'caseload data'!$D:$D,"TPO",'caseload data'!$A:$A,"East of England",'caseload data'!$B:$B,{"licence","community"}))</f>
        <v>0</v>
      </c>
      <c r="M74" s="104" cm="1">
        <f t="array" ref="M74">SUM(SUMIFS('caseload data'!N:N,'caseload data'!$D:$D,"TPO",'caseload data'!$A:$A,"East of England",'caseload data'!$B:$B,{"licence","community"}))</f>
        <v>0</v>
      </c>
      <c r="N74" s="104" cm="1">
        <f t="array" ref="N74">SUM(SUMIFS('caseload data'!O:O,'caseload data'!$D:$D,"TPO",'caseload data'!$A:$A,"East of England",'caseload data'!$B:$B,{"licence","community"}))</f>
        <v>0</v>
      </c>
      <c r="O74" s="104" cm="1">
        <f t="array" ref="O74">SUM(SUMIFS('caseload data'!P:P,'caseload data'!$D:$D,"TPO",'caseload data'!$A:$A,"East of England",'caseload data'!$B:$B,{"licence","community"}))</f>
        <v>0</v>
      </c>
      <c r="P74" s="104" cm="1">
        <f t="array" ref="P74">SUM(SUMIFS('caseload data'!Q:Q,'caseload data'!$D:$D,"TPO",'caseload data'!$A:$A,"East of England",'caseload data'!$B:$B,{"licence","community"}))</f>
        <v>0</v>
      </c>
      <c r="Q74" s="104" cm="1">
        <f t="array" ref="Q74">SUM(SUMIFS('caseload data'!R:R,'caseload data'!$D:$D,"TPO",'caseload data'!$A:$A,"East of England",'caseload data'!$B:$B,{"licence","community"}))</f>
        <v>0</v>
      </c>
      <c r="R74" s="104" cm="1">
        <f t="array" ref="R74">SUM(SUMIFS('caseload data'!S:S,'caseload data'!$D:$D,"TPO",'caseload data'!$A:$A,"East of England",'caseload data'!$B:$B,{"licence","community"}))</f>
        <v>0</v>
      </c>
      <c r="S74" s="104" cm="1">
        <f t="array" ref="S74">SUM(SUMIFS('caseload data'!T:T,'caseload data'!$D:$D,"TPO",'caseload data'!$A:$A,"East of England",'caseload data'!$B:$B,{"licence","community"}))</f>
        <v>0</v>
      </c>
      <c r="T74" s="104" cm="1">
        <f t="array" ref="T74">SUM(SUMIFS('caseload data'!V:V,'caseload data'!D:D,"TPO",'caseload data'!A:A,"East of England",'caseload data'!B:B,{"licence","community"}))</f>
        <v>0</v>
      </c>
      <c r="U74" s="73"/>
      <c r="V74" s="73"/>
      <c r="W74" s="341"/>
      <c r="X74" s="139" t="s">
        <v>913</v>
      </c>
      <c r="Y74" s="181" t="e">
        <f t="shared" si="13"/>
        <v>#DIV/0!</v>
      </c>
      <c r="Z74" s="181" t="e">
        <f t="shared" si="14"/>
        <v>#DIV/0!</v>
      </c>
      <c r="AA74" s="181" t="e">
        <f t="shared" si="14"/>
        <v>#DIV/0!</v>
      </c>
      <c r="AB74" s="181" t="e">
        <f t="shared" si="14"/>
        <v>#DIV/0!</v>
      </c>
      <c r="AC74" s="181" t="e">
        <f t="shared" si="14"/>
        <v>#DIV/0!</v>
      </c>
      <c r="AD74" s="181" t="e">
        <f t="shared" si="14"/>
        <v>#DIV/0!</v>
      </c>
      <c r="AE74" s="181" t="e">
        <f t="shared" si="14"/>
        <v>#DIV/0!</v>
      </c>
      <c r="AF74" s="181" t="e">
        <f t="shared" si="14"/>
        <v>#DIV/0!</v>
      </c>
      <c r="AG74" s="181" t="e">
        <f t="shared" si="14"/>
        <v>#DIV/0!</v>
      </c>
      <c r="AH74" s="181" t="e">
        <f t="shared" si="14"/>
        <v>#DIV/0!</v>
      </c>
      <c r="AI74" s="181" t="e">
        <f t="shared" si="14"/>
        <v>#DIV/0!</v>
      </c>
      <c r="AJ74" s="181" t="e">
        <f t="shared" si="14"/>
        <v>#DIV/0!</v>
      </c>
      <c r="AK74" s="181" t="e">
        <f t="shared" si="14"/>
        <v>#DIV/0!</v>
      </c>
      <c r="AL74" s="181" t="e">
        <f t="shared" si="14"/>
        <v>#DIV/0!</v>
      </c>
      <c r="AM74" s="181" t="e">
        <f t="shared" si="14"/>
        <v>#DIV/0!</v>
      </c>
      <c r="AN74" s="181" t="e">
        <f t="shared" si="14"/>
        <v>#DIV/0!</v>
      </c>
    </row>
    <row r="75" spans="2:40" x14ac:dyDescent="0.15">
      <c r="B75" s="342"/>
      <c r="C75" s="140" t="s">
        <v>914</v>
      </c>
      <c r="D75" s="104" cm="1">
        <f t="array" ref="D75">SUM(SUMIFS('caseload data'!E:E,'caseload data'!$D:$D,"SPO",'caseload data'!$A:$A,"East of England",'caseload data'!$B:$B,{"licence","community"}))</f>
        <v>0</v>
      </c>
      <c r="E75" s="104" cm="1">
        <f t="array" ref="E75">SUM(SUMIFS('caseload data'!F:F,'caseload data'!$D:$D,"SPO",'caseload data'!$A:$A,"East of England",'caseload data'!$B:$B,{"licence","community"}))</f>
        <v>0</v>
      </c>
      <c r="F75" s="104" cm="1">
        <f t="array" ref="F75">SUM(SUMIFS('caseload data'!G:G,'caseload data'!$D:$D,"SPO",'caseload data'!$A:$A,"East of England",'caseload data'!$B:$B,{"licence","community"}))</f>
        <v>0</v>
      </c>
      <c r="G75" s="104" cm="1">
        <f t="array" ref="G75">SUM(SUMIFS('caseload data'!H:H,'caseload data'!$D:$D,"SPO",'caseload data'!$A:$A,"East of England",'caseload data'!$B:$B,{"licence","community"}))</f>
        <v>0</v>
      </c>
      <c r="H75" s="104" cm="1">
        <f t="array" ref="H75">SUM(SUMIFS('caseload data'!I:I,'caseload data'!$D:$D,"SPO",'caseload data'!$A:$A,"East of England",'caseload data'!$B:$B,{"licence","community"}))</f>
        <v>0</v>
      </c>
      <c r="I75" s="104" cm="1">
        <f t="array" ref="I75">SUM(SUMIFS('caseload data'!J:J,'caseload data'!$D:$D,"SPO",'caseload data'!$A:$A,"East of England",'caseload data'!$B:$B,{"licence","community"}))</f>
        <v>0</v>
      </c>
      <c r="J75" s="104" cm="1">
        <f t="array" ref="J75">SUM(SUMIFS('caseload data'!K:K,'caseload data'!$D:$D,"SPO",'caseload data'!$A:$A,"East of England",'caseload data'!$B:$B,{"licence","community"}))</f>
        <v>0</v>
      </c>
      <c r="K75" s="104" cm="1">
        <f t="array" ref="K75">SUM(SUMIFS('caseload data'!L:L,'caseload data'!$D:$D,"SPO",'caseload data'!$A:$A,"East of England",'caseload data'!$B:$B,{"licence","community"}))</f>
        <v>0</v>
      </c>
      <c r="L75" s="104" cm="1">
        <f t="array" ref="L75">SUM(SUMIFS('caseload data'!M:M,'caseload data'!$D:$D,"SPO",'caseload data'!$A:$A,"East of England",'caseload data'!$B:$B,{"licence","community"}))</f>
        <v>0</v>
      </c>
      <c r="M75" s="104" cm="1">
        <f t="array" ref="M75">SUM(SUMIFS('caseload data'!N:N,'caseload data'!$D:$D,"SPO",'caseload data'!$A:$A,"East of England",'caseload data'!$B:$B,{"licence","community"}))</f>
        <v>0</v>
      </c>
      <c r="N75" s="104" cm="1">
        <f t="array" ref="N75">SUM(SUMIFS('caseload data'!O:O,'caseload data'!$D:$D,"SPO",'caseload data'!$A:$A,"East of England",'caseload data'!$B:$B,{"licence","community"}))</f>
        <v>0</v>
      </c>
      <c r="O75" s="104" cm="1">
        <f t="array" ref="O75">SUM(SUMIFS('caseload data'!P:P,'caseload data'!$D:$D,"SPO",'caseload data'!$A:$A,"East of England",'caseload data'!$B:$B,{"licence","community"}))</f>
        <v>0</v>
      </c>
      <c r="P75" s="104" cm="1">
        <f t="array" ref="P75">SUM(SUMIFS('caseload data'!Q:Q,'caseload data'!$D:$D,"SPO",'caseload data'!$A:$A,"East of England",'caseload data'!$B:$B,{"licence","community"}))</f>
        <v>0</v>
      </c>
      <c r="Q75" s="104" cm="1">
        <f t="array" ref="Q75">SUM(SUMIFS('caseload data'!R:R,'caseload data'!$D:$D,"SPO",'caseload data'!$A:$A,"East of England",'caseload data'!$B:$B,{"licence","community"}))</f>
        <v>0</v>
      </c>
      <c r="R75" s="104" cm="1">
        <f t="array" ref="R75">SUM(SUMIFS('caseload data'!S:S,'caseload data'!$D:$D,"SPO",'caseload data'!$A:$A,"East of England",'caseload data'!$B:$B,{"licence","community"}))</f>
        <v>0</v>
      </c>
      <c r="S75" s="104" cm="1">
        <f t="array" ref="S75">SUM(SUMIFS('caseload data'!T:T,'caseload data'!$D:$D,"SPO",'caseload data'!$A:$A,"East of England",'caseload data'!$B:$B,{"licence","community"}))</f>
        <v>0</v>
      </c>
      <c r="T75" s="104" cm="1">
        <f t="array" ref="T75">SUM(SUMIFS('caseload data'!V:V,'caseload data'!$D:$D,"SPO",'caseload data'!$A:$A,"East of England",'caseload data'!$B:$B,{"licence","community"}))</f>
        <v>0</v>
      </c>
      <c r="U75" s="73"/>
      <c r="V75" s="73"/>
      <c r="W75" s="342"/>
      <c r="X75" s="140" t="s">
        <v>914</v>
      </c>
      <c r="Y75" s="181" t="e">
        <f t="shared" si="13"/>
        <v>#DIV/0!</v>
      </c>
      <c r="Z75" s="181" t="e">
        <f t="shared" si="14"/>
        <v>#DIV/0!</v>
      </c>
      <c r="AA75" s="181" t="e">
        <f t="shared" si="14"/>
        <v>#DIV/0!</v>
      </c>
      <c r="AB75" s="181" t="e">
        <f t="shared" si="14"/>
        <v>#DIV/0!</v>
      </c>
      <c r="AC75" s="181" t="e">
        <f t="shared" si="14"/>
        <v>#DIV/0!</v>
      </c>
      <c r="AD75" s="181" t="e">
        <f t="shared" si="14"/>
        <v>#DIV/0!</v>
      </c>
      <c r="AE75" s="181" t="e">
        <f t="shared" si="14"/>
        <v>#DIV/0!</v>
      </c>
      <c r="AF75" s="181" t="e">
        <f t="shared" si="14"/>
        <v>#DIV/0!</v>
      </c>
      <c r="AG75" s="181" t="e">
        <f t="shared" si="14"/>
        <v>#DIV/0!</v>
      </c>
      <c r="AH75" s="181" t="e">
        <f t="shared" si="14"/>
        <v>#DIV/0!</v>
      </c>
      <c r="AI75" s="181" t="e">
        <f t="shared" si="14"/>
        <v>#DIV/0!</v>
      </c>
      <c r="AJ75" s="181" t="e">
        <f t="shared" si="14"/>
        <v>#DIV/0!</v>
      </c>
      <c r="AK75" s="181" t="e">
        <f t="shared" si="14"/>
        <v>#DIV/0!</v>
      </c>
      <c r="AL75" s="181" t="e">
        <f t="shared" si="14"/>
        <v>#DIV/0!</v>
      </c>
      <c r="AM75" s="181" t="e">
        <f t="shared" si="14"/>
        <v>#DIV/0!</v>
      </c>
      <c r="AN75" s="181" t="e">
        <f t="shared" si="14"/>
        <v>#DIV/0!</v>
      </c>
    </row>
    <row r="76" spans="2:40" x14ac:dyDescent="0.15">
      <c r="B76" s="340" t="s">
        <v>22</v>
      </c>
      <c r="C76" s="138" t="s">
        <v>911</v>
      </c>
      <c r="D76" s="104" cm="1">
        <f t="array" ref="D76">SUM(SUMIFS('caseload data'!E:E,'caseload data'!$D:$D,"PO",'caseload data'!$A:$A,_xlfn.SINGLE('national caseload'!$B$76:$B$78),'caseload data'!$B:$B,{"licence","community"}))</f>
        <v>0</v>
      </c>
      <c r="E76" s="104" cm="1">
        <f t="array" ref="E76">SUM(SUMIFS('caseload data'!F:F,'caseload data'!$D:$D,"PO",'caseload data'!$A:$A,_xlfn.SINGLE('national caseload'!$B$76:$B$78),'caseload data'!$B:$B,{"licence","community"}))</f>
        <v>0</v>
      </c>
      <c r="F76" s="104" cm="1">
        <f t="array" ref="F76">SUM(SUMIFS('caseload data'!G:G,'caseload data'!$D:$D,"PO",'caseload data'!$A:$A,_xlfn.SINGLE('national caseload'!$B$76:$B$78),'caseload data'!$B:$B,{"licence","community"}))</f>
        <v>0</v>
      </c>
      <c r="G76" s="104" cm="1">
        <f t="array" ref="G76">SUM(SUMIFS('caseload data'!H:H,'caseload data'!$D:$D,"PO",'caseload data'!$A:$A,_xlfn.SINGLE('national caseload'!$B$76:$B$78),'caseload data'!$B:$B,{"licence","community"}))</f>
        <v>0</v>
      </c>
      <c r="H76" s="104" cm="1">
        <f t="array" ref="H76">SUM(SUMIFS('caseload data'!I:I,'caseload data'!$D:$D,"PO",'caseload data'!$A:$A,_xlfn.SINGLE('national caseload'!$B$76:$B$78),'caseload data'!$B:$B,{"licence","community"}))</f>
        <v>0</v>
      </c>
      <c r="I76" s="104" cm="1">
        <f t="array" ref="I76">SUM(SUMIFS('caseload data'!J:J,'caseload data'!$D:$D,"PO",'caseload data'!$A:$A,_xlfn.SINGLE('national caseload'!$B$76:$B$78),'caseload data'!$B:$B,{"licence","community"}))</f>
        <v>0</v>
      </c>
      <c r="J76" s="104" cm="1">
        <f t="array" ref="J76">SUM(SUMIFS('caseload data'!K:K,'caseload data'!$D:$D,"PO",'caseload data'!$A:$A,_xlfn.SINGLE('national caseload'!$B$76:$B$78),'caseload data'!$B:$B,{"licence","community"}))</f>
        <v>0</v>
      </c>
      <c r="K76" s="104" cm="1">
        <f t="array" ref="K76">SUM(SUMIFS('caseload data'!L:L,'caseload data'!$D:$D,"PO",'caseload data'!$A:$A,_xlfn.SINGLE('national caseload'!$B$76:$B$78),'caseload data'!$B:$B,{"licence","community"}))</f>
        <v>0</v>
      </c>
      <c r="L76" s="104" cm="1">
        <f t="array" ref="L76">SUM(SUMIFS('caseload data'!M:M,'caseload data'!$D:$D,"PO",'caseload data'!$A:$A,_xlfn.SINGLE('national caseload'!$B$76:$B$78),'caseload data'!$B:$B,{"licence","community"}))</f>
        <v>0</v>
      </c>
      <c r="M76" s="104" cm="1">
        <f t="array" ref="M76">SUM(SUMIFS('caseload data'!N:N,'caseload data'!$D:$D,"PO",'caseload data'!$A:$A,_xlfn.SINGLE('national caseload'!$B$76:$B$78),'caseload data'!$B:$B,{"licence","community"}))</f>
        <v>0</v>
      </c>
      <c r="N76" s="104" cm="1">
        <f t="array" ref="N76">SUM(SUMIFS('caseload data'!O:O,'caseload data'!$D:$D,"PO",'caseload data'!$A:$A,_xlfn.SINGLE('national caseload'!$B$76:$B$78),'caseload data'!$B:$B,{"licence","community"}))</f>
        <v>0</v>
      </c>
      <c r="O76" s="104" cm="1">
        <f t="array" ref="O76">SUM(SUMIFS('caseload data'!P:P,'caseload data'!$D:$D,"PO",'caseload data'!$A:$A,_xlfn.SINGLE('national caseload'!$B$76:$B$78),'caseload data'!$B:$B,{"licence","community"}))</f>
        <v>0</v>
      </c>
      <c r="P76" s="104" cm="1">
        <f t="array" ref="P76">SUM(SUMIFS('caseload data'!Q:Q,'caseload data'!$D:$D,"PO",'caseload data'!$A:$A,_xlfn.SINGLE('national caseload'!$B$76:$B$78),'caseload data'!$B:$B,{"licence","community"}))</f>
        <v>0</v>
      </c>
      <c r="Q76" s="104" cm="1">
        <f t="array" ref="Q76">SUM(SUMIFS('caseload data'!R:R,'caseload data'!$D:$D,"PO",'caseload data'!$A:$A,_xlfn.SINGLE('national caseload'!$B$76:$B$78),'caseload data'!$B:$B,{"licence","community"}))</f>
        <v>0</v>
      </c>
      <c r="R76" s="104" cm="1">
        <f t="array" ref="R76">SUM(SUMIFS('caseload data'!S:S,'caseload data'!$D:$D,"PO",'caseload data'!$A:$A,_xlfn.SINGLE('national caseload'!$B$76:$B$78),'caseload data'!$B:$B,{"licence","community"}))</f>
        <v>0</v>
      </c>
      <c r="S76" s="104" cm="1">
        <f t="array" ref="S76">SUM(SUMIFS('caseload data'!T:T,'caseload data'!$D:$D,"PO",'caseload data'!$A:$A,_xlfn.SINGLE('national caseload'!$B$76:$B$78),'caseload data'!$B:$B,{"licence","community"}))</f>
        <v>0</v>
      </c>
      <c r="T76" s="104">
        <f>SUM(SUMIFS('caseload data'!V:V,'caseload data'!D:D,"PO",'caseload data'!A:A,'national caseload'!B76:B78,'caseload data'!B:B,{"licence","community"}))</f>
        <v>0</v>
      </c>
      <c r="U76" s="73"/>
      <c r="V76" s="73"/>
      <c r="W76" s="340" t="s">
        <v>22</v>
      </c>
      <c r="X76" s="138" t="s">
        <v>911</v>
      </c>
      <c r="Y76" s="181" t="e">
        <f t="shared" si="13"/>
        <v>#DIV/0!</v>
      </c>
      <c r="Z76" s="181" t="e">
        <f t="shared" si="14"/>
        <v>#DIV/0!</v>
      </c>
      <c r="AA76" s="181" t="e">
        <f t="shared" si="14"/>
        <v>#DIV/0!</v>
      </c>
      <c r="AB76" s="181" t="e">
        <f t="shared" si="14"/>
        <v>#DIV/0!</v>
      </c>
      <c r="AC76" s="181" t="e">
        <f t="shared" si="14"/>
        <v>#DIV/0!</v>
      </c>
      <c r="AD76" s="181" t="e">
        <f t="shared" si="14"/>
        <v>#DIV/0!</v>
      </c>
      <c r="AE76" s="181" t="e">
        <f t="shared" si="14"/>
        <v>#DIV/0!</v>
      </c>
      <c r="AF76" s="181" t="e">
        <f t="shared" si="14"/>
        <v>#DIV/0!</v>
      </c>
      <c r="AG76" s="181" t="e">
        <f t="shared" si="14"/>
        <v>#DIV/0!</v>
      </c>
      <c r="AH76" s="181" t="e">
        <f t="shared" si="14"/>
        <v>#DIV/0!</v>
      </c>
      <c r="AI76" s="181" t="e">
        <f t="shared" si="14"/>
        <v>#DIV/0!</v>
      </c>
      <c r="AJ76" s="181" t="e">
        <f t="shared" si="14"/>
        <v>#DIV/0!</v>
      </c>
      <c r="AK76" s="181" t="e">
        <f t="shared" si="14"/>
        <v>#DIV/0!</v>
      </c>
      <c r="AL76" s="181" t="e">
        <f t="shared" si="14"/>
        <v>#DIV/0!</v>
      </c>
      <c r="AM76" s="181" t="e">
        <f t="shared" si="14"/>
        <v>#DIV/0!</v>
      </c>
      <c r="AN76" s="181" t="e">
        <f t="shared" si="14"/>
        <v>#DIV/0!</v>
      </c>
    </row>
    <row r="77" spans="2:40" x14ac:dyDescent="0.15">
      <c r="B77" s="341"/>
      <c r="C77" s="139" t="s">
        <v>912</v>
      </c>
      <c r="D77" s="104" cm="1">
        <f t="array" ref="D77">SUM(SUMIFS('caseload data'!E:E,'caseload data'!$D:$D,"PSO",'caseload data'!$A:$A,"Greater Manchester",'caseload data'!$B:$B,{"licence","community"}))</f>
        <v>0</v>
      </c>
      <c r="E77" s="104" cm="1">
        <f t="array" ref="E77">SUM(SUMIFS('caseload data'!F:F,'caseload data'!$D:$D,"PSO",'caseload data'!$A:$A,"Greater Manchester",'caseload data'!$B:$B,{"licence","community"}))</f>
        <v>0</v>
      </c>
      <c r="F77" s="104" cm="1">
        <f t="array" ref="F77">SUM(SUMIFS('caseload data'!G:G,'caseload data'!$D:$D,"PSO",'caseload data'!$A:$A,"Greater Manchester",'caseload data'!$B:$B,{"licence","community"}))</f>
        <v>0</v>
      </c>
      <c r="G77" s="104" cm="1">
        <f t="array" ref="G77">SUM(SUMIFS('caseload data'!H:H,'caseload data'!$D:$D,"PSO",'caseload data'!$A:$A,"Greater Manchester",'caseload data'!$B:$B,{"licence","community"}))</f>
        <v>0</v>
      </c>
      <c r="H77" s="104" cm="1">
        <f t="array" ref="H77">SUM(SUMIFS('caseload data'!I:I,'caseload data'!$D:$D,"PSO",'caseload data'!$A:$A,"Greater Manchester",'caseload data'!$B:$B,{"licence","community"}))</f>
        <v>0</v>
      </c>
      <c r="I77" s="104" cm="1">
        <f t="array" ref="I77">SUM(SUMIFS('caseload data'!J:J,'caseload data'!$D:$D,"PSO",'caseload data'!$A:$A,"Greater Manchester",'caseload data'!$B:$B,{"licence","community"}))</f>
        <v>0</v>
      </c>
      <c r="J77" s="104" cm="1">
        <f t="array" ref="J77">SUM(SUMIFS('caseload data'!K:K,'caseload data'!$D:$D,"PSO",'caseload data'!$A:$A,"Greater Manchester",'caseload data'!$B:$B,{"licence","community"}))</f>
        <v>0</v>
      </c>
      <c r="K77" s="104" cm="1">
        <f t="array" ref="K77">SUM(SUMIFS('caseload data'!L:L,'caseload data'!$D:$D,"PSO",'caseload data'!$A:$A,"Greater Manchester",'caseload data'!$B:$B,{"licence","community"}))</f>
        <v>0</v>
      </c>
      <c r="L77" s="104" cm="1">
        <f t="array" ref="L77">SUM(SUMIFS('caseload data'!M:M,'caseload data'!$D:$D,"PSO",'caseload data'!$A:$A,"Greater Manchester",'caseload data'!$B:$B,{"licence","community"}))</f>
        <v>0</v>
      </c>
      <c r="M77" s="104" cm="1">
        <f t="array" ref="M77">SUM(SUMIFS('caseload data'!N:N,'caseload data'!$D:$D,"PSO",'caseload data'!$A:$A,"Greater Manchester",'caseload data'!$B:$B,{"licence","community"}))</f>
        <v>0</v>
      </c>
      <c r="N77" s="104" cm="1">
        <f t="array" ref="N77">SUM(SUMIFS('caseload data'!O:O,'caseload data'!$D:$D,"PSO",'caseload data'!$A:$A,"Greater Manchester",'caseload data'!$B:$B,{"licence","community"}))</f>
        <v>0</v>
      </c>
      <c r="O77" s="104" cm="1">
        <f t="array" ref="O77">SUM(SUMIFS('caseload data'!P:P,'caseload data'!$D:$D,"PSO",'caseload data'!$A:$A,"Greater Manchester",'caseload data'!$B:$B,{"licence","community"}))</f>
        <v>0</v>
      </c>
      <c r="P77" s="104" cm="1">
        <f t="array" ref="P77">SUM(SUMIFS('caseload data'!Q:Q,'caseload data'!$D:$D,"PSO",'caseload data'!$A:$A,"Greater Manchester",'caseload data'!$B:$B,{"licence","community"}))</f>
        <v>0</v>
      </c>
      <c r="Q77" s="104" cm="1">
        <f t="array" ref="Q77">SUM(SUMIFS('caseload data'!R:R,'caseload data'!$D:$D,"PSO",'caseload data'!$A:$A,"Greater Manchester",'caseload data'!$B:$B,{"licence","community"}))</f>
        <v>0</v>
      </c>
      <c r="R77" s="104" cm="1">
        <f t="array" ref="R77">SUM(SUMIFS('caseload data'!S:S,'caseload data'!$D:$D,"PSO",'caseload data'!$A:$A,"Greater Manchester",'caseload data'!$B:$B,{"licence","community"}))</f>
        <v>0</v>
      </c>
      <c r="S77" s="104" cm="1">
        <f t="array" ref="S77">SUM(SUMIFS('caseload data'!T:T,'caseload data'!$D:$D,"PSO",'caseload data'!$A:$A,"Greater Manchester",'caseload data'!$B:$B,{"licence","community"}))</f>
        <v>0</v>
      </c>
      <c r="T77" s="104" cm="1">
        <f t="array" ref="T77">SUM(SUMIFS('caseload data'!V:V,'caseload data'!D:D,"PSO",'caseload data'!A:A,"Greater Manchester",'caseload data'!B:B,{"licence","community"}))</f>
        <v>0</v>
      </c>
      <c r="U77" s="73"/>
      <c r="V77" s="73"/>
      <c r="W77" s="341"/>
      <c r="X77" s="139" t="s">
        <v>912</v>
      </c>
      <c r="Y77" s="181" t="e">
        <f t="shared" si="13"/>
        <v>#DIV/0!</v>
      </c>
      <c r="Z77" s="181" t="e">
        <f t="shared" si="14"/>
        <v>#DIV/0!</v>
      </c>
      <c r="AA77" s="181" t="e">
        <f t="shared" si="14"/>
        <v>#DIV/0!</v>
      </c>
      <c r="AB77" s="181" t="e">
        <f t="shared" si="14"/>
        <v>#DIV/0!</v>
      </c>
      <c r="AC77" s="181" t="e">
        <f t="shared" si="14"/>
        <v>#DIV/0!</v>
      </c>
      <c r="AD77" s="181" t="e">
        <f t="shared" si="14"/>
        <v>#DIV/0!</v>
      </c>
      <c r="AE77" s="181" t="e">
        <f t="shared" si="14"/>
        <v>#DIV/0!</v>
      </c>
      <c r="AF77" s="181" t="e">
        <f t="shared" si="14"/>
        <v>#DIV/0!</v>
      </c>
      <c r="AG77" s="181" t="e">
        <f t="shared" si="14"/>
        <v>#DIV/0!</v>
      </c>
      <c r="AH77" s="181" t="e">
        <f t="shared" si="14"/>
        <v>#DIV/0!</v>
      </c>
      <c r="AI77" s="181" t="e">
        <f t="shared" si="14"/>
        <v>#DIV/0!</v>
      </c>
      <c r="AJ77" s="181" t="e">
        <f t="shared" si="14"/>
        <v>#DIV/0!</v>
      </c>
      <c r="AK77" s="181" t="e">
        <f t="shared" si="14"/>
        <v>#DIV/0!</v>
      </c>
      <c r="AL77" s="181" t="e">
        <f t="shared" si="14"/>
        <v>#DIV/0!</v>
      </c>
      <c r="AM77" s="181" t="e">
        <f t="shared" si="14"/>
        <v>#DIV/0!</v>
      </c>
      <c r="AN77" s="181" t="e">
        <f t="shared" si="14"/>
        <v>#DIV/0!</v>
      </c>
    </row>
    <row r="78" spans="2:40" x14ac:dyDescent="0.15">
      <c r="B78" s="341"/>
      <c r="C78" s="139" t="s">
        <v>913</v>
      </c>
      <c r="D78" s="104" cm="1">
        <f t="array" ref="D78">SUM(SUMIFS('caseload data'!E:E,'caseload data'!$D:$D,"TPO",'caseload data'!$A:$A,"Greater Manchester",'caseload data'!$B:$B,{"licence","community"}))</f>
        <v>0</v>
      </c>
      <c r="E78" s="104" cm="1">
        <f t="array" ref="E78">SUM(SUMIFS('caseload data'!F:F,'caseload data'!$D:$D,"TPO",'caseload data'!$A:$A,"Greater Manchester",'caseload data'!$B:$B,{"licence","community"}))</f>
        <v>0</v>
      </c>
      <c r="F78" s="104" cm="1">
        <f t="array" ref="F78">SUM(SUMIFS('caseload data'!G:G,'caseload data'!$D:$D,"TPO",'caseload data'!$A:$A,"Greater Manchester",'caseload data'!$B:$B,{"licence","community"}))</f>
        <v>0</v>
      </c>
      <c r="G78" s="104" cm="1">
        <f t="array" ref="G78">SUM(SUMIFS('caseload data'!H:H,'caseload data'!$D:$D,"TPO",'caseload data'!$A:$A,"Greater Manchester",'caseload data'!$B:$B,{"licence","community"}))</f>
        <v>0</v>
      </c>
      <c r="H78" s="104" cm="1">
        <f t="array" ref="H78">SUM(SUMIFS('caseload data'!I:I,'caseload data'!$D:$D,"TPO",'caseload data'!$A:$A,"Greater Manchester",'caseload data'!$B:$B,{"licence","community"}))</f>
        <v>0</v>
      </c>
      <c r="I78" s="104" cm="1">
        <f t="array" ref="I78">SUM(SUMIFS('caseload data'!J:J,'caseload data'!$D:$D,"TPO",'caseload data'!$A:$A,"Greater Manchester",'caseload data'!$B:$B,{"licence","community"}))</f>
        <v>0</v>
      </c>
      <c r="J78" s="104" cm="1">
        <f t="array" ref="J78">SUM(SUMIFS('caseload data'!K:K,'caseload data'!$D:$D,"TPO",'caseload data'!$A:$A,"Greater Manchester",'caseload data'!$B:$B,{"licence","community"}))</f>
        <v>0</v>
      </c>
      <c r="K78" s="104" cm="1">
        <f t="array" ref="K78">SUM(SUMIFS('caseload data'!L:L,'caseload data'!$D:$D,"TPO",'caseload data'!$A:$A,"Greater Manchester",'caseload data'!$B:$B,{"licence","community"}))</f>
        <v>0</v>
      </c>
      <c r="L78" s="104" cm="1">
        <f t="array" ref="L78">SUM(SUMIFS('caseload data'!M:M,'caseload data'!$D:$D,"TPO",'caseload data'!$A:$A,"Greater Manchester",'caseload data'!$B:$B,{"licence","community"}))</f>
        <v>0</v>
      </c>
      <c r="M78" s="104" cm="1">
        <f t="array" ref="M78">SUM(SUMIFS('caseload data'!N:N,'caseload data'!$D:$D,"TPO",'caseload data'!$A:$A,"Greater Manchester",'caseload data'!$B:$B,{"licence","community"}))</f>
        <v>0</v>
      </c>
      <c r="N78" s="104" cm="1">
        <f t="array" ref="N78">SUM(SUMIFS('caseload data'!O:O,'caseload data'!$D:$D,"TPO",'caseload data'!$A:$A,"Greater Manchester",'caseload data'!$B:$B,{"licence","community"}))</f>
        <v>0</v>
      </c>
      <c r="O78" s="104" cm="1">
        <f t="array" ref="O78">SUM(SUMIFS('caseload data'!P:P,'caseload data'!$D:$D,"TPO",'caseload data'!$A:$A,"Greater Manchester",'caseload data'!$B:$B,{"licence","community"}))</f>
        <v>0</v>
      </c>
      <c r="P78" s="104" cm="1">
        <f t="array" ref="P78">SUM(SUMIFS('caseload data'!Q:Q,'caseload data'!$D:$D,"TPO",'caseload data'!$A:$A,"Greater Manchester",'caseload data'!$B:$B,{"licence","community"}))</f>
        <v>0</v>
      </c>
      <c r="Q78" s="104" cm="1">
        <f t="array" ref="Q78">SUM(SUMIFS('caseload data'!R:R,'caseload data'!$D:$D,"TPO",'caseload data'!$A:$A,"Greater Manchester",'caseload data'!$B:$B,{"licence","community"}))</f>
        <v>0</v>
      </c>
      <c r="R78" s="104" cm="1">
        <f t="array" ref="R78">SUM(SUMIFS('caseload data'!S:S,'caseload data'!$D:$D,"TPO",'caseload data'!$A:$A,"Greater Manchester",'caseload data'!$B:$B,{"licence","community"}))</f>
        <v>0</v>
      </c>
      <c r="S78" s="104" cm="1">
        <f t="array" ref="S78">SUM(SUMIFS('caseload data'!T:T,'caseload data'!$D:$D,"TPO",'caseload data'!$A:$A,"Greater Manchester",'caseload data'!$B:$B,{"licence","community"}))</f>
        <v>0</v>
      </c>
      <c r="T78" s="104" cm="1">
        <f t="array" ref="T78">SUM(SUMIFS('caseload data'!V:V,'caseload data'!D:D,"TPO",'caseload data'!A:A,"Greater Manchester",'caseload data'!B:B,{"licence","community"}))</f>
        <v>0</v>
      </c>
      <c r="U78" s="73"/>
      <c r="V78" s="73"/>
      <c r="W78" s="341"/>
      <c r="X78" s="139" t="s">
        <v>913</v>
      </c>
      <c r="Y78" s="181" t="e">
        <f t="shared" si="13"/>
        <v>#DIV/0!</v>
      </c>
      <c r="Z78" s="181" t="e">
        <f t="shared" si="14"/>
        <v>#DIV/0!</v>
      </c>
      <c r="AA78" s="181" t="e">
        <f t="shared" si="14"/>
        <v>#DIV/0!</v>
      </c>
      <c r="AB78" s="181" t="e">
        <f t="shared" si="14"/>
        <v>#DIV/0!</v>
      </c>
      <c r="AC78" s="181" t="e">
        <f t="shared" si="14"/>
        <v>#DIV/0!</v>
      </c>
      <c r="AD78" s="181" t="e">
        <f t="shared" si="14"/>
        <v>#DIV/0!</v>
      </c>
      <c r="AE78" s="181" t="e">
        <f t="shared" si="14"/>
        <v>#DIV/0!</v>
      </c>
      <c r="AF78" s="181" t="e">
        <f t="shared" si="14"/>
        <v>#DIV/0!</v>
      </c>
      <c r="AG78" s="181" t="e">
        <f t="shared" si="14"/>
        <v>#DIV/0!</v>
      </c>
      <c r="AH78" s="181" t="e">
        <f t="shared" si="14"/>
        <v>#DIV/0!</v>
      </c>
      <c r="AI78" s="181" t="e">
        <f t="shared" si="14"/>
        <v>#DIV/0!</v>
      </c>
      <c r="AJ78" s="181" t="e">
        <f t="shared" si="14"/>
        <v>#DIV/0!</v>
      </c>
      <c r="AK78" s="181" t="e">
        <f t="shared" si="14"/>
        <v>#DIV/0!</v>
      </c>
      <c r="AL78" s="181" t="e">
        <f t="shared" si="14"/>
        <v>#DIV/0!</v>
      </c>
      <c r="AM78" s="181" t="e">
        <f t="shared" si="14"/>
        <v>#DIV/0!</v>
      </c>
      <c r="AN78" s="181" t="e">
        <f t="shared" si="14"/>
        <v>#DIV/0!</v>
      </c>
    </row>
    <row r="79" spans="2:40" x14ac:dyDescent="0.15">
      <c r="B79" s="342"/>
      <c r="C79" s="140" t="s">
        <v>914</v>
      </c>
      <c r="D79" s="104" cm="1">
        <f t="array" ref="D79">SUM(SUMIFS('caseload data'!E:E,'caseload data'!$D:$D,"SPO",'caseload data'!$A:$A,"Greater Manchester",'caseload data'!$B:$B,{"licence","community"}))</f>
        <v>0</v>
      </c>
      <c r="E79" s="104" cm="1">
        <f t="array" ref="E79">SUM(SUMIFS('caseload data'!F:F,'caseload data'!$D:$D,"SPO",'caseload data'!$A:$A,"Greater Manchester",'caseload data'!$B:$B,{"licence","community"}))</f>
        <v>0</v>
      </c>
      <c r="F79" s="104" cm="1">
        <f t="array" ref="F79">SUM(SUMIFS('caseload data'!G:G,'caseload data'!$D:$D,"SPO",'caseload data'!$A:$A,"Greater Manchester",'caseload data'!$B:$B,{"licence","community"}))</f>
        <v>0</v>
      </c>
      <c r="G79" s="104" cm="1">
        <f t="array" ref="G79">SUM(SUMIFS('caseload data'!H:H,'caseload data'!$D:$D,"SPO",'caseload data'!$A:$A,"Greater Manchester",'caseload data'!$B:$B,{"licence","community"}))</f>
        <v>0</v>
      </c>
      <c r="H79" s="104" cm="1">
        <f t="array" ref="H79">SUM(SUMIFS('caseload data'!I:I,'caseload data'!$D:$D,"SPO",'caseload data'!$A:$A,"Greater Manchester",'caseload data'!$B:$B,{"licence","community"}))</f>
        <v>0</v>
      </c>
      <c r="I79" s="104" cm="1">
        <f t="array" ref="I79">SUM(SUMIFS('caseload data'!J:J,'caseload data'!$D:$D,"SPO",'caseload data'!$A:$A,"Greater Manchester",'caseload data'!$B:$B,{"licence","community"}))</f>
        <v>0</v>
      </c>
      <c r="J79" s="104" cm="1">
        <f t="array" ref="J79">SUM(SUMIFS('caseload data'!K:K,'caseload data'!$D:$D,"SPO",'caseload data'!$A:$A,"Greater Manchester",'caseload data'!$B:$B,{"licence","community"}))</f>
        <v>0</v>
      </c>
      <c r="K79" s="104" cm="1">
        <f t="array" ref="K79">SUM(SUMIFS('caseload data'!L:L,'caseload data'!$D:$D,"SPO",'caseload data'!$A:$A,"Greater Manchester",'caseload data'!$B:$B,{"licence","community"}))</f>
        <v>0</v>
      </c>
      <c r="L79" s="104" cm="1">
        <f t="array" ref="L79">SUM(SUMIFS('caseload data'!M:M,'caseload data'!$D:$D,"SPO",'caseload data'!$A:$A,"Greater Manchester",'caseload data'!$B:$B,{"licence","community"}))</f>
        <v>0</v>
      </c>
      <c r="M79" s="104" cm="1">
        <f t="array" ref="M79">SUM(SUMIFS('caseload data'!N:N,'caseload data'!$D:$D,"SPO",'caseload data'!$A:$A,"Greater Manchester",'caseload data'!$B:$B,{"licence","community"}))</f>
        <v>0</v>
      </c>
      <c r="N79" s="104" cm="1">
        <f t="array" ref="N79">SUM(SUMIFS('caseload data'!O:O,'caseload data'!$D:$D,"SPO",'caseload data'!$A:$A,"Greater Manchester",'caseload data'!$B:$B,{"licence","community"}))</f>
        <v>0</v>
      </c>
      <c r="O79" s="104" cm="1">
        <f t="array" ref="O79">SUM(SUMIFS('caseload data'!P:P,'caseload data'!$D:$D,"SPO",'caseload data'!$A:$A,"Greater Manchester",'caseload data'!$B:$B,{"licence","community"}))</f>
        <v>0</v>
      </c>
      <c r="P79" s="104" cm="1">
        <f t="array" ref="P79">SUM(SUMIFS('caseload data'!Q:Q,'caseload data'!$D:$D,"SPO",'caseload data'!$A:$A,"Greater Manchester",'caseload data'!$B:$B,{"licence","community"}))</f>
        <v>0</v>
      </c>
      <c r="Q79" s="104" cm="1">
        <f t="array" ref="Q79">SUM(SUMIFS('caseload data'!R:R,'caseload data'!$D:$D,"SPO",'caseload data'!$A:$A,"Greater Manchester",'caseload data'!$B:$B,{"licence","community"}))</f>
        <v>0</v>
      </c>
      <c r="R79" s="104" cm="1">
        <f t="array" ref="R79">SUM(SUMIFS('caseload data'!S:S,'caseload data'!$D:$D,"SPO",'caseload data'!$A:$A,"Greater Manchester",'caseload data'!$B:$B,{"licence","community"}))</f>
        <v>0</v>
      </c>
      <c r="S79" s="104" cm="1">
        <f t="array" ref="S79">SUM(SUMIFS('caseload data'!T:T,'caseload data'!$D:$D,"SPO",'caseload data'!$A:$A,"Greater Manchester",'caseload data'!$B:$B,{"licence","community"}))</f>
        <v>0</v>
      </c>
      <c r="T79" s="104" cm="1">
        <f t="array" ref="T79">SUM(SUMIFS('caseload data'!V:V,'caseload data'!$D:$D,"SPO",'caseload data'!$A:$A,"Greater Manchester",'caseload data'!$B:$B,{"licence","community"}))</f>
        <v>0</v>
      </c>
      <c r="U79" s="73"/>
      <c r="V79" s="73"/>
      <c r="W79" s="342"/>
      <c r="X79" s="140" t="s">
        <v>914</v>
      </c>
      <c r="Y79" s="181" t="e">
        <f t="shared" si="13"/>
        <v>#DIV/0!</v>
      </c>
      <c r="Z79" s="181" t="e">
        <f t="shared" si="14"/>
        <v>#DIV/0!</v>
      </c>
      <c r="AA79" s="181" t="e">
        <f t="shared" si="14"/>
        <v>#DIV/0!</v>
      </c>
      <c r="AB79" s="181" t="e">
        <f t="shared" si="14"/>
        <v>#DIV/0!</v>
      </c>
      <c r="AC79" s="181" t="e">
        <f t="shared" si="14"/>
        <v>#DIV/0!</v>
      </c>
      <c r="AD79" s="181" t="e">
        <f t="shared" si="14"/>
        <v>#DIV/0!</v>
      </c>
      <c r="AE79" s="181" t="e">
        <f t="shared" si="14"/>
        <v>#DIV/0!</v>
      </c>
      <c r="AF79" s="181" t="e">
        <f t="shared" si="14"/>
        <v>#DIV/0!</v>
      </c>
      <c r="AG79" s="181" t="e">
        <f t="shared" si="14"/>
        <v>#DIV/0!</v>
      </c>
      <c r="AH79" s="181" t="e">
        <f t="shared" si="14"/>
        <v>#DIV/0!</v>
      </c>
      <c r="AI79" s="181" t="e">
        <f t="shared" si="14"/>
        <v>#DIV/0!</v>
      </c>
      <c r="AJ79" s="181" t="e">
        <f t="shared" si="14"/>
        <v>#DIV/0!</v>
      </c>
      <c r="AK79" s="181" t="e">
        <f t="shared" si="14"/>
        <v>#DIV/0!</v>
      </c>
      <c r="AL79" s="181" t="e">
        <f t="shared" si="14"/>
        <v>#DIV/0!</v>
      </c>
      <c r="AM79" s="181" t="e">
        <f t="shared" si="14"/>
        <v>#DIV/0!</v>
      </c>
      <c r="AN79" s="181" t="e">
        <f t="shared" si="14"/>
        <v>#DIV/0!</v>
      </c>
    </row>
    <row r="80" spans="2:40" x14ac:dyDescent="0.15">
      <c r="B80" s="340" t="s">
        <v>23</v>
      </c>
      <c r="C80" s="138" t="s">
        <v>911</v>
      </c>
      <c r="D80" s="104" cm="1">
        <f t="array" ref="D80">SUM(SUMIFS('caseload data'!E:E,'caseload data'!$D:$D,"PO",'caseload data'!$A:$A,_xlfn.SINGLE('national caseload'!$B$80:$B$82),'caseload data'!$B:$B,{"licence","community"}))</f>
        <v>0</v>
      </c>
      <c r="E80" s="104" cm="1">
        <f t="array" ref="E80">SUM(SUMIFS('caseload data'!F:F,'caseload data'!$D:$D,"PO",'caseload data'!$A:$A,_xlfn.SINGLE('national caseload'!$B$80:$B$82),'caseload data'!$B:$B,{"licence","community"}))</f>
        <v>0</v>
      </c>
      <c r="F80" s="104" cm="1">
        <f t="array" ref="F80">SUM(SUMIFS('caseload data'!G:G,'caseload data'!$D:$D,"PO",'caseload data'!$A:$A,_xlfn.SINGLE('national caseload'!$B$80:$B$82),'caseload data'!$B:$B,{"licence","community"}))</f>
        <v>0</v>
      </c>
      <c r="G80" s="104" cm="1">
        <f t="array" ref="G80">SUM(SUMIFS('caseload data'!H:H,'caseload data'!$D:$D,"PO",'caseload data'!$A:$A,_xlfn.SINGLE('national caseload'!$B$80:$B$82),'caseload data'!$B:$B,{"licence","community"}))</f>
        <v>0</v>
      </c>
      <c r="H80" s="104" cm="1">
        <f t="array" ref="H80">SUM(SUMIFS('caseload data'!I:I,'caseload data'!$D:$D,"PO",'caseload data'!$A:$A,_xlfn.SINGLE('national caseload'!$B$80:$B$82),'caseload data'!$B:$B,{"licence","community"}))</f>
        <v>0</v>
      </c>
      <c r="I80" s="104" cm="1">
        <f t="array" ref="I80">SUM(SUMIFS('caseload data'!J:J,'caseload data'!$D:$D,"PO",'caseload data'!$A:$A,_xlfn.SINGLE('national caseload'!$B$80:$B$82),'caseload data'!$B:$B,{"licence","community"}))</f>
        <v>0</v>
      </c>
      <c r="J80" s="104" cm="1">
        <f t="array" ref="J80">SUM(SUMIFS('caseload data'!K:K,'caseload data'!$D:$D,"PO",'caseload data'!$A:$A,_xlfn.SINGLE('national caseload'!$B$80:$B$82),'caseload data'!$B:$B,{"licence","community"}))</f>
        <v>0</v>
      </c>
      <c r="K80" s="104" cm="1">
        <f t="array" ref="K80">SUM(SUMIFS('caseload data'!L:L,'caseload data'!$D:$D,"PO",'caseload data'!$A:$A,_xlfn.SINGLE('national caseload'!$B$80:$B$82),'caseload data'!$B:$B,{"licence","community"}))</f>
        <v>0</v>
      </c>
      <c r="L80" s="104" cm="1">
        <f t="array" ref="L80">SUM(SUMIFS('caseload data'!M:M,'caseload data'!$D:$D,"PO",'caseload data'!$A:$A,_xlfn.SINGLE('national caseload'!$B$80:$B$82),'caseload data'!$B:$B,{"licence","community"}))</f>
        <v>0</v>
      </c>
      <c r="M80" s="104" cm="1">
        <f t="array" ref="M80">SUM(SUMIFS('caseload data'!N:N,'caseload data'!$D:$D,"PO",'caseload data'!$A:$A,_xlfn.SINGLE('national caseload'!$B$80:$B$82),'caseload data'!$B:$B,{"licence","community"}))</f>
        <v>0</v>
      </c>
      <c r="N80" s="104" cm="1">
        <f t="array" ref="N80">SUM(SUMIFS('caseload data'!O:O,'caseload data'!$D:$D,"PO",'caseload data'!$A:$A,_xlfn.SINGLE('national caseload'!$B$80:$B$82),'caseload data'!$B:$B,{"licence","community"}))</f>
        <v>0</v>
      </c>
      <c r="O80" s="104" cm="1">
        <f t="array" ref="O80">SUM(SUMIFS('caseload data'!P:P,'caseload data'!$D:$D,"PO",'caseload data'!$A:$A,_xlfn.SINGLE('national caseload'!$B$80:$B$82),'caseload data'!$B:$B,{"licence","community"}))</f>
        <v>0</v>
      </c>
      <c r="P80" s="104" cm="1">
        <f t="array" ref="P80">SUM(SUMIFS('caseload data'!Q:Q,'caseload data'!$D:$D,"PO",'caseload data'!$A:$A,_xlfn.SINGLE('national caseload'!$B$80:$B$82),'caseload data'!$B:$B,{"licence","community"}))</f>
        <v>0</v>
      </c>
      <c r="Q80" s="104" cm="1">
        <f t="array" ref="Q80">SUM(SUMIFS('caseload data'!R:R,'caseload data'!$D:$D,"PO",'caseload data'!$A:$A,_xlfn.SINGLE('national caseload'!$B$80:$B$82),'caseload data'!$B:$B,{"licence","community"}))</f>
        <v>0</v>
      </c>
      <c r="R80" s="104" cm="1">
        <f t="array" ref="R80">SUM(SUMIFS('caseload data'!S:S,'caseload data'!$D:$D,"PO",'caseload data'!$A:$A,_xlfn.SINGLE('national caseload'!$B$80:$B$82),'caseload data'!$B:$B,{"licence","community"}))</f>
        <v>0</v>
      </c>
      <c r="S80" s="104" cm="1">
        <f t="array" ref="S80">SUM(SUMIFS('caseload data'!T:T,'caseload data'!$D:$D,"PO",'caseload data'!$A:$A,_xlfn.SINGLE('national caseload'!$B$80:$B$82),'caseload data'!$B:$B,{"licence","community"}))</f>
        <v>0</v>
      </c>
      <c r="T80" s="104">
        <f>SUM(SUMIFS('caseload data'!V:V,'caseload data'!D:D,"PO",'caseload data'!A:A,'national caseload'!B80:B82,'caseload data'!B:B,{"licence","community"}))</f>
        <v>0</v>
      </c>
      <c r="U80" s="73"/>
      <c r="V80" s="73"/>
      <c r="W80" s="340" t="s">
        <v>23</v>
      </c>
      <c r="X80" s="138" t="s">
        <v>911</v>
      </c>
      <c r="Y80" s="181" t="e">
        <f t="shared" si="13"/>
        <v>#DIV/0!</v>
      </c>
      <c r="Z80" s="181" t="e">
        <f t="shared" si="14"/>
        <v>#DIV/0!</v>
      </c>
      <c r="AA80" s="181" t="e">
        <f t="shared" si="14"/>
        <v>#DIV/0!</v>
      </c>
      <c r="AB80" s="181" t="e">
        <f t="shared" si="14"/>
        <v>#DIV/0!</v>
      </c>
      <c r="AC80" s="181" t="e">
        <f t="shared" si="14"/>
        <v>#DIV/0!</v>
      </c>
      <c r="AD80" s="181" t="e">
        <f t="shared" si="14"/>
        <v>#DIV/0!</v>
      </c>
      <c r="AE80" s="181" t="e">
        <f t="shared" si="14"/>
        <v>#DIV/0!</v>
      </c>
      <c r="AF80" s="181" t="e">
        <f t="shared" si="14"/>
        <v>#DIV/0!</v>
      </c>
      <c r="AG80" s="181" t="e">
        <f t="shared" si="14"/>
        <v>#DIV/0!</v>
      </c>
      <c r="AH80" s="181" t="e">
        <f t="shared" si="14"/>
        <v>#DIV/0!</v>
      </c>
      <c r="AI80" s="181" t="e">
        <f t="shared" si="14"/>
        <v>#DIV/0!</v>
      </c>
      <c r="AJ80" s="181" t="e">
        <f t="shared" si="14"/>
        <v>#DIV/0!</v>
      </c>
      <c r="AK80" s="181" t="e">
        <f t="shared" si="14"/>
        <v>#DIV/0!</v>
      </c>
      <c r="AL80" s="181" t="e">
        <f t="shared" si="14"/>
        <v>#DIV/0!</v>
      </c>
      <c r="AM80" s="181" t="e">
        <f t="shared" si="14"/>
        <v>#DIV/0!</v>
      </c>
      <c r="AN80" s="181" t="e">
        <f t="shared" si="14"/>
        <v>#DIV/0!</v>
      </c>
    </row>
    <row r="81" spans="2:40" x14ac:dyDescent="0.15">
      <c r="B81" s="341"/>
      <c r="C81" s="139" t="s">
        <v>912</v>
      </c>
      <c r="D81" s="104" cm="1">
        <f t="array" ref="D81">SUM(SUMIFS('caseload data'!E:E,'caseload data'!$D:$D,"PSO",'caseload data'!$A:$A,"Kent Surrey Sussex Region",'caseload data'!$B:$B,{"licence","community"}))</f>
        <v>0</v>
      </c>
      <c r="E81" s="104" cm="1">
        <f t="array" ref="E81">SUM(SUMIFS('caseload data'!F:F,'caseload data'!$D:$D,"PSO",'caseload data'!$A:$A,"Kent Surrey Sussex Region",'caseload data'!$B:$B,{"licence","community"}))</f>
        <v>0</v>
      </c>
      <c r="F81" s="104" cm="1">
        <f t="array" ref="F81">SUM(SUMIFS('caseload data'!G:G,'caseload data'!$D:$D,"PSO",'caseload data'!$A:$A,"Kent Surrey Sussex Region",'caseload data'!$B:$B,{"licence","community"}))</f>
        <v>0</v>
      </c>
      <c r="G81" s="104" cm="1">
        <f t="array" ref="G81">SUM(SUMIFS('caseload data'!H:H,'caseload data'!$D:$D,"PSO",'caseload data'!$A:$A,"Kent Surrey Sussex Region",'caseload data'!$B:$B,{"licence","community"}))</f>
        <v>0</v>
      </c>
      <c r="H81" s="104" cm="1">
        <f t="array" ref="H81">SUM(SUMIFS('caseload data'!I:I,'caseload data'!$D:$D,"PSO",'caseload data'!$A:$A,"Kent Surrey Sussex Region",'caseload data'!$B:$B,{"licence","community"}))</f>
        <v>0</v>
      </c>
      <c r="I81" s="104" cm="1">
        <f t="array" ref="I81">SUM(SUMIFS('caseload data'!J:J,'caseload data'!$D:$D,"PSO",'caseload data'!$A:$A,"Kent Surrey Sussex Region",'caseload data'!$B:$B,{"licence","community"}))</f>
        <v>0</v>
      </c>
      <c r="J81" s="104" cm="1">
        <f t="array" ref="J81">SUM(SUMIFS('caseload data'!K:K,'caseload data'!$D:$D,"PSO",'caseload data'!$A:$A,"Kent Surrey Sussex Region",'caseload data'!$B:$B,{"licence","community"}))</f>
        <v>0</v>
      </c>
      <c r="K81" s="104" cm="1">
        <f t="array" ref="K81">SUM(SUMIFS('caseload data'!L:L,'caseload data'!$D:$D,"PSO",'caseload data'!$A:$A,"Kent Surrey Sussex Region",'caseload data'!$B:$B,{"licence","community"}))</f>
        <v>0</v>
      </c>
      <c r="L81" s="104" cm="1">
        <f t="array" ref="L81">SUM(SUMIFS('caseload data'!M:M,'caseload data'!$D:$D,"PSO",'caseload data'!$A:$A,"Kent Surrey Sussex Region",'caseload data'!$B:$B,{"licence","community"}))</f>
        <v>0</v>
      </c>
      <c r="M81" s="104" cm="1">
        <f t="array" ref="M81">SUM(SUMIFS('caseload data'!N:N,'caseload data'!$D:$D,"PSO",'caseload data'!$A:$A,"Kent Surrey Sussex Region",'caseload data'!$B:$B,{"licence","community"}))</f>
        <v>0</v>
      </c>
      <c r="N81" s="104" cm="1">
        <f t="array" ref="N81">SUM(SUMIFS('caseload data'!O:O,'caseload data'!$D:$D,"PSO",'caseload data'!$A:$A,"Kent Surrey Sussex Region",'caseload data'!$B:$B,{"licence","community"}))</f>
        <v>0</v>
      </c>
      <c r="O81" s="104" cm="1">
        <f t="array" ref="O81">SUM(SUMIFS('caseload data'!P:P,'caseload data'!$D:$D,"PSO",'caseload data'!$A:$A,"Kent Surrey Sussex Region",'caseload data'!$B:$B,{"licence","community"}))</f>
        <v>0</v>
      </c>
      <c r="P81" s="104" cm="1">
        <f t="array" ref="P81">SUM(SUMIFS('caseload data'!Q:Q,'caseload data'!$D:$D,"PSO",'caseload data'!$A:$A,"Kent Surrey Sussex Region",'caseload data'!$B:$B,{"licence","community"}))</f>
        <v>0</v>
      </c>
      <c r="Q81" s="104" cm="1">
        <f t="array" ref="Q81">SUM(SUMIFS('caseload data'!R:R,'caseload data'!$D:$D,"PSO",'caseload data'!$A:$A,"Kent Surrey Sussex Region",'caseload data'!$B:$B,{"licence","community"}))</f>
        <v>0</v>
      </c>
      <c r="R81" s="104" cm="1">
        <f t="array" ref="R81">SUM(SUMIFS('caseload data'!S:S,'caseload data'!$D:$D,"PSO",'caseload data'!$A:$A,"Kent Surrey Sussex Region",'caseload data'!$B:$B,{"licence","community"}))</f>
        <v>0</v>
      </c>
      <c r="S81" s="104" cm="1">
        <f t="array" ref="S81">SUM(SUMIFS('caseload data'!T:T,'caseload data'!$D:$D,"PSO",'caseload data'!$A:$A,"Kent Surrey Sussex Region",'caseload data'!$B:$B,{"licence","community"}))</f>
        <v>0</v>
      </c>
      <c r="T81" s="104" cm="1">
        <f t="array" ref="T81">SUM(SUMIFS('caseload data'!V:V,'caseload data'!D:D,"PSO",'caseload data'!A:A,"Kent Surrey Sussex Region",'caseload data'!B:B,{"licence","community"}))</f>
        <v>0</v>
      </c>
      <c r="U81" s="73"/>
      <c r="V81" s="73"/>
      <c r="W81" s="341"/>
      <c r="X81" s="139" t="s">
        <v>912</v>
      </c>
      <c r="Y81" s="181" t="e">
        <f t="shared" si="13"/>
        <v>#DIV/0!</v>
      </c>
      <c r="Z81" s="181" t="e">
        <f t="shared" si="14"/>
        <v>#DIV/0!</v>
      </c>
      <c r="AA81" s="181" t="e">
        <f t="shared" si="14"/>
        <v>#DIV/0!</v>
      </c>
      <c r="AB81" s="181" t="e">
        <f t="shared" si="14"/>
        <v>#DIV/0!</v>
      </c>
      <c r="AC81" s="181" t="e">
        <f t="shared" si="14"/>
        <v>#DIV/0!</v>
      </c>
      <c r="AD81" s="181" t="e">
        <f t="shared" si="14"/>
        <v>#DIV/0!</v>
      </c>
      <c r="AE81" s="181" t="e">
        <f t="shared" si="14"/>
        <v>#DIV/0!</v>
      </c>
      <c r="AF81" s="181" t="e">
        <f t="shared" si="14"/>
        <v>#DIV/0!</v>
      </c>
      <c r="AG81" s="181" t="e">
        <f t="shared" si="14"/>
        <v>#DIV/0!</v>
      </c>
      <c r="AH81" s="181" t="e">
        <f t="shared" si="14"/>
        <v>#DIV/0!</v>
      </c>
      <c r="AI81" s="181" t="e">
        <f t="shared" si="14"/>
        <v>#DIV/0!</v>
      </c>
      <c r="AJ81" s="181" t="e">
        <f t="shared" si="14"/>
        <v>#DIV/0!</v>
      </c>
      <c r="AK81" s="181" t="e">
        <f t="shared" si="14"/>
        <v>#DIV/0!</v>
      </c>
      <c r="AL81" s="181" t="e">
        <f t="shared" si="14"/>
        <v>#DIV/0!</v>
      </c>
      <c r="AM81" s="181" t="e">
        <f t="shared" si="14"/>
        <v>#DIV/0!</v>
      </c>
      <c r="AN81" s="181" t="e">
        <f t="shared" si="14"/>
        <v>#DIV/0!</v>
      </c>
    </row>
    <row r="82" spans="2:40" x14ac:dyDescent="0.15">
      <c r="B82" s="341"/>
      <c r="C82" s="139" t="s">
        <v>913</v>
      </c>
      <c r="D82" s="104" cm="1">
        <f t="array" ref="D82">SUM(SUMIFS('caseload data'!E:E,'caseload data'!$D:$D,"TPO",'caseload data'!$A:$A,"Kent Surrey Sussex Region",'caseload data'!$B:$B,{"licence","community"}))</f>
        <v>0</v>
      </c>
      <c r="E82" s="104" cm="1">
        <f t="array" ref="E82">SUM(SUMIFS('caseload data'!F:F,'caseload data'!$D:$D,"TPO",'caseload data'!$A:$A,"Kent Surrey Sussex Region",'caseload data'!$B:$B,{"licence","community"}))</f>
        <v>0</v>
      </c>
      <c r="F82" s="104" cm="1">
        <f t="array" ref="F82">SUM(SUMIFS('caseload data'!G:G,'caseload data'!$D:$D,"TPO",'caseload data'!$A:$A,"Kent Surrey Sussex Region",'caseload data'!$B:$B,{"licence","community"}))</f>
        <v>0</v>
      </c>
      <c r="G82" s="104" cm="1">
        <f t="array" ref="G82">SUM(SUMIFS('caseload data'!H:H,'caseload data'!$D:$D,"TPO",'caseload data'!$A:$A,"Kent Surrey Sussex Region",'caseload data'!$B:$B,{"licence","community"}))</f>
        <v>0</v>
      </c>
      <c r="H82" s="104" cm="1">
        <f t="array" ref="H82">SUM(SUMIFS('caseload data'!I:I,'caseload data'!$D:$D,"TPO",'caseload data'!$A:$A,"Kent Surrey Sussex Region",'caseload data'!$B:$B,{"licence","community"}))</f>
        <v>0</v>
      </c>
      <c r="I82" s="104" cm="1">
        <f t="array" ref="I82">SUM(SUMIFS('caseload data'!J:J,'caseload data'!$D:$D,"TPO",'caseload data'!$A:$A,"Kent Surrey Sussex Region",'caseload data'!$B:$B,{"licence","community"}))</f>
        <v>0</v>
      </c>
      <c r="J82" s="104" cm="1">
        <f t="array" ref="J82">SUM(SUMIFS('caseload data'!K:K,'caseload data'!$D:$D,"TPO",'caseload data'!$A:$A,"Kent Surrey Sussex Region",'caseload data'!$B:$B,{"licence","community"}))</f>
        <v>0</v>
      </c>
      <c r="K82" s="104" cm="1">
        <f t="array" ref="K82">SUM(SUMIFS('caseload data'!L:L,'caseload data'!$D:$D,"TPO",'caseload data'!$A:$A,"Kent Surrey Sussex Region",'caseload data'!$B:$B,{"licence","community"}))</f>
        <v>0</v>
      </c>
      <c r="L82" s="104" cm="1">
        <f t="array" ref="L82">SUM(SUMIFS('caseload data'!M:M,'caseload data'!$D:$D,"TPO",'caseload data'!$A:$A,"Kent Surrey Sussex Region",'caseload data'!$B:$B,{"licence","community"}))</f>
        <v>0</v>
      </c>
      <c r="M82" s="104" cm="1">
        <f t="array" ref="M82">SUM(SUMIFS('caseload data'!N:N,'caseload data'!$D:$D,"TPO",'caseload data'!$A:$A,"Kent Surrey Sussex Region",'caseload data'!$B:$B,{"licence","community"}))</f>
        <v>0</v>
      </c>
      <c r="N82" s="104" cm="1">
        <f t="array" ref="N82">SUM(SUMIFS('caseload data'!O:O,'caseload data'!$D:$D,"TPO",'caseload data'!$A:$A,"Kent Surrey Sussex Region",'caseload data'!$B:$B,{"licence","community"}))</f>
        <v>0</v>
      </c>
      <c r="O82" s="104" cm="1">
        <f t="array" ref="O82">SUM(SUMIFS('caseload data'!P:P,'caseload data'!$D:$D,"TPO",'caseload data'!$A:$A,"Kent Surrey Sussex Region",'caseload data'!$B:$B,{"licence","community"}))</f>
        <v>0</v>
      </c>
      <c r="P82" s="104" cm="1">
        <f t="array" ref="P82">SUM(SUMIFS('caseload data'!Q:Q,'caseload data'!$D:$D,"TPO",'caseload data'!$A:$A,"Kent Surrey Sussex Region",'caseload data'!$B:$B,{"licence","community"}))</f>
        <v>0</v>
      </c>
      <c r="Q82" s="104" cm="1">
        <f t="array" ref="Q82">SUM(SUMIFS('caseload data'!R:R,'caseload data'!$D:$D,"TPO",'caseload data'!$A:$A,"Kent Surrey Sussex Region",'caseload data'!$B:$B,{"licence","community"}))</f>
        <v>0</v>
      </c>
      <c r="R82" s="104" cm="1">
        <f t="array" ref="R82">SUM(SUMIFS('caseload data'!S:S,'caseload data'!$D:$D,"TPO",'caseload data'!$A:$A,"Kent Surrey Sussex Region",'caseload data'!$B:$B,{"licence","community"}))</f>
        <v>0</v>
      </c>
      <c r="S82" s="104" cm="1">
        <f t="array" ref="S82">SUM(SUMIFS('caseload data'!T:T,'caseload data'!$D:$D,"TPO",'caseload data'!$A:$A,"Kent Surrey Sussex Region",'caseload data'!$B:$B,{"licence","community"}))</f>
        <v>0</v>
      </c>
      <c r="T82" s="104" cm="1">
        <f t="array" ref="T82">SUM(SUMIFS('caseload data'!V:V,'caseload data'!D:D,"TPO",'caseload data'!A:A,"Kent Surrey Sussex Region",'caseload data'!B:B,{"licence","community"}))</f>
        <v>0</v>
      </c>
      <c r="U82" s="73"/>
      <c r="V82" s="73"/>
      <c r="W82" s="341"/>
      <c r="X82" s="139" t="s">
        <v>913</v>
      </c>
      <c r="Y82" s="181" t="e">
        <f t="shared" si="13"/>
        <v>#DIV/0!</v>
      </c>
      <c r="Z82" s="181" t="e">
        <f t="shared" si="14"/>
        <v>#DIV/0!</v>
      </c>
      <c r="AA82" s="181" t="e">
        <f t="shared" si="14"/>
        <v>#DIV/0!</v>
      </c>
      <c r="AB82" s="181" t="e">
        <f t="shared" si="14"/>
        <v>#DIV/0!</v>
      </c>
      <c r="AC82" s="181" t="e">
        <f t="shared" ref="AC82:AN87" si="15">SUM(H82)/SUM(H$68:H$71)</f>
        <v>#DIV/0!</v>
      </c>
      <c r="AD82" s="181" t="e">
        <f t="shared" si="15"/>
        <v>#DIV/0!</v>
      </c>
      <c r="AE82" s="181" t="e">
        <f t="shared" si="15"/>
        <v>#DIV/0!</v>
      </c>
      <c r="AF82" s="181" t="e">
        <f t="shared" si="15"/>
        <v>#DIV/0!</v>
      </c>
      <c r="AG82" s="181" t="e">
        <f t="shared" si="15"/>
        <v>#DIV/0!</v>
      </c>
      <c r="AH82" s="181" t="e">
        <f t="shared" si="15"/>
        <v>#DIV/0!</v>
      </c>
      <c r="AI82" s="181" t="e">
        <f t="shared" si="15"/>
        <v>#DIV/0!</v>
      </c>
      <c r="AJ82" s="181" t="e">
        <f t="shared" si="15"/>
        <v>#DIV/0!</v>
      </c>
      <c r="AK82" s="181" t="e">
        <f t="shared" si="15"/>
        <v>#DIV/0!</v>
      </c>
      <c r="AL82" s="181" t="e">
        <f t="shared" si="15"/>
        <v>#DIV/0!</v>
      </c>
      <c r="AM82" s="181" t="e">
        <f t="shared" si="15"/>
        <v>#DIV/0!</v>
      </c>
      <c r="AN82" s="181" t="e">
        <f t="shared" si="15"/>
        <v>#DIV/0!</v>
      </c>
    </row>
    <row r="83" spans="2:40" x14ac:dyDescent="0.15">
      <c r="B83" s="342"/>
      <c r="C83" s="140" t="s">
        <v>914</v>
      </c>
      <c r="D83" s="104" cm="1">
        <f t="array" ref="D83">SUM(SUMIFS('caseload data'!E:E,'caseload data'!$D:$D,"SPO",'caseload data'!$A:$A,"Kent Surrey Sussex Region",'caseload data'!$B:$B,{"licence","community"}))</f>
        <v>0</v>
      </c>
      <c r="E83" s="104" cm="1">
        <f t="array" ref="E83">SUM(SUMIFS('caseload data'!F:F,'caseload data'!$D:$D,"SPO",'caseload data'!$A:$A,"Kent Surrey Sussex Region",'caseload data'!$B:$B,{"licence","community"}))</f>
        <v>0</v>
      </c>
      <c r="F83" s="104" cm="1">
        <f t="array" ref="F83">SUM(SUMIFS('caseload data'!G:G,'caseload data'!$D:$D,"SPO",'caseload data'!$A:$A,"Kent Surrey Sussex Region",'caseload data'!$B:$B,{"licence","community"}))</f>
        <v>0</v>
      </c>
      <c r="G83" s="104" cm="1">
        <f t="array" ref="G83">SUM(SUMIFS('caseload data'!H:H,'caseload data'!$D:$D,"SPO",'caseload data'!$A:$A,"Kent Surrey Sussex Region",'caseload data'!$B:$B,{"licence","community"}))</f>
        <v>0</v>
      </c>
      <c r="H83" s="104" cm="1">
        <f t="array" ref="H83">SUM(SUMIFS('caseload data'!I:I,'caseload data'!$D:$D,"SPO",'caseload data'!$A:$A,"Kent Surrey Sussex Region",'caseload data'!$B:$B,{"licence","community"}))</f>
        <v>0</v>
      </c>
      <c r="I83" s="104" cm="1">
        <f t="array" ref="I83">SUM(SUMIFS('caseload data'!J:J,'caseload data'!$D:$D,"SPO",'caseload data'!$A:$A,"Kent Surrey Sussex Region",'caseload data'!$B:$B,{"licence","community"}))</f>
        <v>0</v>
      </c>
      <c r="J83" s="104" cm="1">
        <f t="array" ref="J83">SUM(SUMIFS('caseload data'!K:K,'caseload data'!$D:$D,"SPO",'caseload data'!$A:$A,"Kent Surrey Sussex Region",'caseload data'!$B:$B,{"licence","community"}))</f>
        <v>0</v>
      </c>
      <c r="K83" s="104" cm="1">
        <f t="array" ref="K83">SUM(SUMIFS('caseload data'!L:L,'caseload data'!$D:$D,"SPO",'caseload data'!$A:$A,"Kent Surrey Sussex Region",'caseload data'!$B:$B,{"licence","community"}))</f>
        <v>0</v>
      </c>
      <c r="L83" s="104" cm="1">
        <f t="array" ref="L83">SUM(SUMIFS('caseload data'!M:M,'caseload data'!$D:$D,"SPO",'caseload data'!$A:$A,"Kent Surrey Sussex Region",'caseload data'!$B:$B,{"licence","community"}))</f>
        <v>0</v>
      </c>
      <c r="M83" s="104" cm="1">
        <f t="array" ref="M83">SUM(SUMIFS('caseload data'!N:N,'caseload data'!$D:$D,"SPO",'caseload data'!$A:$A,"Kent Surrey Sussex Region",'caseload data'!$B:$B,{"licence","community"}))</f>
        <v>0</v>
      </c>
      <c r="N83" s="104" cm="1">
        <f t="array" ref="N83">SUM(SUMIFS('caseload data'!O:O,'caseload data'!$D:$D,"SPO",'caseload data'!$A:$A,"Kent Surrey Sussex Region",'caseload data'!$B:$B,{"licence","community"}))</f>
        <v>0</v>
      </c>
      <c r="O83" s="104" cm="1">
        <f t="array" ref="O83">SUM(SUMIFS('caseload data'!P:P,'caseload data'!$D:$D,"SPO",'caseload data'!$A:$A,"Kent Surrey Sussex Region",'caseload data'!$B:$B,{"licence","community"}))</f>
        <v>0</v>
      </c>
      <c r="P83" s="104" cm="1">
        <f t="array" ref="P83">SUM(SUMIFS('caseload data'!Q:Q,'caseload data'!$D:$D,"SPO",'caseload data'!$A:$A,"Kent Surrey Sussex Region",'caseload data'!$B:$B,{"licence","community"}))</f>
        <v>0</v>
      </c>
      <c r="Q83" s="104" cm="1">
        <f t="array" ref="Q83">SUM(SUMIFS('caseload data'!R:R,'caseload data'!$D:$D,"SPO",'caseload data'!$A:$A,"Kent Surrey Sussex Region",'caseload data'!$B:$B,{"licence","community"}))</f>
        <v>0</v>
      </c>
      <c r="R83" s="104" cm="1">
        <f t="array" ref="R83">SUM(SUMIFS('caseload data'!S:S,'caseload data'!$D:$D,"SPO",'caseload data'!$A:$A,"Kent Surrey Sussex Region",'caseload data'!$B:$B,{"licence","community"}))</f>
        <v>0</v>
      </c>
      <c r="S83" s="104" cm="1">
        <f t="array" ref="S83">SUM(SUMIFS('caseload data'!T:T,'caseload data'!$D:$D,"SPO",'caseload data'!$A:$A,"Kent Surrey Sussex Region",'caseload data'!$B:$B,{"licence","community"}))</f>
        <v>0</v>
      </c>
      <c r="T83" s="104" cm="1">
        <f t="array" ref="T83">SUM(SUMIFS('caseload data'!V:V,'caseload data'!$D:$D,"SPO",'caseload data'!$A:$A,"Kent Surrey Sussex Region",'caseload data'!$B:$B,{"licence","community"}))</f>
        <v>0</v>
      </c>
      <c r="U83" s="73"/>
      <c r="V83" s="73"/>
      <c r="W83" s="342"/>
      <c r="X83" s="140" t="s">
        <v>914</v>
      </c>
      <c r="Y83" s="181" t="e">
        <f t="shared" si="13"/>
        <v>#DIV/0!</v>
      </c>
      <c r="Z83" s="181" t="e">
        <f t="shared" ref="Z83:AB87" si="16">SUM(E83)/SUM(E$68:E$71)</f>
        <v>#DIV/0!</v>
      </c>
      <c r="AA83" s="181" t="e">
        <f t="shared" si="16"/>
        <v>#DIV/0!</v>
      </c>
      <c r="AB83" s="181" t="e">
        <f t="shared" si="16"/>
        <v>#DIV/0!</v>
      </c>
      <c r="AC83" s="181" t="e">
        <f t="shared" si="15"/>
        <v>#DIV/0!</v>
      </c>
      <c r="AD83" s="181" t="e">
        <f t="shared" si="15"/>
        <v>#DIV/0!</v>
      </c>
      <c r="AE83" s="181" t="e">
        <f t="shared" si="15"/>
        <v>#DIV/0!</v>
      </c>
      <c r="AF83" s="181" t="e">
        <f t="shared" si="15"/>
        <v>#DIV/0!</v>
      </c>
      <c r="AG83" s="181" t="e">
        <f t="shared" si="15"/>
        <v>#DIV/0!</v>
      </c>
      <c r="AH83" s="181" t="e">
        <f t="shared" si="15"/>
        <v>#DIV/0!</v>
      </c>
      <c r="AI83" s="181" t="e">
        <f t="shared" si="15"/>
        <v>#DIV/0!</v>
      </c>
      <c r="AJ83" s="181" t="e">
        <f t="shared" si="15"/>
        <v>#DIV/0!</v>
      </c>
      <c r="AK83" s="181" t="e">
        <f t="shared" si="15"/>
        <v>#DIV/0!</v>
      </c>
      <c r="AL83" s="181" t="e">
        <f t="shared" si="15"/>
        <v>#DIV/0!</v>
      </c>
      <c r="AM83" s="181" t="e">
        <f t="shared" si="15"/>
        <v>#DIV/0!</v>
      </c>
      <c r="AN83" s="181" t="e">
        <f t="shared" si="15"/>
        <v>#DIV/0!</v>
      </c>
    </row>
    <row r="84" spans="2:40" x14ac:dyDescent="0.15">
      <c r="B84" s="340" t="s">
        <v>24</v>
      </c>
      <c r="C84" s="138" t="s">
        <v>911</v>
      </c>
      <c r="D84" s="104" cm="1">
        <f t="array" ref="D84">SUM(SUMIFS('caseload data'!E:E,'caseload data'!$D:$D,"PO",'caseload data'!$A:$A,_xlfn.SINGLE('national caseload'!$B$84:$B$86),'caseload data'!$B:$B,{"licence","community"}))</f>
        <v>0</v>
      </c>
      <c r="E84" s="104" cm="1">
        <f t="array" ref="E84">SUM(SUMIFS('caseload data'!F:F,'caseload data'!$D:$D,"PO",'caseload data'!$A:$A,_xlfn.SINGLE('national caseload'!$B$84:$B$86),'caseload data'!$B:$B,{"licence","community"}))</f>
        <v>0</v>
      </c>
      <c r="F84" s="104" cm="1">
        <f t="array" ref="F84">SUM(SUMIFS('caseload data'!G:G,'caseload data'!$D:$D,"PO",'caseload data'!$A:$A,_xlfn.SINGLE('national caseload'!$B$84:$B$86),'caseload data'!$B:$B,{"licence","community"}))</f>
        <v>0</v>
      </c>
      <c r="G84" s="104" cm="1">
        <f t="array" ref="G84">SUM(SUMIFS('caseload data'!H:H,'caseload data'!$D:$D,"PO",'caseload data'!$A:$A,_xlfn.SINGLE('national caseload'!$B$84:$B$86),'caseload data'!$B:$B,{"licence","community"}))</f>
        <v>0</v>
      </c>
      <c r="H84" s="104" cm="1">
        <f t="array" ref="H84">SUM(SUMIFS('caseload data'!I:I,'caseload data'!$D:$D,"PO",'caseload data'!$A:$A,_xlfn.SINGLE('national caseload'!$B$84:$B$86),'caseload data'!$B:$B,{"licence","community"}))</f>
        <v>0</v>
      </c>
      <c r="I84" s="104" cm="1">
        <f t="array" ref="I84">SUM(SUMIFS('caseload data'!J:J,'caseload data'!$D:$D,"PO",'caseload data'!$A:$A,_xlfn.SINGLE('national caseload'!$B$84:$B$86),'caseload data'!$B:$B,{"licence","community"}))</f>
        <v>0</v>
      </c>
      <c r="J84" s="104" cm="1">
        <f t="array" ref="J84">SUM(SUMIFS('caseload data'!K:K,'caseload data'!$D:$D,"PO",'caseload data'!$A:$A,_xlfn.SINGLE('national caseload'!$B$84:$B$86),'caseload data'!$B:$B,{"licence","community"}))</f>
        <v>0</v>
      </c>
      <c r="K84" s="104" cm="1">
        <f t="array" ref="K84">SUM(SUMIFS('caseload data'!L:L,'caseload data'!$D:$D,"PO",'caseload data'!$A:$A,_xlfn.SINGLE('national caseload'!$B$84:$B$86),'caseload data'!$B:$B,{"licence","community"}))</f>
        <v>0</v>
      </c>
      <c r="L84" s="104" cm="1">
        <f t="array" ref="L84">SUM(SUMIFS('caseload data'!M:M,'caseload data'!$D:$D,"PO",'caseload data'!$A:$A,_xlfn.SINGLE('national caseload'!$B$84:$B$86),'caseload data'!$B:$B,{"licence","community"}))</f>
        <v>0</v>
      </c>
      <c r="M84" s="104" cm="1">
        <f t="array" ref="M84">SUM(SUMIFS('caseload data'!N:N,'caseload data'!$D:$D,"PO",'caseload data'!$A:$A,_xlfn.SINGLE('national caseload'!$B$84:$B$86),'caseload data'!$B:$B,{"licence","community"}))</f>
        <v>0</v>
      </c>
      <c r="N84" s="104" cm="1">
        <f t="array" ref="N84">SUM(SUMIFS('caseload data'!O:O,'caseload data'!$D:$D,"PO",'caseload data'!$A:$A,_xlfn.SINGLE('national caseload'!$B$84:$B$86),'caseload data'!$B:$B,{"licence","community"}))</f>
        <v>0</v>
      </c>
      <c r="O84" s="104" cm="1">
        <f t="array" ref="O84">SUM(SUMIFS('caseload data'!P:P,'caseload data'!$D:$D,"PO",'caseload data'!$A:$A,_xlfn.SINGLE('national caseload'!$B$84:$B$86),'caseload data'!$B:$B,{"licence","community"}))</f>
        <v>0</v>
      </c>
      <c r="P84" s="104" cm="1">
        <f t="array" ref="P84">SUM(SUMIFS('caseload data'!Q:Q,'caseload data'!$D:$D,"PO",'caseload data'!$A:$A,_xlfn.SINGLE('national caseload'!$B$84:$B$86),'caseload data'!$B:$B,{"licence","community"}))</f>
        <v>0</v>
      </c>
      <c r="Q84" s="104" cm="1">
        <f t="array" ref="Q84">SUM(SUMIFS('caseload data'!R:R,'caseload data'!$D:$D,"PO",'caseload data'!$A:$A,_xlfn.SINGLE('national caseload'!$B$84:$B$86),'caseload data'!$B:$B,{"licence","community"}))</f>
        <v>0</v>
      </c>
      <c r="R84" s="104" cm="1">
        <f t="array" ref="R84">SUM(SUMIFS('caseload data'!S:S,'caseload data'!$D:$D,"PO",'caseload data'!$A:$A,_xlfn.SINGLE('national caseload'!$B$84:$B$86),'caseload data'!$B:$B,{"licence","community"}))</f>
        <v>0</v>
      </c>
      <c r="S84" s="104" cm="1">
        <f t="array" ref="S84">SUM(SUMIFS('caseload data'!T:T,'caseload data'!$D:$D,"PO",'caseload data'!$A:$A,_xlfn.SINGLE('national caseload'!$B$84:$B$86),'caseload data'!$B:$B,{"licence","community"}))</f>
        <v>0</v>
      </c>
      <c r="T84" s="104">
        <f>SUM(SUMIFS('caseload data'!V:V,'caseload data'!D:D,"PO",'caseload data'!A:A,'national caseload'!B84:B86,'caseload data'!B:B,{"licence","community"}))</f>
        <v>0</v>
      </c>
      <c r="U84" s="73"/>
      <c r="V84" s="73"/>
      <c r="W84" s="340" t="s">
        <v>24</v>
      </c>
      <c r="X84" s="138" t="s">
        <v>911</v>
      </c>
      <c r="Y84" s="181" t="e">
        <f t="shared" si="13"/>
        <v>#DIV/0!</v>
      </c>
      <c r="Z84" s="181" t="e">
        <f t="shared" si="16"/>
        <v>#DIV/0!</v>
      </c>
      <c r="AA84" s="181" t="e">
        <f t="shared" si="16"/>
        <v>#DIV/0!</v>
      </c>
      <c r="AB84" s="181" t="e">
        <f t="shared" si="16"/>
        <v>#DIV/0!</v>
      </c>
      <c r="AC84" s="181" t="e">
        <f t="shared" si="15"/>
        <v>#DIV/0!</v>
      </c>
      <c r="AD84" s="181" t="e">
        <f t="shared" si="15"/>
        <v>#DIV/0!</v>
      </c>
      <c r="AE84" s="181" t="e">
        <f t="shared" si="15"/>
        <v>#DIV/0!</v>
      </c>
      <c r="AF84" s="181" t="e">
        <f t="shared" si="15"/>
        <v>#DIV/0!</v>
      </c>
      <c r="AG84" s="181" t="e">
        <f t="shared" si="15"/>
        <v>#DIV/0!</v>
      </c>
      <c r="AH84" s="181" t="e">
        <f t="shared" si="15"/>
        <v>#DIV/0!</v>
      </c>
      <c r="AI84" s="181" t="e">
        <f t="shared" si="15"/>
        <v>#DIV/0!</v>
      </c>
      <c r="AJ84" s="181" t="e">
        <f t="shared" si="15"/>
        <v>#DIV/0!</v>
      </c>
      <c r="AK84" s="181" t="e">
        <f t="shared" si="15"/>
        <v>#DIV/0!</v>
      </c>
      <c r="AL84" s="181" t="e">
        <f t="shared" si="15"/>
        <v>#DIV/0!</v>
      </c>
      <c r="AM84" s="181" t="e">
        <f t="shared" si="15"/>
        <v>#DIV/0!</v>
      </c>
      <c r="AN84" s="181" t="e">
        <f t="shared" si="15"/>
        <v>#DIV/0!</v>
      </c>
    </row>
    <row r="85" spans="2:40" x14ac:dyDescent="0.15">
      <c r="B85" s="341"/>
      <c r="C85" s="139" t="s">
        <v>912</v>
      </c>
      <c r="D85" s="104" cm="1">
        <f t="array" ref="D85">SUM(SUMIFS('caseload data'!E:E,'caseload data'!$D:$D,"PSO",'caseload data'!$A:$A,"London",'caseload data'!$B:$B,{"licence","community"}))</f>
        <v>0</v>
      </c>
      <c r="E85" s="104" cm="1">
        <f t="array" ref="E85">SUM(SUMIFS('caseload data'!F:F,'caseload data'!$D:$D,"PSO",'caseload data'!$A:$A,"London",'caseload data'!$B:$B,{"licence","community"}))</f>
        <v>0</v>
      </c>
      <c r="F85" s="104" cm="1">
        <f t="array" ref="F85">SUM(SUMIFS('caseload data'!G:G,'caseload data'!$D:$D,"PSO",'caseload data'!$A:$A,"London",'caseload data'!$B:$B,{"licence","community"}))</f>
        <v>0</v>
      </c>
      <c r="G85" s="104" cm="1">
        <f t="array" ref="G85">SUM(SUMIFS('caseload data'!H:H,'caseload data'!$D:$D,"PSO",'caseload data'!$A:$A,"London",'caseload data'!$B:$B,{"licence","community"}))</f>
        <v>0</v>
      </c>
      <c r="H85" s="104" cm="1">
        <f t="array" ref="H85">SUM(SUMIFS('caseload data'!I:I,'caseload data'!$D:$D,"PSO",'caseload data'!$A:$A,"London",'caseload data'!$B:$B,{"licence","community"}))</f>
        <v>0</v>
      </c>
      <c r="I85" s="104" cm="1">
        <f t="array" ref="I85">SUM(SUMIFS('caseload data'!J:J,'caseload data'!$D:$D,"PSO",'caseload data'!$A:$A,"London",'caseload data'!$B:$B,{"licence","community"}))</f>
        <v>0</v>
      </c>
      <c r="J85" s="104" cm="1">
        <f t="array" ref="J85">SUM(SUMIFS('caseload data'!K:K,'caseload data'!$D:$D,"PSO",'caseload data'!$A:$A,"London",'caseload data'!$B:$B,{"licence","community"}))</f>
        <v>0</v>
      </c>
      <c r="K85" s="104" cm="1">
        <f t="array" ref="K85">SUM(SUMIFS('caseload data'!L:L,'caseload data'!$D:$D,"PSO",'caseload data'!$A:$A,"London",'caseload data'!$B:$B,{"licence","community"}))</f>
        <v>0</v>
      </c>
      <c r="L85" s="104" cm="1">
        <f t="array" ref="L85">SUM(SUMIFS('caseload data'!M:M,'caseload data'!$D:$D,"PSO",'caseload data'!$A:$A,"London",'caseload data'!$B:$B,{"licence","community"}))</f>
        <v>0</v>
      </c>
      <c r="M85" s="104" cm="1">
        <f t="array" ref="M85">SUM(SUMIFS('caseload data'!N:N,'caseload data'!$D:$D,"PSO",'caseload data'!$A:$A,"London",'caseload data'!$B:$B,{"licence","community"}))</f>
        <v>0</v>
      </c>
      <c r="N85" s="104" cm="1">
        <f t="array" ref="N85">SUM(SUMIFS('caseload data'!O:O,'caseload data'!$D:$D,"PSO",'caseload data'!$A:$A,"London",'caseload data'!$B:$B,{"licence","community"}))</f>
        <v>0</v>
      </c>
      <c r="O85" s="104" cm="1">
        <f t="array" ref="O85">SUM(SUMIFS('caseload data'!P:P,'caseload data'!$D:$D,"PSO",'caseload data'!$A:$A,"London",'caseload data'!$B:$B,{"licence","community"}))</f>
        <v>0</v>
      </c>
      <c r="P85" s="104" cm="1">
        <f t="array" ref="P85">SUM(SUMIFS('caseload data'!Q:Q,'caseload data'!$D:$D,"PSO",'caseload data'!$A:$A,"London",'caseload data'!$B:$B,{"licence","community"}))</f>
        <v>0</v>
      </c>
      <c r="Q85" s="104" cm="1">
        <f t="array" ref="Q85">SUM(SUMIFS('caseload data'!R:R,'caseload data'!$D:$D,"PSO",'caseload data'!$A:$A,"London",'caseload data'!$B:$B,{"licence","community"}))</f>
        <v>0</v>
      </c>
      <c r="R85" s="104" cm="1">
        <f t="array" ref="R85">SUM(SUMIFS('caseload data'!S:S,'caseload data'!$D:$D,"PSO",'caseload data'!$A:$A,"London",'caseload data'!$B:$B,{"licence","community"}))</f>
        <v>0</v>
      </c>
      <c r="S85" s="104" cm="1">
        <f t="array" ref="S85">SUM(SUMIFS('caseload data'!T:T,'caseload data'!$D:$D,"PSO",'caseload data'!$A:$A,"London",'caseload data'!$B:$B,{"licence","community"}))</f>
        <v>0</v>
      </c>
      <c r="T85" s="104" cm="1">
        <f t="array" ref="T85">SUM(SUMIFS('caseload data'!V:V,'caseload data'!D:D,"PSO",'caseload data'!A:A,"London",'caseload data'!B:B,{"licence","community"}))</f>
        <v>0</v>
      </c>
      <c r="U85" s="73"/>
      <c r="V85" s="73"/>
      <c r="W85" s="341"/>
      <c r="X85" s="139" t="s">
        <v>912</v>
      </c>
      <c r="Y85" s="181" t="e">
        <f t="shared" si="13"/>
        <v>#DIV/0!</v>
      </c>
      <c r="Z85" s="181" t="e">
        <f t="shared" si="16"/>
        <v>#DIV/0!</v>
      </c>
      <c r="AA85" s="181" t="e">
        <f t="shared" si="16"/>
        <v>#DIV/0!</v>
      </c>
      <c r="AB85" s="181" t="e">
        <f t="shared" si="16"/>
        <v>#DIV/0!</v>
      </c>
      <c r="AC85" s="181" t="e">
        <f t="shared" si="15"/>
        <v>#DIV/0!</v>
      </c>
      <c r="AD85" s="181" t="e">
        <f t="shared" si="15"/>
        <v>#DIV/0!</v>
      </c>
      <c r="AE85" s="181" t="e">
        <f t="shared" si="15"/>
        <v>#DIV/0!</v>
      </c>
      <c r="AF85" s="181" t="e">
        <f t="shared" si="15"/>
        <v>#DIV/0!</v>
      </c>
      <c r="AG85" s="181" t="e">
        <f t="shared" si="15"/>
        <v>#DIV/0!</v>
      </c>
      <c r="AH85" s="181" t="e">
        <f t="shared" si="15"/>
        <v>#DIV/0!</v>
      </c>
      <c r="AI85" s="181" t="e">
        <f t="shared" si="15"/>
        <v>#DIV/0!</v>
      </c>
      <c r="AJ85" s="181" t="e">
        <f t="shared" si="15"/>
        <v>#DIV/0!</v>
      </c>
      <c r="AK85" s="181" t="e">
        <f t="shared" si="15"/>
        <v>#DIV/0!</v>
      </c>
      <c r="AL85" s="181" t="e">
        <f t="shared" si="15"/>
        <v>#DIV/0!</v>
      </c>
      <c r="AM85" s="181" t="e">
        <f t="shared" si="15"/>
        <v>#DIV/0!</v>
      </c>
      <c r="AN85" s="181" t="e">
        <f t="shared" si="15"/>
        <v>#DIV/0!</v>
      </c>
    </row>
    <row r="86" spans="2:40" x14ac:dyDescent="0.15">
      <c r="B86" s="341"/>
      <c r="C86" s="139" t="s">
        <v>913</v>
      </c>
      <c r="D86" s="104" cm="1">
        <f t="array" ref="D86">SUM(SUMIFS('caseload data'!E:E,'caseload data'!$D:$D,"TPO",'caseload data'!$A:$A,"London",'caseload data'!$B:$B,{"licence","community"}))</f>
        <v>0</v>
      </c>
      <c r="E86" s="104" cm="1">
        <f t="array" ref="E86">SUM(SUMIFS('caseload data'!F:F,'caseload data'!$D:$D,"TPO",'caseload data'!$A:$A,"London",'caseload data'!$B:$B,{"licence","community"}))</f>
        <v>0</v>
      </c>
      <c r="F86" s="104" cm="1">
        <f t="array" ref="F86">SUM(SUMIFS('caseload data'!G:G,'caseload data'!$D:$D,"TPO",'caseload data'!$A:$A,"London",'caseload data'!$B:$B,{"licence","community"}))</f>
        <v>0</v>
      </c>
      <c r="G86" s="104" cm="1">
        <f t="array" ref="G86">SUM(SUMIFS('caseload data'!H:H,'caseload data'!$D:$D,"TPO",'caseload data'!$A:$A,"London",'caseload data'!$B:$B,{"licence","community"}))</f>
        <v>0</v>
      </c>
      <c r="H86" s="104" cm="1">
        <f t="array" ref="H86">SUM(SUMIFS('caseload data'!I:I,'caseload data'!$D:$D,"TPO",'caseload data'!$A:$A,"London",'caseload data'!$B:$B,{"licence","community"}))</f>
        <v>0</v>
      </c>
      <c r="I86" s="104" cm="1">
        <f t="array" ref="I86">SUM(SUMIFS('caseload data'!J:J,'caseload data'!$D:$D,"TPO",'caseload data'!$A:$A,"London",'caseload data'!$B:$B,{"licence","community"}))</f>
        <v>0</v>
      </c>
      <c r="J86" s="104" cm="1">
        <f t="array" ref="J86">SUM(SUMIFS('caseload data'!K:K,'caseload data'!$D:$D,"TPO",'caseload data'!$A:$A,"London",'caseload data'!$B:$B,{"licence","community"}))</f>
        <v>0</v>
      </c>
      <c r="K86" s="104" cm="1">
        <f t="array" ref="K86">SUM(SUMIFS('caseload data'!L:L,'caseload data'!$D:$D,"TPO",'caseload data'!$A:$A,"London",'caseload data'!$B:$B,{"licence","community"}))</f>
        <v>0</v>
      </c>
      <c r="L86" s="104" cm="1">
        <f t="array" ref="L86">SUM(SUMIFS('caseload data'!M:M,'caseload data'!$D:$D,"TPO",'caseload data'!$A:$A,"London",'caseload data'!$B:$B,{"licence","community"}))</f>
        <v>0</v>
      </c>
      <c r="M86" s="104" cm="1">
        <f t="array" ref="M86">SUM(SUMIFS('caseload data'!N:N,'caseload data'!$D:$D,"TPO",'caseload data'!$A:$A,"London",'caseload data'!$B:$B,{"licence","community"}))</f>
        <v>0</v>
      </c>
      <c r="N86" s="104" cm="1">
        <f t="array" ref="N86">SUM(SUMIFS('caseload data'!O:O,'caseload data'!$D:$D,"TPO",'caseload data'!$A:$A,"London",'caseload data'!$B:$B,{"licence","community"}))</f>
        <v>0</v>
      </c>
      <c r="O86" s="104" cm="1">
        <f t="array" ref="O86">SUM(SUMIFS('caseload data'!P:P,'caseload data'!$D:$D,"TPO",'caseload data'!$A:$A,"London",'caseload data'!$B:$B,{"licence","community"}))</f>
        <v>0</v>
      </c>
      <c r="P86" s="104" cm="1">
        <f t="array" ref="P86">SUM(SUMIFS('caseload data'!Q:Q,'caseload data'!$D:$D,"TPO",'caseload data'!$A:$A,"London",'caseload data'!$B:$B,{"licence","community"}))</f>
        <v>0</v>
      </c>
      <c r="Q86" s="104" cm="1">
        <f t="array" ref="Q86">SUM(SUMIFS('caseload data'!R:R,'caseload data'!$D:$D,"TPO",'caseload data'!$A:$A,"London",'caseload data'!$B:$B,{"licence","community"}))</f>
        <v>0</v>
      </c>
      <c r="R86" s="104" cm="1">
        <f t="array" ref="R86">SUM(SUMIFS('caseload data'!S:S,'caseload data'!$D:$D,"TPO",'caseload data'!$A:$A,"London",'caseload data'!$B:$B,{"licence","community"}))</f>
        <v>0</v>
      </c>
      <c r="S86" s="104" cm="1">
        <f t="array" ref="S86">SUM(SUMIFS('caseload data'!T:T,'caseload data'!$D:$D,"TPO",'caseload data'!$A:$A,"London",'caseload data'!$B:$B,{"licence","community"}))</f>
        <v>0</v>
      </c>
      <c r="T86" s="104" cm="1">
        <f t="array" ref="T86">SUM(SUMIFS('caseload data'!V:V,'caseload data'!D:D,"TPO",'caseload data'!A:A,"London",'caseload data'!B:B,{"licence","community"}))</f>
        <v>0</v>
      </c>
      <c r="U86" s="73"/>
      <c r="V86" s="73"/>
      <c r="W86" s="341"/>
      <c r="X86" s="139" t="s">
        <v>913</v>
      </c>
      <c r="Y86" s="181" t="e">
        <f t="shared" si="13"/>
        <v>#DIV/0!</v>
      </c>
      <c r="Z86" s="181" t="e">
        <f t="shared" si="16"/>
        <v>#DIV/0!</v>
      </c>
      <c r="AA86" s="181" t="e">
        <f t="shared" si="16"/>
        <v>#DIV/0!</v>
      </c>
      <c r="AB86" s="181" t="e">
        <f t="shared" si="16"/>
        <v>#DIV/0!</v>
      </c>
      <c r="AC86" s="181" t="e">
        <f t="shared" si="15"/>
        <v>#DIV/0!</v>
      </c>
      <c r="AD86" s="181" t="e">
        <f t="shared" si="15"/>
        <v>#DIV/0!</v>
      </c>
      <c r="AE86" s="181" t="e">
        <f t="shared" si="15"/>
        <v>#DIV/0!</v>
      </c>
      <c r="AF86" s="181" t="e">
        <f t="shared" si="15"/>
        <v>#DIV/0!</v>
      </c>
      <c r="AG86" s="181" t="e">
        <f t="shared" si="15"/>
        <v>#DIV/0!</v>
      </c>
      <c r="AH86" s="181" t="e">
        <f t="shared" si="15"/>
        <v>#DIV/0!</v>
      </c>
      <c r="AI86" s="181" t="e">
        <f t="shared" si="15"/>
        <v>#DIV/0!</v>
      </c>
      <c r="AJ86" s="181" t="e">
        <f t="shared" si="15"/>
        <v>#DIV/0!</v>
      </c>
      <c r="AK86" s="181" t="e">
        <f t="shared" si="15"/>
        <v>#DIV/0!</v>
      </c>
      <c r="AL86" s="181" t="e">
        <f t="shared" si="15"/>
        <v>#DIV/0!</v>
      </c>
      <c r="AM86" s="181" t="e">
        <f t="shared" si="15"/>
        <v>#DIV/0!</v>
      </c>
      <c r="AN86" s="181" t="e">
        <f t="shared" si="15"/>
        <v>#DIV/0!</v>
      </c>
    </row>
    <row r="87" spans="2:40" x14ac:dyDescent="0.15">
      <c r="B87" s="342"/>
      <c r="C87" s="140" t="s">
        <v>914</v>
      </c>
      <c r="D87" s="104" cm="1">
        <f t="array" ref="D87">SUM(SUMIFS('caseload data'!E:E,'caseload data'!$D:$D,"SPO",'caseload data'!$A:$A,"London",'caseload data'!$B:$B,{"licence","community"}))</f>
        <v>0</v>
      </c>
      <c r="E87" s="104" cm="1">
        <f t="array" ref="E87">SUM(SUMIFS('caseload data'!F:F,'caseload data'!$D:$D,"SPO",'caseload data'!$A:$A,"London",'caseload data'!$B:$B,{"licence","community"}))</f>
        <v>0</v>
      </c>
      <c r="F87" s="104" cm="1">
        <f t="array" ref="F87">SUM(SUMIFS('caseload data'!G:G,'caseload data'!$D:$D,"SPO",'caseload data'!$A:$A,"London",'caseload data'!$B:$B,{"licence","community"}))</f>
        <v>0</v>
      </c>
      <c r="G87" s="104" cm="1">
        <f t="array" ref="G87">SUM(SUMIFS('caseload data'!H:H,'caseload data'!$D:$D,"SPO",'caseload data'!$A:$A,"London",'caseload data'!$B:$B,{"licence","community"}))</f>
        <v>0</v>
      </c>
      <c r="H87" s="104" cm="1">
        <f t="array" ref="H87">SUM(SUMIFS('caseload data'!I:I,'caseload data'!$D:$D,"SPO",'caseload data'!$A:$A,"London",'caseload data'!$B:$B,{"licence","community"}))</f>
        <v>0</v>
      </c>
      <c r="I87" s="104" cm="1">
        <f t="array" ref="I87">SUM(SUMIFS('caseload data'!J:J,'caseload data'!$D:$D,"SPO",'caseload data'!$A:$A,"London",'caseload data'!$B:$B,{"licence","community"}))</f>
        <v>0</v>
      </c>
      <c r="J87" s="104" cm="1">
        <f t="array" ref="J87">SUM(SUMIFS('caseload data'!K:K,'caseload data'!$D:$D,"SPO",'caseload data'!$A:$A,"London",'caseload data'!$B:$B,{"licence","community"}))</f>
        <v>0</v>
      </c>
      <c r="K87" s="104" cm="1">
        <f t="array" ref="K87">SUM(SUMIFS('caseload data'!L:L,'caseload data'!$D:$D,"SPO",'caseload data'!$A:$A,"London",'caseload data'!$B:$B,{"licence","community"}))</f>
        <v>0</v>
      </c>
      <c r="L87" s="104" cm="1">
        <f t="array" ref="L87">SUM(SUMIFS('caseload data'!M:M,'caseload data'!$D:$D,"SPO",'caseload data'!$A:$A,"London",'caseload data'!$B:$B,{"licence","community"}))</f>
        <v>0</v>
      </c>
      <c r="M87" s="104" cm="1">
        <f t="array" ref="M87">SUM(SUMIFS('caseload data'!N:N,'caseload data'!$D:$D,"SPO",'caseload data'!$A:$A,"London",'caseload data'!$B:$B,{"licence","community"}))</f>
        <v>0</v>
      </c>
      <c r="N87" s="104" cm="1">
        <f t="array" ref="N87">SUM(SUMIFS('caseload data'!O:O,'caseload data'!$D:$D,"SPO",'caseload data'!$A:$A,"London",'caseload data'!$B:$B,{"licence","community"}))</f>
        <v>0</v>
      </c>
      <c r="O87" s="104" cm="1">
        <f t="array" ref="O87">SUM(SUMIFS('caseload data'!P:P,'caseload data'!$D:$D,"SPO",'caseload data'!$A:$A,"London",'caseload data'!$B:$B,{"licence","community"}))</f>
        <v>0</v>
      </c>
      <c r="P87" s="104" cm="1">
        <f t="array" ref="P87">SUM(SUMIFS('caseload data'!Q:Q,'caseload data'!$D:$D,"SPO",'caseload data'!$A:$A,"London",'caseload data'!$B:$B,{"licence","community"}))</f>
        <v>0</v>
      </c>
      <c r="Q87" s="104" cm="1">
        <f t="array" ref="Q87">SUM(SUMIFS('caseload data'!R:R,'caseload data'!$D:$D,"SPO",'caseload data'!$A:$A,"London",'caseload data'!$B:$B,{"licence","community"}))</f>
        <v>0</v>
      </c>
      <c r="R87" s="104" cm="1">
        <f t="array" ref="R87">SUM(SUMIFS('caseload data'!S:S,'caseload data'!$D:$D,"SPO",'caseload data'!$A:$A,"London",'caseload data'!$B:$B,{"licence","community"}))</f>
        <v>0</v>
      </c>
      <c r="S87" s="104" cm="1">
        <f t="array" ref="S87">SUM(SUMIFS('caseload data'!T:T,'caseload data'!$D:$D,"SPO",'caseload data'!$A:$A,"London",'caseload data'!$B:$B,{"licence","community"}))</f>
        <v>0</v>
      </c>
      <c r="T87" s="104" cm="1">
        <f t="array" ref="T87">SUM(SUMIFS('caseload data'!V:V,'caseload data'!$D:$D,"SPO",'caseload data'!$A:$A,"London",'caseload data'!$B:$B,{"licence","community"}))</f>
        <v>0</v>
      </c>
      <c r="U87" s="73"/>
      <c r="V87" s="73"/>
      <c r="W87" s="342"/>
      <c r="X87" s="140" t="s">
        <v>914</v>
      </c>
      <c r="Y87" s="181" t="e">
        <f t="shared" si="13"/>
        <v>#DIV/0!</v>
      </c>
      <c r="Z87" s="181" t="e">
        <f t="shared" si="16"/>
        <v>#DIV/0!</v>
      </c>
      <c r="AA87" s="181" t="e">
        <f t="shared" si="16"/>
        <v>#DIV/0!</v>
      </c>
      <c r="AB87" s="181" t="e">
        <f t="shared" si="16"/>
        <v>#DIV/0!</v>
      </c>
      <c r="AC87" s="181" t="e">
        <f t="shared" si="15"/>
        <v>#DIV/0!</v>
      </c>
      <c r="AD87" s="181" t="e">
        <f t="shared" si="15"/>
        <v>#DIV/0!</v>
      </c>
      <c r="AE87" s="181" t="e">
        <f t="shared" si="15"/>
        <v>#DIV/0!</v>
      </c>
      <c r="AF87" s="181" t="e">
        <f t="shared" si="15"/>
        <v>#DIV/0!</v>
      </c>
      <c r="AG87" s="181" t="e">
        <f t="shared" si="15"/>
        <v>#DIV/0!</v>
      </c>
      <c r="AH87" s="181" t="e">
        <f t="shared" si="15"/>
        <v>#DIV/0!</v>
      </c>
      <c r="AI87" s="181" t="e">
        <f t="shared" si="15"/>
        <v>#DIV/0!</v>
      </c>
      <c r="AJ87" s="181" t="e">
        <f t="shared" si="15"/>
        <v>#DIV/0!</v>
      </c>
      <c r="AK87" s="181" t="e">
        <f t="shared" si="15"/>
        <v>#DIV/0!</v>
      </c>
      <c r="AL87" s="181" t="e">
        <f t="shared" si="15"/>
        <v>#DIV/0!</v>
      </c>
      <c r="AM87" s="181" t="e">
        <f t="shared" si="15"/>
        <v>#DIV/0!</v>
      </c>
      <c r="AN87" s="181" t="e">
        <f t="shared" si="15"/>
        <v>#DIV/0!</v>
      </c>
    </row>
    <row r="88" spans="2:40" x14ac:dyDescent="0.15">
      <c r="B88" s="337" t="s">
        <v>25</v>
      </c>
      <c r="C88" s="138" t="s">
        <v>911</v>
      </c>
      <c r="D88" s="104" cm="1">
        <f t="array" ref="D88">SUM(SUMIFS('caseload data'!E:E,'caseload data'!$D:$D,"PO",'caseload data'!$A:$A,$B$88,'caseload data'!$B:$B,{"licence","community"}))</f>
        <v>0</v>
      </c>
      <c r="E88" s="104" cm="1">
        <f t="array" ref="E88">SUM(SUMIFS('caseload data'!F:F,'caseload data'!$D:$D,"PO",'caseload data'!$A:$A,$B$88,'caseload data'!$B:$B,{"licence","community"}))</f>
        <v>0</v>
      </c>
      <c r="F88" s="104" cm="1">
        <f t="array" ref="F88">SUM(SUMIFS('caseload data'!G:G,'caseload data'!$D:$D,"PO",'caseload data'!$A:$A,$B$88,'caseload data'!$B:$B,{"licence","community"}))</f>
        <v>0</v>
      </c>
      <c r="G88" s="104" cm="1">
        <f t="array" ref="G88">SUM(SUMIFS('caseload data'!H:H,'caseload data'!$D:$D,"PO",'caseload data'!$A:$A,$B$88,'caseload data'!$B:$B,{"licence","community"}))</f>
        <v>0</v>
      </c>
      <c r="H88" s="104" cm="1">
        <f t="array" ref="H88">SUM(SUMIFS('caseload data'!I:I,'caseload data'!$D:$D,"PO",'caseload data'!$A:$A,$B$88,'caseload data'!$B:$B,{"licence","community"}))</f>
        <v>0</v>
      </c>
      <c r="I88" s="104" cm="1">
        <f t="array" ref="I88">SUM(SUMIFS('caseload data'!J:J,'caseload data'!$D:$D,"PO",'caseload data'!$A:$A,$B$88,'caseload data'!$B:$B,{"licence","community"}))</f>
        <v>0</v>
      </c>
      <c r="J88" s="104" cm="1">
        <f t="array" ref="J88">SUM(SUMIFS('caseload data'!K:K,'caseload data'!$D:$D,"PO",'caseload data'!$A:$A,$B$88,'caseload data'!$B:$B,{"licence","community"}))</f>
        <v>0</v>
      </c>
      <c r="K88" s="104" cm="1">
        <f t="array" ref="K88">SUM(SUMIFS('caseload data'!L:L,'caseload data'!$D:$D,"PO",'caseload data'!$A:$A,$B$88,'caseload data'!$B:$B,{"licence","community"}))</f>
        <v>0</v>
      </c>
      <c r="L88" s="104" cm="1">
        <f t="array" ref="L88">SUM(SUMIFS('caseload data'!M:M,'caseload data'!$D:$D,"PO",'caseload data'!$A:$A,$B$88,'caseload data'!$B:$B,{"licence","community"}))</f>
        <v>0</v>
      </c>
      <c r="M88" s="104" cm="1">
        <f t="array" ref="M88">SUM(SUMIFS('caseload data'!N:N,'caseload data'!$D:$D,"PO",'caseload data'!$A:$A,$B$88,'caseload data'!$B:$B,{"licence","community"}))</f>
        <v>0</v>
      </c>
      <c r="N88" s="104" cm="1">
        <f t="array" ref="N88">SUM(SUMIFS('caseload data'!O:O,'caseload data'!$D:$D,"PO",'caseload data'!$A:$A,$B$88,'caseload data'!$B:$B,{"licence","community"}))</f>
        <v>0</v>
      </c>
      <c r="O88" s="104" cm="1">
        <f t="array" ref="O88">SUM(SUMIFS('caseload data'!P:P,'caseload data'!$D:$D,"PO",'caseload data'!$A:$A,$B$88,'caseload data'!$B:$B,{"licence","community"}))</f>
        <v>0</v>
      </c>
      <c r="P88" s="104" cm="1">
        <f t="array" ref="P88">SUM(SUMIFS('caseload data'!Q:Q,'caseload data'!$D:$D,"PO",'caseload data'!$A:$A,$B$88,'caseload data'!$B:$B,{"licence","community"}))</f>
        <v>0</v>
      </c>
      <c r="Q88" s="104" cm="1">
        <f t="array" ref="Q88">SUM(SUMIFS('caseload data'!R:R,'caseload data'!$D:$D,"PO",'caseload data'!$A:$A,$B$88,'caseload data'!$B:$B,{"licence","community"}))</f>
        <v>0</v>
      </c>
      <c r="R88" s="104" cm="1">
        <f t="array" ref="R88">SUM(SUMIFS('caseload data'!S:S,'caseload data'!$D:$D,"PO",'caseload data'!$A:$A,$B$88,'caseload data'!$B:$B,{"licence","community"}))</f>
        <v>0</v>
      </c>
      <c r="S88" s="104" cm="1">
        <f t="array" ref="S88">SUM(SUMIFS('caseload data'!T:T,'caseload data'!$D:$D,"PO",'caseload data'!$A:$A,$B$88,'caseload data'!$B:$B,{"licence","community"}))</f>
        <v>0</v>
      </c>
      <c r="T88" s="104">
        <f>SUM(SUMIFS('caseload data'!V:V,'caseload data'!D:D,"PO",'caseload data'!A:A,B88,'caseload data'!B:B,{"licence","community"}))</f>
        <v>0</v>
      </c>
      <c r="U88" s="73"/>
      <c r="V88" s="73"/>
      <c r="W88" s="337" t="s">
        <v>25</v>
      </c>
      <c r="X88" s="138" t="s">
        <v>911</v>
      </c>
      <c r="Y88" s="181" t="e">
        <f>SUM(D88)/SUM(D$88:D$91)</f>
        <v>#DIV/0!</v>
      </c>
      <c r="Z88" s="181" t="e">
        <f t="shared" ref="Z88:AN91" si="17">SUM(E88)/SUM(E$88:E$91)</f>
        <v>#DIV/0!</v>
      </c>
      <c r="AA88" s="181" t="e">
        <f t="shared" si="17"/>
        <v>#DIV/0!</v>
      </c>
      <c r="AB88" s="181" t="e">
        <f t="shared" si="17"/>
        <v>#DIV/0!</v>
      </c>
      <c r="AC88" s="181" t="e">
        <f t="shared" si="17"/>
        <v>#DIV/0!</v>
      </c>
      <c r="AD88" s="181" t="e">
        <f t="shared" si="17"/>
        <v>#DIV/0!</v>
      </c>
      <c r="AE88" s="181" t="e">
        <f t="shared" si="17"/>
        <v>#DIV/0!</v>
      </c>
      <c r="AF88" s="181" t="e">
        <f t="shared" si="17"/>
        <v>#DIV/0!</v>
      </c>
      <c r="AG88" s="181" t="e">
        <f t="shared" si="17"/>
        <v>#DIV/0!</v>
      </c>
      <c r="AH88" s="181" t="e">
        <f t="shared" si="17"/>
        <v>#DIV/0!</v>
      </c>
      <c r="AI88" s="181" t="e">
        <f t="shared" si="17"/>
        <v>#DIV/0!</v>
      </c>
      <c r="AJ88" s="181" t="e">
        <f t="shared" si="17"/>
        <v>#DIV/0!</v>
      </c>
      <c r="AK88" s="181" t="e">
        <f t="shared" si="17"/>
        <v>#DIV/0!</v>
      </c>
      <c r="AL88" s="181" t="e">
        <f t="shared" si="17"/>
        <v>#DIV/0!</v>
      </c>
      <c r="AM88" s="181" t="e">
        <f t="shared" si="17"/>
        <v>#DIV/0!</v>
      </c>
      <c r="AN88" s="181" t="e">
        <f t="shared" si="17"/>
        <v>#DIV/0!</v>
      </c>
    </row>
    <row r="89" spans="2:40" x14ac:dyDescent="0.15">
      <c r="B89" s="338"/>
      <c r="C89" s="139" t="s">
        <v>912</v>
      </c>
      <c r="D89" s="104" cm="1">
        <f t="array" ref="D89">SUM(SUMIFS('caseload data'!E:E,'caseload data'!$D:$D,"PSO",'caseload data'!$A:$A,"North East Region",'caseload data'!$B:$B,{"licence","community"}))</f>
        <v>0</v>
      </c>
      <c r="E89" s="104" cm="1">
        <f t="array" ref="E89">SUM(SUMIFS('caseload data'!F:F,'caseload data'!$D:$D,"PSO",'caseload data'!$A:$A,"North East Region",'caseload data'!$B:$B,{"licence","community"}))</f>
        <v>0</v>
      </c>
      <c r="F89" s="104" cm="1">
        <f t="array" ref="F89">SUM(SUMIFS('caseload data'!G:G,'caseload data'!$D:$D,"PSO",'caseload data'!$A:$A,"North East Region",'caseload data'!$B:$B,{"licence","community"}))</f>
        <v>0</v>
      </c>
      <c r="G89" s="104" cm="1">
        <f t="array" ref="G89">SUM(SUMIFS('caseload data'!H:H,'caseload data'!$D:$D,"PSO",'caseload data'!$A:$A,"North East Region",'caseload data'!$B:$B,{"licence","community"}))</f>
        <v>0</v>
      </c>
      <c r="H89" s="104" cm="1">
        <f t="array" ref="H89">SUM(SUMIFS('caseload data'!I:I,'caseload data'!$D:$D,"PSO",'caseload data'!$A:$A,"North East Region",'caseload data'!$B:$B,{"licence","community"}))</f>
        <v>0</v>
      </c>
      <c r="I89" s="104" cm="1">
        <f t="array" ref="I89">SUM(SUMIFS('caseload data'!J:J,'caseload data'!$D:$D,"PSO",'caseload data'!$A:$A,"North East Region",'caseload data'!$B:$B,{"licence","community"}))</f>
        <v>0</v>
      </c>
      <c r="J89" s="104" cm="1">
        <f t="array" ref="J89">SUM(SUMIFS('caseload data'!K:K,'caseload data'!$D:$D,"PSO",'caseload data'!$A:$A,"North East Region",'caseload data'!$B:$B,{"licence","community"}))</f>
        <v>0</v>
      </c>
      <c r="K89" s="104" cm="1">
        <f t="array" ref="K89">SUM(SUMIFS('caseload data'!L:L,'caseload data'!$D:$D,"PSO",'caseload data'!$A:$A,"North East Region",'caseload data'!$B:$B,{"licence","community"}))</f>
        <v>0</v>
      </c>
      <c r="L89" s="104" cm="1">
        <f t="array" ref="L89">SUM(SUMIFS('caseload data'!M:M,'caseload data'!$D:$D,"PSO",'caseload data'!$A:$A,"North East Region",'caseload data'!$B:$B,{"licence","community"}))</f>
        <v>0</v>
      </c>
      <c r="M89" s="104" cm="1">
        <f t="array" ref="M89">SUM(SUMIFS('caseload data'!N:N,'caseload data'!$D:$D,"PSO",'caseload data'!$A:$A,"North East Region",'caseload data'!$B:$B,{"licence","community"}))</f>
        <v>0</v>
      </c>
      <c r="N89" s="104" cm="1">
        <f t="array" ref="N89">SUM(SUMIFS('caseload data'!O:O,'caseload data'!$D:$D,"PSO",'caseload data'!$A:$A,"North East Region",'caseload data'!$B:$B,{"licence","community"}))</f>
        <v>0</v>
      </c>
      <c r="O89" s="104" cm="1">
        <f t="array" ref="O89">SUM(SUMIFS('caseload data'!P:P,'caseload data'!$D:$D,"PSO",'caseload data'!$A:$A,"North East Region",'caseload data'!$B:$B,{"licence","community"}))</f>
        <v>0</v>
      </c>
      <c r="P89" s="104" cm="1">
        <f t="array" ref="P89">SUM(SUMIFS('caseload data'!Q:Q,'caseload data'!$D:$D,"PSO",'caseload data'!$A:$A,"North East Region",'caseload data'!$B:$B,{"licence","community"}))</f>
        <v>0</v>
      </c>
      <c r="Q89" s="104" cm="1">
        <f t="array" ref="Q89">SUM(SUMIFS('caseload data'!R:R,'caseload data'!$D:$D,"PSO",'caseload data'!$A:$A,"North East Region",'caseload data'!$B:$B,{"licence","community"}))</f>
        <v>0</v>
      </c>
      <c r="R89" s="104" cm="1">
        <f t="array" ref="R89">SUM(SUMIFS('caseload data'!S:S,'caseload data'!$D:$D,"PSO",'caseload data'!$A:$A,"North East Region",'caseload data'!$B:$B,{"licence","community"}))</f>
        <v>0</v>
      </c>
      <c r="S89" s="104" cm="1">
        <f t="array" ref="S89">SUM(SUMIFS('caseload data'!T:T,'caseload data'!$D:$D,"PSO",'caseload data'!$A:$A,"North East Region",'caseload data'!$B:$B,{"licence","community"}))</f>
        <v>0</v>
      </c>
      <c r="T89" s="104" cm="1">
        <f t="array" ref="T89">SUM(SUMIFS('caseload data'!V:V,'caseload data'!D:D,"PSO",'caseload data'!A:A,"North East Region",'caseload data'!B:B,{"licence","community"}))</f>
        <v>0</v>
      </c>
      <c r="U89" s="73"/>
      <c r="V89" s="73"/>
      <c r="W89" s="338"/>
      <c r="X89" s="139" t="s">
        <v>912</v>
      </c>
      <c r="Y89" s="181" t="e">
        <f>SUM(D89)/SUM(D$88:D$91)</f>
        <v>#DIV/0!</v>
      </c>
      <c r="Z89" s="181" t="e">
        <f t="shared" si="17"/>
        <v>#DIV/0!</v>
      </c>
      <c r="AA89" s="181" t="e">
        <f t="shared" si="17"/>
        <v>#DIV/0!</v>
      </c>
      <c r="AB89" s="181" t="e">
        <f t="shared" si="17"/>
        <v>#DIV/0!</v>
      </c>
      <c r="AC89" s="181" t="e">
        <f t="shared" si="17"/>
        <v>#DIV/0!</v>
      </c>
      <c r="AD89" s="181" t="e">
        <f t="shared" si="17"/>
        <v>#DIV/0!</v>
      </c>
      <c r="AE89" s="181" t="e">
        <f t="shared" si="17"/>
        <v>#DIV/0!</v>
      </c>
      <c r="AF89" s="181" t="e">
        <f t="shared" si="17"/>
        <v>#DIV/0!</v>
      </c>
      <c r="AG89" s="181" t="e">
        <f t="shared" si="17"/>
        <v>#DIV/0!</v>
      </c>
      <c r="AH89" s="181" t="e">
        <f t="shared" si="17"/>
        <v>#DIV/0!</v>
      </c>
      <c r="AI89" s="181" t="e">
        <f t="shared" si="17"/>
        <v>#DIV/0!</v>
      </c>
      <c r="AJ89" s="181" t="e">
        <f t="shared" si="17"/>
        <v>#DIV/0!</v>
      </c>
      <c r="AK89" s="181" t="e">
        <f t="shared" si="17"/>
        <v>#DIV/0!</v>
      </c>
      <c r="AL89" s="181" t="e">
        <f t="shared" si="17"/>
        <v>#DIV/0!</v>
      </c>
      <c r="AM89" s="181" t="e">
        <f t="shared" si="17"/>
        <v>#DIV/0!</v>
      </c>
      <c r="AN89" s="181" t="e">
        <f t="shared" si="17"/>
        <v>#DIV/0!</v>
      </c>
    </row>
    <row r="90" spans="2:40" x14ac:dyDescent="0.15">
      <c r="B90" s="338"/>
      <c r="C90" s="139" t="s">
        <v>913</v>
      </c>
      <c r="D90" s="104" cm="1">
        <f t="array" ref="D90">SUM(SUMIFS('caseload data'!E:E,'caseload data'!$D:$D,"TPO",'caseload data'!$A:$A,"North East Region",'caseload data'!$B:$B,{"licence","community"}))</f>
        <v>0</v>
      </c>
      <c r="E90" s="104" cm="1">
        <f t="array" ref="E90">SUM(SUMIFS('caseload data'!F:F,'caseload data'!$D:$D,"TPO",'caseload data'!$A:$A,"North East Region",'caseload data'!$B:$B,{"licence","community"}))</f>
        <v>0</v>
      </c>
      <c r="F90" s="104" cm="1">
        <f t="array" ref="F90">SUM(SUMIFS('caseload data'!G:G,'caseload data'!$D:$D,"TPO",'caseload data'!$A:$A,"North East Region",'caseload data'!$B:$B,{"licence","community"}))</f>
        <v>0</v>
      </c>
      <c r="G90" s="104" cm="1">
        <f t="array" ref="G90">SUM(SUMIFS('caseload data'!H:H,'caseload data'!$D:$D,"TPO",'caseload data'!$A:$A,"North East Region",'caseload data'!$B:$B,{"licence","community"}))</f>
        <v>0</v>
      </c>
      <c r="H90" s="104" cm="1">
        <f t="array" ref="H90">SUM(SUMIFS('caseload data'!I:I,'caseload data'!$D:$D,"TPO",'caseload data'!$A:$A,"North East Region",'caseload data'!$B:$B,{"licence","community"}))</f>
        <v>0</v>
      </c>
      <c r="I90" s="104" cm="1">
        <f t="array" ref="I90">SUM(SUMIFS('caseload data'!J:J,'caseload data'!$D:$D,"TPO",'caseload data'!$A:$A,"North East Region",'caseload data'!$B:$B,{"licence","community"}))</f>
        <v>0</v>
      </c>
      <c r="J90" s="104" cm="1">
        <f t="array" ref="J90">SUM(SUMIFS('caseload data'!K:K,'caseload data'!$D:$D,"TPO",'caseload data'!$A:$A,"North East Region",'caseload data'!$B:$B,{"licence","community"}))</f>
        <v>0</v>
      </c>
      <c r="K90" s="104" cm="1">
        <f t="array" ref="K90">SUM(SUMIFS('caseload data'!L:L,'caseload data'!$D:$D,"TPO",'caseload data'!$A:$A,"North East Region",'caseload data'!$B:$B,{"licence","community"}))</f>
        <v>0</v>
      </c>
      <c r="L90" s="104" cm="1">
        <f t="array" ref="L90">SUM(SUMIFS('caseload data'!M:M,'caseload data'!$D:$D,"TPO",'caseload data'!$A:$A,"North East Region",'caseload data'!$B:$B,{"licence","community"}))</f>
        <v>0</v>
      </c>
      <c r="M90" s="104" cm="1">
        <f t="array" ref="M90">SUM(SUMIFS('caseload data'!N:N,'caseload data'!$D:$D,"TPO",'caseload data'!$A:$A,"North East Region",'caseload data'!$B:$B,{"licence","community"}))</f>
        <v>0</v>
      </c>
      <c r="N90" s="104" cm="1">
        <f t="array" ref="N90">SUM(SUMIFS('caseload data'!O:O,'caseload data'!$D:$D,"TPO",'caseload data'!$A:$A,"North East Region",'caseload data'!$B:$B,{"licence","community"}))</f>
        <v>0</v>
      </c>
      <c r="O90" s="104" cm="1">
        <f t="array" ref="O90">SUM(SUMIFS('caseload data'!P:P,'caseload data'!$D:$D,"TPO",'caseload data'!$A:$A,"North East Region",'caseload data'!$B:$B,{"licence","community"}))</f>
        <v>0</v>
      </c>
      <c r="P90" s="104" cm="1">
        <f t="array" ref="P90">SUM(SUMIFS('caseload data'!Q:Q,'caseload data'!$D:$D,"TPO",'caseload data'!$A:$A,"North East Region",'caseload data'!$B:$B,{"licence","community"}))</f>
        <v>0</v>
      </c>
      <c r="Q90" s="104" cm="1">
        <f t="array" ref="Q90">SUM(SUMIFS('caseload data'!R:R,'caseload data'!$D:$D,"TPO",'caseload data'!$A:$A,"North East Region",'caseload data'!$B:$B,{"licence","community"}))</f>
        <v>0</v>
      </c>
      <c r="R90" s="104" cm="1">
        <f t="array" ref="R90">SUM(SUMIFS('caseload data'!S:S,'caseload data'!$D:$D,"TPO",'caseload data'!$A:$A,"North East Region",'caseload data'!$B:$B,{"licence","community"}))</f>
        <v>0</v>
      </c>
      <c r="S90" s="104" cm="1">
        <f t="array" ref="S90">SUM(SUMIFS('caseload data'!T:T,'caseload data'!$D:$D,"TPO",'caseload data'!$A:$A,"North East Region",'caseload data'!$B:$B,{"licence","community"}))</f>
        <v>0</v>
      </c>
      <c r="T90" s="104" cm="1">
        <f t="array" ref="T90">SUM(SUMIFS('caseload data'!V:V,'caseload data'!D:D,"TPO",'caseload data'!A:A,"North East Region",'caseload data'!B:B,{"licence","community"}))</f>
        <v>0</v>
      </c>
      <c r="U90" s="73"/>
      <c r="V90" s="73"/>
      <c r="W90" s="338"/>
      <c r="X90" s="139" t="s">
        <v>913</v>
      </c>
      <c r="Y90" s="181" t="e">
        <f>SUM(D90)/SUM(D$88:D$91)</f>
        <v>#DIV/0!</v>
      </c>
      <c r="Z90" s="181" t="e">
        <f t="shared" si="17"/>
        <v>#DIV/0!</v>
      </c>
      <c r="AA90" s="181" t="e">
        <f t="shared" si="17"/>
        <v>#DIV/0!</v>
      </c>
      <c r="AB90" s="181" t="e">
        <f t="shared" si="17"/>
        <v>#DIV/0!</v>
      </c>
      <c r="AC90" s="181" t="e">
        <f t="shared" si="17"/>
        <v>#DIV/0!</v>
      </c>
      <c r="AD90" s="181" t="e">
        <f t="shared" si="17"/>
        <v>#DIV/0!</v>
      </c>
      <c r="AE90" s="181" t="e">
        <f t="shared" si="17"/>
        <v>#DIV/0!</v>
      </c>
      <c r="AF90" s="181" t="e">
        <f t="shared" si="17"/>
        <v>#DIV/0!</v>
      </c>
      <c r="AG90" s="181" t="e">
        <f t="shared" si="17"/>
        <v>#DIV/0!</v>
      </c>
      <c r="AH90" s="181" t="e">
        <f t="shared" si="17"/>
        <v>#DIV/0!</v>
      </c>
      <c r="AI90" s="181" t="e">
        <f t="shared" si="17"/>
        <v>#DIV/0!</v>
      </c>
      <c r="AJ90" s="181" t="e">
        <f t="shared" si="17"/>
        <v>#DIV/0!</v>
      </c>
      <c r="AK90" s="181" t="e">
        <f t="shared" si="17"/>
        <v>#DIV/0!</v>
      </c>
      <c r="AL90" s="181" t="e">
        <f t="shared" si="17"/>
        <v>#DIV/0!</v>
      </c>
      <c r="AM90" s="181" t="e">
        <f t="shared" si="17"/>
        <v>#DIV/0!</v>
      </c>
      <c r="AN90" s="181" t="e">
        <f t="shared" si="17"/>
        <v>#DIV/0!</v>
      </c>
    </row>
    <row r="91" spans="2:40" x14ac:dyDescent="0.15">
      <c r="B91" s="339"/>
      <c r="C91" s="140" t="s">
        <v>914</v>
      </c>
      <c r="D91" s="104" cm="1">
        <f t="array" ref="D91">SUM(SUMIFS('caseload data'!E:E,'caseload data'!$D:$D,"SPO",'caseload data'!$A:$A,"North East Region",'caseload data'!$B:$B,{"licence","community"}))</f>
        <v>0</v>
      </c>
      <c r="E91" s="104" cm="1">
        <f t="array" ref="E91">SUM(SUMIFS('caseload data'!F:F,'caseload data'!$D:$D,"SPO",'caseload data'!$A:$A,"North East Region",'caseload data'!$B:$B,{"licence","community"}))</f>
        <v>0</v>
      </c>
      <c r="F91" s="104" cm="1">
        <f t="array" ref="F91">SUM(SUMIFS('caseload data'!G:G,'caseload data'!$D:$D,"SPO",'caseload data'!$A:$A,"North East Region",'caseload data'!$B:$B,{"licence","community"}))</f>
        <v>0</v>
      </c>
      <c r="G91" s="104" cm="1">
        <f t="array" ref="G91">SUM(SUMIFS('caseload data'!H:H,'caseload data'!$D:$D,"SPO",'caseload data'!$A:$A,"North East Region",'caseload data'!$B:$B,{"licence","community"}))</f>
        <v>0</v>
      </c>
      <c r="H91" s="104" cm="1">
        <f t="array" ref="H91">SUM(SUMIFS('caseload data'!I:I,'caseload data'!$D:$D,"SPO",'caseload data'!$A:$A,"North East Region",'caseload data'!$B:$B,{"licence","community"}))</f>
        <v>0</v>
      </c>
      <c r="I91" s="104" cm="1">
        <f t="array" ref="I91">SUM(SUMIFS('caseload data'!J:J,'caseload data'!$D:$D,"SPO",'caseload data'!$A:$A,"North East Region",'caseload data'!$B:$B,{"licence","community"}))</f>
        <v>0</v>
      </c>
      <c r="J91" s="104" cm="1">
        <f t="array" ref="J91">SUM(SUMIFS('caseload data'!K:K,'caseload data'!$D:$D,"SPO",'caseload data'!$A:$A,"North East Region",'caseload data'!$B:$B,{"licence","community"}))</f>
        <v>0</v>
      </c>
      <c r="K91" s="104" cm="1">
        <f t="array" ref="K91">SUM(SUMIFS('caseload data'!L:L,'caseload data'!$D:$D,"SPO",'caseload data'!$A:$A,"North East Region",'caseload data'!$B:$B,{"licence","community"}))</f>
        <v>0</v>
      </c>
      <c r="L91" s="104" cm="1">
        <f t="array" ref="L91">SUM(SUMIFS('caseload data'!M:M,'caseload data'!$D:$D,"SPO",'caseload data'!$A:$A,"North East Region",'caseload data'!$B:$B,{"licence","community"}))</f>
        <v>0</v>
      </c>
      <c r="M91" s="104" cm="1">
        <f t="array" ref="M91">SUM(SUMIFS('caseload data'!N:N,'caseload data'!$D:$D,"SPO",'caseload data'!$A:$A,"North East Region",'caseload data'!$B:$B,{"licence","community"}))</f>
        <v>0</v>
      </c>
      <c r="N91" s="104" cm="1">
        <f t="array" ref="N91">SUM(SUMIFS('caseload data'!O:O,'caseload data'!$D:$D,"SPO",'caseload data'!$A:$A,"North East Region",'caseload data'!$B:$B,{"licence","community"}))</f>
        <v>0</v>
      </c>
      <c r="O91" s="104" cm="1">
        <f t="array" ref="O91">SUM(SUMIFS('caseload data'!P:P,'caseload data'!$D:$D,"SPO",'caseload data'!$A:$A,"North East Region",'caseload data'!$B:$B,{"licence","community"}))</f>
        <v>0</v>
      </c>
      <c r="P91" s="104" cm="1">
        <f t="array" ref="P91">SUM(SUMIFS('caseload data'!Q:Q,'caseload data'!$D:$D,"SPO",'caseload data'!$A:$A,"North East Region",'caseload data'!$B:$B,{"licence","community"}))</f>
        <v>0</v>
      </c>
      <c r="Q91" s="104" cm="1">
        <f t="array" ref="Q91">SUM(SUMIFS('caseload data'!R:R,'caseload data'!$D:$D,"SPO",'caseload data'!$A:$A,"North East Region",'caseload data'!$B:$B,{"licence","community"}))</f>
        <v>0</v>
      </c>
      <c r="R91" s="104" cm="1">
        <f t="array" ref="R91">SUM(SUMIFS('caseload data'!S:S,'caseload data'!$D:$D,"SPO",'caseload data'!$A:$A,"North East Region",'caseload data'!$B:$B,{"licence","community"}))</f>
        <v>0</v>
      </c>
      <c r="S91" s="104" cm="1">
        <f t="array" ref="S91">SUM(SUMIFS('caseload data'!T:T,'caseload data'!$D:$D,"SPO",'caseload data'!$A:$A,"North East Region",'caseload data'!$B:$B,{"licence","community"}))</f>
        <v>0</v>
      </c>
      <c r="T91" s="104" cm="1">
        <f t="array" ref="T91">SUM(SUMIFS('caseload data'!V:V,'caseload data'!$D:$D,"SPO",'caseload data'!$A:$A,"North East Region",'caseload data'!$B:$B,{"licence","community"}))</f>
        <v>0</v>
      </c>
      <c r="U91" s="73"/>
      <c r="V91" s="73"/>
      <c r="W91" s="339"/>
      <c r="X91" s="140" t="s">
        <v>914</v>
      </c>
      <c r="Y91" s="181" t="e">
        <f>SUM(D91)/SUM(D$88:D$91)</f>
        <v>#DIV/0!</v>
      </c>
      <c r="Z91" s="181" t="e">
        <f t="shared" si="17"/>
        <v>#DIV/0!</v>
      </c>
      <c r="AA91" s="181" t="e">
        <f t="shared" si="17"/>
        <v>#DIV/0!</v>
      </c>
      <c r="AB91" s="181" t="e">
        <f t="shared" si="17"/>
        <v>#DIV/0!</v>
      </c>
      <c r="AC91" s="181" t="e">
        <f t="shared" si="17"/>
        <v>#DIV/0!</v>
      </c>
      <c r="AD91" s="181" t="e">
        <f t="shared" si="17"/>
        <v>#DIV/0!</v>
      </c>
      <c r="AE91" s="181" t="e">
        <f t="shared" si="17"/>
        <v>#DIV/0!</v>
      </c>
      <c r="AF91" s="181" t="e">
        <f t="shared" si="17"/>
        <v>#DIV/0!</v>
      </c>
      <c r="AG91" s="181" t="e">
        <f t="shared" si="17"/>
        <v>#DIV/0!</v>
      </c>
      <c r="AH91" s="181" t="e">
        <f t="shared" si="17"/>
        <v>#DIV/0!</v>
      </c>
      <c r="AI91" s="181" t="e">
        <f t="shared" si="17"/>
        <v>#DIV/0!</v>
      </c>
      <c r="AJ91" s="181" t="e">
        <f t="shared" si="17"/>
        <v>#DIV/0!</v>
      </c>
      <c r="AK91" s="181" t="e">
        <f t="shared" si="17"/>
        <v>#DIV/0!</v>
      </c>
      <c r="AL91" s="181" t="e">
        <f t="shared" si="17"/>
        <v>#DIV/0!</v>
      </c>
      <c r="AM91" s="181" t="e">
        <f t="shared" si="17"/>
        <v>#DIV/0!</v>
      </c>
      <c r="AN91" s="181" t="e">
        <f t="shared" si="17"/>
        <v>#DIV/0!</v>
      </c>
    </row>
    <row r="92" spans="2:40" x14ac:dyDescent="0.15">
      <c r="B92" s="337" t="s">
        <v>26</v>
      </c>
      <c r="C92" s="138" t="s">
        <v>911</v>
      </c>
      <c r="D92" s="104" cm="1">
        <f t="array" ref="D92">SUM(SUMIFS('caseload data'!E:E,'caseload data'!$D:$D,"PO",'caseload data'!$A:$A,$B$92,'caseload data'!$B:$B,{"licence","community"}))</f>
        <v>0</v>
      </c>
      <c r="E92" s="104" cm="1">
        <f t="array" ref="E92">SUM(SUMIFS('caseload data'!F:F,'caseload data'!$D:$D,"PO",'caseload data'!$A:$A,$B$92,'caseload data'!$B:$B,{"licence","community"}))</f>
        <v>0</v>
      </c>
      <c r="F92" s="104" cm="1">
        <f t="array" ref="F92">SUM(SUMIFS('caseload data'!G:G,'caseload data'!$D:$D,"PO",'caseload data'!$A:$A,$B$92,'caseload data'!$B:$B,{"licence","community"}))</f>
        <v>0</v>
      </c>
      <c r="G92" s="104" cm="1">
        <f t="array" ref="G92">SUM(SUMIFS('caseload data'!H:H,'caseload data'!$D:$D,"PO",'caseload data'!$A:$A,$B$92,'caseload data'!$B:$B,{"licence","community"}))</f>
        <v>0</v>
      </c>
      <c r="H92" s="104" cm="1">
        <f t="array" ref="H92">SUM(SUMIFS('caseload data'!I:I,'caseload data'!$D:$D,"PO",'caseload data'!$A:$A,$B$92,'caseload data'!$B:$B,{"licence","community"}))</f>
        <v>0</v>
      </c>
      <c r="I92" s="104" cm="1">
        <f t="array" ref="I92">SUM(SUMIFS('caseload data'!J:J,'caseload data'!$D:$D,"PO",'caseload data'!$A:$A,$B$92,'caseload data'!$B:$B,{"licence","community"}))</f>
        <v>0</v>
      </c>
      <c r="J92" s="104" cm="1">
        <f t="array" ref="J92">SUM(SUMIFS('caseload data'!K:K,'caseload data'!$D:$D,"PO",'caseload data'!$A:$A,$B$92,'caseload data'!$B:$B,{"licence","community"}))</f>
        <v>0</v>
      </c>
      <c r="K92" s="104" cm="1">
        <f t="array" ref="K92">SUM(SUMIFS('caseload data'!L:L,'caseload data'!$D:$D,"PO",'caseload data'!$A:$A,$B$92,'caseload data'!$B:$B,{"licence","community"}))</f>
        <v>0</v>
      </c>
      <c r="L92" s="104" cm="1">
        <f t="array" ref="L92">SUM(SUMIFS('caseload data'!M:M,'caseload data'!$D:$D,"PO",'caseload data'!$A:$A,$B$92,'caseload data'!$B:$B,{"licence","community"}))</f>
        <v>0</v>
      </c>
      <c r="M92" s="104" cm="1">
        <f t="array" ref="M92">SUM(SUMIFS('caseload data'!N:N,'caseload data'!$D:$D,"PO",'caseload data'!$A:$A,$B$92,'caseload data'!$B:$B,{"licence","community"}))</f>
        <v>0</v>
      </c>
      <c r="N92" s="104" cm="1">
        <f t="array" ref="N92">SUM(SUMIFS('caseload data'!O:O,'caseload data'!$D:$D,"PO",'caseload data'!$A:$A,$B$92,'caseload data'!$B:$B,{"licence","community"}))</f>
        <v>0</v>
      </c>
      <c r="O92" s="104" cm="1">
        <f t="array" ref="O92">SUM(SUMIFS('caseload data'!P:P,'caseload data'!$D:$D,"PO",'caseload data'!$A:$A,$B$92,'caseload data'!$B:$B,{"licence","community"}))</f>
        <v>0</v>
      </c>
      <c r="P92" s="104" cm="1">
        <f t="array" ref="P92">SUM(SUMIFS('caseload data'!Q:Q,'caseload data'!$D:$D,"PO",'caseload data'!$A:$A,$B$92,'caseload data'!$B:$B,{"licence","community"}))</f>
        <v>0</v>
      </c>
      <c r="Q92" s="104" cm="1">
        <f t="array" ref="Q92">SUM(SUMIFS('caseload data'!R:R,'caseload data'!$D:$D,"PO",'caseload data'!$A:$A,$B$92,'caseload data'!$B:$B,{"licence","community"}))</f>
        <v>0</v>
      </c>
      <c r="R92" s="104" cm="1">
        <f t="array" ref="R92">SUM(SUMIFS('caseload data'!S:S,'caseload data'!$D:$D,"PO",'caseload data'!$A:$A,$B$92,'caseload data'!$B:$B,{"licence","community"}))</f>
        <v>0</v>
      </c>
      <c r="S92" s="104" cm="1">
        <f t="array" ref="S92">SUM(SUMIFS('caseload data'!T:T,'caseload data'!$D:$D,"PO",'caseload data'!$A:$A,$B$92,'caseload data'!$B:$B,{"licence","community"}))</f>
        <v>0</v>
      </c>
      <c r="T92" s="104">
        <f>SUM(SUMIFS('caseload data'!V:V,'caseload data'!D:D,"PO",'caseload data'!A:A,B92,'caseload data'!B:B,{"licence","community"}))</f>
        <v>0</v>
      </c>
      <c r="U92" s="73"/>
      <c r="V92" s="73"/>
      <c r="W92" s="337" t="s">
        <v>26</v>
      </c>
      <c r="X92" s="138" t="s">
        <v>911</v>
      </c>
      <c r="Y92" s="181" t="e">
        <f>SUM(D92)/SUM(D$92:D$95)</f>
        <v>#DIV/0!</v>
      </c>
      <c r="Z92" s="181" t="e">
        <f t="shared" ref="Z92:AN95" si="18">SUM(E92)/SUM(E$92:E$95)</f>
        <v>#DIV/0!</v>
      </c>
      <c r="AA92" s="181" t="e">
        <f t="shared" si="18"/>
        <v>#DIV/0!</v>
      </c>
      <c r="AB92" s="181" t="e">
        <f t="shared" si="18"/>
        <v>#DIV/0!</v>
      </c>
      <c r="AC92" s="181" t="e">
        <f t="shared" si="18"/>
        <v>#DIV/0!</v>
      </c>
      <c r="AD92" s="181" t="e">
        <f t="shared" si="18"/>
        <v>#DIV/0!</v>
      </c>
      <c r="AE92" s="181" t="e">
        <f t="shared" si="18"/>
        <v>#DIV/0!</v>
      </c>
      <c r="AF92" s="181" t="e">
        <f t="shared" si="18"/>
        <v>#DIV/0!</v>
      </c>
      <c r="AG92" s="181" t="e">
        <f t="shared" si="18"/>
        <v>#DIV/0!</v>
      </c>
      <c r="AH92" s="181" t="e">
        <f t="shared" si="18"/>
        <v>#DIV/0!</v>
      </c>
      <c r="AI92" s="181" t="e">
        <f t="shared" si="18"/>
        <v>#DIV/0!</v>
      </c>
      <c r="AJ92" s="181" t="e">
        <f t="shared" si="18"/>
        <v>#DIV/0!</v>
      </c>
      <c r="AK92" s="181" t="e">
        <f t="shared" si="18"/>
        <v>#DIV/0!</v>
      </c>
      <c r="AL92" s="181" t="e">
        <f t="shared" si="18"/>
        <v>#DIV/0!</v>
      </c>
      <c r="AM92" s="181" t="e">
        <f t="shared" si="18"/>
        <v>#DIV/0!</v>
      </c>
      <c r="AN92" s="181" t="e">
        <f t="shared" si="18"/>
        <v>#DIV/0!</v>
      </c>
    </row>
    <row r="93" spans="2:40" x14ac:dyDescent="0.15">
      <c r="B93" s="338"/>
      <c r="C93" s="139" t="s">
        <v>912</v>
      </c>
      <c r="D93" s="104" cm="1">
        <f t="array" ref="D93">SUM(SUMIFS('caseload data'!E:E,'caseload data'!$D:$D,"PSO",'caseload data'!$A:$A,"North West Region",'caseload data'!$B:$B,{"licence","community"}))</f>
        <v>0</v>
      </c>
      <c r="E93" s="104" cm="1">
        <f t="array" ref="E93">SUM(SUMIFS('caseload data'!F:F,'caseload data'!$D:$D,"PSO",'caseload data'!$A:$A,"North West Region",'caseload data'!$B:$B,{"licence","community"}))</f>
        <v>0</v>
      </c>
      <c r="F93" s="104" cm="1">
        <f t="array" ref="F93">SUM(SUMIFS('caseload data'!G:G,'caseload data'!$D:$D,"PSO",'caseload data'!$A:$A,"North West Region",'caseload data'!$B:$B,{"licence","community"}))</f>
        <v>0</v>
      </c>
      <c r="G93" s="104" cm="1">
        <f t="array" ref="G93">SUM(SUMIFS('caseload data'!H:H,'caseload data'!$D:$D,"PSO",'caseload data'!$A:$A,"North West Region",'caseload data'!$B:$B,{"licence","community"}))</f>
        <v>0</v>
      </c>
      <c r="H93" s="104" cm="1">
        <f t="array" ref="H93">SUM(SUMIFS('caseload data'!I:I,'caseload data'!$D:$D,"PSO",'caseload data'!$A:$A,"North West Region",'caseload data'!$B:$B,{"licence","community"}))</f>
        <v>0</v>
      </c>
      <c r="I93" s="104" cm="1">
        <f t="array" ref="I93">SUM(SUMIFS('caseload data'!J:J,'caseload data'!$D:$D,"PSO",'caseload data'!$A:$A,"North West Region",'caseload data'!$B:$B,{"licence","community"}))</f>
        <v>0</v>
      </c>
      <c r="J93" s="104" cm="1">
        <f t="array" ref="J93">SUM(SUMIFS('caseload data'!K:K,'caseload data'!$D:$D,"PSO",'caseload data'!$A:$A,"North West Region",'caseload data'!$B:$B,{"licence","community"}))</f>
        <v>0</v>
      </c>
      <c r="K93" s="104" cm="1">
        <f t="array" ref="K93">SUM(SUMIFS('caseload data'!L:L,'caseload data'!$D:$D,"PSO",'caseload data'!$A:$A,"North West Region",'caseload data'!$B:$B,{"licence","community"}))</f>
        <v>0</v>
      </c>
      <c r="L93" s="104" cm="1">
        <f t="array" ref="L93">SUM(SUMIFS('caseload data'!M:M,'caseload data'!$D:$D,"PSO",'caseload data'!$A:$A,"North West Region",'caseload data'!$B:$B,{"licence","community"}))</f>
        <v>0</v>
      </c>
      <c r="M93" s="104" cm="1">
        <f t="array" ref="M93">SUM(SUMIFS('caseload data'!N:N,'caseload data'!$D:$D,"PSO",'caseload data'!$A:$A,"North West Region",'caseload data'!$B:$B,{"licence","community"}))</f>
        <v>0</v>
      </c>
      <c r="N93" s="104" cm="1">
        <f t="array" ref="N93">SUM(SUMIFS('caseload data'!O:O,'caseload data'!$D:$D,"PSO",'caseload data'!$A:$A,"North West Region",'caseload data'!$B:$B,{"licence","community"}))</f>
        <v>0</v>
      </c>
      <c r="O93" s="104" cm="1">
        <f t="array" ref="O93">SUM(SUMIFS('caseload data'!P:P,'caseload data'!$D:$D,"PSO",'caseload data'!$A:$A,"North West Region",'caseload data'!$B:$B,{"licence","community"}))</f>
        <v>0</v>
      </c>
      <c r="P93" s="104" cm="1">
        <f t="array" ref="P93">SUM(SUMIFS('caseload data'!Q:Q,'caseload data'!$D:$D,"PSO",'caseload data'!$A:$A,"North West Region",'caseload data'!$B:$B,{"licence","community"}))</f>
        <v>0</v>
      </c>
      <c r="Q93" s="104" cm="1">
        <f t="array" ref="Q93">SUM(SUMIFS('caseload data'!R:R,'caseload data'!$D:$D,"PSO",'caseload data'!$A:$A,"North West Region",'caseload data'!$B:$B,{"licence","community"}))</f>
        <v>0</v>
      </c>
      <c r="R93" s="104" cm="1">
        <f t="array" ref="R93">SUM(SUMIFS('caseload data'!S:S,'caseload data'!$D:$D,"PSO",'caseload data'!$A:$A,"North West Region",'caseload data'!$B:$B,{"licence","community"}))</f>
        <v>0</v>
      </c>
      <c r="S93" s="104" cm="1">
        <f t="array" ref="S93">SUM(SUMIFS('caseload data'!T:T,'caseload data'!$D:$D,"PSO",'caseload data'!$A:$A,"North West Region",'caseload data'!$B:$B,{"licence","community"}))</f>
        <v>0</v>
      </c>
      <c r="T93" s="104" cm="1">
        <f t="array" ref="T93">SUM(SUMIFS('caseload data'!V:V,'caseload data'!D:D,"PSO",'caseload data'!A:A,"North West Region",'caseload data'!B:B,{"licence","community"}))</f>
        <v>0</v>
      </c>
      <c r="U93" s="73"/>
      <c r="V93" s="73"/>
      <c r="W93" s="338"/>
      <c r="X93" s="139" t="s">
        <v>912</v>
      </c>
      <c r="Y93" s="181" t="e">
        <f>SUM(D93)/SUM(D$92:D$95)</f>
        <v>#DIV/0!</v>
      </c>
      <c r="Z93" s="181" t="e">
        <f t="shared" si="18"/>
        <v>#DIV/0!</v>
      </c>
      <c r="AA93" s="181" t="e">
        <f t="shared" si="18"/>
        <v>#DIV/0!</v>
      </c>
      <c r="AB93" s="181" t="e">
        <f t="shared" si="18"/>
        <v>#DIV/0!</v>
      </c>
      <c r="AC93" s="181" t="e">
        <f t="shared" si="18"/>
        <v>#DIV/0!</v>
      </c>
      <c r="AD93" s="181" t="e">
        <f t="shared" si="18"/>
        <v>#DIV/0!</v>
      </c>
      <c r="AE93" s="181" t="e">
        <f t="shared" si="18"/>
        <v>#DIV/0!</v>
      </c>
      <c r="AF93" s="181" t="e">
        <f t="shared" si="18"/>
        <v>#DIV/0!</v>
      </c>
      <c r="AG93" s="181" t="e">
        <f t="shared" si="18"/>
        <v>#DIV/0!</v>
      </c>
      <c r="AH93" s="181" t="e">
        <f t="shared" si="18"/>
        <v>#DIV/0!</v>
      </c>
      <c r="AI93" s="181" t="e">
        <f t="shared" si="18"/>
        <v>#DIV/0!</v>
      </c>
      <c r="AJ93" s="181" t="e">
        <f t="shared" si="18"/>
        <v>#DIV/0!</v>
      </c>
      <c r="AK93" s="181" t="e">
        <f t="shared" si="18"/>
        <v>#DIV/0!</v>
      </c>
      <c r="AL93" s="181" t="e">
        <f t="shared" si="18"/>
        <v>#DIV/0!</v>
      </c>
      <c r="AM93" s="181" t="e">
        <f t="shared" si="18"/>
        <v>#DIV/0!</v>
      </c>
      <c r="AN93" s="181" t="e">
        <f t="shared" si="18"/>
        <v>#DIV/0!</v>
      </c>
    </row>
    <row r="94" spans="2:40" x14ac:dyDescent="0.15">
      <c r="B94" s="338"/>
      <c r="C94" s="139" t="s">
        <v>913</v>
      </c>
      <c r="D94" s="104" cm="1">
        <f t="array" ref="D94">SUM(SUMIFS('caseload data'!E:E,'caseload data'!$D:$D,"TPO",'caseload data'!$A:$A,"North West Region",'caseload data'!$B:$B,{"licence","community"}))</f>
        <v>0</v>
      </c>
      <c r="E94" s="104" cm="1">
        <f t="array" ref="E94">SUM(SUMIFS('caseload data'!F:F,'caseload data'!$D:$D,"TPO",'caseload data'!$A:$A,"North West Region",'caseload data'!$B:$B,{"licence","community"}))</f>
        <v>0</v>
      </c>
      <c r="F94" s="104" cm="1">
        <f t="array" ref="F94">SUM(SUMIFS('caseload data'!G:G,'caseload data'!$D:$D,"TPO",'caseload data'!$A:$A,"North West Region",'caseload data'!$B:$B,{"licence","community"}))</f>
        <v>0</v>
      </c>
      <c r="G94" s="104" cm="1">
        <f t="array" ref="G94">SUM(SUMIFS('caseload data'!H:H,'caseload data'!$D:$D,"TPO",'caseload data'!$A:$A,"North West Region",'caseload data'!$B:$B,{"licence","community"}))</f>
        <v>0</v>
      </c>
      <c r="H94" s="104" cm="1">
        <f t="array" ref="H94">SUM(SUMIFS('caseload data'!I:I,'caseload data'!$D:$D,"TPO",'caseload data'!$A:$A,"North West Region",'caseload data'!$B:$B,{"licence","community"}))</f>
        <v>0</v>
      </c>
      <c r="I94" s="104" cm="1">
        <f t="array" ref="I94">SUM(SUMIFS('caseload data'!J:J,'caseload data'!$D:$D,"TPO",'caseload data'!$A:$A,"North West Region",'caseload data'!$B:$B,{"licence","community"}))</f>
        <v>0</v>
      </c>
      <c r="J94" s="104" cm="1">
        <f t="array" ref="J94">SUM(SUMIFS('caseload data'!K:K,'caseload data'!$D:$D,"TPO",'caseload data'!$A:$A,"North West Region",'caseload data'!$B:$B,{"licence","community"}))</f>
        <v>0</v>
      </c>
      <c r="K94" s="104" cm="1">
        <f t="array" ref="K94">SUM(SUMIFS('caseload data'!L:L,'caseload data'!$D:$D,"TPO",'caseload data'!$A:$A,"North West Region",'caseload data'!$B:$B,{"licence","community"}))</f>
        <v>0</v>
      </c>
      <c r="L94" s="104" cm="1">
        <f t="array" ref="L94">SUM(SUMIFS('caseload data'!M:M,'caseload data'!$D:$D,"TPO",'caseload data'!$A:$A,"North West Region",'caseload data'!$B:$B,{"licence","community"}))</f>
        <v>0</v>
      </c>
      <c r="M94" s="104" cm="1">
        <f t="array" ref="M94">SUM(SUMIFS('caseload data'!N:N,'caseload data'!$D:$D,"TPO",'caseload data'!$A:$A,"North West Region",'caseload data'!$B:$B,{"licence","community"}))</f>
        <v>0</v>
      </c>
      <c r="N94" s="104" cm="1">
        <f t="array" ref="N94">SUM(SUMIFS('caseload data'!O:O,'caseload data'!$D:$D,"TPO",'caseload data'!$A:$A,"North West Region",'caseload data'!$B:$B,{"licence","community"}))</f>
        <v>0</v>
      </c>
      <c r="O94" s="104" cm="1">
        <f t="array" ref="O94">SUM(SUMIFS('caseload data'!P:P,'caseload data'!$D:$D,"TPO",'caseload data'!$A:$A,"North West Region",'caseload data'!$B:$B,{"licence","community"}))</f>
        <v>0</v>
      </c>
      <c r="P94" s="104" cm="1">
        <f t="array" ref="P94">SUM(SUMIFS('caseload data'!Q:Q,'caseload data'!$D:$D,"TPO",'caseload data'!$A:$A,"North West Region",'caseload data'!$B:$B,{"licence","community"}))</f>
        <v>0</v>
      </c>
      <c r="Q94" s="104" cm="1">
        <f t="array" ref="Q94">SUM(SUMIFS('caseload data'!R:R,'caseload data'!$D:$D,"TPO",'caseload data'!$A:$A,"North West Region",'caseload data'!$B:$B,{"licence","community"}))</f>
        <v>0</v>
      </c>
      <c r="R94" s="104" cm="1">
        <f t="array" ref="R94">SUM(SUMIFS('caseload data'!S:S,'caseload data'!$D:$D,"TPO",'caseload data'!$A:$A,"North West Region",'caseload data'!$B:$B,{"licence","community"}))</f>
        <v>0</v>
      </c>
      <c r="S94" s="104" cm="1">
        <f t="array" ref="S94">SUM(SUMIFS('caseload data'!T:T,'caseload data'!$D:$D,"TPO",'caseload data'!$A:$A,"North West Region",'caseload data'!$B:$B,{"licence","community"}))</f>
        <v>0</v>
      </c>
      <c r="T94" s="104">
        <f>SUMIFS('caseload data'!V:V,'caseload data'!D:D,"TPO",'caseload data'!A:A,"North West Region",'caseload data'!B:B,{"licence","community"})</f>
        <v>0</v>
      </c>
      <c r="U94" s="73"/>
      <c r="V94" s="73"/>
      <c r="W94" s="338"/>
      <c r="X94" s="139" t="s">
        <v>913</v>
      </c>
      <c r="Y94" s="181" t="e">
        <f>SUM(D94)/SUM(D$92:D$95)</f>
        <v>#DIV/0!</v>
      </c>
      <c r="Z94" s="181" t="e">
        <f t="shared" si="18"/>
        <v>#DIV/0!</v>
      </c>
      <c r="AA94" s="181" t="e">
        <f t="shared" si="18"/>
        <v>#DIV/0!</v>
      </c>
      <c r="AB94" s="181" t="e">
        <f t="shared" si="18"/>
        <v>#DIV/0!</v>
      </c>
      <c r="AC94" s="181" t="e">
        <f t="shared" si="18"/>
        <v>#DIV/0!</v>
      </c>
      <c r="AD94" s="181" t="e">
        <f t="shared" si="18"/>
        <v>#DIV/0!</v>
      </c>
      <c r="AE94" s="181" t="e">
        <f t="shared" si="18"/>
        <v>#DIV/0!</v>
      </c>
      <c r="AF94" s="181" t="e">
        <f t="shared" si="18"/>
        <v>#DIV/0!</v>
      </c>
      <c r="AG94" s="181" t="e">
        <f t="shared" si="18"/>
        <v>#DIV/0!</v>
      </c>
      <c r="AH94" s="181" t="e">
        <f t="shared" si="18"/>
        <v>#DIV/0!</v>
      </c>
      <c r="AI94" s="181" t="e">
        <f t="shared" si="18"/>
        <v>#DIV/0!</v>
      </c>
      <c r="AJ94" s="181" t="e">
        <f t="shared" si="18"/>
        <v>#DIV/0!</v>
      </c>
      <c r="AK94" s="181" t="e">
        <f t="shared" si="18"/>
        <v>#DIV/0!</v>
      </c>
      <c r="AL94" s="181" t="e">
        <f t="shared" si="18"/>
        <v>#DIV/0!</v>
      </c>
      <c r="AM94" s="181" t="e">
        <f t="shared" si="18"/>
        <v>#DIV/0!</v>
      </c>
      <c r="AN94" s="181" t="e">
        <f t="shared" si="18"/>
        <v>#DIV/0!</v>
      </c>
    </row>
    <row r="95" spans="2:40" x14ac:dyDescent="0.15">
      <c r="B95" s="339"/>
      <c r="C95" s="140" t="s">
        <v>914</v>
      </c>
      <c r="D95" s="104">
        <f>SUMIFS('caseload data'!E:E,'caseload data'!$D:$D,"SPO",'caseload data'!$A:$A,"North West Region",'caseload data'!$B:$B,{"licence","community"})</f>
        <v>0</v>
      </c>
      <c r="E95" s="104">
        <f>SUMIFS('caseload data'!F:F,'caseload data'!$D:$D,"SPO",'caseload data'!$A:$A,"North West Region",'caseload data'!$B:$B,{"licence","community"})</f>
        <v>0</v>
      </c>
      <c r="F95" s="104">
        <f>SUMIFS('caseload data'!G:G,'caseload data'!$D:$D,"SPO",'caseload data'!$A:$A,"North West Region",'caseload data'!$B:$B,{"licence","community"})</f>
        <v>0</v>
      </c>
      <c r="G95" s="104">
        <f>SUMIFS('caseload data'!H:H,'caseload data'!$D:$D,"SPO",'caseload data'!$A:$A,"North West Region",'caseload data'!$B:$B,{"licence","community"})</f>
        <v>0</v>
      </c>
      <c r="H95" s="104">
        <f>SUMIFS('caseload data'!I:I,'caseload data'!$D:$D,"SPO",'caseload data'!$A:$A,"North West Region",'caseload data'!$B:$B,{"licence","community"})</f>
        <v>0</v>
      </c>
      <c r="I95" s="104">
        <f>SUMIFS('caseload data'!J:J,'caseload data'!$D:$D,"SPO",'caseload data'!$A:$A,"North West Region",'caseload data'!$B:$B,{"licence","community"})</f>
        <v>0</v>
      </c>
      <c r="J95" s="104">
        <f>SUMIFS('caseload data'!K:K,'caseload data'!$D:$D,"SPO",'caseload data'!$A:$A,"North West Region",'caseload data'!$B:$B,{"licence","community"})</f>
        <v>0</v>
      </c>
      <c r="K95" s="104">
        <f>SUMIFS('caseload data'!L:L,'caseload data'!$D:$D,"SPO",'caseload data'!$A:$A,"North West Region",'caseload data'!$B:$B,{"licence","community"})</f>
        <v>0</v>
      </c>
      <c r="L95" s="104">
        <f>SUMIFS('caseload data'!M:M,'caseload data'!$D:$D,"SPO",'caseload data'!$A:$A,"North West Region",'caseload data'!$B:$B,{"licence","community"})</f>
        <v>0</v>
      </c>
      <c r="M95" s="104">
        <f>SUMIFS('caseload data'!N:N,'caseload data'!$D:$D,"SPO",'caseload data'!$A:$A,"North West Region",'caseload data'!$B:$B,{"licence","community"})</f>
        <v>0</v>
      </c>
      <c r="N95" s="104">
        <f>SUMIFS('caseload data'!O:O,'caseload data'!$D:$D,"SPO",'caseload data'!$A:$A,"North West Region",'caseload data'!$B:$B,{"licence","community"})</f>
        <v>0</v>
      </c>
      <c r="O95" s="104">
        <f>SUMIFS('caseload data'!P:P,'caseload data'!$D:$D,"SPO",'caseload data'!$A:$A,"North West Region",'caseload data'!$B:$B,{"licence","community"})</f>
        <v>0</v>
      </c>
      <c r="P95" s="104">
        <f>SUMIFS('caseload data'!Q:Q,'caseload data'!$D:$D,"SPO",'caseload data'!$A:$A,"North West Region",'caseload data'!$B:$B,{"licence","community"})</f>
        <v>0</v>
      </c>
      <c r="Q95" s="104">
        <f>SUMIFS('caseload data'!R:R,'caseload data'!$D:$D,"SPO",'caseload data'!$A:$A,"North West Region",'caseload data'!$B:$B,{"licence","community"})</f>
        <v>0</v>
      </c>
      <c r="R95" s="104">
        <f>SUMIFS('caseload data'!S:S,'caseload data'!$D:$D,"SPO",'caseload data'!$A:$A,"North West Region",'caseload data'!$B:$B,{"licence","community"})</f>
        <v>0</v>
      </c>
      <c r="S95" s="104">
        <f>SUMIFS('caseload data'!T:T,'caseload data'!$D:$D,"SPO",'caseload data'!$A:$A,"North West Region",'caseload data'!$B:$B,{"licence","community"})</f>
        <v>0</v>
      </c>
      <c r="T95" s="104" cm="1">
        <f t="array" ref="T95">SUM(SUMIFS('caseload data'!V:V,'caseload data'!$D:$D,"SPO",'caseload data'!$A:$A,"North West Region",'caseload data'!$B:$B,{"licence","community"}))</f>
        <v>0</v>
      </c>
      <c r="U95" s="73"/>
      <c r="V95" s="73"/>
      <c r="W95" s="339"/>
      <c r="X95" s="140" t="s">
        <v>914</v>
      </c>
      <c r="Y95" s="181" t="e">
        <f>SUM(D95)/SUM(D$92:D$95)</f>
        <v>#DIV/0!</v>
      </c>
      <c r="Z95" s="181" t="e">
        <f t="shared" si="18"/>
        <v>#DIV/0!</v>
      </c>
      <c r="AA95" s="181" t="e">
        <f t="shared" si="18"/>
        <v>#DIV/0!</v>
      </c>
      <c r="AB95" s="181" t="e">
        <f t="shared" si="18"/>
        <v>#DIV/0!</v>
      </c>
      <c r="AC95" s="181" t="e">
        <f t="shared" si="18"/>
        <v>#DIV/0!</v>
      </c>
      <c r="AD95" s="181" t="e">
        <f t="shared" si="18"/>
        <v>#DIV/0!</v>
      </c>
      <c r="AE95" s="181" t="e">
        <f t="shared" si="18"/>
        <v>#DIV/0!</v>
      </c>
      <c r="AF95" s="181" t="e">
        <f t="shared" si="18"/>
        <v>#DIV/0!</v>
      </c>
      <c r="AG95" s="181" t="e">
        <f t="shared" si="18"/>
        <v>#DIV/0!</v>
      </c>
      <c r="AH95" s="181" t="e">
        <f t="shared" si="18"/>
        <v>#DIV/0!</v>
      </c>
      <c r="AI95" s="181" t="e">
        <f t="shared" si="18"/>
        <v>#DIV/0!</v>
      </c>
      <c r="AJ95" s="181" t="e">
        <f t="shared" si="18"/>
        <v>#DIV/0!</v>
      </c>
      <c r="AK95" s="181" t="e">
        <f t="shared" si="18"/>
        <v>#DIV/0!</v>
      </c>
      <c r="AL95" s="181" t="e">
        <f t="shared" si="18"/>
        <v>#DIV/0!</v>
      </c>
      <c r="AM95" s="181" t="e">
        <f t="shared" si="18"/>
        <v>#DIV/0!</v>
      </c>
      <c r="AN95" s="181" t="e">
        <f t="shared" si="18"/>
        <v>#DIV/0!</v>
      </c>
    </row>
    <row r="96" spans="2:40" x14ac:dyDescent="0.15">
      <c r="B96" s="337" t="s">
        <v>27</v>
      </c>
      <c r="C96" s="138" t="s">
        <v>911</v>
      </c>
      <c r="D96" s="104" cm="1">
        <f t="array" ref="D96">SUM(SUMIFS('caseload data'!E:E,'caseload data'!$D:$D,"PO",'caseload data'!$A:$A,$B$96,'caseload data'!$B:$B,{"licence","community"}))</f>
        <v>0</v>
      </c>
      <c r="E96" s="104" cm="1">
        <f t="array" ref="E96">SUM(SUMIFS('caseload data'!F:F,'caseload data'!$D:$D,"PO",'caseload data'!$A:$A,$B$96,'caseload data'!$B:$B,{"licence","community"}))</f>
        <v>0</v>
      </c>
      <c r="F96" s="104" cm="1">
        <f t="array" ref="F96">SUM(SUMIFS('caseload data'!G:G,'caseload data'!$D:$D,"PO",'caseload data'!$A:$A,$B$96,'caseload data'!$B:$B,{"licence","community"}))</f>
        <v>0</v>
      </c>
      <c r="G96" s="104" cm="1">
        <f t="array" ref="G96">SUM(SUMIFS('caseload data'!H:H,'caseload data'!$D:$D,"PO",'caseload data'!$A:$A,$B$96,'caseload data'!$B:$B,{"licence","community"}))</f>
        <v>0</v>
      </c>
      <c r="H96" s="104" cm="1">
        <f t="array" ref="H96">SUM(SUMIFS('caseload data'!I:I,'caseload data'!$D:$D,"PO",'caseload data'!$A:$A,$B$96,'caseload data'!$B:$B,{"licence","community"}))</f>
        <v>0</v>
      </c>
      <c r="I96" s="104" cm="1">
        <f t="array" ref="I96">SUM(SUMIFS('caseload data'!J:J,'caseload data'!$D:$D,"PO",'caseload data'!$A:$A,$B$96,'caseload data'!$B:$B,{"licence","community"}))</f>
        <v>0</v>
      </c>
      <c r="J96" s="104" cm="1">
        <f t="array" ref="J96">SUM(SUMIFS('caseload data'!K:K,'caseload data'!$D:$D,"PO",'caseload data'!$A:$A,$B$96,'caseload data'!$B:$B,{"licence","community"}))</f>
        <v>0</v>
      </c>
      <c r="K96" s="104" cm="1">
        <f t="array" ref="K96">SUM(SUMIFS('caseload data'!L:L,'caseload data'!$D:$D,"PO",'caseload data'!$A:$A,$B$96,'caseload data'!$B:$B,{"licence","community"}))</f>
        <v>0</v>
      </c>
      <c r="L96" s="104" cm="1">
        <f t="array" ref="L96">SUM(SUMIFS('caseload data'!M:M,'caseload data'!$D:$D,"PO",'caseload data'!$A:$A,$B$96,'caseload data'!$B:$B,{"licence","community"}))</f>
        <v>0</v>
      </c>
      <c r="M96" s="104" cm="1">
        <f t="array" ref="M96">SUM(SUMIFS('caseload data'!N:N,'caseload data'!$D:$D,"PO",'caseload data'!$A:$A,$B$96,'caseload data'!$B:$B,{"licence","community"}))</f>
        <v>0</v>
      </c>
      <c r="N96" s="104" cm="1">
        <f t="array" ref="N96">SUM(SUMIFS('caseload data'!O:O,'caseload data'!$D:$D,"PO",'caseload data'!$A:$A,$B$96,'caseload data'!$B:$B,{"licence","community"}))</f>
        <v>0</v>
      </c>
      <c r="O96" s="104" cm="1">
        <f t="array" ref="O96">SUM(SUMIFS('caseload data'!P:P,'caseload data'!$D:$D,"PO",'caseload data'!$A:$A,$B$96,'caseload data'!$B:$B,{"licence","community"}))</f>
        <v>0</v>
      </c>
      <c r="P96" s="104" cm="1">
        <f t="array" ref="P96">SUM(SUMIFS('caseload data'!Q:Q,'caseload data'!$D:$D,"PO",'caseload data'!$A:$A,$B$96,'caseload data'!$B:$B,{"licence","community"}))</f>
        <v>0</v>
      </c>
      <c r="Q96" s="104" cm="1">
        <f t="array" ref="Q96">SUM(SUMIFS('caseload data'!R:R,'caseload data'!$D:$D,"PO",'caseload data'!$A:$A,$B$96,'caseload data'!$B:$B,{"licence","community"}))</f>
        <v>0</v>
      </c>
      <c r="R96" s="104" cm="1">
        <f t="array" ref="R96">SUM(SUMIFS('caseload data'!S:S,'caseload data'!$D:$D,"PO",'caseload data'!$A:$A,$B$96,'caseload data'!$B:$B,{"licence","community"}))</f>
        <v>0</v>
      </c>
      <c r="S96" s="104" cm="1">
        <f t="array" ref="S96">SUM(SUMIFS('caseload data'!T:T,'caseload data'!$D:$D,"PO",'caseload data'!$A:$A,$B$96,'caseload data'!$B:$B,{"licence","community"}))</f>
        <v>0</v>
      </c>
      <c r="T96" s="104">
        <f>SUM(SUMIFS('caseload data'!V:V,'caseload data'!D:D,"PO",'caseload data'!A:A,B96,'caseload data'!B:B,{"licence","community"}))</f>
        <v>0</v>
      </c>
      <c r="U96" s="73"/>
      <c r="V96" s="73"/>
      <c r="W96" s="337" t="s">
        <v>27</v>
      </c>
      <c r="X96" s="138" t="s">
        <v>911</v>
      </c>
      <c r="Y96" s="181" t="e">
        <f>SUM(D96)/SUM(D$96:D$99)</f>
        <v>#DIV/0!</v>
      </c>
      <c r="Z96" s="181" t="e">
        <f t="shared" ref="Z96:AN99" si="19">SUM(E96)/SUM(E$96:E$99)</f>
        <v>#DIV/0!</v>
      </c>
      <c r="AA96" s="181" t="e">
        <f t="shared" si="19"/>
        <v>#DIV/0!</v>
      </c>
      <c r="AB96" s="181" t="e">
        <f t="shared" si="19"/>
        <v>#DIV/0!</v>
      </c>
      <c r="AC96" s="181" t="e">
        <f t="shared" si="19"/>
        <v>#DIV/0!</v>
      </c>
      <c r="AD96" s="181" t="e">
        <f t="shared" si="19"/>
        <v>#DIV/0!</v>
      </c>
      <c r="AE96" s="181" t="e">
        <f t="shared" si="19"/>
        <v>#DIV/0!</v>
      </c>
      <c r="AF96" s="181" t="e">
        <f t="shared" si="19"/>
        <v>#DIV/0!</v>
      </c>
      <c r="AG96" s="181" t="e">
        <f t="shared" si="19"/>
        <v>#DIV/0!</v>
      </c>
      <c r="AH96" s="181" t="e">
        <f t="shared" si="19"/>
        <v>#DIV/0!</v>
      </c>
      <c r="AI96" s="181" t="e">
        <f t="shared" si="19"/>
        <v>#DIV/0!</v>
      </c>
      <c r="AJ96" s="181" t="e">
        <f t="shared" si="19"/>
        <v>#DIV/0!</v>
      </c>
      <c r="AK96" s="181" t="e">
        <f t="shared" si="19"/>
        <v>#DIV/0!</v>
      </c>
      <c r="AL96" s="181" t="e">
        <f t="shared" si="19"/>
        <v>#DIV/0!</v>
      </c>
      <c r="AM96" s="181" t="e">
        <f t="shared" si="19"/>
        <v>#DIV/0!</v>
      </c>
      <c r="AN96" s="181" t="e">
        <f t="shared" si="19"/>
        <v>#DIV/0!</v>
      </c>
    </row>
    <row r="97" spans="2:40" x14ac:dyDescent="0.15">
      <c r="B97" s="338"/>
      <c r="C97" s="139" t="s">
        <v>912</v>
      </c>
      <c r="D97" s="104" cm="1">
        <f t="array" ref="D97">SUM(SUMIFS('caseload data'!E:E,'caseload data'!$D:$D,"PSO",'caseload data'!$A:$A,"South Central",'caseload data'!$B:$B,{"licence","community"}))</f>
        <v>0</v>
      </c>
      <c r="E97" s="104" cm="1">
        <f t="array" ref="E97">SUM(SUMIFS('caseload data'!F:F,'caseload data'!$D:$D,"PSO",'caseload data'!$A:$A,"South Central",'caseload data'!$B:$B,{"licence","community"}))</f>
        <v>0</v>
      </c>
      <c r="F97" s="104" cm="1">
        <f t="array" ref="F97">SUM(SUMIFS('caseload data'!G:G,'caseload data'!$D:$D,"PSO",'caseload data'!$A:$A,"South Central",'caseload data'!$B:$B,{"licence","community"}))</f>
        <v>0</v>
      </c>
      <c r="G97" s="104" cm="1">
        <f t="array" ref="G97">SUM(SUMIFS('caseload data'!H:H,'caseload data'!$D:$D,"PSO",'caseload data'!$A:$A,"South Central",'caseload data'!$B:$B,{"licence","community"}))</f>
        <v>0</v>
      </c>
      <c r="H97" s="104" cm="1">
        <f t="array" ref="H97">SUM(SUMIFS('caseload data'!I:I,'caseload data'!$D:$D,"PSO",'caseload data'!$A:$A,"South Central",'caseload data'!$B:$B,{"licence","community"}))</f>
        <v>0</v>
      </c>
      <c r="I97" s="104" cm="1">
        <f t="array" ref="I97">SUM(SUMIFS('caseload data'!J:J,'caseload data'!$D:$D,"PSO",'caseload data'!$A:$A,"South Central",'caseload data'!$B:$B,{"licence","community"}))</f>
        <v>0</v>
      </c>
      <c r="J97" s="104" cm="1">
        <f t="array" ref="J97">SUM(SUMIFS('caseload data'!K:K,'caseload data'!$D:$D,"PSO",'caseload data'!$A:$A,"South Central",'caseload data'!$B:$B,{"licence","community"}))</f>
        <v>0</v>
      </c>
      <c r="K97" s="104" cm="1">
        <f t="array" ref="K97">SUM(SUMIFS('caseload data'!L:L,'caseload data'!$D:$D,"PSO",'caseload data'!$A:$A,"South Central",'caseload data'!$B:$B,{"licence","community"}))</f>
        <v>0</v>
      </c>
      <c r="L97" s="104" cm="1">
        <f t="array" ref="L97">SUM(SUMIFS('caseload data'!M:M,'caseload data'!$D:$D,"PSO",'caseload data'!$A:$A,"South Central",'caseload data'!$B:$B,{"licence","community"}))</f>
        <v>0</v>
      </c>
      <c r="M97" s="104" cm="1">
        <f t="array" ref="M97">SUM(SUMIFS('caseload data'!N:N,'caseload data'!$D:$D,"PSO",'caseload data'!$A:$A,"South Central",'caseload data'!$B:$B,{"licence","community"}))</f>
        <v>0</v>
      </c>
      <c r="N97" s="104" cm="1">
        <f t="array" ref="N97">SUM(SUMIFS('caseload data'!O:O,'caseload data'!$D:$D,"PSO",'caseload data'!$A:$A,"South Central",'caseload data'!$B:$B,{"licence","community"}))</f>
        <v>0</v>
      </c>
      <c r="O97" s="104" cm="1">
        <f t="array" ref="O97">SUM(SUMIFS('caseload data'!P:P,'caseload data'!$D:$D,"PSO",'caseload data'!$A:$A,"South Central",'caseload data'!$B:$B,{"licence","community"}))</f>
        <v>0</v>
      </c>
      <c r="P97" s="104" cm="1">
        <f t="array" ref="P97">SUM(SUMIFS('caseload data'!Q:Q,'caseload data'!$D:$D,"PSO",'caseload data'!$A:$A,"South Central",'caseload data'!$B:$B,{"licence","community"}))</f>
        <v>0</v>
      </c>
      <c r="Q97" s="104" cm="1">
        <f t="array" ref="Q97">SUM(SUMIFS('caseload data'!R:R,'caseload data'!$D:$D,"PSO",'caseload data'!$A:$A,"South Central",'caseload data'!$B:$B,{"licence","community"}))</f>
        <v>0</v>
      </c>
      <c r="R97" s="104" cm="1">
        <f t="array" ref="R97">SUM(SUMIFS('caseload data'!S:S,'caseload data'!$D:$D,"PSO",'caseload data'!$A:$A,"South Central",'caseload data'!$B:$B,{"licence","community"}))</f>
        <v>0</v>
      </c>
      <c r="S97" s="104" cm="1">
        <f t="array" ref="S97">SUM(SUMIFS('caseload data'!T:T,'caseload data'!$D:$D,"PSO",'caseload data'!$A:$A,"South Central",'caseload data'!$B:$B,{"licence","community"}))</f>
        <v>0</v>
      </c>
      <c r="T97" s="104" cm="1">
        <f t="array" ref="T97">SUM(SUMIFS('caseload data'!V:V,'caseload data'!D:D,"PSO",'caseload data'!A:A,"South Central",'caseload data'!B:B,{"licence","community"}))</f>
        <v>0</v>
      </c>
      <c r="U97" s="73"/>
      <c r="V97" s="73"/>
      <c r="W97" s="338"/>
      <c r="X97" s="139" t="s">
        <v>912</v>
      </c>
      <c r="Y97" s="181" t="e">
        <f>SUM(D97)/SUM(D$96:D$99)</f>
        <v>#DIV/0!</v>
      </c>
      <c r="Z97" s="181" t="e">
        <f t="shared" si="19"/>
        <v>#DIV/0!</v>
      </c>
      <c r="AA97" s="181" t="e">
        <f t="shared" si="19"/>
        <v>#DIV/0!</v>
      </c>
      <c r="AB97" s="181" t="e">
        <f t="shared" si="19"/>
        <v>#DIV/0!</v>
      </c>
      <c r="AC97" s="181" t="e">
        <f t="shared" si="19"/>
        <v>#DIV/0!</v>
      </c>
      <c r="AD97" s="181" t="e">
        <f t="shared" si="19"/>
        <v>#DIV/0!</v>
      </c>
      <c r="AE97" s="181" t="e">
        <f t="shared" si="19"/>
        <v>#DIV/0!</v>
      </c>
      <c r="AF97" s="181" t="e">
        <f t="shared" si="19"/>
        <v>#DIV/0!</v>
      </c>
      <c r="AG97" s="181" t="e">
        <f t="shared" si="19"/>
        <v>#DIV/0!</v>
      </c>
      <c r="AH97" s="181" t="e">
        <f t="shared" si="19"/>
        <v>#DIV/0!</v>
      </c>
      <c r="AI97" s="181" t="e">
        <f t="shared" si="19"/>
        <v>#DIV/0!</v>
      </c>
      <c r="AJ97" s="181" t="e">
        <f t="shared" si="19"/>
        <v>#DIV/0!</v>
      </c>
      <c r="AK97" s="181" t="e">
        <f t="shared" si="19"/>
        <v>#DIV/0!</v>
      </c>
      <c r="AL97" s="181" t="e">
        <f t="shared" si="19"/>
        <v>#DIV/0!</v>
      </c>
      <c r="AM97" s="181" t="e">
        <f t="shared" si="19"/>
        <v>#DIV/0!</v>
      </c>
      <c r="AN97" s="181" t="e">
        <f t="shared" si="19"/>
        <v>#DIV/0!</v>
      </c>
    </row>
    <row r="98" spans="2:40" x14ac:dyDescent="0.15">
      <c r="B98" s="338"/>
      <c r="C98" s="139" t="s">
        <v>913</v>
      </c>
      <c r="D98" s="104" cm="1">
        <f t="array" ref="D98">SUM(SUMIFS('caseload data'!E:E,'caseload data'!$D:$D,"TPO",'caseload data'!$A:$A,"South Central",'caseload data'!$B:$B,{"licence","community"}))</f>
        <v>0</v>
      </c>
      <c r="E98" s="104" cm="1">
        <f t="array" ref="E98">SUM(SUMIFS('caseload data'!F:F,'caseload data'!$D:$D,"TPO",'caseload data'!$A:$A,"South Central",'caseload data'!$B:$B,{"licence","community"}))</f>
        <v>0</v>
      </c>
      <c r="F98" s="104" cm="1">
        <f t="array" ref="F98">SUM(SUMIFS('caseload data'!G:G,'caseload data'!$D:$D,"TPO",'caseload data'!$A:$A,"South Central",'caseload data'!$B:$B,{"licence","community"}))</f>
        <v>0</v>
      </c>
      <c r="G98" s="104" cm="1">
        <f t="array" ref="G98">SUM(SUMIFS('caseload data'!H:H,'caseload data'!$D:$D,"TPO",'caseload data'!$A:$A,"South Central",'caseload data'!$B:$B,{"licence","community"}))</f>
        <v>0</v>
      </c>
      <c r="H98" s="104" cm="1">
        <f t="array" ref="H98">SUM(SUMIFS('caseload data'!I:I,'caseload data'!$D:$D,"TPO",'caseload data'!$A:$A,"South Central",'caseload data'!$B:$B,{"licence","community"}))</f>
        <v>0</v>
      </c>
      <c r="I98" s="104" cm="1">
        <f t="array" ref="I98">SUM(SUMIFS('caseload data'!J:J,'caseload data'!$D:$D,"TPO",'caseload data'!$A:$A,"South Central",'caseload data'!$B:$B,{"licence","community"}))</f>
        <v>0</v>
      </c>
      <c r="J98" s="104" cm="1">
        <f t="array" ref="J98">SUM(SUMIFS('caseload data'!K:K,'caseload data'!$D:$D,"TPO",'caseload data'!$A:$A,"South Central",'caseload data'!$B:$B,{"licence","community"}))</f>
        <v>0</v>
      </c>
      <c r="K98" s="104" cm="1">
        <f t="array" ref="K98">SUM(SUMIFS('caseload data'!L:L,'caseload data'!$D:$D,"TPO",'caseload data'!$A:$A,"South Central",'caseload data'!$B:$B,{"licence","community"}))</f>
        <v>0</v>
      </c>
      <c r="L98" s="104" cm="1">
        <f t="array" ref="L98">SUM(SUMIFS('caseload data'!M:M,'caseload data'!$D:$D,"TPO",'caseload data'!$A:$A,"South Central",'caseload data'!$B:$B,{"licence","community"}))</f>
        <v>0</v>
      </c>
      <c r="M98" s="104" cm="1">
        <f t="array" ref="M98">SUM(SUMIFS('caseload data'!N:N,'caseload data'!$D:$D,"TPO",'caseload data'!$A:$A,"South Central",'caseload data'!$B:$B,{"licence","community"}))</f>
        <v>0</v>
      </c>
      <c r="N98" s="104" cm="1">
        <f t="array" ref="N98">SUM(SUMIFS('caseload data'!O:O,'caseload data'!$D:$D,"TPO",'caseload data'!$A:$A,"South Central",'caseload data'!$B:$B,{"licence","community"}))</f>
        <v>0</v>
      </c>
      <c r="O98" s="104" cm="1">
        <f t="array" ref="O98">SUM(SUMIFS('caseload data'!P:P,'caseload data'!$D:$D,"TPO",'caseload data'!$A:$A,"South Central",'caseload data'!$B:$B,{"licence","community"}))</f>
        <v>0</v>
      </c>
      <c r="P98" s="104" cm="1">
        <f t="array" ref="P98">SUM(SUMIFS('caseload data'!Q:Q,'caseload data'!$D:$D,"TPO",'caseload data'!$A:$A,"South Central",'caseload data'!$B:$B,{"licence","community"}))</f>
        <v>0</v>
      </c>
      <c r="Q98" s="104" cm="1">
        <f t="array" ref="Q98">SUM(SUMIFS('caseload data'!R:R,'caseload data'!$D:$D,"TPO",'caseload data'!$A:$A,"South Central",'caseload data'!$B:$B,{"licence","community"}))</f>
        <v>0</v>
      </c>
      <c r="R98" s="104" cm="1">
        <f t="array" ref="R98">SUM(SUMIFS('caseload data'!S:S,'caseload data'!$D:$D,"TPO",'caseload data'!$A:$A,"South Central",'caseload data'!$B:$B,{"licence","community"}))</f>
        <v>0</v>
      </c>
      <c r="S98" s="104" cm="1">
        <f t="array" ref="S98">SUM(SUMIFS('caseload data'!T:T,'caseload data'!$D:$D,"TPO",'caseload data'!$A:$A,"South Central",'caseload data'!$B:$B,{"licence","community"}))</f>
        <v>0</v>
      </c>
      <c r="T98" s="104" cm="1">
        <f t="array" ref="T98">SUM(SUMIFS('caseload data'!V:V,'caseload data'!D:D,"TPO",'caseload data'!A:A,"South Central",'caseload data'!B:B,{"licence","community"}))</f>
        <v>0</v>
      </c>
      <c r="U98" s="73"/>
      <c r="V98" s="73"/>
      <c r="W98" s="338"/>
      <c r="X98" s="139" t="s">
        <v>913</v>
      </c>
      <c r="Y98" s="181" t="e">
        <f>SUM(D98)/SUM(D$96:D$99)</f>
        <v>#DIV/0!</v>
      </c>
      <c r="Z98" s="181" t="e">
        <f t="shared" si="19"/>
        <v>#DIV/0!</v>
      </c>
      <c r="AA98" s="181" t="e">
        <f t="shared" si="19"/>
        <v>#DIV/0!</v>
      </c>
      <c r="AB98" s="181" t="e">
        <f t="shared" si="19"/>
        <v>#DIV/0!</v>
      </c>
      <c r="AC98" s="181" t="e">
        <f t="shared" si="19"/>
        <v>#DIV/0!</v>
      </c>
      <c r="AD98" s="181" t="e">
        <f t="shared" si="19"/>
        <v>#DIV/0!</v>
      </c>
      <c r="AE98" s="181" t="e">
        <f t="shared" si="19"/>
        <v>#DIV/0!</v>
      </c>
      <c r="AF98" s="181" t="e">
        <f t="shared" si="19"/>
        <v>#DIV/0!</v>
      </c>
      <c r="AG98" s="181" t="e">
        <f t="shared" si="19"/>
        <v>#DIV/0!</v>
      </c>
      <c r="AH98" s="181" t="e">
        <f t="shared" si="19"/>
        <v>#DIV/0!</v>
      </c>
      <c r="AI98" s="181" t="e">
        <f t="shared" si="19"/>
        <v>#DIV/0!</v>
      </c>
      <c r="AJ98" s="181" t="e">
        <f t="shared" si="19"/>
        <v>#DIV/0!</v>
      </c>
      <c r="AK98" s="181" t="e">
        <f t="shared" si="19"/>
        <v>#DIV/0!</v>
      </c>
      <c r="AL98" s="181" t="e">
        <f t="shared" si="19"/>
        <v>#DIV/0!</v>
      </c>
      <c r="AM98" s="181" t="e">
        <f t="shared" si="19"/>
        <v>#DIV/0!</v>
      </c>
      <c r="AN98" s="181" t="e">
        <f t="shared" si="19"/>
        <v>#DIV/0!</v>
      </c>
    </row>
    <row r="99" spans="2:40" x14ac:dyDescent="0.15">
      <c r="B99" s="339"/>
      <c r="C99" s="140" t="s">
        <v>914</v>
      </c>
      <c r="D99" s="104" cm="1">
        <f t="array" ref="D99">SUM(SUMIFS('caseload data'!E:E,'caseload data'!$D:$D,"SPO",'caseload data'!$A:$A,"South Central",'caseload data'!$B:$B,{"licence","community"}))</f>
        <v>0</v>
      </c>
      <c r="E99" s="104" cm="1">
        <f t="array" ref="E99">SUM(SUMIFS('caseload data'!F:F,'caseload data'!$D:$D,"SPO",'caseload data'!$A:$A,"South Central",'caseload data'!$B:$B,{"licence","community"}))</f>
        <v>0</v>
      </c>
      <c r="F99" s="104" cm="1">
        <f t="array" ref="F99">SUM(SUMIFS('caseload data'!G:G,'caseload data'!$D:$D,"SPO",'caseload data'!$A:$A,"South Central",'caseload data'!$B:$B,{"licence","community"}))</f>
        <v>0</v>
      </c>
      <c r="G99" s="104" cm="1">
        <f t="array" ref="G99">SUM(SUMIFS('caseload data'!H:H,'caseload data'!$D:$D,"SPO",'caseload data'!$A:$A,"South Central",'caseload data'!$B:$B,{"licence","community"}))</f>
        <v>0</v>
      </c>
      <c r="H99" s="104" cm="1">
        <f t="array" ref="H99">SUM(SUMIFS('caseload data'!I:I,'caseload data'!$D:$D,"SPO",'caseload data'!$A:$A,"South Central",'caseload data'!$B:$B,{"licence","community"}))</f>
        <v>0</v>
      </c>
      <c r="I99" s="104" cm="1">
        <f t="array" ref="I99">SUM(SUMIFS('caseload data'!J:J,'caseload data'!$D:$D,"SPO",'caseload data'!$A:$A,"South Central",'caseload data'!$B:$B,{"licence","community"}))</f>
        <v>0</v>
      </c>
      <c r="J99" s="104" cm="1">
        <f t="array" ref="J99">SUM(SUMIFS('caseload data'!K:K,'caseload data'!$D:$D,"SPO",'caseload data'!$A:$A,"South Central",'caseload data'!$B:$B,{"licence","community"}))</f>
        <v>0</v>
      </c>
      <c r="K99" s="104" cm="1">
        <f t="array" ref="K99">SUM(SUMIFS('caseload data'!L:L,'caseload data'!$D:$D,"SPO",'caseload data'!$A:$A,"South Central",'caseload data'!$B:$B,{"licence","community"}))</f>
        <v>0</v>
      </c>
      <c r="L99" s="104" cm="1">
        <f t="array" ref="L99">SUM(SUMIFS('caseload data'!M:M,'caseload data'!$D:$D,"SPO",'caseload data'!$A:$A,"South Central",'caseload data'!$B:$B,{"licence","community"}))</f>
        <v>0</v>
      </c>
      <c r="M99" s="104" cm="1">
        <f t="array" ref="M99">SUM(SUMIFS('caseload data'!N:N,'caseload data'!$D:$D,"SPO",'caseload data'!$A:$A,"South Central",'caseload data'!$B:$B,{"licence","community"}))</f>
        <v>0</v>
      </c>
      <c r="N99" s="104" cm="1">
        <f t="array" ref="N99">SUM(SUMIFS('caseload data'!O:O,'caseload data'!$D:$D,"SPO",'caseload data'!$A:$A,"South Central",'caseload data'!$B:$B,{"licence","community"}))</f>
        <v>0</v>
      </c>
      <c r="O99" s="104" cm="1">
        <f t="array" ref="O99">SUM(SUMIFS('caseload data'!P:P,'caseload data'!$D:$D,"SPO",'caseload data'!$A:$A,"South Central",'caseload data'!$B:$B,{"licence","community"}))</f>
        <v>0</v>
      </c>
      <c r="P99" s="104" cm="1">
        <f t="array" ref="P99">SUM(SUMIFS('caseload data'!Q:Q,'caseload data'!$D:$D,"SPO",'caseload data'!$A:$A,"South Central",'caseload data'!$B:$B,{"licence","community"}))</f>
        <v>0</v>
      </c>
      <c r="Q99" s="104" cm="1">
        <f t="array" ref="Q99">SUM(SUMIFS('caseload data'!R:R,'caseload data'!$D:$D,"SPO",'caseload data'!$A:$A,"South Central",'caseload data'!$B:$B,{"licence","community"}))</f>
        <v>0</v>
      </c>
      <c r="R99" s="104" cm="1">
        <f t="array" ref="R99">SUM(SUMIFS('caseload data'!S:S,'caseload data'!$D:$D,"SPO",'caseload data'!$A:$A,"South Central",'caseload data'!$B:$B,{"licence","community"}))</f>
        <v>0</v>
      </c>
      <c r="S99" s="104" cm="1">
        <f t="array" ref="S99">SUM(SUMIFS('caseload data'!T:T,'caseload data'!$D:$D,"SPO",'caseload data'!$A:$A,"South Central",'caseload data'!$B:$B,{"licence","community"}))</f>
        <v>0</v>
      </c>
      <c r="T99" s="104" cm="1">
        <f t="array" ref="T99">SUM(SUMIFS('caseload data'!V:V,'caseload data'!$D:$D,"SPO",'caseload data'!$A:$A,"South Central",'caseload data'!$B:$B,{"licence","community"}))</f>
        <v>0</v>
      </c>
      <c r="U99" s="73"/>
      <c r="V99" s="73"/>
      <c r="W99" s="339"/>
      <c r="X99" s="140" t="s">
        <v>914</v>
      </c>
      <c r="Y99" s="181" t="e">
        <f>SUM(D99)/SUM(D$96:D$99)</f>
        <v>#DIV/0!</v>
      </c>
      <c r="Z99" s="181" t="e">
        <f t="shared" si="19"/>
        <v>#DIV/0!</v>
      </c>
      <c r="AA99" s="181" t="e">
        <f t="shared" si="19"/>
        <v>#DIV/0!</v>
      </c>
      <c r="AB99" s="181" t="e">
        <f t="shared" si="19"/>
        <v>#DIV/0!</v>
      </c>
      <c r="AC99" s="181" t="e">
        <f t="shared" si="19"/>
        <v>#DIV/0!</v>
      </c>
      <c r="AD99" s="181" t="e">
        <f t="shared" si="19"/>
        <v>#DIV/0!</v>
      </c>
      <c r="AE99" s="181" t="e">
        <f t="shared" si="19"/>
        <v>#DIV/0!</v>
      </c>
      <c r="AF99" s="181" t="e">
        <f t="shared" si="19"/>
        <v>#DIV/0!</v>
      </c>
      <c r="AG99" s="181" t="e">
        <f t="shared" si="19"/>
        <v>#DIV/0!</v>
      </c>
      <c r="AH99" s="181" t="e">
        <f t="shared" si="19"/>
        <v>#DIV/0!</v>
      </c>
      <c r="AI99" s="181" t="e">
        <f t="shared" si="19"/>
        <v>#DIV/0!</v>
      </c>
      <c r="AJ99" s="181" t="e">
        <f t="shared" si="19"/>
        <v>#DIV/0!</v>
      </c>
      <c r="AK99" s="181" t="e">
        <f t="shared" si="19"/>
        <v>#DIV/0!</v>
      </c>
      <c r="AL99" s="181" t="e">
        <f t="shared" si="19"/>
        <v>#DIV/0!</v>
      </c>
      <c r="AM99" s="181" t="e">
        <f t="shared" si="19"/>
        <v>#DIV/0!</v>
      </c>
      <c r="AN99" s="181" t="e">
        <f t="shared" si="19"/>
        <v>#DIV/0!</v>
      </c>
    </row>
    <row r="100" spans="2:40" x14ac:dyDescent="0.15">
      <c r="B100" s="337" t="s">
        <v>28</v>
      </c>
      <c r="C100" s="138" t="s">
        <v>911</v>
      </c>
      <c r="D100" s="104" cm="1">
        <f t="array" ref="D100">SUM(SUMIFS('caseload data'!E:E,'caseload data'!$D:$D,"PO",'caseload data'!$A:$A,$B$100,'caseload data'!$B:$B,{"licence","community"}))</f>
        <v>0</v>
      </c>
      <c r="E100" s="104" cm="1">
        <f t="array" ref="E100">SUM(SUMIFS('caseload data'!F:F,'caseload data'!$D:$D,"PO",'caseload data'!$A:$A,$B$100,'caseload data'!$B:$B,{"licence","community"}))</f>
        <v>0</v>
      </c>
      <c r="F100" s="104" cm="1">
        <f t="array" ref="F100">SUM(SUMIFS('caseload data'!G:G,'caseload data'!$D:$D,"PO",'caseload data'!$A:$A,$B$100,'caseload data'!$B:$B,{"licence","community"}))</f>
        <v>0</v>
      </c>
      <c r="G100" s="104" cm="1">
        <f t="array" ref="G100">SUM(SUMIFS('caseload data'!H:H,'caseload data'!$D:$D,"PO",'caseload data'!$A:$A,$B$100,'caseload data'!$B:$B,{"licence","community"}))</f>
        <v>0</v>
      </c>
      <c r="H100" s="104" cm="1">
        <f t="array" ref="H100">SUM(SUMIFS('caseload data'!I:I,'caseload data'!$D:$D,"PO",'caseload data'!$A:$A,$B$100,'caseload data'!$B:$B,{"licence","community"}))</f>
        <v>0</v>
      </c>
      <c r="I100" s="104" cm="1">
        <f t="array" ref="I100">SUM(SUMIFS('caseload data'!J:J,'caseload data'!$D:$D,"PO",'caseload data'!$A:$A,$B$100,'caseload data'!$B:$B,{"licence","community"}))</f>
        <v>0</v>
      </c>
      <c r="J100" s="104" cm="1">
        <f t="array" ref="J100">SUM(SUMIFS('caseload data'!K:K,'caseload data'!$D:$D,"PO",'caseload data'!$A:$A,$B$100,'caseload data'!$B:$B,{"licence","community"}))</f>
        <v>0</v>
      </c>
      <c r="K100" s="104" cm="1">
        <f t="array" ref="K100">SUM(SUMIFS('caseload data'!L:L,'caseload data'!$D:$D,"PO",'caseload data'!$A:$A,$B$100,'caseload data'!$B:$B,{"licence","community"}))</f>
        <v>0</v>
      </c>
      <c r="L100" s="104" cm="1">
        <f t="array" ref="L100">SUM(SUMIFS('caseload data'!M:M,'caseload data'!$D:$D,"PO",'caseload data'!$A:$A,$B$100,'caseload data'!$B:$B,{"licence","community"}))</f>
        <v>0</v>
      </c>
      <c r="M100" s="104" cm="1">
        <f t="array" ref="M100">SUM(SUMIFS('caseload data'!N:N,'caseload data'!$D:$D,"PO",'caseload data'!$A:$A,$B$100,'caseload data'!$B:$B,{"licence","community"}))</f>
        <v>0</v>
      </c>
      <c r="N100" s="104" cm="1">
        <f t="array" ref="N100">SUM(SUMIFS('caseload data'!O:O,'caseload data'!$D:$D,"PO",'caseload data'!$A:$A,$B$100,'caseload data'!$B:$B,{"licence","community"}))</f>
        <v>0</v>
      </c>
      <c r="O100" s="104" cm="1">
        <f t="array" ref="O100">SUM(SUMIFS('caseload data'!P:P,'caseload data'!$D:$D,"PO",'caseload data'!$A:$A,$B$100,'caseload data'!$B:$B,{"licence","community"}))</f>
        <v>0</v>
      </c>
      <c r="P100" s="104" cm="1">
        <f t="array" ref="P100">SUM(SUMIFS('caseload data'!Q:Q,'caseload data'!$D:$D,"PO",'caseload data'!$A:$A,$B$100,'caseload data'!$B:$B,{"licence","community"}))</f>
        <v>0</v>
      </c>
      <c r="Q100" s="104" cm="1">
        <f t="array" ref="Q100">SUM(SUMIFS('caseload data'!R:R,'caseload data'!$D:$D,"PO",'caseload data'!$A:$A,$B$100,'caseload data'!$B:$B,{"licence","community"}))</f>
        <v>0</v>
      </c>
      <c r="R100" s="104" cm="1">
        <f t="array" ref="R100">SUM(SUMIFS('caseload data'!S:S,'caseload data'!$D:$D,"PO",'caseload data'!$A:$A,$B$100,'caseload data'!$B:$B,{"licence","community"}))</f>
        <v>0</v>
      </c>
      <c r="S100" s="104" cm="1">
        <f t="array" ref="S100">SUM(SUMIFS('caseload data'!T:T,'caseload data'!$D:$D,"PO",'caseload data'!$A:$A,$B$100,'caseload data'!$B:$B,{"licence","community"}))</f>
        <v>0</v>
      </c>
      <c r="T100" s="104">
        <f>SUM(SUMIFS('caseload data'!V:V,'caseload data'!D:D,"PO",'caseload data'!A:A,B100,'caseload data'!B:B,{"licence","community"}))</f>
        <v>0</v>
      </c>
      <c r="U100" s="73"/>
      <c r="V100" s="73"/>
      <c r="W100" s="337" t="s">
        <v>28</v>
      </c>
      <c r="X100" s="138" t="s">
        <v>911</v>
      </c>
      <c r="Y100" s="181" t="e">
        <f>SUM(D100)/SUM(D$100:D$103)</f>
        <v>#DIV/0!</v>
      </c>
      <c r="Z100" s="181" t="e">
        <f t="shared" ref="Z100:AN103" si="20">SUM(E100)/SUM(E$100:E$103)</f>
        <v>#DIV/0!</v>
      </c>
      <c r="AA100" s="181" t="e">
        <f t="shared" si="20"/>
        <v>#DIV/0!</v>
      </c>
      <c r="AB100" s="181" t="e">
        <f t="shared" si="20"/>
        <v>#DIV/0!</v>
      </c>
      <c r="AC100" s="181" t="e">
        <f t="shared" si="20"/>
        <v>#DIV/0!</v>
      </c>
      <c r="AD100" s="181" t="e">
        <f t="shared" si="20"/>
        <v>#DIV/0!</v>
      </c>
      <c r="AE100" s="181" t="e">
        <f t="shared" si="20"/>
        <v>#DIV/0!</v>
      </c>
      <c r="AF100" s="181" t="e">
        <f t="shared" si="20"/>
        <v>#DIV/0!</v>
      </c>
      <c r="AG100" s="181" t="e">
        <f t="shared" si="20"/>
        <v>#DIV/0!</v>
      </c>
      <c r="AH100" s="181" t="e">
        <f t="shared" si="20"/>
        <v>#DIV/0!</v>
      </c>
      <c r="AI100" s="181" t="e">
        <f t="shared" si="20"/>
        <v>#DIV/0!</v>
      </c>
      <c r="AJ100" s="181" t="e">
        <f t="shared" si="20"/>
        <v>#DIV/0!</v>
      </c>
      <c r="AK100" s="181" t="e">
        <f t="shared" si="20"/>
        <v>#DIV/0!</v>
      </c>
      <c r="AL100" s="181" t="e">
        <f t="shared" si="20"/>
        <v>#DIV/0!</v>
      </c>
      <c r="AM100" s="181" t="e">
        <f t="shared" si="20"/>
        <v>#DIV/0!</v>
      </c>
      <c r="AN100" s="181" t="e">
        <f t="shared" si="20"/>
        <v>#DIV/0!</v>
      </c>
    </row>
    <row r="101" spans="2:40" x14ac:dyDescent="0.15">
      <c r="B101" s="338"/>
      <c r="C101" s="139" t="s">
        <v>912</v>
      </c>
      <c r="D101" s="104" cm="1">
        <f t="array" ref="D101">SUM(SUMIFS('caseload data'!E:E,'caseload data'!$D:$D,"PSO",'caseload data'!$A:$A,"South West",'caseload data'!$B:$B,{"licence","community"}))</f>
        <v>0</v>
      </c>
      <c r="E101" s="104" cm="1">
        <f t="array" ref="E101">SUM(SUMIFS('caseload data'!F:F,'caseload data'!$D:$D,"PSO",'caseload data'!$A:$A,"South West",'caseload data'!$B:$B,{"licence","community"}))</f>
        <v>0</v>
      </c>
      <c r="F101" s="104" cm="1">
        <f t="array" ref="F101">SUM(SUMIFS('caseload data'!G:G,'caseload data'!$D:$D,"PSO",'caseload data'!$A:$A,"South West",'caseload data'!$B:$B,{"licence","community"}))</f>
        <v>0</v>
      </c>
      <c r="G101" s="104" cm="1">
        <f t="array" ref="G101">SUM(SUMIFS('caseload data'!H:H,'caseload data'!$D:$D,"PSO",'caseload data'!$A:$A,"South West",'caseload data'!$B:$B,{"licence","community"}))</f>
        <v>0</v>
      </c>
      <c r="H101" s="104" cm="1">
        <f t="array" ref="H101">SUM(SUMIFS('caseload data'!I:I,'caseload data'!$D:$D,"PSO",'caseload data'!$A:$A,"South West",'caseload data'!$B:$B,{"licence","community"}))</f>
        <v>0</v>
      </c>
      <c r="I101" s="104" cm="1">
        <f t="array" ref="I101">SUM(SUMIFS('caseload data'!J:J,'caseload data'!$D:$D,"PSO",'caseload data'!$A:$A,"South West",'caseload data'!$B:$B,{"licence","community"}))</f>
        <v>0</v>
      </c>
      <c r="J101" s="104" cm="1">
        <f t="array" ref="J101">SUM(SUMIFS('caseload data'!K:K,'caseload data'!$D:$D,"PSO",'caseload data'!$A:$A,"South West",'caseload data'!$B:$B,{"licence","community"}))</f>
        <v>0</v>
      </c>
      <c r="K101" s="104" cm="1">
        <f t="array" ref="K101">SUM(SUMIFS('caseload data'!L:L,'caseload data'!$D:$D,"PSO",'caseload data'!$A:$A,"South West",'caseload data'!$B:$B,{"licence","community"}))</f>
        <v>0</v>
      </c>
      <c r="L101" s="104" cm="1">
        <f t="array" ref="L101">SUM(SUMIFS('caseload data'!M:M,'caseload data'!$D:$D,"PSO",'caseload data'!$A:$A,"South West",'caseload data'!$B:$B,{"licence","community"}))</f>
        <v>0</v>
      </c>
      <c r="M101" s="104" cm="1">
        <f t="array" ref="M101">SUM(SUMIFS('caseload data'!N:N,'caseload data'!$D:$D,"PSO",'caseload data'!$A:$A,"South West",'caseload data'!$B:$B,{"licence","community"}))</f>
        <v>0</v>
      </c>
      <c r="N101" s="104" cm="1">
        <f t="array" ref="N101">SUM(SUMIFS('caseload data'!O:O,'caseload data'!$D:$D,"PSO",'caseload data'!$A:$A,"South West",'caseload data'!$B:$B,{"licence","community"}))</f>
        <v>0</v>
      </c>
      <c r="O101" s="104" cm="1">
        <f t="array" ref="O101">SUM(SUMIFS('caseload data'!P:P,'caseload data'!$D:$D,"PSO",'caseload data'!$A:$A,"South West",'caseload data'!$B:$B,{"licence","community"}))</f>
        <v>0</v>
      </c>
      <c r="P101" s="104" cm="1">
        <f t="array" ref="P101">SUM(SUMIFS('caseload data'!Q:Q,'caseload data'!$D:$D,"PSO",'caseload data'!$A:$A,"South West",'caseload data'!$B:$B,{"licence","community"}))</f>
        <v>0</v>
      </c>
      <c r="Q101" s="104" cm="1">
        <f t="array" ref="Q101">SUM(SUMIFS('caseload data'!R:R,'caseload data'!$D:$D,"PSO",'caseload data'!$A:$A,"South West",'caseload data'!$B:$B,{"licence","community"}))</f>
        <v>0</v>
      </c>
      <c r="R101" s="104" cm="1">
        <f t="array" ref="R101">SUM(SUMIFS('caseload data'!S:S,'caseload data'!$D:$D,"PSO",'caseload data'!$A:$A,"South West",'caseload data'!$B:$B,{"licence","community"}))</f>
        <v>0</v>
      </c>
      <c r="S101" s="104" cm="1">
        <f t="array" ref="S101">SUM(SUMIFS('caseload data'!T:T,'caseload data'!$D:$D,"PSO",'caseload data'!$A:$A,"South West",'caseload data'!$B:$B,{"licence","community"}))</f>
        <v>0</v>
      </c>
      <c r="T101" s="104" cm="1">
        <f t="array" ref="T101">SUM(SUMIFS('caseload data'!V:V,'caseload data'!D:D,"PSO",'caseload data'!A:A,"South West",'caseload data'!B:B,{"licence","community"}))</f>
        <v>0</v>
      </c>
      <c r="U101" s="73"/>
      <c r="V101" s="73"/>
      <c r="W101" s="338"/>
      <c r="X101" s="139" t="s">
        <v>912</v>
      </c>
      <c r="Y101" s="181" t="e">
        <f>SUM(D101)/SUM(D$100:D$103)</f>
        <v>#DIV/0!</v>
      </c>
      <c r="Z101" s="181" t="e">
        <f t="shared" si="20"/>
        <v>#DIV/0!</v>
      </c>
      <c r="AA101" s="181" t="e">
        <f t="shared" si="20"/>
        <v>#DIV/0!</v>
      </c>
      <c r="AB101" s="181" t="e">
        <f t="shared" si="20"/>
        <v>#DIV/0!</v>
      </c>
      <c r="AC101" s="181" t="e">
        <f t="shared" si="20"/>
        <v>#DIV/0!</v>
      </c>
      <c r="AD101" s="181" t="e">
        <f t="shared" si="20"/>
        <v>#DIV/0!</v>
      </c>
      <c r="AE101" s="181" t="e">
        <f t="shared" si="20"/>
        <v>#DIV/0!</v>
      </c>
      <c r="AF101" s="181" t="e">
        <f t="shared" si="20"/>
        <v>#DIV/0!</v>
      </c>
      <c r="AG101" s="181" t="e">
        <f t="shared" si="20"/>
        <v>#DIV/0!</v>
      </c>
      <c r="AH101" s="181" t="e">
        <f t="shared" si="20"/>
        <v>#DIV/0!</v>
      </c>
      <c r="AI101" s="181" t="e">
        <f t="shared" si="20"/>
        <v>#DIV/0!</v>
      </c>
      <c r="AJ101" s="181" t="e">
        <f t="shared" si="20"/>
        <v>#DIV/0!</v>
      </c>
      <c r="AK101" s="181" t="e">
        <f t="shared" si="20"/>
        <v>#DIV/0!</v>
      </c>
      <c r="AL101" s="181" t="e">
        <f t="shared" si="20"/>
        <v>#DIV/0!</v>
      </c>
      <c r="AM101" s="181" t="e">
        <f t="shared" si="20"/>
        <v>#DIV/0!</v>
      </c>
      <c r="AN101" s="181" t="e">
        <f t="shared" si="20"/>
        <v>#DIV/0!</v>
      </c>
    </row>
    <row r="102" spans="2:40" x14ac:dyDescent="0.15">
      <c r="B102" s="338"/>
      <c r="C102" s="139" t="s">
        <v>913</v>
      </c>
      <c r="D102" s="104" cm="1">
        <f t="array" ref="D102">SUM(SUMIFS('caseload data'!E:E,'caseload data'!$D:$D,"TPO",'caseload data'!$A:$A,"South West",'caseload data'!$B:$B,{"licence","community"}))</f>
        <v>0</v>
      </c>
      <c r="E102" s="104" cm="1">
        <f t="array" ref="E102">SUM(SUMIFS('caseload data'!F:F,'caseload data'!$D:$D,"TPO",'caseload data'!$A:$A,"South West",'caseload data'!$B:$B,{"licence","community"}))</f>
        <v>0</v>
      </c>
      <c r="F102" s="104" cm="1">
        <f t="array" ref="F102">SUM(SUMIFS('caseload data'!G:G,'caseload data'!$D:$D,"TPO",'caseload data'!$A:$A,"South West",'caseload data'!$B:$B,{"licence","community"}))</f>
        <v>0</v>
      </c>
      <c r="G102" s="104" cm="1">
        <f t="array" ref="G102">SUM(SUMIFS('caseload data'!H:H,'caseload data'!$D:$D,"TPO",'caseload data'!$A:$A,"South West",'caseload data'!$B:$B,{"licence","community"}))</f>
        <v>0</v>
      </c>
      <c r="H102" s="104" cm="1">
        <f t="array" ref="H102">SUM(SUMIFS('caseload data'!I:I,'caseload data'!$D:$D,"TPO",'caseload data'!$A:$A,"South West",'caseload data'!$B:$B,{"licence","community"}))</f>
        <v>0</v>
      </c>
      <c r="I102" s="104" cm="1">
        <f t="array" ref="I102">SUM(SUMIFS('caseload data'!J:J,'caseload data'!$D:$D,"TPO",'caseload data'!$A:$A,"South West",'caseload data'!$B:$B,{"licence","community"}))</f>
        <v>0</v>
      </c>
      <c r="J102" s="104" cm="1">
        <f t="array" ref="J102">SUM(SUMIFS('caseload data'!K:K,'caseload data'!$D:$D,"TPO",'caseload data'!$A:$A,"South West",'caseload data'!$B:$B,{"licence","community"}))</f>
        <v>0</v>
      </c>
      <c r="K102" s="104" cm="1">
        <f t="array" ref="K102">SUM(SUMIFS('caseload data'!L:L,'caseload data'!$D:$D,"TPO",'caseload data'!$A:$A,"South West",'caseload data'!$B:$B,{"licence","community"}))</f>
        <v>0</v>
      </c>
      <c r="L102" s="104" cm="1">
        <f t="array" ref="L102">SUM(SUMIFS('caseload data'!M:M,'caseload data'!$D:$D,"TPO",'caseload data'!$A:$A,"South West",'caseload data'!$B:$B,{"licence","community"}))</f>
        <v>0</v>
      </c>
      <c r="M102" s="104" cm="1">
        <f t="array" ref="M102">SUM(SUMIFS('caseload data'!N:N,'caseload data'!$D:$D,"TPO",'caseload data'!$A:$A,"South West",'caseload data'!$B:$B,{"licence","community"}))</f>
        <v>0</v>
      </c>
      <c r="N102" s="104" cm="1">
        <f t="array" ref="N102">SUM(SUMIFS('caseload data'!O:O,'caseload data'!$D:$D,"TPO",'caseload data'!$A:$A,"South West",'caseload data'!$B:$B,{"licence","community"}))</f>
        <v>0</v>
      </c>
      <c r="O102" s="104" cm="1">
        <f t="array" ref="O102">SUM(SUMIFS('caseload data'!P:P,'caseload data'!$D:$D,"TPO",'caseload data'!$A:$A,"South West",'caseload data'!$B:$B,{"licence","community"}))</f>
        <v>0</v>
      </c>
      <c r="P102" s="104" cm="1">
        <f t="array" ref="P102">SUM(SUMIFS('caseload data'!Q:Q,'caseload data'!$D:$D,"TPO",'caseload data'!$A:$A,"South West",'caseload data'!$B:$B,{"licence","community"}))</f>
        <v>0</v>
      </c>
      <c r="Q102" s="104" cm="1">
        <f t="array" ref="Q102">SUM(SUMIFS('caseload data'!R:R,'caseload data'!$D:$D,"TPO",'caseload data'!$A:$A,"South West",'caseload data'!$B:$B,{"licence","community"}))</f>
        <v>0</v>
      </c>
      <c r="R102" s="104" cm="1">
        <f t="array" ref="R102">SUM(SUMIFS('caseload data'!S:S,'caseload data'!$D:$D,"TPO",'caseload data'!$A:$A,"South West",'caseload data'!$B:$B,{"licence","community"}))</f>
        <v>0</v>
      </c>
      <c r="S102" s="104" cm="1">
        <f t="array" ref="S102">SUM(SUMIFS('caseload data'!T:T,'caseload data'!$D:$D,"TPO",'caseload data'!$A:$A,"South West",'caseload data'!$B:$B,{"licence","community"}))</f>
        <v>0</v>
      </c>
      <c r="T102" s="104" cm="1">
        <f t="array" ref="T102">SUM(SUMIFS('caseload data'!V:V,'caseload data'!D:D,"TPO",'caseload data'!A:A,"South West",'caseload data'!B:B,{"licence","community"}))</f>
        <v>0</v>
      </c>
      <c r="U102" s="73"/>
      <c r="V102" s="73"/>
      <c r="W102" s="338"/>
      <c r="X102" s="139" t="s">
        <v>913</v>
      </c>
      <c r="Y102" s="181" t="e">
        <f>SUM(D102)/SUM(D$100:D$103)</f>
        <v>#DIV/0!</v>
      </c>
      <c r="Z102" s="181" t="e">
        <f t="shared" si="20"/>
        <v>#DIV/0!</v>
      </c>
      <c r="AA102" s="181" t="e">
        <f t="shared" si="20"/>
        <v>#DIV/0!</v>
      </c>
      <c r="AB102" s="181" t="e">
        <f t="shared" si="20"/>
        <v>#DIV/0!</v>
      </c>
      <c r="AC102" s="181" t="e">
        <f t="shared" si="20"/>
        <v>#DIV/0!</v>
      </c>
      <c r="AD102" s="181" t="e">
        <f t="shared" si="20"/>
        <v>#DIV/0!</v>
      </c>
      <c r="AE102" s="181" t="e">
        <f t="shared" si="20"/>
        <v>#DIV/0!</v>
      </c>
      <c r="AF102" s="181" t="e">
        <f t="shared" si="20"/>
        <v>#DIV/0!</v>
      </c>
      <c r="AG102" s="181" t="e">
        <f t="shared" si="20"/>
        <v>#DIV/0!</v>
      </c>
      <c r="AH102" s="181" t="e">
        <f t="shared" si="20"/>
        <v>#DIV/0!</v>
      </c>
      <c r="AI102" s="181" t="e">
        <f t="shared" si="20"/>
        <v>#DIV/0!</v>
      </c>
      <c r="AJ102" s="181" t="e">
        <f t="shared" si="20"/>
        <v>#DIV/0!</v>
      </c>
      <c r="AK102" s="181" t="e">
        <f t="shared" si="20"/>
        <v>#DIV/0!</v>
      </c>
      <c r="AL102" s="181" t="e">
        <f t="shared" si="20"/>
        <v>#DIV/0!</v>
      </c>
      <c r="AM102" s="181" t="e">
        <f t="shared" si="20"/>
        <v>#DIV/0!</v>
      </c>
      <c r="AN102" s="181" t="e">
        <f t="shared" si="20"/>
        <v>#DIV/0!</v>
      </c>
    </row>
    <row r="103" spans="2:40" x14ac:dyDescent="0.15">
      <c r="B103" s="339"/>
      <c r="C103" s="140" t="s">
        <v>914</v>
      </c>
      <c r="D103" s="104" cm="1">
        <f t="array" ref="D103">SUM(SUMIFS('caseload data'!E:E,'caseload data'!$D:$D,"SPO",'caseload data'!$A:$A,"South West",'caseload data'!$B:$B,{"licence","community"}))</f>
        <v>0</v>
      </c>
      <c r="E103" s="104" cm="1">
        <f t="array" ref="E103">SUM(SUMIFS('caseload data'!F:F,'caseload data'!$D:$D,"SPO",'caseload data'!$A:$A,"South West",'caseload data'!$B:$B,{"licence","community"}))</f>
        <v>0</v>
      </c>
      <c r="F103" s="104" cm="1">
        <f t="array" ref="F103">SUM(SUMIFS('caseload data'!G:G,'caseload data'!$D:$D,"SPO",'caseload data'!$A:$A,"South West",'caseload data'!$B:$B,{"licence","community"}))</f>
        <v>0</v>
      </c>
      <c r="G103" s="104" cm="1">
        <f t="array" ref="G103">SUM(SUMIFS('caseload data'!H:H,'caseload data'!$D:$D,"SPO",'caseload data'!$A:$A,"South West",'caseload data'!$B:$B,{"licence","community"}))</f>
        <v>0</v>
      </c>
      <c r="H103" s="104" cm="1">
        <f t="array" ref="H103">SUM(SUMIFS('caseload data'!I:I,'caseload data'!$D:$D,"SPO",'caseload data'!$A:$A,"South West",'caseload data'!$B:$B,{"licence","community"}))</f>
        <v>0</v>
      </c>
      <c r="I103" s="104" cm="1">
        <f t="array" ref="I103">SUM(SUMIFS('caseload data'!J:J,'caseload data'!$D:$D,"SPO",'caseload data'!$A:$A,"South West",'caseload data'!$B:$B,{"licence","community"}))</f>
        <v>0</v>
      </c>
      <c r="J103" s="104" cm="1">
        <f t="array" ref="J103">SUM(SUMIFS('caseload data'!K:K,'caseload data'!$D:$D,"SPO",'caseload data'!$A:$A,"South West",'caseload data'!$B:$B,{"licence","community"}))</f>
        <v>0</v>
      </c>
      <c r="K103" s="104" cm="1">
        <f t="array" ref="K103">SUM(SUMIFS('caseload data'!L:L,'caseload data'!$D:$D,"SPO",'caseload data'!$A:$A,"South West",'caseload data'!$B:$B,{"licence","community"}))</f>
        <v>0</v>
      </c>
      <c r="L103" s="104" cm="1">
        <f t="array" ref="L103">SUM(SUMIFS('caseload data'!M:M,'caseload data'!$D:$D,"SPO",'caseload data'!$A:$A,"South West",'caseload data'!$B:$B,{"licence","community"}))</f>
        <v>0</v>
      </c>
      <c r="M103" s="104" cm="1">
        <f t="array" ref="M103">SUM(SUMIFS('caseload data'!N:N,'caseload data'!$D:$D,"SPO",'caseload data'!$A:$A,"South West",'caseload data'!$B:$B,{"licence","community"}))</f>
        <v>0</v>
      </c>
      <c r="N103" s="104" cm="1">
        <f t="array" ref="N103">SUM(SUMIFS('caseload data'!O:O,'caseload data'!$D:$D,"SPO",'caseload data'!$A:$A,"South West",'caseload data'!$B:$B,{"licence","community"}))</f>
        <v>0</v>
      </c>
      <c r="O103" s="104" cm="1">
        <f t="array" ref="O103">SUM(SUMIFS('caseload data'!P:P,'caseload data'!$D:$D,"SPO",'caseload data'!$A:$A,"South West",'caseload data'!$B:$B,{"licence","community"}))</f>
        <v>0</v>
      </c>
      <c r="P103" s="104" cm="1">
        <f t="array" ref="P103">SUM(SUMIFS('caseload data'!Q:Q,'caseload data'!$D:$D,"SPO",'caseload data'!$A:$A,"South West",'caseload data'!$B:$B,{"licence","community"}))</f>
        <v>0</v>
      </c>
      <c r="Q103" s="104" cm="1">
        <f t="array" ref="Q103">SUM(SUMIFS('caseload data'!R:R,'caseload data'!$D:$D,"SPO",'caseload data'!$A:$A,"South West",'caseload data'!$B:$B,{"licence","community"}))</f>
        <v>0</v>
      </c>
      <c r="R103" s="104" cm="1">
        <f t="array" ref="R103">SUM(SUMIFS('caseload data'!S:S,'caseload data'!$D:$D,"SPO",'caseload data'!$A:$A,"South West",'caseload data'!$B:$B,{"licence","community"}))</f>
        <v>0</v>
      </c>
      <c r="S103" s="104" cm="1">
        <f t="array" ref="S103">SUM(SUMIFS('caseload data'!T:T,'caseload data'!$D:$D,"SPO",'caseload data'!$A:$A,"South West",'caseload data'!$B:$B,{"licence","community"}))</f>
        <v>0</v>
      </c>
      <c r="T103" s="104" cm="1">
        <f t="array" ref="T103">SUM(SUMIFS('caseload data'!V:V,'caseload data'!$D:$D,"SPO",'caseload data'!$A:$A,"South West",'caseload data'!$B:$B,{"licence","community"}))</f>
        <v>0</v>
      </c>
      <c r="U103" s="73"/>
      <c r="V103" s="73"/>
      <c r="W103" s="339"/>
      <c r="X103" s="140" t="s">
        <v>914</v>
      </c>
      <c r="Y103" s="181" t="e">
        <f>SUM(D103)/SUM(D$100:D$103)</f>
        <v>#DIV/0!</v>
      </c>
      <c r="Z103" s="181" t="e">
        <f t="shared" si="20"/>
        <v>#DIV/0!</v>
      </c>
      <c r="AA103" s="181" t="e">
        <f t="shared" si="20"/>
        <v>#DIV/0!</v>
      </c>
      <c r="AB103" s="181" t="e">
        <f t="shared" si="20"/>
        <v>#DIV/0!</v>
      </c>
      <c r="AC103" s="181" t="e">
        <f t="shared" si="20"/>
        <v>#DIV/0!</v>
      </c>
      <c r="AD103" s="181" t="e">
        <f t="shared" si="20"/>
        <v>#DIV/0!</v>
      </c>
      <c r="AE103" s="181" t="e">
        <f t="shared" si="20"/>
        <v>#DIV/0!</v>
      </c>
      <c r="AF103" s="181" t="e">
        <f t="shared" si="20"/>
        <v>#DIV/0!</v>
      </c>
      <c r="AG103" s="181" t="e">
        <f t="shared" si="20"/>
        <v>#DIV/0!</v>
      </c>
      <c r="AH103" s="181" t="e">
        <f t="shared" si="20"/>
        <v>#DIV/0!</v>
      </c>
      <c r="AI103" s="181" t="e">
        <f t="shared" si="20"/>
        <v>#DIV/0!</v>
      </c>
      <c r="AJ103" s="181" t="e">
        <f t="shared" si="20"/>
        <v>#DIV/0!</v>
      </c>
      <c r="AK103" s="181" t="e">
        <f t="shared" si="20"/>
        <v>#DIV/0!</v>
      </c>
      <c r="AL103" s="181" t="e">
        <f t="shared" si="20"/>
        <v>#DIV/0!</v>
      </c>
      <c r="AM103" s="181" t="e">
        <f t="shared" si="20"/>
        <v>#DIV/0!</v>
      </c>
      <c r="AN103" s="181" t="e">
        <f t="shared" si="20"/>
        <v>#DIV/0!</v>
      </c>
    </row>
    <row r="104" spans="2:40" x14ac:dyDescent="0.15">
      <c r="B104" s="337" t="s">
        <v>29</v>
      </c>
      <c r="C104" s="138" t="s">
        <v>911</v>
      </c>
      <c r="D104" s="104" cm="1">
        <f t="array" ref="D104">SUM(SUMIFS('caseload data'!E:E,'caseload data'!$D:$D,"PO",'caseload data'!$A:$A,$B$104,'caseload data'!$B:$B,{"licence","community"}))</f>
        <v>0</v>
      </c>
      <c r="E104" s="104" cm="1">
        <f t="array" ref="E104">SUM(SUMIFS('caseload data'!F:F,'caseload data'!$D:$D,"PO",'caseload data'!$A:$A,$B$104,'caseload data'!$B:$B,{"licence","community"}))</f>
        <v>0</v>
      </c>
      <c r="F104" s="104" cm="1">
        <f t="array" ref="F104">SUM(SUMIFS('caseload data'!G:G,'caseload data'!$D:$D,"PO",'caseload data'!$A:$A,$B$104,'caseload data'!$B:$B,{"licence","community"}))</f>
        <v>0</v>
      </c>
      <c r="G104" s="104" cm="1">
        <f t="array" ref="G104">SUM(SUMIFS('caseload data'!H:H,'caseload data'!$D:$D,"PO",'caseload data'!$A:$A,$B$104,'caseload data'!$B:$B,{"licence","community"}))</f>
        <v>0</v>
      </c>
      <c r="H104" s="104" cm="1">
        <f t="array" ref="H104">SUM(SUMIFS('caseload data'!I:I,'caseload data'!$D:$D,"PO",'caseload data'!$A:$A,$B$104,'caseload data'!$B:$B,{"licence","community"}))</f>
        <v>0</v>
      </c>
      <c r="I104" s="104" cm="1">
        <f t="array" ref="I104">SUM(SUMIFS('caseload data'!J:J,'caseload data'!$D:$D,"PO",'caseload data'!$A:$A,$B$104,'caseload data'!$B:$B,{"licence","community"}))</f>
        <v>0</v>
      </c>
      <c r="J104" s="104" cm="1">
        <f t="array" ref="J104">SUM(SUMIFS('caseload data'!K:K,'caseload data'!$D:$D,"PO",'caseload data'!$A:$A,$B$104,'caseload data'!$B:$B,{"licence","community"}))</f>
        <v>0</v>
      </c>
      <c r="K104" s="104" cm="1">
        <f t="array" ref="K104">SUM(SUMIFS('caseload data'!L:L,'caseload data'!$D:$D,"PO",'caseload data'!$A:$A,$B$104,'caseload data'!$B:$B,{"licence","community"}))</f>
        <v>0</v>
      </c>
      <c r="L104" s="104" cm="1">
        <f t="array" ref="L104">SUM(SUMIFS('caseload data'!M:M,'caseload data'!$D:$D,"PO",'caseload data'!$A:$A,$B$104,'caseload data'!$B:$B,{"licence","community"}))</f>
        <v>0</v>
      </c>
      <c r="M104" s="104" cm="1">
        <f t="array" ref="M104">SUM(SUMIFS('caseload data'!N:N,'caseload data'!$D:$D,"PO",'caseload data'!$A:$A,$B$104,'caseload data'!$B:$B,{"licence","community"}))</f>
        <v>0</v>
      </c>
      <c r="N104" s="104" cm="1">
        <f t="array" ref="N104">SUM(SUMIFS('caseload data'!O:O,'caseload data'!$D:$D,"PO",'caseload data'!$A:$A,$B$104,'caseload data'!$B:$B,{"licence","community"}))</f>
        <v>0</v>
      </c>
      <c r="O104" s="104" cm="1">
        <f t="array" ref="O104">SUM(SUMIFS('caseload data'!P:P,'caseload data'!$D:$D,"PO",'caseload data'!$A:$A,$B$104,'caseload data'!$B:$B,{"licence","community"}))</f>
        <v>0</v>
      </c>
      <c r="P104" s="104" cm="1">
        <f t="array" ref="P104">SUM(SUMIFS('caseload data'!Q:Q,'caseload data'!$D:$D,"PO",'caseload data'!$A:$A,$B$104,'caseload data'!$B:$B,{"licence","community"}))</f>
        <v>0</v>
      </c>
      <c r="Q104" s="104" cm="1">
        <f t="array" ref="Q104">SUM(SUMIFS('caseload data'!R:R,'caseload data'!$D:$D,"PO",'caseload data'!$A:$A,$B$104,'caseload data'!$B:$B,{"licence","community"}))</f>
        <v>0</v>
      </c>
      <c r="R104" s="104" cm="1">
        <f t="array" ref="R104">SUM(SUMIFS('caseload data'!S:S,'caseload data'!$D:$D,"PO",'caseload data'!$A:$A,$B$104,'caseload data'!$B:$B,{"licence","community"}))</f>
        <v>0</v>
      </c>
      <c r="S104" s="104" cm="1">
        <f t="array" ref="S104">SUM(SUMIFS('caseload data'!T:T,'caseload data'!$D:$D,"PO",'caseload data'!$A:$A,$B$104,'caseload data'!$B:$B,{"licence","community"}))</f>
        <v>0</v>
      </c>
      <c r="T104" s="104" cm="1">
        <f t="array" ref="T104">SUM(SUMIFS('caseload data'!V:V,'caseload data'!D:D,"PO",'caseload data'!A:A,B104,'caseload data'!B:B,{"licence","community"}))</f>
        <v>0</v>
      </c>
      <c r="U104" s="73"/>
      <c r="V104" s="73"/>
      <c r="W104" s="337" t="s">
        <v>29</v>
      </c>
      <c r="X104" s="138" t="s">
        <v>911</v>
      </c>
      <c r="Y104" s="181" t="e">
        <f>SUM(D104)/SUM(D$104:D$107)</f>
        <v>#DIV/0!</v>
      </c>
      <c r="Z104" s="181" t="e">
        <f t="shared" ref="Z104:AN107" si="21">SUM(E104)/SUM(E$104:E$107)</f>
        <v>#DIV/0!</v>
      </c>
      <c r="AA104" s="181" t="e">
        <f t="shared" si="21"/>
        <v>#DIV/0!</v>
      </c>
      <c r="AB104" s="181" t="e">
        <f t="shared" si="21"/>
        <v>#DIV/0!</v>
      </c>
      <c r="AC104" s="181" t="e">
        <f t="shared" si="21"/>
        <v>#DIV/0!</v>
      </c>
      <c r="AD104" s="181" t="e">
        <f t="shared" si="21"/>
        <v>#DIV/0!</v>
      </c>
      <c r="AE104" s="181" t="e">
        <f t="shared" si="21"/>
        <v>#DIV/0!</v>
      </c>
      <c r="AF104" s="181" t="e">
        <f t="shared" si="21"/>
        <v>#DIV/0!</v>
      </c>
      <c r="AG104" s="181" t="e">
        <f t="shared" si="21"/>
        <v>#DIV/0!</v>
      </c>
      <c r="AH104" s="181" t="e">
        <f t="shared" si="21"/>
        <v>#DIV/0!</v>
      </c>
      <c r="AI104" s="181" t="e">
        <f t="shared" si="21"/>
        <v>#DIV/0!</v>
      </c>
      <c r="AJ104" s="181" t="e">
        <f t="shared" si="21"/>
        <v>#DIV/0!</v>
      </c>
      <c r="AK104" s="181" t="e">
        <f t="shared" si="21"/>
        <v>#DIV/0!</v>
      </c>
      <c r="AL104" s="181" t="e">
        <f t="shared" si="21"/>
        <v>#DIV/0!</v>
      </c>
      <c r="AM104" s="181" t="e">
        <f t="shared" si="21"/>
        <v>#DIV/0!</v>
      </c>
      <c r="AN104" s="181" t="e">
        <f t="shared" si="21"/>
        <v>#DIV/0!</v>
      </c>
    </row>
    <row r="105" spans="2:40" x14ac:dyDescent="0.15">
      <c r="B105" s="338"/>
      <c r="C105" s="139" t="s">
        <v>912</v>
      </c>
      <c r="D105" s="104" cm="1">
        <f t="array" ref="D105">SUM(SUMIFS('caseload data'!E:E,'caseload data'!$D:$D,"PSO",'caseload data'!$A:$A,"Wales",'caseload data'!$B:$B,{"licence","community"}))</f>
        <v>0</v>
      </c>
      <c r="E105" s="104" cm="1">
        <f t="array" ref="E105">SUM(SUMIFS('caseload data'!F:F,'caseload data'!$D:$D,"PSO",'caseload data'!$A:$A,"Wales",'caseload data'!$B:$B,{"licence","community"}))</f>
        <v>0</v>
      </c>
      <c r="F105" s="104" cm="1">
        <f t="array" ref="F105">SUM(SUMIFS('caseload data'!G:G,'caseload data'!$D:$D,"PSO",'caseload data'!$A:$A,"Wales",'caseload data'!$B:$B,{"licence","community"}))</f>
        <v>0</v>
      </c>
      <c r="G105" s="104" cm="1">
        <f t="array" ref="G105">SUM(SUMIFS('caseload data'!H:H,'caseload data'!$D:$D,"PSO",'caseload data'!$A:$A,"Wales",'caseload data'!$B:$B,{"licence","community"}))</f>
        <v>0</v>
      </c>
      <c r="H105" s="104" cm="1">
        <f t="array" ref="H105">SUM(SUMIFS('caseload data'!I:I,'caseload data'!$D:$D,"PSO",'caseload data'!$A:$A,"Wales",'caseload data'!$B:$B,{"licence","community"}))</f>
        <v>0</v>
      </c>
      <c r="I105" s="104" cm="1">
        <f t="array" ref="I105">SUM(SUMIFS('caseload data'!J:J,'caseload data'!$D:$D,"PSO",'caseload data'!$A:$A,"Wales",'caseload data'!$B:$B,{"licence","community"}))</f>
        <v>0</v>
      </c>
      <c r="J105" s="104" cm="1">
        <f t="array" ref="J105">SUM(SUMIFS('caseload data'!K:K,'caseload data'!$D:$D,"PSO",'caseload data'!$A:$A,"Wales",'caseload data'!$B:$B,{"licence","community"}))</f>
        <v>0</v>
      </c>
      <c r="K105" s="104" cm="1">
        <f t="array" ref="K105">SUM(SUMIFS('caseload data'!L:L,'caseload data'!$D:$D,"PSO",'caseload data'!$A:$A,"Wales",'caseload data'!$B:$B,{"licence","community"}))</f>
        <v>0</v>
      </c>
      <c r="L105" s="104" cm="1">
        <f t="array" ref="L105">SUM(SUMIFS('caseload data'!M:M,'caseload data'!$D:$D,"PSO",'caseload data'!$A:$A,"Wales",'caseload data'!$B:$B,{"licence","community"}))</f>
        <v>0</v>
      </c>
      <c r="M105" s="104" cm="1">
        <f t="array" ref="M105">SUM(SUMIFS('caseload data'!N:N,'caseload data'!$D:$D,"PSO",'caseload data'!$A:$A,"Wales",'caseload data'!$B:$B,{"licence","community"}))</f>
        <v>0</v>
      </c>
      <c r="N105" s="104" cm="1">
        <f t="array" ref="N105">SUM(SUMIFS('caseload data'!O:O,'caseload data'!$D:$D,"PSO",'caseload data'!$A:$A,"Wales",'caseload data'!$B:$B,{"licence","community"}))</f>
        <v>0</v>
      </c>
      <c r="O105" s="104" cm="1">
        <f t="array" ref="O105">SUM(SUMIFS('caseload data'!P:P,'caseload data'!$D:$D,"PSO",'caseload data'!$A:$A,"Wales",'caseload data'!$B:$B,{"licence","community"}))</f>
        <v>0</v>
      </c>
      <c r="P105" s="104" cm="1">
        <f t="array" ref="P105">SUM(SUMIFS('caseload data'!Q:Q,'caseload data'!$D:$D,"PSO",'caseload data'!$A:$A,"Wales",'caseload data'!$B:$B,{"licence","community"}))</f>
        <v>0</v>
      </c>
      <c r="Q105" s="104" cm="1">
        <f t="array" ref="Q105">SUM(SUMIFS('caseload data'!R:R,'caseload data'!$D:$D,"PSO",'caseload data'!$A:$A,"Wales",'caseload data'!$B:$B,{"licence","community"}))</f>
        <v>0</v>
      </c>
      <c r="R105" s="104" cm="1">
        <f t="array" ref="R105">SUM(SUMIFS('caseload data'!S:S,'caseload data'!$D:$D,"PSO",'caseload data'!$A:$A,"Wales",'caseload data'!$B:$B,{"licence","community"}))</f>
        <v>0</v>
      </c>
      <c r="S105" s="104" cm="1">
        <f t="array" ref="S105">SUM(SUMIFS('caseload data'!T:T,'caseload data'!$D:$D,"PSO",'caseload data'!$A:$A,"Wales",'caseload data'!$B:$B,{"licence","community"}))</f>
        <v>0</v>
      </c>
      <c r="T105" s="104" cm="1">
        <f t="array" ref="T105">SUM(SUMIFS('caseload data'!V:V,'caseload data'!$D:$D,"PSO",'caseload data'!$A:$A,"Wales",'caseload data'!$B:$B,{"licence","community"}))</f>
        <v>0</v>
      </c>
      <c r="U105" s="73"/>
      <c r="V105" s="73"/>
      <c r="W105" s="338"/>
      <c r="X105" s="139" t="s">
        <v>912</v>
      </c>
      <c r="Y105" s="181" t="e">
        <f>SUM(D105)/SUM(D$104:D$107)</f>
        <v>#DIV/0!</v>
      </c>
      <c r="Z105" s="181" t="e">
        <f t="shared" si="21"/>
        <v>#DIV/0!</v>
      </c>
      <c r="AA105" s="181" t="e">
        <f t="shared" si="21"/>
        <v>#DIV/0!</v>
      </c>
      <c r="AB105" s="181" t="e">
        <f t="shared" si="21"/>
        <v>#DIV/0!</v>
      </c>
      <c r="AC105" s="181" t="e">
        <f t="shared" si="21"/>
        <v>#DIV/0!</v>
      </c>
      <c r="AD105" s="181" t="e">
        <f t="shared" si="21"/>
        <v>#DIV/0!</v>
      </c>
      <c r="AE105" s="181" t="e">
        <f t="shared" si="21"/>
        <v>#DIV/0!</v>
      </c>
      <c r="AF105" s="181" t="e">
        <f t="shared" si="21"/>
        <v>#DIV/0!</v>
      </c>
      <c r="AG105" s="181" t="e">
        <f t="shared" si="21"/>
        <v>#DIV/0!</v>
      </c>
      <c r="AH105" s="181" t="e">
        <f t="shared" si="21"/>
        <v>#DIV/0!</v>
      </c>
      <c r="AI105" s="181" t="e">
        <f t="shared" si="21"/>
        <v>#DIV/0!</v>
      </c>
      <c r="AJ105" s="181" t="e">
        <f t="shared" si="21"/>
        <v>#DIV/0!</v>
      </c>
      <c r="AK105" s="181" t="e">
        <f t="shared" si="21"/>
        <v>#DIV/0!</v>
      </c>
      <c r="AL105" s="181" t="e">
        <f t="shared" si="21"/>
        <v>#DIV/0!</v>
      </c>
      <c r="AM105" s="181" t="e">
        <f t="shared" si="21"/>
        <v>#DIV/0!</v>
      </c>
      <c r="AN105" s="181" t="e">
        <f t="shared" si="21"/>
        <v>#DIV/0!</v>
      </c>
    </row>
    <row r="106" spans="2:40" x14ac:dyDescent="0.15">
      <c r="B106" s="338"/>
      <c r="C106" s="139" t="s">
        <v>913</v>
      </c>
      <c r="D106" s="104" cm="1">
        <f t="array" ref="D106">SUM(SUMIFS('caseload data'!E:E,'caseload data'!$D:$D,"TPO",'caseload data'!$A:$A,"Wales",'caseload data'!$B:$B,{"licence","community"}))</f>
        <v>0</v>
      </c>
      <c r="E106" s="104" cm="1">
        <f t="array" ref="E106">SUM(SUMIFS('caseload data'!F:F,'caseload data'!$D:$D,"TPO",'caseload data'!$A:$A,"Wales",'caseload data'!$B:$B,{"licence","community"}))</f>
        <v>0</v>
      </c>
      <c r="F106" s="104" cm="1">
        <f t="array" ref="F106">SUM(SUMIFS('caseload data'!G:G,'caseload data'!$D:$D,"TPO",'caseload data'!$A:$A,"Wales",'caseload data'!$B:$B,{"licence","community"}))</f>
        <v>0</v>
      </c>
      <c r="G106" s="104" cm="1">
        <f t="array" ref="G106">SUM(SUMIFS('caseload data'!H:H,'caseload data'!$D:$D,"TPO",'caseload data'!$A:$A,"Wales",'caseload data'!$B:$B,{"licence","community"}))</f>
        <v>0</v>
      </c>
      <c r="H106" s="104" cm="1">
        <f t="array" ref="H106">SUM(SUMIFS('caseload data'!I:I,'caseload data'!$D:$D,"TPO",'caseload data'!$A:$A,"Wales",'caseload data'!$B:$B,{"licence","community"}))</f>
        <v>0</v>
      </c>
      <c r="I106" s="104" cm="1">
        <f t="array" ref="I106">SUM(SUMIFS('caseload data'!J:J,'caseload data'!$D:$D,"TPO",'caseload data'!$A:$A,"Wales",'caseload data'!$B:$B,{"licence","community"}))</f>
        <v>0</v>
      </c>
      <c r="J106" s="104" cm="1">
        <f t="array" ref="J106">SUM(SUMIFS('caseload data'!K:K,'caseload data'!$D:$D,"TPO",'caseload data'!$A:$A,"Wales",'caseload data'!$B:$B,{"licence","community"}))</f>
        <v>0</v>
      </c>
      <c r="K106" s="104" cm="1">
        <f t="array" ref="K106">SUM(SUMIFS('caseload data'!L:L,'caseload data'!$D:$D,"TPO",'caseload data'!$A:$A,"Wales",'caseload data'!$B:$B,{"licence","community"}))</f>
        <v>0</v>
      </c>
      <c r="L106" s="104" cm="1">
        <f t="array" ref="L106">SUM(SUMIFS('caseload data'!M:M,'caseload data'!$D:$D,"TPO",'caseload data'!$A:$A,"Wales",'caseload data'!$B:$B,{"licence","community"}))</f>
        <v>0</v>
      </c>
      <c r="M106" s="104" cm="1">
        <f t="array" ref="M106">SUM(SUMIFS('caseload data'!N:N,'caseload data'!$D:$D,"TPO",'caseload data'!$A:$A,"Wales",'caseload data'!$B:$B,{"licence","community"}))</f>
        <v>0</v>
      </c>
      <c r="N106" s="104" cm="1">
        <f t="array" ref="N106">SUM(SUMIFS('caseload data'!O:O,'caseload data'!$D:$D,"TPO",'caseload data'!$A:$A,"Wales",'caseload data'!$B:$B,{"licence","community"}))</f>
        <v>0</v>
      </c>
      <c r="O106" s="104" cm="1">
        <f t="array" ref="O106">SUM(SUMIFS('caseload data'!P:P,'caseload data'!$D:$D,"TPO",'caseload data'!$A:$A,"Wales",'caseload data'!$B:$B,{"licence","community"}))</f>
        <v>0</v>
      </c>
      <c r="P106" s="104" cm="1">
        <f t="array" ref="P106">SUM(SUMIFS('caseload data'!Q:Q,'caseload data'!$D:$D,"TPO",'caseload data'!$A:$A,"Wales",'caseload data'!$B:$B,{"licence","community"}))</f>
        <v>0</v>
      </c>
      <c r="Q106" s="104" cm="1">
        <f t="array" ref="Q106">SUM(SUMIFS('caseload data'!R:R,'caseload data'!$D:$D,"TPO",'caseload data'!$A:$A,"Wales",'caseload data'!$B:$B,{"licence","community"}))</f>
        <v>0</v>
      </c>
      <c r="R106" s="104" cm="1">
        <f t="array" ref="R106">SUM(SUMIFS('caseload data'!S:S,'caseload data'!$D:$D,"TPO",'caseload data'!$A:$A,"Wales",'caseload data'!$B:$B,{"licence","community"}))</f>
        <v>0</v>
      </c>
      <c r="S106" s="104" cm="1">
        <f t="array" ref="S106">SUM(SUMIFS('caseload data'!T:T,'caseload data'!$D:$D,"TPO",'caseload data'!$A:$A,"Wales",'caseload data'!$B:$B,{"licence","community"}))</f>
        <v>0</v>
      </c>
      <c r="T106" s="104" cm="1">
        <f t="array" ref="T106">SUM(SUMIFS('caseload data'!V:V,'caseload data'!D:D,"TPO",'caseload data'!A:A,"Wales",'caseload data'!B:B,{"licence","community"}))</f>
        <v>0</v>
      </c>
      <c r="U106" s="73"/>
      <c r="V106" s="73"/>
      <c r="W106" s="338"/>
      <c r="X106" s="139" t="s">
        <v>913</v>
      </c>
      <c r="Y106" s="181" t="e">
        <f>SUM(D106)/SUM(D$104:D$107)</f>
        <v>#DIV/0!</v>
      </c>
      <c r="Z106" s="181" t="e">
        <f t="shared" si="21"/>
        <v>#DIV/0!</v>
      </c>
      <c r="AA106" s="181" t="e">
        <f t="shared" si="21"/>
        <v>#DIV/0!</v>
      </c>
      <c r="AB106" s="181" t="e">
        <f t="shared" si="21"/>
        <v>#DIV/0!</v>
      </c>
      <c r="AC106" s="181" t="e">
        <f t="shared" si="21"/>
        <v>#DIV/0!</v>
      </c>
      <c r="AD106" s="181" t="e">
        <f t="shared" si="21"/>
        <v>#DIV/0!</v>
      </c>
      <c r="AE106" s="181" t="e">
        <f t="shared" si="21"/>
        <v>#DIV/0!</v>
      </c>
      <c r="AF106" s="181" t="e">
        <f t="shared" si="21"/>
        <v>#DIV/0!</v>
      </c>
      <c r="AG106" s="181" t="e">
        <f t="shared" si="21"/>
        <v>#DIV/0!</v>
      </c>
      <c r="AH106" s="181" t="e">
        <f t="shared" si="21"/>
        <v>#DIV/0!</v>
      </c>
      <c r="AI106" s="181" t="e">
        <f t="shared" si="21"/>
        <v>#DIV/0!</v>
      </c>
      <c r="AJ106" s="181" t="e">
        <f t="shared" si="21"/>
        <v>#DIV/0!</v>
      </c>
      <c r="AK106" s="181" t="e">
        <f t="shared" si="21"/>
        <v>#DIV/0!</v>
      </c>
      <c r="AL106" s="181" t="e">
        <f t="shared" si="21"/>
        <v>#DIV/0!</v>
      </c>
      <c r="AM106" s="181" t="e">
        <f t="shared" si="21"/>
        <v>#DIV/0!</v>
      </c>
      <c r="AN106" s="181" t="e">
        <f t="shared" si="21"/>
        <v>#DIV/0!</v>
      </c>
    </row>
    <row r="107" spans="2:40" x14ac:dyDescent="0.15">
      <c r="B107" s="339"/>
      <c r="C107" s="140" t="s">
        <v>914</v>
      </c>
      <c r="D107" s="104" cm="1">
        <f t="array" ref="D107">SUM(SUMIFS('caseload data'!E:E,'caseload data'!$D:$D,"SPO",'caseload data'!$A:$A,"Wales",'caseload data'!$B:$B,{"licence","community"}))</f>
        <v>0</v>
      </c>
      <c r="E107" s="104" cm="1">
        <f t="array" ref="E107">SUM(SUMIFS('caseload data'!F:F,'caseload data'!$D:$D,"SPO",'caseload data'!$A:$A,"Wales",'caseload data'!$B:$B,{"licence","community"}))</f>
        <v>0</v>
      </c>
      <c r="F107" s="104" cm="1">
        <f t="array" ref="F107">SUM(SUMIFS('caseload data'!G:G,'caseload data'!$D:$D,"SPO",'caseload data'!$A:$A,"Wales",'caseload data'!$B:$B,{"licence","community"}))</f>
        <v>0</v>
      </c>
      <c r="G107" s="104" cm="1">
        <f t="array" ref="G107">SUM(SUMIFS('caseload data'!H:H,'caseload data'!$D:$D,"SPO",'caseload data'!$A:$A,"Wales",'caseload data'!$B:$B,{"licence","community"}))</f>
        <v>0</v>
      </c>
      <c r="H107" s="104" cm="1">
        <f t="array" ref="H107">SUM(SUMIFS('caseload data'!I:I,'caseload data'!$D:$D,"SPO",'caseload data'!$A:$A,"Wales",'caseload data'!$B:$B,{"licence","community"}))</f>
        <v>0</v>
      </c>
      <c r="I107" s="104" cm="1">
        <f t="array" ref="I107">SUM(SUMIFS('caseload data'!J:J,'caseload data'!$D:$D,"SPO",'caseload data'!$A:$A,"Wales",'caseload data'!$B:$B,{"licence","community"}))</f>
        <v>0</v>
      </c>
      <c r="J107" s="104" cm="1">
        <f t="array" ref="J107">SUM(SUMIFS('caseload data'!K:K,'caseload data'!$D:$D,"SPO",'caseload data'!$A:$A,"Wales",'caseload data'!$B:$B,{"licence","community"}))</f>
        <v>0</v>
      </c>
      <c r="K107" s="104" cm="1">
        <f t="array" ref="K107">SUM(SUMIFS('caseload data'!L:L,'caseload data'!$D:$D,"SPO",'caseload data'!$A:$A,"Wales",'caseload data'!$B:$B,{"licence","community"}))</f>
        <v>0</v>
      </c>
      <c r="L107" s="104" cm="1">
        <f t="array" ref="L107">SUM(SUMIFS('caseload data'!M:M,'caseload data'!$D:$D,"SPO",'caseload data'!$A:$A,"Wales",'caseload data'!$B:$B,{"licence","community"}))</f>
        <v>0</v>
      </c>
      <c r="M107" s="104" cm="1">
        <f t="array" ref="M107">SUM(SUMIFS('caseload data'!N:N,'caseload data'!$D:$D,"SPO",'caseload data'!$A:$A,"Wales",'caseload data'!$B:$B,{"licence","community"}))</f>
        <v>0</v>
      </c>
      <c r="N107" s="104" cm="1">
        <f t="array" ref="N107">SUM(SUMIFS('caseload data'!O:O,'caseload data'!$D:$D,"SPO",'caseload data'!$A:$A,"Wales",'caseload data'!$B:$B,{"licence","community"}))</f>
        <v>0</v>
      </c>
      <c r="O107" s="104" cm="1">
        <f t="array" ref="O107">SUM(SUMIFS('caseload data'!P:P,'caseload data'!$D:$D,"SPO",'caseload data'!$A:$A,"Wales",'caseload data'!$B:$B,{"licence","community"}))</f>
        <v>0</v>
      </c>
      <c r="P107" s="104" cm="1">
        <f t="array" ref="P107">SUM(SUMIFS('caseload data'!Q:Q,'caseload data'!$D:$D,"SPO",'caseload data'!$A:$A,"Wales",'caseload data'!$B:$B,{"licence","community"}))</f>
        <v>0</v>
      </c>
      <c r="Q107" s="104" cm="1">
        <f t="array" ref="Q107">SUM(SUMIFS('caseload data'!R:R,'caseload data'!$D:$D,"SPO",'caseload data'!$A:$A,"Wales",'caseload data'!$B:$B,{"licence","community"}))</f>
        <v>0</v>
      </c>
      <c r="R107" s="104" cm="1">
        <f t="array" ref="R107">SUM(SUMIFS('caseload data'!S:S,'caseload data'!$D:$D,"SPO",'caseload data'!$A:$A,"Wales",'caseload data'!$B:$B,{"licence","community"}))</f>
        <v>0</v>
      </c>
      <c r="S107" s="104" cm="1">
        <f t="array" ref="S107">SUM(SUMIFS('caseload data'!T:T,'caseload data'!$D:$D,"SPO",'caseload data'!$A:$A,"Wales",'caseload data'!$B:$B,{"licence","community"}))</f>
        <v>0</v>
      </c>
      <c r="T107" s="104" cm="1">
        <f t="array" ref="T107">SUM(SUMIFS('caseload data'!V:V,'caseload data'!$D:$D,"SPO",'caseload data'!$A:$A,"Wales",'caseload data'!$B:$B,{"licence","community"}))</f>
        <v>0</v>
      </c>
      <c r="U107" s="73"/>
      <c r="V107" s="73"/>
      <c r="W107" s="339"/>
      <c r="X107" s="140" t="s">
        <v>914</v>
      </c>
      <c r="Y107" s="181" t="e">
        <f>SUM(D107)/SUM(D$104:D$107)</f>
        <v>#DIV/0!</v>
      </c>
      <c r="Z107" s="181" t="e">
        <f t="shared" si="21"/>
        <v>#DIV/0!</v>
      </c>
      <c r="AA107" s="181" t="e">
        <f t="shared" si="21"/>
        <v>#DIV/0!</v>
      </c>
      <c r="AB107" s="181" t="e">
        <f t="shared" si="21"/>
        <v>#DIV/0!</v>
      </c>
      <c r="AC107" s="181" t="e">
        <f t="shared" si="21"/>
        <v>#DIV/0!</v>
      </c>
      <c r="AD107" s="181" t="e">
        <f t="shared" si="21"/>
        <v>#DIV/0!</v>
      </c>
      <c r="AE107" s="181" t="e">
        <f t="shared" si="21"/>
        <v>#DIV/0!</v>
      </c>
      <c r="AF107" s="181" t="e">
        <f t="shared" si="21"/>
        <v>#DIV/0!</v>
      </c>
      <c r="AG107" s="181" t="e">
        <f t="shared" si="21"/>
        <v>#DIV/0!</v>
      </c>
      <c r="AH107" s="181" t="e">
        <f t="shared" si="21"/>
        <v>#DIV/0!</v>
      </c>
      <c r="AI107" s="181" t="e">
        <f t="shared" si="21"/>
        <v>#DIV/0!</v>
      </c>
      <c r="AJ107" s="181" t="e">
        <f t="shared" si="21"/>
        <v>#DIV/0!</v>
      </c>
      <c r="AK107" s="181" t="e">
        <f t="shared" si="21"/>
        <v>#DIV/0!</v>
      </c>
      <c r="AL107" s="181" t="e">
        <f t="shared" si="21"/>
        <v>#DIV/0!</v>
      </c>
      <c r="AM107" s="181" t="e">
        <f t="shared" si="21"/>
        <v>#DIV/0!</v>
      </c>
      <c r="AN107" s="181" t="e">
        <f t="shared" si="21"/>
        <v>#DIV/0!</v>
      </c>
    </row>
    <row r="108" spans="2:40" x14ac:dyDescent="0.15">
      <c r="B108" s="337" t="s">
        <v>30</v>
      </c>
      <c r="C108" s="138" t="s">
        <v>911</v>
      </c>
      <c r="D108" s="104" cm="1">
        <f t="array" ref="D108">SUM(SUMIFS('caseload data'!E:E,'caseload data'!$D:$D,"PO",'caseload data'!$A:$A,$B$108,'caseload data'!$B:$B,{"licence","community"}))</f>
        <v>0</v>
      </c>
      <c r="E108" s="104" cm="1">
        <f t="array" ref="E108">SUM(SUMIFS('caseload data'!F:F,'caseload data'!$D:$D,"PO",'caseload data'!$A:$A,$B$108,'caseload data'!$B:$B,{"licence","community"}))</f>
        <v>0</v>
      </c>
      <c r="F108" s="104" cm="1">
        <f t="array" ref="F108">SUM(SUMIFS('caseload data'!G:G,'caseload data'!$D:$D,"PO",'caseload data'!$A:$A,$B$108,'caseload data'!$B:$B,{"licence","community"}))</f>
        <v>0</v>
      </c>
      <c r="G108" s="104" cm="1">
        <f t="array" ref="G108">SUM(SUMIFS('caseload data'!H:H,'caseload data'!$D:$D,"PO",'caseload data'!$A:$A,$B$108,'caseload data'!$B:$B,{"licence","community"}))</f>
        <v>0</v>
      </c>
      <c r="H108" s="104" cm="1">
        <f t="array" ref="H108">SUM(SUMIFS('caseload data'!I:I,'caseload data'!$D:$D,"PO",'caseload data'!$A:$A,$B$108,'caseload data'!$B:$B,{"licence","community"}))</f>
        <v>0</v>
      </c>
      <c r="I108" s="104" cm="1">
        <f t="array" ref="I108">SUM(SUMIFS('caseload data'!J:J,'caseload data'!$D:$D,"PO",'caseload data'!$A:$A,$B$108,'caseload data'!$B:$B,{"licence","community"}))</f>
        <v>0</v>
      </c>
      <c r="J108" s="104" cm="1">
        <f t="array" ref="J108">SUM(SUMIFS('caseload data'!K:K,'caseload data'!$D:$D,"PO",'caseload data'!$A:$A,$B$108,'caseload data'!$B:$B,{"licence","community"}))</f>
        <v>0</v>
      </c>
      <c r="K108" s="104" cm="1">
        <f t="array" ref="K108">SUM(SUMIFS('caseload data'!L:L,'caseload data'!$D:$D,"PO",'caseload data'!$A:$A,$B$108,'caseload data'!$B:$B,{"licence","community"}))</f>
        <v>0</v>
      </c>
      <c r="L108" s="104" cm="1">
        <f t="array" ref="L108">SUM(SUMIFS('caseload data'!M:M,'caseload data'!$D:$D,"PO",'caseload data'!$A:$A,$B$108,'caseload data'!$B:$B,{"licence","community"}))</f>
        <v>0</v>
      </c>
      <c r="M108" s="104" cm="1">
        <f t="array" ref="M108">SUM(SUMIFS('caseload data'!N:N,'caseload data'!$D:$D,"PO",'caseload data'!$A:$A,$B$108,'caseload data'!$B:$B,{"licence","community"}))</f>
        <v>0</v>
      </c>
      <c r="N108" s="104" cm="1">
        <f t="array" ref="N108">SUM(SUMIFS('caseload data'!O:O,'caseload data'!$D:$D,"PO",'caseload data'!$A:$A,$B$108,'caseload data'!$B:$B,{"licence","community"}))</f>
        <v>0</v>
      </c>
      <c r="O108" s="104" cm="1">
        <f t="array" ref="O108">SUM(SUMIFS('caseload data'!P:P,'caseload data'!$D:$D,"PO",'caseload data'!$A:$A,$B$108,'caseload data'!$B:$B,{"licence","community"}))</f>
        <v>0</v>
      </c>
      <c r="P108" s="104" cm="1">
        <f t="array" ref="P108">SUM(SUMIFS('caseload data'!Q:Q,'caseload data'!$D:$D,"PO",'caseload data'!$A:$A,$B$108,'caseload data'!$B:$B,{"licence","community"}))</f>
        <v>0</v>
      </c>
      <c r="Q108" s="104" cm="1">
        <f t="array" ref="Q108">SUM(SUMIFS('caseload data'!R:R,'caseload data'!$D:$D,"PO",'caseload data'!$A:$A,$B$108,'caseload data'!$B:$B,{"licence","community"}))</f>
        <v>0</v>
      </c>
      <c r="R108" s="104" cm="1">
        <f t="array" ref="R108">SUM(SUMIFS('caseload data'!S:S,'caseload data'!$D:$D,"PO",'caseload data'!$A:$A,$B$108,'caseload data'!$B:$B,{"licence","community"}))</f>
        <v>0</v>
      </c>
      <c r="S108" s="104" cm="1">
        <f t="array" ref="S108">SUM(SUMIFS('caseload data'!T:T,'caseload data'!$D:$D,"PO",'caseload data'!$A:$A,$B$108,'caseload data'!$B:$B,{"licence","community"}))</f>
        <v>0</v>
      </c>
      <c r="T108" s="104">
        <f>SUM(SUMIFS('caseload data'!V:V,'caseload data'!D:D,"PO",'caseload data'!A:A,B108,'caseload data'!B:B,{"licence","community"}))</f>
        <v>0</v>
      </c>
      <c r="U108" s="73"/>
      <c r="V108" s="73"/>
      <c r="W108" s="337" t="s">
        <v>30</v>
      </c>
      <c r="X108" s="138" t="s">
        <v>911</v>
      </c>
      <c r="Y108" s="181" t="e">
        <f>SUM(D108)/SUM(D$108:D$111)</f>
        <v>#DIV/0!</v>
      </c>
      <c r="Z108" s="181" t="e">
        <f t="shared" ref="Z108:AN111" si="22">SUM(E108)/SUM(E$108:E$111)</f>
        <v>#DIV/0!</v>
      </c>
      <c r="AA108" s="181" t="e">
        <f t="shared" si="22"/>
        <v>#DIV/0!</v>
      </c>
      <c r="AB108" s="181" t="e">
        <f t="shared" si="22"/>
        <v>#DIV/0!</v>
      </c>
      <c r="AC108" s="181" t="e">
        <f t="shared" si="22"/>
        <v>#DIV/0!</v>
      </c>
      <c r="AD108" s="181" t="e">
        <f t="shared" si="22"/>
        <v>#DIV/0!</v>
      </c>
      <c r="AE108" s="181" t="e">
        <f t="shared" si="22"/>
        <v>#DIV/0!</v>
      </c>
      <c r="AF108" s="181" t="e">
        <f t="shared" si="22"/>
        <v>#DIV/0!</v>
      </c>
      <c r="AG108" s="181" t="e">
        <f t="shared" si="22"/>
        <v>#DIV/0!</v>
      </c>
      <c r="AH108" s="181" t="e">
        <f t="shared" si="22"/>
        <v>#DIV/0!</v>
      </c>
      <c r="AI108" s="181" t="e">
        <f t="shared" si="22"/>
        <v>#DIV/0!</v>
      </c>
      <c r="AJ108" s="181" t="e">
        <f t="shared" si="22"/>
        <v>#DIV/0!</v>
      </c>
      <c r="AK108" s="181" t="e">
        <f t="shared" si="22"/>
        <v>#DIV/0!</v>
      </c>
      <c r="AL108" s="181" t="e">
        <f t="shared" si="22"/>
        <v>#DIV/0!</v>
      </c>
      <c r="AM108" s="181" t="e">
        <f t="shared" si="22"/>
        <v>#DIV/0!</v>
      </c>
      <c r="AN108" s="181" t="e">
        <f t="shared" si="22"/>
        <v>#DIV/0!</v>
      </c>
    </row>
    <row r="109" spans="2:40" x14ac:dyDescent="0.15">
      <c r="B109" s="338"/>
      <c r="C109" s="139" t="s">
        <v>912</v>
      </c>
      <c r="D109" s="104" cm="1">
        <f t="array" ref="D109">SUM(SUMIFS('caseload data'!E:E,'caseload data'!$D:$D,"PSO",'caseload data'!$A:$A,"West Midlands Region",'caseload data'!$B:$B,{"licence","community"}))</f>
        <v>0</v>
      </c>
      <c r="E109" s="104" cm="1">
        <f t="array" ref="E109">SUM(SUMIFS('caseload data'!F:F,'caseload data'!$D:$D,"PSO",'caseload data'!$A:$A,"West Midlands Region",'caseload data'!$B:$B,{"licence","community"}))</f>
        <v>0</v>
      </c>
      <c r="F109" s="104" cm="1">
        <f t="array" ref="F109">SUM(SUMIFS('caseload data'!G:G,'caseload data'!$D:$D,"PSO",'caseload data'!$A:$A,"West Midlands Region",'caseload data'!$B:$B,{"licence","community"}))</f>
        <v>0</v>
      </c>
      <c r="G109" s="104" cm="1">
        <f t="array" ref="G109">SUM(SUMIFS('caseload data'!H:H,'caseload data'!$D:$D,"PSO",'caseload data'!$A:$A,"West Midlands Region",'caseload data'!$B:$B,{"licence","community"}))</f>
        <v>0</v>
      </c>
      <c r="H109" s="104" cm="1">
        <f t="array" ref="H109">SUM(SUMIFS('caseload data'!I:I,'caseload data'!$D:$D,"PSO",'caseload data'!$A:$A,"West Midlands Region",'caseload data'!$B:$B,{"licence","community"}))</f>
        <v>0</v>
      </c>
      <c r="I109" s="104" cm="1">
        <f t="array" ref="I109">SUM(SUMIFS('caseload data'!J:J,'caseload data'!$D:$D,"PSO",'caseload data'!$A:$A,"West Midlands Region",'caseload data'!$B:$B,{"licence","community"}))</f>
        <v>0</v>
      </c>
      <c r="J109" s="104" cm="1">
        <f t="array" ref="J109">SUM(SUMIFS('caseload data'!K:K,'caseload data'!$D:$D,"PSO",'caseload data'!$A:$A,"West Midlands Region",'caseload data'!$B:$B,{"licence","community"}))</f>
        <v>0</v>
      </c>
      <c r="K109" s="104" cm="1">
        <f t="array" ref="K109">SUM(SUMIFS('caseload data'!L:L,'caseload data'!$D:$D,"PSO",'caseload data'!$A:$A,"West Midlands Region",'caseload data'!$B:$B,{"licence","community"}))</f>
        <v>0</v>
      </c>
      <c r="L109" s="104" cm="1">
        <f t="array" ref="L109">SUM(SUMIFS('caseload data'!M:M,'caseload data'!$D:$D,"PSO",'caseload data'!$A:$A,"West Midlands Region",'caseload data'!$B:$B,{"licence","community"}))</f>
        <v>0</v>
      </c>
      <c r="M109" s="104" cm="1">
        <f t="array" ref="M109">SUM(SUMIFS('caseload data'!N:N,'caseload data'!$D:$D,"PSO",'caseload data'!$A:$A,"West Midlands Region",'caseload data'!$B:$B,{"licence","community"}))</f>
        <v>0</v>
      </c>
      <c r="N109" s="104" cm="1">
        <f t="array" ref="N109">SUM(SUMIFS('caseload data'!O:O,'caseload data'!$D:$D,"PSO",'caseload data'!$A:$A,"West Midlands Region",'caseload data'!$B:$B,{"licence","community"}))</f>
        <v>0</v>
      </c>
      <c r="O109" s="104" cm="1">
        <f t="array" ref="O109">SUM(SUMIFS('caseload data'!P:P,'caseload data'!$D:$D,"PSO",'caseload data'!$A:$A,"West Midlands Region",'caseload data'!$B:$B,{"licence","community"}))</f>
        <v>0</v>
      </c>
      <c r="P109" s="104" cm="1">
        <f t="array" ref="P109">SUM(SUMIFS('caseload data'!Q:Q,'caseload data'!$D:$D,"PSO",'caseload data'!$A:$A,"West Midlands Region",'caseload data'!$B:$B,{"licence","community"}))</f>
        <v>0</v>
      </c>
      <c r="Q109" s="104" cm="1">
        <f t="array" ref="Q109">SUM(SUMIFS('caseload data'!R:R,'caseload data'!$D:$D,"PSO",'caseload data'!$A:$A,"West Midlands Region",'caseload data'!$B:$B,{"licence","community"}))</f>
        <v>0</v>
      </c>
      <c r="R109" s="104" cm="1">
        <f t="array" ref="R109">SUM(SUMIFS('caseload data'!S:S,'caseload data'!$D:$D,"PSO",'caseload data'!$A:$A,"West Midlands Region",'caseload data'!$B:$B,{"licence","community"}))</f>
        <v>0</v>
      </c>
      <c r="S109" s="104" cm="1">
        <f t="array" ref="S109">SUM(SUMIFS('caseload data'!T:T,'caseload data'!$D:$D,"PSO",'caseload data'!$A:$A,"West Midlands Region",'caseload data'!$B:$B,{"licence","community"}))</f>
        <v>0</v>
      </c>
      <c r="T109" s="104" cm="1">
        <f t="array" ref="T109">SUM(SUMIFS('caseload data'!V:V,'caseload data'!$D:$D,"PSO",'caseload data'!$A:$A,"West Midlands Region",'caseload data'!$B:$B,{"licence","community"}))</f>
        <v>0</v>
      </c>
      <c r="U109" s="73"/>
      <c r="V109" s="73"/>
      <c r="W109" s="338"/>
      <c r="X109" s="139" t="s">
        <v>912</v>
      </c>
      <c r="Y109" s="181" t="e">
        <f>SUM(D109)/SUM(D$108:D$111)</f>
        <v>#DIV/0!</v>
      </c>
      <c r="Z109" s="181" t="e">
        <f t="shared" si="22"/>
        <v>#DIV/0!</v>
      </c>
      <c r="AA109" s="181" t="e">
        <f t="shared" si="22"/>
        <v>#DIV/0!</v>
      </c>
      <c r="AB109" s="181" t="e">
        <f t="shared" si="22"/>
        <v>#DIV/0!</v>
      </c>
      <c r="AC109" s="181" t="e">
        <f t="shared" si="22"/>
        <v>#DIV/0!</v>
      </c>
      <c r="AD109" s="181" t="e">
        <f t="shared" si="22"/>
        <v>#DIV/0!</v>
      </c>
      <c r="AE109" s="181" t="e">
        <f t="shared" si="22"/>
        <v>#DIV/0!</v>
      </c>
      <c r="AF109" s="181" t="e">
        <f t="shared" si="22"/>
        <v>#DIV/0!</v>
      </c>
      <c r="AG109" s="181" t="e">
        <f t="shared" si="22"/>
        <v>#DIV/0!</v>
      </c>
      <c r="AH109" s="181" t="e">
        <f t="shared" si="22"/>
        <v>#DIV/0!</v>
      </c>
      <c r="AI109" s="181" t="e">
        <f t="shared" si="22"/>
        <v>#DIV/0!</v>
      </c>
      <c r="AJ109" s="181" t="e">
        <f t="shared" si="22"/>
        <v>#DIV/0!</v>
      </c>
      <c r="AK109" s="181" t="e">
        <f t="shared" si="22"/>
        <v>#DIV/0!</v>
      </c>
      <c r="AL109" s="181" t="e">
        <f t="shared" si="22"/>
        <v>#DIV/0!</v>
      </c>
      <c r="AM109" s="181" t="e">
        <f t="shared" si="22"/>
        <v>#DIV/0!</v>
      </c>
      <c r="AN109" s="181" t="e">
        <f t="shared" si="22"/>
        <v>#DIV/0!</v>
      </c>
    </row>
    <row r="110" spans="2:40" x14ac:dyDescent="0.15">
      <c r="B110" s="338"/>
      <c r="C110" s="139" t="s">
        <v>913</v>
      </c>
      <c r="D110" s="104" cm="1">
        <f t="array" ref="D110">SUM(SUMIFS('caseload data'!E:E,'caseload data'!$D:$D,"TPO",'caseload data'!$A:$A,"West Midlands Region",'caseload data'!$B:$B,{"licence","community"}))</f>
        <v>0</v>
      </c>
      <c r="E110" s="104" cm="1">
        <f t="array" ref="E110">SUM(SUMIFS('caseload data'!F:F,'caseload data'!$D:$D,"TPO",'caseload data'!$A:$A,"West Midlands Region",'caseload data'!$B:$B,{"licence","community"}))</f>
        <v>0</v>
      </c>
      <c r="F110" s="104" cm="1">
        <f t="array" ref="F110">SUM(SUMIFS('caseload data'!G:G,'caseload data'!$D:$D,"TPO",'caseload data'!$A:$A,"West Midlands Region",'caseload data'!$B:$B,{"licence","community"}))</f>
        <v>0</v>
      </c>
      <c r="G110" s="104" cm="1">
        <f t="array" ref="G110">SUM(SUMIFS('caseload data'!H:H,'caseload data'!$D:$D,"TPO",'caseload data'!$A:$A,"West Midlands Region",'caseload data'!$B:$B,{"licence","community"}))</f>
        <v>0</v>
      </c>
      <c r="H110" s="104" cm="1">
        <f t="array" ref="H110">SUM(SUMIFS('caseload data'!I:I,'caseload data'!$D:$D,"TPO",'caseload data'!$A:$A,"West Midlands Region",'caseload data'!$B:$B,{"licence","community"}))</f>
        <v>0</v>
      </c>
      <c r="I110" s="104" cm="1">
        <f t="array" ref="I110">SUM(SUMIFS('caseload data'!J:J,'caseload data'!$D:$D,"TPO",'caseload data'!$A:$A,"West Midlands Region",'caseload data'!$B:$B,{"licence","community"}))</f>
        <v>0</v>
      </c>
      <c r="J110" s="104" cm="1">
        <f t="array" ref="J110">SUM(SUMIFS('caseload data'!K:K,'caseload data'!$D:$D,"TPO",'caseload data'!$A:$A,"West Midlands Region",'caseload data'!$B:$B,{"licence","community"}))</f>
        <v>0</v>
      </c>
      <c r="K110" s="104" cm="1">
        <f t="array" ref="K110">SUM(SUMIFS('caseload data'!L:L,'caseload data'!$D:$D,"TPO",'caseload data'!$A:$A,"West Midlands Region",'caseload data'!$B:$B,{"licence","community"}))</f>
        <v>0</v>
      </c>
      <c r="L110" s="104" cm="1">
        <f t="array" ref="L110">SUM(SUMIFS('caseload data'!M:M,'caseload data'!$D:$D,"TPO",'caseload data'!$A:$A,"West Midlands Region",'caseload data'!$B:$B,{"licence","community"}))</f>
        <v>0</v>
      </c>
      <c r="M110" s="104" cm="1">
        <f t="array" ref="M110">SUM(SUMIFS('caseload data'!N:N,'caseload data'!$D:$D,"TPO",'caseload data'!$A:$A,"West Midlands Region",'caseload data'!$B:$B,{"licence","community"}))</f>
        <v>0</v>
      </c>
      <c r="N110" s="104" cm="1">
        <f t="array" ref="N110">SUM(SUMIFS('caseload data'!O:O,'caseload data'!$D:$D,"TPO",'caseload data'!$A:$A,"West Midlands Region",'caseload data'!$B:$B,{"licence","community"}))</f>
        <v>0</v>
      </c>
      <c r="O110" s="104" cm="1">
        <f t="array" ref="O110">SUM(SUMIFS('caseload data'!P:P,'caseload data'!$D:$D,"TPO",'caseload data'!$A:$A,"West Midlands Region",'caseload data'!$B:$B,{"licence","community"}))</f>
        <v>0</v>
      </c>
      <c r="P110" s="104" cm="1">
        <f t="array" ref="P110">SUM(SUMIFS('caseload data'!Q:Q,'caseload data'!$D:$D,"TPO",'caseload data'!$A:$A,"West Midlands Region",'caseload data'!$B:$B,{"licence","community"}))</f>
        <v>0</v>
      </c>
      <c r="Q110" s="104" cm="1">
        <f t="array" ref="Q110">SUM(SUMIFS('caseload data'!R:R,'caseload data'!$D:$D,"TPO",'caseload data'!$A:$A,"West Midlands Region",'caseload data'!$B:$B,{"licence","community"}))</f>
        <v>0</v>
      </c>
      <c r="R110" s="104" cm="1">
        <f t="array" ref="R110">SUM(SUMIFS('caseload data'!S:S,'caseload data'!$D:$D,"TPO",'caseload data'!$A:$A,"West Midlands Region",'caseload data'!$B:$B,{"licence","community"}))</f>
        <v>0</v>
      </c>
      <c r="S110" s="104" cm="1">
        <f t="array" ref="S110">SUM(SUMIFS('caseload data'!T:T,'caseload data'!$D:$D,"TPO",'caseload data'!$A:$A,"West Midlands Region",'caseload data'!$B:$B,{"licence","community"}))</f>
        <v>0</v>
      </c>
      <c r="T110" s="104" cm="1">
        <f t="array" ref="T110">SUM(SUMIFS('caseload data'!V:V,'caseload data'!D:D,"TPO",'caseload data'!A:A,"West Midlands Region",'caseload data'!B:B,{"licence","community"}))</f>
        <v>0</v>
      </c>
      <c r="U110" s="73"/>
      <c r="V110" s="73"/>
      <c r="W110" s="338"/>
      <c r="X110" s="139" t="s">
        <v>913</v>
      </c>
      <c r="Y110" s="181" t="e">
        <f>SUM(D110)/SUM(D$108:D$111)</f>
        <v>#DIV/0!</v>
      </c>
      <c r="Z110" s="181" t="e">
        <f t="shared" si="22"/>
        <v>#DIV/0!</v>
      </c>
      <c r="AA110" s="181" t="e">
        <f t="shared" si="22"/>
        <v>#DIV/0!</v>
      </c>
      <c r="AB110" s="181" t="e">
        <f t="shared" si="22"/>
        <v>#DIV/0!</v>
      </c>
      <c r="AC110" s="181" t="e">
        <f t="shared" si="22"/>
        <v>#DIV/0!</v>
      </c>
      <c r="AD110" s="181" t="e">
        <f t="shared" si="22"/>
        <v>#DIV/0!</v>
      </c>
      <c r="AE110" s="181" t="e">
        <f t="shared" si="22"/>
        <v>#DIV/0!</v>
      </c>
      <c r="AF110" s="181" t="e">
        <f t="shared" si="22"/>
        <v>#DIV/0!</v>
      </c>
      <c r="AG110" s="181" t="e">
        <f t="shared" si="22"/>
        <v>#DIV/0!</v>
      </c>
      <c r="AH110" s="181" t="e">
        <f t="shared" si="22"/>
        <v>#DIV/0!</v>
      </c>
      <c r="AI110" s="181" t="e">
        <f t="shared" si="22"/>
        <v>#DIV/0!</v>
      </c>
      <c r="AJ110" s="181" t="e">
        <f t="shared" si="22"/>
        <v>#DIV/0!</v>
      </c>
      <c r="AK110" s="181" t="e">
        <f t="shared" si="22"/>
        <v>#DIV/0!</v>
      </c>
      <c r="AL110" s="181" t="e">
        <f t="shared" si="22"/>
        <v>#DIV/0!</v>
      </c>
      <c r="AM110" s="181" t="e">
        <f t="shared" si="22"/>
        <v>#DIV/0!</v>
      </c>
      <c r="AN110" s="181" t="e">
        <f t="shared" si="22"/>
        <v>#DIV/0!</v>
      </c>
    </row>
    <row r="111" spans="2:40" x14ac:dyDescent="0.15">
      <c r="B111" s="339"/>
      <c r="C111" s="140" t="s">
        <v>914</v>
      </c>
      <c r="D111" s="104" cm="1">
        <f t="array" ref="D111">SUM(SUMIFS('caseload data'!E:E,'caseload data'!$D:$D,"SPO",'caseload data'!$A:$A,"West Midlands Region",'caseload data'!$B:$B,{"licence","community"}))</f>
        <v>0</v>
      </c>
      <c r="E111" s="104" cm="1">
        <f t="array" ref="E111">SUM(SUMIFS('caseload data'!F:F,'caseload data'!$D:$D,"SPO",'caseload data'!$A:$A,"West Midlands Region",'caseload data'!$B:$B,{"licence","community"}))</f>
        <v>0</v>
      </c>
      <c r="F111" s="104" cm="1">
        <f t="array" ref="F111">SUM(SUMIFS('caseload data'!G:G,'caseload data'!$D:$D,"SPO",'caseload data'!$A:$A,"West Midlands Region",'caseload data'!$B:$B,{"licence","community"}))</f>
        <v>0</v>
      </c>
      <c r="G111" s="104" cm="1">
        <f t="array" ref="G111">SUM(SUMIFS('caseload data'!H:H,'caseload data'!$D:$D,"SPO",'caseload data'!$A:$A,"West Midlands Region",'caseload data'!$B:$B,{"licence","community"}))</f>
        <v>0</v>
      </c>
      <c r="H111" s="104" cm="1">
        <f t="array" ref="H111">SUM(SUMIFS('caseload data'!I:I,'caseload data'!$D:$D,"SPO",'caseload data'!$A:$A,"West Midlands Region",'caseload data'!$B:$B,{"licence","community"}))</f>
        <v>0</v>
      </c>
      <c r="I111" s="104" cm="1">
        <f t="array" ref="I111">SUM(SUMIFS('caseload data'!J:J,'caseload data'!$D:$D,"SPO",'caseload data'!$A:$A,"West Midlands Region",'caseload data'!$B:$B,{"licence","community"}))</f>
        <v>0</v>
      </c>
      <c r="J111" s="104" cm="1">
        <f t="array" ref="J111">SUM(SUMIFS('caseload data'!K:K,'caseload data'!$D:$D,"SPO",'caseload data'!$A:$A,"West Midlands Region",'caseload data'!$B:$B,{"licence","community"}))</f>
        <v>0</v>
      </c>
      <c r="K111" s="104" cm="1">
        <f t="array" ref="K111">SUM(SUMIFS('caseload data'!L:L,'caseload data'!$D:$D,"SPO",'caseload data'!$A:$A,"West Midlands Region",'caseload data'!$B:$B,{"licence","community"}))</f>
        <v>0</v>
      </c>
      <c r="L111" s="104" cm="1">
        <f t="array" ref="L111">SUM(SUMIFS('caseload data'!M:M,'caseload data'!$D:$D,"SPO",'caseload data'!$A:$A,"West Midlands Region",'caseload data'!$B:$B,{"licence","community"}))</f>
        <v>0</v>
      </c>
      <c r="M111" s="104" cm="1">
        <f t="array" ref="M111">SUM(SUMIFS('caseload data'!N:N,'caseload data'!$D:$D,"SPO",'caseload data'!$A:$A,"West Midlands Region",'caseload data'!$B:$B,{"licence","community"}))</f>
        <v>0</v>
      </c>
      <c r="N111" s="104" cm="1">
        <f t="array" ref="N111">SUM(SUMIFS('caseload data'!O:O,'caseload data'!$D:$D,"SPO",'caseload data'!$A:$A,"West Midlands Region",'caseload data'!$B:$B,{"licence","community"}))</f>
        <v>0</v>
      </c>
      <c r="O111" s="104" cm="1">
        <f t="array" ref="O111">SUM(SUMIFS('caseload data'!P:P,'caseload data'!$D:$D,"SPO",'caseload data'!$A:$A,"West Midlands Region",'caseload data'!$B:$B,{"licence","community"}))</f>
        <v>0</v>
      </c>
      <c r="P111" s="104" cm="1">
        <f t="array" ref="P111">SUM(SUMIFS('caseload data'!Q:Q,'caseload data'!$D:$D,"SPO",'caseload data'!$A:$A,"West Midlands Region",'caseload data'!$B:$B,{"licence","community"}))</f>
        <v>0</v>
      </c>
      <c r="Q111" s="104" cm="1">
        <f t="array" ref="Q111">SUM(SUMIFS('caseload data'!R:R,'caseload data'!$D:$D,"SPO",'caseload data'!$A:$A,"West Midlands Region",'caseload data'!$B:$B,{"licence","community"}))</f>
        <v>0</v>
      </c>
      <c r="R111" s="104" cm="1">
        <f t="array" ref="R111">SUM(SUMIFS('caseload data'!S:S,'caseload data'!$D:$D,"SPO",'caseload data'!$A:$A,"West Midlands Region",'caseload data'!$B:$B,{"licence","community"}))</f>
        <v>0</v>
      </c>
      <c r="S111" s="104" cm="1">
        <f t="array" ref="S111">SUM(SUMIFS('caseload data'!T:T,'caseload data'!$D:$D,"SPO",'caseload data'!$A:$A,"West Midlands Region",'caseload data'!$B:$B,{"licence","community"}))</f>
        <v>0</v>
      </c>
      <c r="T111" s="104" cm="1">
        <f t="array" ref="T111">SUM(SUMIFS('caseload data'!V:V,'caseload data'!$D:$D,"SPO",'caseload data'!$A:$A,"West Midlands Region",'caseload data'!$B:$B,{"licence","community"}))</f>
        <v>0</v>
      </c>
      <c r="U111" s="73"/>
      <c r="V111" s="73"/>
      <c r="W111" s="339"/>
      <c r="X111" s="140" t="s">
        <v>914</v>
      </c>
      <c r="Y111" s="181" t="e">
        <f>SUM(D111)/SUM(D$108:D$111)</f>
        <v>#DIV/0!</v>
      </c>
      <c r="Z111" s="181" t="e">
        <f t="shared" si="22"/>
        <v>#DIV/0!</v>
      </c>
      <c r="AA111" s="181" t="e">
        <f t="shared" si="22"/>
        <v>#DIV/0!</v>
      </c>
      <c r="AB111" s="181" t="e">
        <f t="shared" si="22"/>
        <v>#DIV/0!</v>
      </c>
      <c r="AC111" s="181" t="e">
        <f t="shared" si="22"/>
        <v>#DIV/0!</v>
      </c>
      <c r="AD111" s="181" t="e">
        <f t="shared" si="22"/>
        <v>#DIV/0!</v>
      </c>
      <c r="AE111" s="181" t="e">
        <f t="shared" si="22"/>
        <v>#DIV/0!</v>
      </c>
      <c r="AF111" s="181" t="e">
        <f t="shared" si="22"/>
        <v>#DIV/0!</v>
      </c>
      <c r="AG111" s="181" t="e">
        <f t="shared" si="22"/>
        <v>#DIV/0!</v>
      </c>
      <c r="AH111" s="181" t="e">
        <f t="shared" si="22"/>
        <v>#DIV/0!</v>
      </c>
      <c r="AI111" s="181" t="e">
        <f t="shared" si="22"/>
        <v>#DIV/0!</v>
      </c>
      <c r="AJ111" s="181" t="e">
        <f t="shared" si="22"/>
        <v>#DIV/0!</v>
      </c>
      <c r="AK111" s="181" t="e">
        <f t="shared" si="22"/>
        <v>#DIV/0!</v>
      </c>
      <c r="AL111" s="181" t="e">
        <f t="shared" si="22"/>
        <v>#DIV/0!</v>
      </c>
      <c r="AM111" s="181" t="e">
        <f t="shared" si="22"/>
        <v>#DIV/0!</v>
      </c>
      <c r="AN111" s="181" t="e">
        <f t="shared" si="22"/>
        <v>#DIV/0!</v>
      </c>
    </row>
    <row r="112" spans="2:40" x14ac:dyDescent="0.15">
      <c r="B112" s="337" t="s">
        <v>31</v>
      </c>
      <c r="C112" s="138" t="s">
        <v>911</v>
      </c>
      <c r="D112" s="104" cm="1">
        <f t="array" ref="D112">SUM(SUMIFS('caseload data'!E:E,'caseload data'!$D:$D,"PO",'caseload data'!$A:$A,$B$112,'caseload data'!$B:$B,{"licence","community"}))</f>
        <v>0</v>
      </c>
      <c r="E112" s="104" cm="1">
        <f t="array" ref="E112">SUM(SUMIFS('caseload data'!F:F,'caseload data'!$D:$D,"PO",'caseload data'!$A:$A,$B$112,'caseload data'!$B:$B,{"licence","community"}))</f>
        <v>0</v>
      </c>
      <c r="F112" s="104" cm="1">
        <f t="array" ref="F112">SUM(SUMIFS('caseload data'!G:G,'caseload data'!$D:$D,"PO",'caseload data'!$A:$A,$B$112,'caseload data'!$B:$B,{"licence","community"}))</f>
        <v>0</v>
      </c>
      <c r="G112" s="104" cm="1">
        <f t="array" ref="G112">SUM(SUMIFS('caseload data'!H:H,'caseload data'!$D:$D,"PO",'caseload data'!$A:$A,$B$112,'caseload data'!$B:$B,{"licence","community"}))</f>
        <v>0</v>
      </c>
      <c r="H112" s="104" cm="1">
        <f t="array" ref="H112">SUM(SUMIFS('caseload data'!I:I,'caseload data'!$D:$D,"PO",'caseload data'!$A:$A,$B$112,'caseload data'!$B:$B,{"licence","community"}))</f>
        <v>0</v>
      </c>
      <c r="I112" s="104" cm="1">
        <f t="array" ref="I112">SUM(SUMIFS('caseload data'!J:J,'caseload data'!$D:$D,"PO",'caseload data'!$A:$A,$B$112,'caseload data'!$B:$B,{"licence","community"}))</f>
        <v>0</v>
      </c>
      <c r="J112" s="104" cm="1">
        <f t="array" ref="J112">SUM(SUMIFS('caseload data'!K:K,'caseload data'!$D:$D,"PO",'caseload data'!$A:$A,$B$112,'caseload data'!$B:$B,{"licence","community"}))</f>
        <v>0</v>
      </c>
      <c r="K112" s="104" cm="1">
        <f t="array" ref="K112">SUM(SUMIFS('caseload data'!L:L,'caseload data'!$D:$D,"PO",'caseload data'!$A:$A,$B$112,'caseload data'!$B:$B,{"licence","community"}))</f>
        <v>0</v>
      </c>
      <c r="L112" s="104" cm="1">
        <f t="array" ref="L112">SUM(SUMIFS('caseload data'!M:M,'caseload data'!$D:$D,"PO",'caseload data'!$A:$A,$B$112,'caseload data'!$B:$B,{"licence","community"}))</f>
        <v>0</v>
      </c>
      <c r="M112" s="104" cm="1">
        <f t="array" ref="M112">SUM(SUMIFS('caseload data'!N:N,'caseload data'!$D:$D,"PO",'caseload data'!$A:$A,$B$112,'caseload data'!$B:$B,{"licence","community"}))</f>
        <v>0</v>
      </c>
      <c r="N112" s="104" cm="1">
        <f t="array" ref="N112">SUM(SUMIFS('caseload data'!O:O,'caseload data'!$D:$D,"PO",'caseload data'!$A:$A,$B$112,'caseload data'!$B:$B,{"licence","community"}))</f>
        <v>0</v>
      </c>
      <c r="O112" s="104" cm="1">
        <f t="array" ref="O112">SUM(SUMIFS('caseload data'!P:P,'caseload data'!$D:$D,"PO",'caseload data'!$A:$A,$B$112,'caseload data'!$B:$B,{"licence","community"}))</f>
        <v>0</v>
      </c>
      <c r="P112" s="104" cm="1">
        <f t="array" ref="P112">SUM(SUMIFS('caseload data'!Q:Q,'caseload data'!$D:$D,"PO",'caseload data'!$A:$A,$B$112,'caseload data'!$B:$B,{"licence","community"}))</f>
        <v>0</v>
      </c>
      <c r="Q112" s="104" cm="1">
        <f t="array" ref="Q112">SUM(SUMIFS('caseload data'!R:R,'caseload data'!$D:$D,"PO",'caseload data'!$A:$A,$B$112,'caseload data'!$B:$B,{"licence","community"}))</f>
        <v>0</v>
      </c>
      <c r="R112" s="104" cm="1">
        <f t="array" ref="R112">SUM(SUMIFS('caseload data'!S:S,'caseload data'!$D:$D,"PO",'caseload data'!$A:$A,$B$112,'caseload data'!$B:$B,{"licence","community"}))</f>
        <v>0</v>
      </c>
      <c r="S112" s="104" cm="1">
        <f t="array" ref="S112">SUM(SUMIFS('caseload data'!T:T,'caseload data'!$D:$D,"PO",'caseload data'!$A:$A,$B$112,'caseload data'!$B:$B,{"licence","community"}))</f>
        <v>0</v>
      </c>
      <c r="T112" s="104">
        <f>SUM(SUMIFS('caseload data'!V:V,'caseload data'!D:D,"PO",'caseload data'!A:A,B112,'caseload data'!B:B,{"licence","community"}))</f>
        <v>0</v>
      </c>
      <c r="U112" s="73"/>
      <c r="V112" s="73"/>
      <c r="W112" s="337" t="s">
        <v>31</v>
      </c>
      <c r="X112" s="138" t="s">
        <v>911</v>
      </c>
      <c r="Y112" s="181" t="e">
        <f>SUM(D112)/SUM(D$112:D$115)</f>
        <v>#DIV/0!</v>
      </c>
      <c r="Z112" s="181" t="e">
        <f t="shared" ref="Z112:AN115" si="23">SUM(E112)/SUM(E$112:E$115)</f>
        <v>#DIV/0!</v>
      </c>
      <c r="AA112" s="181" t="e">
        <f t="shared" si="23"/>
        <v>#DIV/0!</v>
      </c>
      <c r="AB112" s="181" t="e">
        <f t="shared" si="23"/>
        <v>#DIV/0!</v>
      </c>
      <c r="AC112" s="181" t="e">
        <f t="shared" si="23"/>
        <v>#DIV/0!</v>
      </c>
      <c r="AD112" s="181" t="e">
        <f t="shared" si="23"/>
        <v>#DIV/0!</v>
      </c>
      <c r="AE112" s="181" t="e">
        <f t="shared" si="23"/>
        <v>#DIV/0!</v>
      </c>
      <c r="AF112" s="181" t="e">
        <f t="shared" si="23"/>
        <v>#DIV/0!</v>
      </c>
      <c r="AG112" s="181" t="e">
        <f t="shared" si="23"/>
        <v>#DIV/0!</v>
      </c>
      <c r="AH112" s="181" t="e">
        <f t="shared" si="23"/>
        <v>#DIV/0!</v>
      </c>
      <c r="AI112" s="181" t="e">
        <f t="shared" si="23"/>
        <v>#DIV/0!</v>
      </c>
      <c r="AJ112" s="181" t="e">
        <f t="shared" si="23"/>
        <v>#DIV/0!</v>
      </c>
      <c r="AK112" s="181" t="e">
        <f t="shared" si="23"/>
        <v>#DIV/0!</v>
      </c>
      <c r="AL112" s="181" t="e">
        <f t="shared" si="23"/>
        <v>#DIV/0!</v>
      </c>
      <c r="AM112" s="181" t="e">
        <f t="shared" si="23"/>
        <v>#DIV/0!</v>
      </c>
      <c r="AN112" s="181" t="e">
        <f t="shared" si="23"/>
        <v>#DIV/0!</v>
      </c>
    </row>
    <row r="113" spans="2:40" x14ac:dyDescent="0.15">
      <c r="B113" s="338"/>
      <c r="C113" s="139" t="s">
        <v>912</v>
      </c>
      <c r="D113" s="104" cm="1">
        <f t="array" ref="D113">SUM(SUMIFS('caseload data'!E:E,'caseload data'!$D:$D,"PSO",'caseload data'!$A:$A,"Yorkshire and The Humber",'caseload data'!$B:$B,{"licence","community"}))</f>
        <v>0</v>
      </c>
      <c r="E113" s="104" cm="1">
        <f t="array" ref="E113">SUM(SUMIFS('caseload data'!F:F,'caseload data'!$D:$D,"PSO",'caseload data'!$A:$A,"Yorkshire and The Humber",'caseload data'!$B:$B,{"licence","community"}))</f>
        <v>0</v>
      </c>
      <c r="F113" s="104" cm="1">
        <f t="array" ref="F113">SUM(SUMIFS('caseload data'!G:G,'caseload data'!$D:$D,"PSO",'caseload data'!$A:$A,"Yorkshire and The Humber",'caseload data'!$B:$B,{"licence","community"}))</f>
        <v>0</v>
      </c>
      <c r="G113" s="104" cm="1">
        <f t="array" ref="G113">SUM(SUMIFS('caseload data'!H:H,'caseload data'!$D:$D,"PSO",'caseload data'!$A:$A,"Yorkshire and The Humber",'caseload data'!$B:$B,{"licence","community"}))</f>
        <v>0</v>
      </c>
      <c r="H113" s="104" cm="1">
        <f t="array" ref="H113">SUM(SUMIFS('caseload data'!I:I,'caseload data'!$D:$D,"PSO",'caseload data'!$A:$A,"Yorkshire and The Humber",'caseload data'!$B:$B,{"licence","community"}))</f>
        <v>0</v>
      </c>
      <c r="I113" s="104" cm="1">
        <f t="array" ref="I113">SUM(SUMIFS('caseload data'!J:J,'caseload data'!$D:$D,"PSO",'caseload data'!$A:$A,"Yorkshire and The Humber",'caseload data'!$B:$B,{"licence","community"}))</f>
        <v>0</v>
      </c>
      <c r="J113" s="104" cm="1">
        <f t="array" ref="J113">SUM(SUMIFS('caseload data'!K:K,'caseload data'!$D:$D,"PSO",'caseload data'!$A:$A,"Yorkshire and The Humber",'caseload data'!$B:$B,{"licence","community"}))</f>
        <v>0</v>
      </c>
      <c r="K113" s="104" cm="1">
        <f t="array" ref="K113">SUM(SUMIFS('caseload data'!L:L,'caseload data'!$D:$D,"PSO",'caseload data'!$A:$A,"Yorkshire and The Humber",'caseload data'!$B:$B,{"licence","community"}))</f>
        <v>0</v>
      </c>
      <c r="L113" s="104" cm="1">
        <f t="array" ref="L113">SUM(SUMIFS('caseload data'!M:M,'caseload data'!$D:$D,"PSO",'caseload data'!$A:$A,"Yorkshire and The Humber",'caseload data'!$B:$B,{"licence","community"}))</f>
        <v>0</v>
      </c>
      <c r="M113" s="104" cm="1">
        <f t="array" ref="M113">SUM(SUMIFS('caseload data'!N:N,'caseload data'!$D:$D,"PSO",'caseload data'!$A:$A,"Yorkshire and The Humber",'caseload data'!$B:$B,{"licence","community"}))</f>
        <v>0</v>
      </c>
      <c r="N113" s="104" cm="1">
        <f t="array" ref="N113">SUM(SUMIFS('caseload data'!O:O,'caseload data'!$D:$D,"PSO",'caseload data'!$A:$A,"Yorkshire and The Humber",'caseload data'!$B:$B,{"licence","community"}))</f>
        <v>0</v>
      </c>
      <c r="O113" s="104" cm="1">
        <f t="array" ref="O113">SUM(SUMIFS('caseload data'!P:P,'caseload data'!$D:$D,"PSO",'caseload data'!$A:$A,"Yorkshire and The Humber",'caseload data'!$B:$B,{"licence","community"}))</f>
        <v>0</v>
      </c>
      <c r="P113" s="104" cm="1">
        <f t="array" ref="P113">SUM(SUMIFS('caseload data'!Q:Q,'caseload data'!$D:$D,"PSO",'caseload data'!$A:$A,"Yorkshire and The Humber",'caseload data'!$B:$B,{"licence","community"}))</f>
        <v>0</v>
      </c>
      <c r="Q113" s="104" cm="1">
        <f t="array" ref="Q113">SUM(SUMIFS('caseload data'!R:R,'caseload data'!$D:$D,"PSO",'caseload data'!$A:$A,"Yorkshire and The Humber",'caseload data'!$B:$B,{"licence","community"}))</f>
        <v>0</v>
      </c>
      <c r="R113" s="104" cm="1">
        <f t="array" ref="R113">SUM(SUMIFS('caseload data'!S:S,'caseload data'!$D:$D,"PSO",'caseload data'!$A:$A,"Yorkshire and The Humber",'caseload data'!$B:$B,{"licence","community"}))</f>
        <v>0</v>
      </c>
      <c r="S113" s="104" cm="1">
        <f t="array" ref="S113">SUM(SUMIFS('caseload data'!T:T,'caseload data'!$D:$D,"PSO",'caseload data'!$A:$A,"Yorkshire and The Humber",'caseload data'!$B:$B,{"licence","community"}))</f>
        <v>0</v>
      </c>
      <c r="T113" s="104" cm="1">
        <f t="array" ref="T113">SUM(SUMIFS('caseload data'!V:V,'caseload data'!$D:$D,"PSO",'caseload data'!$A:$A,"Yorkshire and The Humber",'caseload data'!$B:$B,{"licence","community"}))</f>
        <v>0</v>
      </c>
      <c r="U113" s="73"/>
      <c r="V113" s="73"/>
      <c r="W113" s="338"/>
      <c r="X113" s="139" t="s">
        <v>912</v>
      </c>
      <c r="Y113" s="181" t="e">
        <f>SUM(D113)/SUM(D$112:D$115)</f>
        <v>#DIV/0!</v>
      </c>
      <c r="Z113" s="181" t="e">
        <f t="shared" si="23"/>
        <v>#DIV/0!</v>
      </c>
      <c r="AA113" s="181" t="e">
        <f t="shared" si="23"/>
        <v>#DIV/0!</v>
      </c>
      <c r="AB113" s="181" t="e">
        <f t="shared" si="23"/>
        <v>#DIV/0!</v>
      </c>
      <c r="AC113" s="181" t="e">
        <f t="shared" si="23"/>
        <v>#DIV/0!</v>
      </c>
      <c r="AD113" s="181" t="e">
        <f t="shared" si="23"/>
        <v>#DIV/0!</v>
      </c>
      <c r="AE113" s="181" t="e">
        <f t="shared" si="23"/>
        <v>#DIV/0!</v>
      </c>
      <c r="AF113" s="181" t="e">
        <f t="shared" si="23"/>
        <v>#DIV/0!</v>
      </c>
      <c r="AG113" s="181" t="e">
        <f t="shared" si="23"/>
        <v>#DIV/0!</v>
      </c>
      <c r="AH113" s="181" t="e">
        <f t="shared" si="23"/>
        <v>#DIV/0!</v>
      </c>
      <c r="AI113" s="181" t="e">
        <f t="shared" si="23"/>
        <v>#DIV/0!</v>
      </c>
      <c r="AJ113" s="181" t="e">
        <f t="shared" si="23"/>
        <v>#DIV/0!</v>
      </c>
      <c r="AK113" s="181" t="e">
        <f t="shared" si="23"/>
        <v>#DIV/0!</v>
      </c>
      <c r="AL113" s="181" t="e">
        <f t="shared" si="23"/>
        <v>#DIV/0!</v>
      </c>
      <c r="AM113" s="181" t="e">
        <f t="shared" si="23"/>
        <v>#DIV/0!</v>
      </c>
      <c r="AN113" s="181" t="e">
        <f t="shared" si="23"/>
        <v>#DIV/0!</v>
      </c>
    </row>
    <row r="114" spans="2:40" x14ac:dyDescent="0.15">
      <c r="B114" s="338"/>
      <c r="C114" s="139" t="s">
        <v>913</v>
      </c>
      <c r="D114" s="104" cm="1">
        <f t="array" ref="D114">SUM(SUMIFS('caseload data'!E:E,'caseload data'!$D:$D,"TPO",'caseload data'!$A:$A,"Yorkshire and The Humber",'caseload data'!$B:$B,{"licence","community"}))</f>
        <v>0</v>
      </c>
      <c r="E114" s="104" cm="1">
        <f t="array" ref="E114">SUM(SUMIFS('caseload data'!F:F,'caseload data'!$D:$D,"TPO",'caseload data'!$A:$A,"Yorkshire and The Humber",'caseload data'!$B:$B,{"licence","community"}))</f>
        <v>0</v>
      </c>
      <c r="F114" s="104" cm="1">
        <f t="array" ref="F114">SUM(SUMIFS('caseload data'!G:G,'caseload data'!$D:$D,"TPO",'caseload data'!$A:$A,"Yorkshire and The Humber",'caseload data'!$B:$B,{"licence","community"}))</f>
        <v>0</v>
      </c>
      <c r="G114" s="104" cm="1">
        <f t="array" ref="G114">SUM(SUMIFS('caseload data'!H:H,'caseload data'!$D:$D,"TPO",'caseload data'!$A:$A,"Yorkshire and The Humber",'caseload data'!$B:$B,{"licence","community"}))</f>
        <v>0</v>
      </c>
      <c r="H114" s="104" cm="1">
        <f t="array" ref="H114">SUM(SUMIFS('caseload data'!I:I,'caseload data'!$D:$D,"TPO",'caseload data'!$A:$A,"Yorkshire and The Humber",'caseload data'!$B:$B,{"licence","community"}))</f>
        <v>0</v>
      </c>
      <c r="I114" s="104" cm="1">
        <f t="array" ref="I114">SUM(SUMIFS('caseload data'!J:J,'caseload data'!$D:$D,"TPO",'caseload data'!$A:$A,"Yorkshire and The Humber",'caseload data'!$B:$B,{"licence","community"}))</f>
        <v>0</v>
      </c>
      <c r="J114" s="104" cm="1">
        <f t="array" ref="J114">SUM(SUMIFS('caseload data'!K:K,'caseload data'!$D:$D,"TPO",'caseload data'!$A:$A,"Yorkshire and The Humber",'caseload data'!$B:$B,{"licence","community"}))</f>
        <v>0</v>
      </c>
      <c r="K114" s="104" cm="1">
        <f t="array" ref="K114">SUM(SUMIFS('caseload data'!L:L,'caseload data'!$D:$D,"TPO",'caseload data'!$A:$A,"Yorkshire and The Humber",'caseload data'!$B:$B,{"licence","community"}))</f>
        <v>0</v>
      </c>
      <c r="L114" s="104" cm="1">
        <f t="array" ref="L114">SUM(SUMIFS('caseload data'!M:M,'caseload data'!$D:$D,"TPO",'caseload data'!$A:$A,"Yorkshire and The Humber",'caseload data'!$B:$B,{"licence","community"}))</f>
        <v>0</v>
      </c>
      <c r="M114" s="104" cm="1">
        <f t="array" ref="M114">SUM(SUMIFS('caseload data'!N:N,'caseload data'!$D:$D,"TPO",'caseload data'!$A:$A,"Yorkshire and The Humber",'caseload data'!$B:$B,{"licence","community"}))</f>
        <v>0</v>
      </c>
      <c r="N114" s="104" cm="1">
        <f t="array" ref="N114">SUM(SUMIFS('caseload data'!O:O,'caseload data'!$D:$D,"TPO",'caseload data'!$A:$A,"Yorkshire and The Humber",'caseload data'!$B:$B,{"licence","community"}))</f>
        <v>0</v>
      </c>
      <c r="O114" s="104" cm="1">
        <f t="array" ref="O114">SUM(SUMIFS('caseload data'!P:P,'caseload data'!$D:$D,"TPO",'caseload data'!$A:$A,"Yorkshire and The Humber",'caseload data'!$B:$B,{"licence","community"}))</f>
        <v>0</v>
      </c>
      <c r="P114" s="104" cm="1">
        <f t="array" ref="P114">SUM(SUMIFS('caseload data'!Q:Q,'caseload data'!$D:$D,"TPO",'caseload data'!$A:$A,"Yorkshire and The Humber",'caseload data'!$B:$B,{"licence","community"}))</f>
        <v>0</v>
      </c>
      <c r="Q114" s="104" cm="1">
        <f t="array" ref="Q114">SUM(SUMIFS('caseload data'!R:R,'caseload data'!$D:$D,"TPO",'caseload data'!$A:$A,"Yorkshire and The Humber",'caseload data'!$B:$B,{"licence","community"}))</f>
        <v>0</v>
      </c>
      <c r="R114" s="104" cm="1">
        <f t="array" ref="R114">SUM(SUMIFS('caseload data'!S:S,'caseload data'!$D:$D,"TPO",'caseload data'!$A:$A,"Yorkshire and The Humber",'caseload data'!$B:$B,{"licence","community"}))</f>
        <v>0</v>
      </c>
      <c r="S114" s="104" cm="1">
        <f t="array" ref="S114">SUM(SUMIFS('caseload data'!T:T,'caseload data'!$D:$D,"TPO",'caseload data'!$A:$A,"Yorkshire and The Humber",'caseload data'!$B:$B,{"licence","community"}))</f>
        <v>0</v>
      </c>
      <c r="T114" s="104" cm="1">
        <f t="array" ref="T114">SUM(SUMIFS('caseload data'!V:V,'caseload data'!D:D,"TPO",'caseload data'!A:A,"Yorkshire and The Humber",'caseload data'!B:B,{"licence","community"}))</f>
        <v>0</v>
      </c>
      <c r="U114" s="73"/>
      <c r="V114" s="73"/>
      <c r="W114" s="338"/>
      <c r="X114" s="139" t="s">
        <v>913</v>
      </c>
      <c r="Y114" s="181" t="e">
        <f>SUM(D114)/SUM(D$112:D$115)</f>
        <v>#DIV/0!</v>
      </c>
      <c r="Z114" s="181" t="e">
        <f t="shared" si="23"/>
        <v>#DIV/0!</v>
      </c>
      <c r="AA114" s="181" t="e">
        <f t="shared" si="23"/>
        <v>#DIV/0!</v>
      </c>
      <c r="AB114" s="181" t="e">
        <f t="shared" si="23"/>
        <v>#DIV/0!</v>
      </c>
      <c r="AC114" s="181" t="e">
        <f t="shared" si="23"/>
        <v>#DIV/0!</v>
      </c>
      <c r="AD114" s="181" t="e">
        <f t="shared" si="23"/>
        <v>#DIV/0!</v>
      </c>
      <c r="AE114" s="181" t="e">
        <f t="shared" si="23"/>
        <v>#DIV/0!</v>
      </c>
      <c r="AF114" s="181" t="e">
        <f t="shared" si="23"/>
        <v>#DIV/0!</v>
      </c>
      <c r="AG114" s="181" t="e">
        <f t="shared" si="23"/>
        <v>#DIV/0!</v>
      </c>
      <c r="AH114" s="181" t="e">
        <f t="shared" si="23"/>
        <v>#DIV/0!</v>
      </c>
      <c r="AI114" s="181" t="e">
        <f t="shared" si="23"/>
        <v>#DIV/0!</v>
      </c>
      <c r="AJ114" s="181" t="e">
        <f t="shared" si="23"/>
        <v>#DIV/0!</v>
      </c>
      <c r="AK114" s="181" t="e">
        <f t="shared" si="23"/>
        <v>#DIV/0!</v>
      </c>
      <c r="AL114" s="181" t="e">
        <f t="shared" si="23"/>
        <v>#DIV/0!</v>
      </c>
      <c r="AM114" s="181" t="e">
        <f t="shared" si="23"/>
        <v>#DIV/0!</v>
      </c>
      <c r="AN114" s="181" t="e">
        <f t="shared" si="23"/>
        <v>#DIV/0!</v>
      </c>
    </row>
    <row r="115" spans="2:40" ht="15" thickBot="1" x14ac:dyDescent="0.2">
      <c r="B115" s="339"/>
      <c r="C115" s="140" t="s">
        <v>914</v>
      </c>
      <c r="D115" s="104" cm="1">
        <f t="array" ref="D115">SUM(SUMIFS('caseload data'!E:E,'caseload data'!$D:$D,"SPO",'caseload data'!$A:$A,"Yorkshire and The Humber",'caseload data'!$B:$B,{"licence","community"}))</f>
        <v>0</v>
      </c>
      <c r="E115" s="104" cm="1">
        <f t="array" ref="E115">SUM(SUMIFS('caseload data'!F:F,'caseload data'!$D:$D,"SPO",'caseload data'!$A:$A,"Yorkshire and The Humber",'caseload data'!$B:$B,{"licence","community"}))</f>
        <v>0</v>
      </c>
      <c r="F115" s="104" cm="1">
        <f t="array" ref="F115">SUM(SUMIFS('caseload data'!G:G,'caseload data'!$D:$D,"SPO",'caseload data'!$A:$A,"Yorkshire and The Humber",'caseload data'!$B:$B,{"licence","community"}))</f>
        <v>0</v>
      </c>
      <c r="G115" s="104" cm="1">
        <f t="array" ref="G115">SUM(SUMIFS('caseload data'!H:H,'caseload data'!$D:$D,"SPO",'caseload data'!$A:$A,"Yorkshire and The Humber",'caseload data'!$B:$B,{"licence","community"}))</f>
        <v>0</v>
      </c>
      <c r="H115" s="104" cm="1">
        <f t="array" ref="H115">SUM(SUMIFS('caseload data'!I:I,'caseload data'!$D:$D,"SPO",'caseload data'!$A:$A,"Yorkshire and The Humber",'caseload data'!$B:$B,{"licence","community"}))</f>
        <v>0</v>
      </c>
      <c r="I115" s="104" cm="1">
        <f t="array" ref="I115">SUM(SUMIFS('caseload data'!J:J,'caseload data'!$D:$D,"SPO",'caseload data'!$A:$A,"Yorkshire and The Humber",'caseload data'!$B:$B,{"licence","community"}))</f>
        <v>0</v>
      </c>
      <c r="J115" s="104" cm="1">
        <f t="array" ref="J115">SUM(SUMIFS('caseload data'!K:K,'caseload data'!$D:$D,"SPO",'caseload data'!$A:$A,"Yorkshire and The Humber",'caseload data'!$B:$B,{"licence","community"}))</f>
        <v>0</v>
      </c>
      <c r="K115" s="104" cm="1">
        <f t="array" ref="K115">SUM(SUMIFS('caseload data'!L:L,'caseload data'!$D:$D,"SPO",'caseload data'!$A:$A,"Yorkshire and The Humber",'caseload data'!$B:$B,{"licence","community"}))</f>
        <v>0</v>
      </c>
      <c r="L115" s="104" cm="1">
        <f t="array" ref="L115">SUM(SUMIFS('caseload data'!M:M,'caseload data'!$D:$D,"SPO",'caseload data'!$A:$A,"Yorkshire and The Humber",'caseload data'!$B:$B,{"licence","community"}))</f>
        <v>0</v>
      </c>
      <c r="M115" s="104" cm="1">
        <f t="array" ref="M115">SUM(SUMIFS('caseload data'!N:N,'caseload data'!$D:$D,"SPO",'caseload data'!$A:$A,"Yorkshire and The Humber",'caseload data'!$B:$B,{"licence","community"}))</f>
        <v>0</v>
      </c>
      <c r="N115" s="104" cm="1">
        <f t="array" ref="N115">SUM(SUMIFS('caseload data'!O:O,'caseload data'!$D:$D,"SPO",'caseload data'!$A:$A,"Yorkshire and The Humber",'caseload data'!$B:$B,{"licence","community"}))</f>
        <v>0</v>
      </c>
      <c r="O115" s="104" cm="1">
        <f t="array" ref="O115">SUM(SUMIFS('caseload data'!P:P,'caseload data'!$D:$D,"SPO",'caseload data'!$A:$A,"Yorkshire and The Humber",'caseload data'!$B:$B,{"licence","community"}))</f>
        <v>0</v>
      </c>
      <c r="P115" s="104" cm="1">
        <f t="array" ref="P115">SUM(SUMIFS('caseload data'!Q:Q,'caseload data'!$D:$D,"SPO",'caseload data'!$A:$A,"Yorkshire and The Humber",'caseload data'!$B:$B,{"licence","community"}))</f>
        <v>0</v>
      </c>
      <c r="Q115" s="104" cm="1">
        <f t="array" ref="Q115">SUM(SUMIFS('caseload data'!R:R,'caseload data'!$D:$D,"SPO",'caseload data'!$A:$A,"Yorkshire and The Humber",'caseload data'!$B:$B,{"licence","community"}))</f>
        <v>0</v>
      </c>
      <c r="R115" s="104" cm="1">
        <f t="array" ref="R115">SUM(SUMIFS('caseload data'!S:S,'caseload data'!$D:$D,"SPO",'caseload data'!$A:$A,"Yorkshire and The Humber",'caseload data'!$B:$B,{"licence","community"}))</f>
        <v>0</v>
      </c>
      <c r="S115" s="104" cm="1">
        <f t="array" ref="S115">SUM(SUMIFS('caseload data'!T:T,'caseload data'!$D:$D,"SPO",'caseload data'!$A:$A,"Yorkshire and The Humber",'caseload data'!$B:$B,{"licence","community"}))</f>
        <v>0</v>
      </c>
      <c r="T115" s="104" cm="1">
        <f t="array" ref="T115">SUM(SUMIFS('caseload data'!V:V,'caseload data'!$D:$D,"SPO",'caseload data'!$A:$A,"Yorkshire and The Humber",'caseload data'!$B:$B,{"licence","community"}))</f>
        <v>0</v>
      </c>
      <c r="U115" s="73"/>
      <c r="V115" s="73"/>
      <c r="W115" s="339"/>
      <c r="X115" s="140" t="s">
        <v>914</v>
      </c>
      <c r="Y115" s="181" t="e">
        <f>SUM(D115)/SUM(D$112:D$115)</f>
        <v>#DIV/0!</v>
      </c>
      <c r="Z115" s="181" t="e">
        <f t="shared" si="23"/>
        <v>#DIV/0!</v>
      </c>
      <c r="AA115" s="181" t="e">
        <f t="shared" si="23"/>
        <v>#DIV/0!</v>
      </c>
      <c r="AB115" s="181" t="e">
        <f t="shared" si="23"/>
        <v>#DIV/0!</v>
      </c>
      <c r="AC115" s="181" t="e">
        <f t="shared" si="23"/>
        <v>#DIV/0!</v>
      </c>
      <c r="AD115" s="181" t="e">
        <f t="shared" si="23"/>
        <v>#DIV/0!</v>
      </c>
      <c r="AE115" s="181" t="e">
        <f t="shared" si="23"/>
        <v>#DIV/0!</v>
      </c>
      <c r="AF115" s="181" t="e">
        <f t="shared" si="23"/>
        <v>#DIV/0!</v>
      </c>
      <c r="AG115" s="181" t="e">
        <f t="shared" si="23"/>
        <v>#DIV/0!</v>
      </c>
      <c r="AH115" s="181" t="e">
        <f t="shared" si="23"/>
        <v>#DIV/0!</v>
      </c>
      <c r="AI115" s="181" t="e">
        <f t="shared" si="23"/>
        <v>#DIV/0!</v>
      </c>
      <c r="AJ115" s="181" t="e">
        <f t="shared" si="23"/>
        <v>#DIV/0!</v>
      </c>
      <c r="AK115" s="181" t="e">
        <f t="shared" si="23"/>
        <v>#DIV/0!</v>
      </c>
      <c r="AL115" s="181" t="e">
        <f t="shared" si="23"/>
        <v>#DIV/0!</v>
      </c>
      <c r="AM115" s="181" t="e">
        <f t="shared" si="23"/>
        <v>#DIV/0!</v>
      </c>
      <c r="AN115" s="181" t="e">
        <f t="shared" si="23"/>
        <v>#DIV/0!</v>
      </c>
    </row>
    <row r="116" spans="2:40" x14ac:dyDescent="0.15">
      <c r="B116" s="361" t="s">
        <v>1113</v>
      </c>
      <c r="C116" s="147" t="s">
        <v>911</v>
      </c>
      <c r="D116" s="148" cm="1">
        <f t="array" ref="D116">SUM(SUMIFS('caseload data'!E:E,'caseload data'!$D:$D,"PO",'caseload data'!$B:$B,{"licence","community"}))</f>
        <v>0</v>
      </c>
      <c r="E116" s="148" cm="1">
        <f t="array" ref="E116">SUM(SUMIFS('caseload data'!F:F,'caseload data'!$D:$D,"PO",'caseload data'!$B:$B,{"licence","community"}))</f>
        <v>0</v>
      </c>
      <c r="F116" s="148" cm="1">
        <f t="array" ref="F116">SUM(SUMIFS('caseload data'!G:G,'caseload data'!$D:$D,"PO",'caseload data'!$B:$B,{"licence","community"}))</f>
        <v>0</v>
      </c>
      <c r="G116" s="148" cm="1">
        <f t="array" ref="G116">SUM(SUMIFS('caseload data'!H:H,'caseload data'!$D:$D,"PO",'caseload data'!$B:$B,{"licence","community"}))</f>
        <v>0</v>
      </c>
      <c r="H116" s="148" cm="1">
        <f t="array" ref="H116">SUM(SUMIFS('caseload data'!I:I,'caseload data'!$D:$D,"PO",'caseload data'!$B:$B,{"licence","community"}))</f>
        <v>0</v>
      </c>
      <c r="I116" s="148" cm="1">
        <f t="array" ref="I116">SUM(SUMIFS('caseload data'!J:J,'caseload data'!$D:$D,"PO",'caseload data'!$B:$B,{"licence","community"}))</f>
        <v>0</v>
      </c>
      <c r="J116" s="148" cm="1">
        <f t="array" ref="J116">SUM(SUMIFS('caseload data'!K:K,'caseload data'!$D:$D,"PO",'caseload data'!$B:$B,{"licence","community"}))</f>
        <v>0</v>
      </c>
      <c r="K116" s="148" cm="1">
        <f t="array" ref="K116">SUM(SUMIFS('caseload data'!L:L,'caseload data'!$D:$D,"PO",'caseload data'!$B:$B,{"licence","community"}))</f>
        <v>0</v>
      </c>
      <c r="L116" s="148" cm="1">
        <f t="array" ref="L116">SUM(SUMIFS('caseload data'!M:M,'caseload data'!$D:$D,"PO",'caseload data'!$B:$B,{"licence","community"}))</f>
        <v>0</v>
      </c>
      <c r="M116" s="148" cm="1">
        <f t="array" ref="M116">SUM(SUMIFS('caseload data'!N:N,'caseload data'!$D:$D,"PO",'caseload data'!$B:$B,{"licence","community"}))</f>
        <v>0</v>
      </c>
      <c r="N116" s="148" cm="1">
        <f t="array" ref="N116">SUM(SUMIFS('caseload data'!O:O,'caseload data'!$D:$D,"PO",'caseload data'!$B:$B,{"licence","community"}))</f>
        <v>0</v>
      </c>
      <c r="O116" s="148" cm="1">
        <f t="array" ref="O116">SUM(SUMIFS('caseload data'!P:P,'caseload data'!$D:$D,"PO",'caseload data'!$B:$B,{"licence","community"}))</f>
        <v>0</v>
      </c>
      <c r="P116" s="148" cm="1">
        <f t="array" ref="P116">SUM(SUMIFS('caseload data'!Q:Q,'caseload data'!$D:$D,"PO",'caseload data'!$B:$B,{"licence","community"}))</f>
        <v>0</v>
      </c>
      <c r="Q116" s="148" cm="1">
        <f t="array" ref="Q116">SUM(SUMIFS('caseload data'!R:R,'caseload data'!$D:$D,"PO",'caseload data'!$B:$B,{"licence","community"}))</f>
        <v>0</v>
      </c>
      <c r="R116" s="148" cm="1">
        <f t="array" ref="R116">SUM(SUMIFS('caseload data'!S:S,'caseload data'!$D:$D,"PO",'caseload data'!$B:$B,{"licence","community"}))</f>
        <v>0</v>
      </c>
      <c r="S116" s="148" cm="1">
        <f t="array" ref="S116">SUM(SUMIFS('caseload data'!T:T,'caseload data'!$D:$D,"PO",'caseload data'!$B:$B,{"licence","community"}))</f>
        <v>0</v>
      </c>
      <c r="T116" s="149">
        <f>SUM(SUMIFS('caseload data'!V:V,'caseload data'!D:D,"PO",'caseload data'!B:B,{"licence","community"}))</f>
        <v>0</v>
      </c>
      <c r="U116" s="73"/>
      <c r="V116" s="73"/>
      <c r="W116" s="358" t="s">
        <v>1113</v>
      </c>
      <c r="X116" s="147" t="s">
        <v>911</v>
      </c>
      <c r="Y116" s="151" t="e">
        <f>SUM(D116)/SUM(D$116:D$119)</f>
        <v>#DIV/0!</v>
      </c>
      <c r="Z116" s="151" t="e">
        <f t="shared" ref="Z116:AN119" si="24">SUM(E116)/SUM(E$116:E$119)</f>
        <v>#DIV/0!</v>
      </c>
      <c r="AA116" s="151" t="e">
        <f t="shared" si="24"/>
        <v>#DIV/0!</v>
      </c>
      <c r="AB116" s="151" t="e">
        <f t="shared" si="24"/>
        <v>#DIV/0!</v>
      </c>
      <c r="AC116" s="151" t="e">
        <f t="shared" si="24"/>
        <v>#DIV/0!</v>
      </c>
      <c r="AD116" s="151" t="e">
        <f t="shared" si="24"/>
        <v>#DIV/0!</v>
      </c>
      <c r="AE116" s="151" t="e">
        <f t="shared" si="24"/>
        <v>#DIV/0!</v>
      </c>
      <c r="AF116" s="151" t="e">
        <f t="shared" si="24"/>
        <v>#DIV/0!</v>
      </c>
      <c r="AG116" s="151" t="e">
        <f t="shared" si="24"/>
        <v>#DIV/0!</v>
      </c>
      <c r="AH116" s="151" t="e">
        <f t="shared" si="24"/>
        <v>#DIV/0!</v>
      </c>
      <c r="AI116" s="151" t="e">
        <f t="shared" si="24"/>
        <v>#DIV/0!</v>
      </c>
      <c r="AJ116" s="151" t="e">
        <f t="shared" si="24"/>
        <v>#DIV/0!</v>
      </c>
      <c r="AK116" s="151" t="e">
        <f t="shared" si="24"/>
        <v>#DIV/0!</v>
      </c>
      <c r="AL116" s="151" t="e">
        <f t="shared" si="24"/>
        <v>#DIV/0!</v>
      </c>
      <c r="AM116" s="151" t="e">
        <f t="shared" si="24"/>
        <v>#DIV/0!</v>
      </c>
      <c r="AN116" s="151" t="e">
        <f t="shared" si="24"/>
        <v>#DIV/0!</v>
      </c>
    </row>
    <row r="117" spans="2:40" x14ac:dyDescent="0.15">
      <c r="B117" s="344"/>
      <c r="C117" s="150" t="s">
        <v>912</v>
      </c>
      <c r="D117" s="148" cm="1">
        <f t="array" ref="D117">SUM(SUMIFS('caseload data'!E:E,'caseload data'!$D:$D,"PSO",'caseload data'!$B:$B,{"licence","community"}))</f>
        <v>0</v>
      </c>
      <c r="E117" s="148" cm="1">
        <f t="array" ref="E117">SUM(SUMIFS('caseload data'!F:F,'caseload data'!$D:$D,"PSO",'caseload data'!$B:$B,{"licence","community"}))</f>
        <v>0</v>
      </c>
      <c r="F117" s="148" cm="1">
        <f t="array" ref="F117">SUM(SUMIFS('caseload data'!G:G,'caseload data'!$D:$D,"PSO",'caseload data'!$B:$B,{"licence","community"}))</f>
        <v>0</v>
      </c>
      <c r="G117" s="148" cm="1">
        <f t="array" ref="G117">SUM(SUMIFS('caseload data'!H:H,'caseload data'!$D:$D,"PSO",'caseload data'!$B:$B,{"licence","community"}))</f>
        <v>0</v>
      </c>
      <c r="H117" s="148" cm="1">
        <f t="array" ref="H117">SUM(SUMIFS('caseload data'!I:I,'caseload data'!$D:$D,"PSO",'caseload data'!$B:$B,{"licence","community"}))</f>
        <v>0</v>
      </c>
      <c r="I117" s="148" cm="1">
        <f t="array" ref="I117">SUM(SUMIFS('caseload data'!J:J,'caseload data'!$D:$D,"PSO",'caseload data'!$B:$B,{"licence","community"}))</f>
        <v>0</v>
      </c>
      <c r="J117" s="148" cm="1">
        <f t="array" ref="J117">SUM(SUMIFS('caseload data'!K:K,'caseload data'!$D:$D,"PSO",'caseload data'!$B:$B,{"licence","community"}))</f>
        <v>0</v>
      </c>
      <c r="K117" s="148" cm="1">
        <f t="array" ref="K117">SUM(SUMIFS('caseload data'!L:L,'caseload data'!$D:$D,"PSO",'caseload data'!$B:$B,{"licence","community"}))</f>
        <v>0</v>
      </c>
      <c r="L117" s="148" cm="1">
        <f t="array" ref="L117">SUM(SUMIFS('caseload data'!M:M,'caseload data'!$D:$D,"PSO",'caseload data'!$B:$B,{"licence","community"}))</f>
        <v>0</v>
      </c>
      <c r="M117" s="148" cm="1">
        <f t="array" ref="M117">SUM(SUMIFS('caseload data'!N:N,'caseload data'!$D:$D,"PSO",'caseload data'!$B:$B,{"licence","community"}))</f>
        <v>0</v>
      </c>
      <c r="N117" s="148" cm="1">
        <f t="array" ref="N117">SUM(SUMIFS('caseload data'!O:O,'caseload data'!$D:$D,"PSO",'caseload data'!$B:$B,{"licence","community"}))</f>
        <v>0</v>
      </c>
      <c r="O117" s="148" cm="1">
        <f t="array" ref="O117">SUM(SUMIFS('caseload data'!P:P,'caseload data'!$D:$D,"PSO",'caseload data'!$B:$B,{"licence","community"}))</f>
        <v>0</v>
      </c>
      <c r="P117" s="148" cm="1">
        <f t="array" ref="P117">SUM(SUMIFS('caseload data'!Q:Q,'caseload data'!$D:$D,"PSO",'caseload data'!$B:$B,{"licence","community"}))</f>
        <v>0</v>
      </c>
      <c r="Q117" s="148" cm="1">
        <f t="array" ref="Q117">SUM(SUMIFS('caseload data'!R:R,'caseload data'!$D:$D,"PSO",'caseload data'!$B:$B,{"licence","community"}))</f>
        <v>0</v>
      </c>
      <c r="R117" s="148" cm="1">
        <f t="array" ref="R117">SUM(SUMIFS('caseload data'!S:S,'caseload data'!$D:$D,"PSO",'caseload data'!$B:$B,{"licence","community"}))</f>
        <v>0</v>
      </c>
      <c r="S117" s="148" cm="1">
        <f t="array" ref="S117">SUM(SUMIFS('caseload data'!T:T,'caseload data'!$D:$D,"PSO",'caseload data'!$B:$B,{"licence","community"}))</f>
        <v>0</v>
      </c>
      <c r="T117" s="149">
        <f>SUM(SUMIFS('caseload data'!V:V,'caseload data'!D:D,"PSO",'caseload data'!B:B,{"licence","community"}))</f>
        <v>0</v>
      </c>
      <c r="U117" s="73"/>
      <c r="V117" s="73"/>
      <c r="W117" s="359"/>
      <c r="X117" s="150" t="s">
        <v>912</v>
      </c>
      <c r="Y117" s="151" t="e">
        <f>SUM(D117)/SUM(D$116:D$119)</f>
        <v>#DIV/0!</v>
      </c>
      <c r="Z117" s="151" t="e">
        <f t="shared" si="24"/>
        <v>#DIV/0!</v>
      </c>
      <c r="AA117" s="151" t="e">
        <f t="shared" si="24"/>
        <v>#DIV/0!</v>
      </c>
      <c r="AB117" s="151" t="e">
        <f t="shared" si="24"/>
        <v>#DIV/0!</v>
      </c>
      <c r="AC117" s="151" t="e">
        <f t="shared" si="24"/>
        <v>#DIV/0!</v>
      </c>
      <c r="AD117" s="151" t="e">
        <f t="shared" si="24"/>
        <v>#DIV/0!</v>
      </c>
      <c r="AE117" s="151" t="e">
        <f t="shared" si="24"/>
        <v>#DIV/0!</v>
      </c>
      <c r="AF117" s="151" t="e">
        <f t="shared" si="24"/>
        <v>#DIV/0!</v>
      </c>
      <c r="AG117" s="151" t="e">
        <f t="shared" si="24"/>
        <v>#DIV/0!</v>
      </c>
      <c r="AH117" s="151" t="e">
        <f t="shared" si="24"/>
        <v>#DIV/0!</v>
      </c>
      <c r="AI117" s="151" t="e">
        <f t="shared" si="24"/>
        <v>#DIV/0!</v>
      </c>
      <c r="AJ117" s="151" t="e">
        <f t="shared" si="24"/>
        <v>#DIV/0!</v>
      </c>
      <c r="AK117" s="151" t="e">
        <f t="shared" si="24"/>
        <v>#DIV/0!</v>
      </c>
      <c r="AL117" s="151" t="e">
        <f t="shared" si="24"/>
        <v>#DIV/0!</v>
      </c>
      <c r="AM117" s="151" t="e">
        <f t="shared" si="24"/>
        <v>#DIV/0!</v>
      </c>
      <c r="AN117" s="151" t="e">
        <f t="shared" si="24"/>
        <v>#DIV/0!</v>
      </c>
    </row>
    <row r="118" spans="2:40" x14ac:dyDescent="0.15">
      <c r="B118" s="344"/>
      <c r="C118" s="150" t="s">
        <v>913</v>
      </c>
      <c r="D118" s="148" cm="1">
        <f t="array" ref="D118">SUM(SUMIFS('caseload data'!E:E,'caseload data'!$D:$D,"TPO",'caseload data'!$B:$B,{"licence","community"}))</f>
        <v>0</v>
      </c>
      <c r="E118" s="148" cm="1">
        <f t="array" ref="E118">SUM(SUMIFS('caseload data'!F:F,'caseload data'!$D:$D,"TPO",'caseload data'!$B:$B,{"licence","community"}))</f>
        <v>0</v>
      </c>
      <c r="F118" s="148" cm="1">
        <f t="array" ref="F118">SUM(SUMIFS('caseload data'!G:G,'caseload data'!$D:$D,"TPO",'caseload data'!$B:$B,{"licence","community"}))</f>
        <v>0</v>
      </c>
      <c r="G118" s="148" cm="1">
        <f t="array" ref="G118">SUM(SUMIFS('caseload data'!H:H,'caseload data'!$D:$D,"TPO",'caseload data'!$B:$B,{"licence","community"}))</f>
        <v>0</v>
      </c>
      <c r="H118" s="148" cm="1">
        <f t="array" ref="H118">SUM(SUMIFS('caseload data'!I:I,'caseload data'!$D:$D,"TPO",'caseload data'!$B:$B,{"licence","community"}))</f>
        <v>0</v>
      </c>
      <c r="I118" s="148" cm="1">
        <f t="array" ref="I118">SUM(SUMIFS('caseload data'!J:J,'caseload data'!$D:$D,"TPO",'caseload data'!$B:$B,{"licence","community"}))</f>
        <v>0</v>
      </c>
      <c r="J118" s="148" cm="1">
        <f t="array" ref="J118">SUM(SUMIFS('caseload data'!K:K,'caseload data'!$D:$D,"TPO",'caseload data'!$B:$B,{"licence","community"}))</f>
        <v>0</v>
      </c>
      <c r="K118" s="148" cm="1">
        <f t="array" ref="K118">SUM(SUMIFS('caseload data'!L:L,'caseload data'!$D:$D,"TPO",'caseload data'!$B:$B,{"licence","community"}))</f>
        <v>0</v>
      </c>
      <c r="L118" s="148" cm="1">
        <f t="array" ref="L118">SUM(SUMIFS('caseload data'!M:M,'caseload data'!$D:$D,"TPO",'caseload data'!$B:$B,{"licence","community"}))</f>
        <v>0</v>
      </c>
      <c r="M118" s="148" cm="1">
        <f t="array" ref="M118">SUM(SUMIFS('caseload data'!N:N,'caseload data'!$D:$D,"TPO",'caseload data'!$B:$B,{"licence","community"}))</f>
        <v>0</v>
      </c>
      <c r="N118" s="148" cm="1">
        <f t="array" ref="N118">SUM(SUMIFS('caseload data'!O:O,'caseload data'!$D:$D,"TPO",'caseload data'!$B:$B,{"licence","community"}))</f>
        <v>0</v>
      </c>
      <c r="O118" s="148" cm="1">
        <f t="array" ref="O118">SUM(SUMIFS('caseload data'!P:P,'caseload data'!$D:$D,"TPO",'caseload data'!$B:$B,{"licence","community"}))</f>
        <v>0</v>
      </c>
      <c r="P118" s="148" cm="1">
        <f t="array" ref="P118">SUM(SUMIFS('caseload data'!Q:Q,'caseload data'!$D:$D,"TPO",'caseload data'!$B:$B,{"licence","community"}))</f>
        <v>0</v>
      </c>
      <c r="Q118" s="148" cm="1">
        <f t="array" ref="Q118">SUM(SUMIFS('caseload data'!R:R,'caseload data'!$D:$D,"TPO",'caseload data'!$B:$B,{"licence","community"}))</f>
        <v>0</v>
      </c>
      <c r="R118" s="148" cm="1">
        <f t="array" ref="R118">SUM(SUMIFS('caseload data'!S:S,'caseload data'!$D:$D,"TPO",'caseload data'!$B:$B,{"licence","community"}))</f>
        <v>0</v>
      </c>
      <c r="S118" s="148" cm="1">
        <f t="array" ref="S118">SUM(SUMIFS('caseload data'!T:T,'caseload data'!$D:$D,"TPO",'caseload data'!$B:$B,{"licence","community"}))</f>
        <v>0</v>
      </c>
      <c r="T118" s="149">
        <f>SUM(SUMIFS('caseload data'!V:V,'caseload data'!D:D,"TPO",'caseload data'!B:B,{"licence","community"}))</f>
        <v>0</v>
      </c>
      <c r="U118" s="73"/>
      <c r="V118" s="73"/>
      <c r="W118" s="359"/>
      <c r="X118" s="150" t="s">
        <v>913</v>
      </c>
      <c r="Y118" s="151" t="e">
        <f>SUM(D118)/SUM(D$116:D$119)</f>
        <v>#DIV/0!</v>
      </c>
      <c r="Z118" s="151" t="e">
        <f t="shared" si="24"/>
        <v>#DIV/0!</v>
      </c>
      <c r="AA118" s="151" t="e">
        <f t="shared" si="24"/>
        <v>#DIV/0!</v>
      </c>
      <c r="AB118" s="151" t="e">
        <f t="shared" si="24"/>
        <v>#DIV/0!</v>
      </c>
      <c r="AC118" s="151" t="e">
        <f t="shared" si="24"/>
        <v>#DIV/0!</v>
      </c>
      <c r="AD118" s="151" t="e">
        <f t="shared" si="24"/>
        <v>#DIV/0!</v>
      </c>
      <c r="AE118" s="151" t="e">
        <f t="shared" si="24"/>
        <v>#DIV/0!</v>
      </c>
      <c r="AF118" s="151" t="e">
        <f t="shared" si="24"/>
        <v>#DIV/0!</v>
      </c>
      <c r="AG118" s="151" t="e">
        <f t="shared" si="24"/>
        <v>#DIV/0!</v>
      </c>
      <c r="AH118" s="151" t="e">
        <f t="shared" si="24"/>
        <v>#DIV/0!</v>
      </c>
      <c r="AI118" s="151" t="e">
        <f t="shared" si="24"/>
        <v>#DIV/0!</v>
      </c>
      <c r="AJ118" s="151" t="e">
        <f t="shared" si="24"/>
        <v>#DIV/0!</v>
      </c>
      <c r="AK118" s="151" t="e">
        <f t="shared" si="24"/>
        <v>#DIV/0!</v>
      </c>
      <c r="AL118" s="151" t="e">
        <f t="shared" si="24"/>
        <v>#DIV/0!</v>
      </c>
      <c r="AM118" s="151" t="e">
        <f t="shared" si="24"/>
        <v>#DIV/0!</v>
      </c>
      <c r="AN118" s="151" t="e">
        <f t="shared" si="24"/>
        <v>#DIV/0!</v>
      </c>
    </row>
    <row r="119" spans="2:40" ht="15" thickBot="1" x14ac:dyDescent="0.2">
      <c r="B119" s="344"/>
      <c r="C119" s="150" t="s">
        <v>914</v>
      </c>
      <c r="D119" s="148">
        <f>SUM(SUMIFS('caseload data'!E:E,'caseload data'!$D:$D,"SPO",'caseload data'!$B:$B,{"licence","community"}))</f>
        <v>0</v>
      </c>
      <c r="E119" s="148">
        <f>SUM(SUMIFS('caseload data'!F:F,'caseload data'!$D:$D,"SPO",'caseload data'!$B:$B,{"licence","community"}))</f>
        <v>0</v>
      </c>
      <c r="F119" s="148">
        <f>SUM(SUMIFS('caseload data'!G:G,'caseload data'!$D:$D,"SPO",'caseload data'!$B:$B,{"licence","community"}))</f>
        <v>0</v>
      </c>
      <c r="G119" s="148">
        <f>SUM(SUMIFS('caseload data'!H:H,'caseload data'!$D:$D,"SPO",'caseload data'!$B:$B,{"licence","community"}))</f>
        <v>0</v>
      </c>
      <c r="H119" s="148">
        <f>SUM(SUMIFS('caseload data'!I:I,'caseload data'!$D:$D,"SPO",'caseload data'!$B:$B,{"licence","community"}))</f>
        <v>0</v>
      </c>
      <c r="I119" s="148">
        <f>SUM(SUMIFS('caseload data'!J:J,'caseload data'!$D:$D,"SPO",'caseload data'!$B:$B,{"licence","community"}))</f>
        <v>0</v>
      </c>
      <c r="J119" s="148">
        <f>SUM(SUMIFS('caseload data'!K:K,'caseload data'!$D:$D,"SPO",'caseload data'!$B:$B,{"licence","community"}))</f>
        <v>0</v>
      </c>
      <c r="K119" s="148">
        <f>SUM(SUMIFS('caseload data'!L:L,'caseload data'!$D:$D,"SPO",'caseload data'!$B:$B,{"licence","community"}))</f>
        <v>0</v>
      </c>
      <c r="L119" s="148">
        <f>SUM(SUMIFS('caseload data'!M:M,'caseload data'!$D:$D,"SPO",'caseload data'!$B:$B,{"licence","community"}))</f>
        <v>0</v>
      </c>
      <c r="M119" s="148">
        <f>SUM(SUMIFS('caseload data'!N:N,'caseload data'!$D:$D,"SPO",'caseload data'!$B:$B,{"licence","community"}))</f>
        <v>0</v>
      </c>
      <c r="N119" s="148">
        <f>SUM(SUMIFS('caseload data'!O:O,'caseload data'!$D:$D,"SPO",'caseload data'!$B:$B,{"licence","community"}))</f>
        <v>0</v>
      </c>
      <c r="O119" s="148">
        <f>SUM(SUMIFS('caseload data'!P:P,'caseload data'!$D:$D,"SPO",'caseload data'!$B:$B,{"licence","community"}))</f>
        <v>0</v>
      </c>
      <c r="P119" s="148">
        <f>SUM(SUMIFS('caseload data'!Q:Q,'caseload data'!$D:$D,"SPO",'caseload data'!$B:$B,{"licence","community"}))</f>
        <v>0</v>
      </c>
      <c r="Q119" s="148">
        <f>SUM(SUMIFS('caseload data'!R:R,'caseload data'!$D:$D,"SPO",'caseload data'!$B:$B,{"licence","community"}))</f>
        <v>0</v>
      </c>
      <c r="R119" s="148">
        <f>SUM(SUMIFS('caseload data'!S:S,'caseload data'!$D:$D,"SPO",'caseload data'!$B:$B,{"licence","community"}))</f>
        <v>0</v>
      </c>
      <c r="S119" s="148">
        <f>SUM(SUMIFS('caseload data'!T:T,'caseload data'!$D:$D,"SPO",'caseload data'!$B:$B,{"licence","community"}))</f>
        <v>0</v>
      </c>
      <c r="T119" s="149">
        <f>SUM(SUMIFS('caseload data'!V:V,'caseload data'!$D:$D,"SPO",'caseload data'!$B:$B,{"licence","community"}))</f>
        <v>0</v>
      </c>
      <c r="U119" s="73"/>
      <c r="V119" s="73"/>
      <c r="W119" s="360"/>
      <c r="X119" s="152" t="s">
        <v>914</v>
      </c>
      <c r="Y119" s="151" t="e">
        <f>SUM(D119)/SUM(D$116:D$119)</f>
        <v>#DIV/0!</v>
      </c>
      <c r="Z119" s="151" t="e">
        <f t="shared" si="24"/>
        <v>#DIV/0!</v>
      </c>
      <c r="AA119" s="151" t="e">
        <f t="shared" si="24"/>
        <v>#DIV/0!</v>
      </c>
      <c r="AB119" s="151" t="e">
        <f t="shared" si="24"/>
        <v>#DIV/0!</v>
      </c>
      <c r="AC119" s="151" t="e">
        <f t="shared" si="24"/>
        <v>#DIV/0!</v>
      </c>
      <c r="AD119" s="151" t="e">
        <f t="shared" si="24"/>
        <v>#DIV/0!</v>
      </c>
      <c r="AE119" s="151" t="e">
        <f t="shared" si="24"/>
        <v>#DIV/0!</v>
      </c>
      <c r="AF119" s="151" t="e">
        <f t="shared" si="24"/>
        <v>#DIV/0!</v>
      </c>
      <c r="AG119" s="151" t="e">
        <f t="shared" si="24"/>
        <v>#DIV/0!</v>
      </c>
      <c r="AH119" s="151" t="e">
        <f t="shared" si="24"/>
        <v>#DIV/0!</v>
      </c>
      <c r="AI119" s="151" t="e">
        <f t="shared" si="24"/>
        <v>#DIV/0!</v>
      </c>
      <c r="AJ119" s="151" t="e">
        <f t="shared" si="24"/>
        <v>#DIV/0!</v>
      </c>
      <c r="AK119" s="151" t="e">
        <f t="shared" si="24"/>
        <v>#DIV/0!</v>
      </c>
      <c r="AL119" s="151" t="e">
        <f t="shared" si="24"/>
        <v>#DIV/0!</v>
      </c>
      <c r="AM119" s="151" t="e">
        <f t="shared" si="24"/>
        <v>#DIV/0!</v>
      </c>
      <c r="AN119" s="151" t="e">
        <f t="shared" si="24"/>
        <v>#DIV/0!</v>
      </c>
    </row>
    <row r="120" spans="2:40" ht="30" customHeight="1" thickBot="1" x14ac:dyDescent="0.2">
      <c r="B120" s="345"/>
      <c r="C120" s="144" t="s">
        <v>1114</v>
      </c>
      <c r="D120" s="145" cm="1">
        <f t="array" ref="D120">SUM(SUMIF('caseload data'!$B:$B,{"licence","community"},'caseload data'!E:E))</f>
        <v>0</v>
      </c>
      <c r="E120" s="145" cm="1">
        <f t="array" ref="E120">SUM(SUMIF('caseload data'!$B:$B,{"licence","community"},'caseload data'!F:F))</f>
        <v>0</v>
      </c>
      <c r="F120" s="145" cm="1">
        <f t="array" ref="F120">SUM(SUMIF('caseload data'!$B:$B,{"licence","community"},'caseload data'!G:G))</f>
        <v>0</v>
      </c>
      <c r="G120" s="145" cm="1">
        <f t="array" ref="G120">SUM(SUMIF('caseload data'!$B:$B,{"licence","community"},'caseload data'!H:H))</f>
        <v>0</v>
      </c>
      <c r="H120" s="145" cm="1">
        <f t="array" ref="H120">SUM(SUMIF('caseload data'!$B:$B,{"licence","community"},'caseload data'!I:I))</f>
        <v>0</v>
      </c>
      <c r="I120" s="145" cm="1">
        <f t="array" ref="I120">SUM(SUMIF('caseload data'!$B:$B,{"licence","community"},'caseload data'!J:J))</f>
        <v>0</v>
      </c>
      <c r="J120" s="145" cm="1">
        <f t="array" ref="J120">SUM(SUMIF('caseload data'!$B:$B,{"licence","community"},'caseload data'!K:K))</f>
        <v>0</v>
      </c>
      <c r="K120" s="145" cm="1">
        <f t="array" ref="K120">SUM(SUMIF('caseload data'!$B:$B,{"licence","community"},'caseload data'!L:L))</f>
        <v>0</v>
      </c>
      <c r="L120" s="145" cm="1">
        <f t="array" ref="L120">SUM(SUMIF('caseload data'!$B:$B,{"licence","community"},'caseload data'!M:M))</f>
        <v>0</v>
      </c>
      <c r="M120" s="145" cm="1">
        <f t="array" ref="M120">SUM(SUMIF('caseload data'!$B:$B,{"licence","community"},'caseload data'!N:N))</f>
        <v>0</v>
      </c>
      <c r="N120" s="145" cm="1">
        <f t="array" ref="N120">SUM(SUMIF('caseload data'!$B:$B,{"licence","community"},'caseload data'!O:O))</f>
        <v>0</v>
      </c>
      <c r="O120" s="145" cm="1">
        <f t="array" ref="O120">SUM(SUMIF('caseload data'!$B:$B,{"licence","community"},'caseload data'!P:P))</f>
        <v>0</v>
      </c>
      <c r="P120" s="145" cm="1">
        <f t="array" ref="P120">SUM(SUMIF('caseload data'!$B:$B,{"licence","community"},'caseload data'!Q:Q))</f>
        <v>0</v>
      </c>
      <c r="Q120" s="145" cm="1">
        <f t="array" ref="Q120">SUM(SUMIF('caseload data'!$B:$B,{"licence","community"},'caseload data'!R:R))</f>
        <v>0</v>
      </c>
      <c r="R120" s="145" cm="1">
        <f t="array" ref="R120">SUM(SUMIF('caseload data'!$B:$B,{"licence","community"},'caseload data'!S:S))</f>
        <v>0</v>
      </c>
      <c r="S120" s="145" cm="1">
        <f t="array" ref="S120">SUM(SUMIF('caseload data'!$B:$B,{"licence","community"},'caseload data'!T:T))</f>
        <v>0</v>
      </c>
      <c r="T120" s="146">
        <f>SUM(SUMIF('caseload data'!B:B,{"licence","community"},'caseload data'!V:V))</f>
        <v>0</v>
      </c>
      <c r="U120" s="73"/>
      <c r="V120" s="73"/>
      <c r="W120" s="141"/>
      <c r="X120" s="142"/>
      <c r="Y120" s="143"/>
      <c r="Z120" s="143"/>
      <c r="AA120" s="143"/>
      <c r="AB120" s="143"/>
      <c r="AC120" s="143"/>
      <c r="AD120" s="143"/>
      <c r="AE120" s="143"/>
    </row>
    <row r="122" spans="2:40" ht="15" thickBot="1" x14ac:dyDescent="0.2"/>
    <row r="123" spans="2:40" ht="17" thickBot="1" x14ac:dyDescent="0.25">
      <c r="B123" s="1"/>
      <c r="C123" s="2"/>
      <c r="D123" s="346" t="s">
        <v>1117</v>
      </c>
      <c r="E123" s="347"/>
      <c r="F123" s="347"/>
      <c r="G123" s="347"/>
      <c r="H123" s="347"/>
      <c r="I123" s="347"/>
      <c r="J123" s="347"/>
      <c r="K123" s="347"/>
      <c r="L123" s="347"/>
      <c r="M123" s="347"/>
      <c r="N123" s="347"/>
      <c r="O123" s="347"/>
      <c r="P123" s="347"/>
      <c r="Q123" s="347"/>
      <c r="R123" s="347"/>
      <c r="S123" s="347"/>
      <c r="T123" s="348"/>
      <c r="W123" s="1"/>
      <c r="X123" s="2"/>
      <c r="Y123" s="352" t="s">
        <v>1118</v>
      </c>
      <c r="Z123" s="353"/>
      <c r="AA123" s="353"/>
      <c r="AB123" s="353"/>
      <c r="AC123" s="353"/>
      <c r="AD123" s="353"/>
      <c r="AE123" s="353"/>
      <c r="AF123" s="353"/>
      <c r="AG123" s="353"/>
      <c r="AH123" s="353"/>
      <c r="AI123" s="353"/>
      <c r="AJ123" s="353"/>
      <c r="AK123" s="353"/>
      <c r="AL123" s="353"/>
      <c r="AM123" s="353"/>
      <c r="AN123" s="353"/>
    </row>
    <row r="124" spans="2:40" x14ac:dyDescent="0.15">
      <c r="B124" s="134" t="s">
        <v>1111</v>
      </c>
      <c r="C124" s="136" t="s">
        <v>1112</v>
      </c>
      <c r="D124" s="41" t="s">
        <v>922</v>
      </c>
      <c r="E124" s="41" t="s">
        <v>923</v>
      </c>
      <c r="F124" s="41" t="s">
        <v>924</v>
      </c>
      <c r="G124" s="41" t="s">
        <v>925</v>
      </c>
      <c r="H124" s="41" t="s">
        <v>926</v>
      </c>
      <c r="I124" s="41" t="s">
        <v>927</v>
      </c>
      <c r="J124" s="41" t="s">
        <v>928</v>
      </c>
      <c r="K124" s="41" t="s">
        <v>929</v>
      </c>
      <c r="L124" s="41" t="s">
        <v>930</v>
      </c>
      <c r="M124" s="41" t="s">
        <v>931</v>
      </c>
      <c r="N124" s="41" t="s">
        <v>932</v>
      </c>
      <c r="O124" s="41" t="s">
        <v>933</v>
      </c>
      <c r="P124" s="41" t="s">
        <v>934</v>
      </c>
      <c r="Q124" s="41" t="s">
        <v>935</v>
      </c>
      <c r="R124" s="41" t="s">
        <v>936</v>
      </c>
      <c r="S124" s="41" t="s">
        <v>937</v>
      </c>
      <c r="T124" s="136" t="s">
        <v>939</v>
      </c>
      <c r="U124" s="73"/>
      <c r="V124" s="73"/>
      <c r="W124" s="134" t="s">
        <v>1111</v>
      </c>
      <c r="X124" s="136" t="s">
        <v>1112</v>
      </c>
      <c r="Y124" s="41" t="s">
        <v>922</v>
      </c>
      <c r="Z124" s="41" t="s">
        <v>923</v>
      </c>
      <c r="AA124" s="41" t="s">
        <v>924</v>
      </c>
      <c r="AB124" s="41" t="s">
        <v>925</v>
      </c>
      <c r="AC124" s="41" t="s">
        <v>926</v>
      </c>
      <c r="AD124" s="41" t="s">
        <v>927</v>
      </c>
      <c r="AE124" s="41" t="s">
        <v>928</v>
      </c>
      <c r="AF124" s="41" t="s">
        <v>929</v>
      </c>
      <c r="AG124" s="41" t="s">
        <v>930</v>
      </c>
      <c r="AH124" s="41" t="s">
        <v>931</v>
      </c>
      <c r="AI124" s="41" t="s">
        <v>932</v>
      </c>
      <c r="AJ124" s="41" t="s">
        <v>933</v>
      </c>
      <c r="AK124" s="41" t="s">
        <v>934</v>
      </c>
      <c r="AL124" s="41" t="s">
        <v>935</v>
      </c>
      <c r="AM124" s="41" t="s">
        <v>936</v>
      </c>
      <c r="AN124" s="41" t="s">
        <v>937</v>
      </c>
    </row>
    <row r="125" spans="2:40" x14ac:dyDescent="0.15">
      <c r="B125" s="340" t="s">
        <v>20</v>
      </c>
      <c r="C125" s="138" t="s">
        <v>911</v>
      </c>
      <c r="D125" s="104">
        <f>SUMIFS('caseload data'!E:E,'caseload data'!$D:$D,"PO",'caseload data'!$A:$A,'national caseload'!$B$125:$B$127,'caseload data'!$B:$B,"custody")</f>
        <v>0</v>
      </c>
      <c r="E125" s="104">
        <f>SUMIFS('caseload data'!F:F,'caseload data'!$D:$D,"PO",'caseload data'!$A:$A,'national caseload'!$B$125:$B$127,'caseload data'!$B:$B,"custody")</f>
        <v>0</v>
      </c>
      <c r="F125" s="104">
        <f>SUMIFS('caseload data'!G:G,'caseload data'!$D:$D,"PO",'caseload data'!$A:$A,'national caseload'!$B$125:$B$127,'caseload data'!$B:$B,"custody")</f>
        <v>0</v>
      </c>
      <c r="G125" s="104">
        <f>SUMIFS('caseload data'!H:H,'caseload data'!$D:$D,"PO",'caseload data'!$A:$A,'national caseload'!$B$125:$B$127,'caseload data'!$B:$B,"custody")</f>
        <v>0</v>
      </c>
      <c r="H125" s="104">
        <f>SUMIFS('caseload data'!I:I,'caseload data'!$D:$D,"PO",'caseload data'!$A:$A,'national caseload'!$B$125:$B$127,'caseload data'!$B:$B,"custody")</f>
        <v>0</v>
      </c>
      <c r="I125" s="104">
        <f>SUMIFS('caseload data'!J:J,'caseload data'!$D:$D,"PO",'caseload data'!$A:$A,'national caseload'!$B$125:$B$127,'caseload data'!$B:$B,"custody")</f>
        <v>0</v>
      </c>
      <c r="J125" s="104">
        <f>SUMIFS('caseload data'!K:K,'caseload data'!$D:$D,"PO",'caseload data'!$A:$A,'national caseload'!$B$125:$B$127,'caseload data'!$B:$B,"custody")</f>
        <v>0</v>
      </c>
      <c r="K125" s="104">
        <f>SUMIFS('caseload data'!L:L,'caseload data'!$D:$D,"PO",'caseload data'!$A:$A,'national caseload'!$B$125:$B$127,'caseload data'!$B:$B,"custody")</f>
        <v>0</v>
      </c>
      <c r="L125" s="104">
        <f>SUMIFS('caseload data'!M:M,'caseload data'!$D:$D,"PO",'caseload data'!$A:$A,'national caseload'!$B$125:$B$127,'caseload data'!$B:$B,"custody")</f>
        <v>0</v>
      </c>
      <c r="M125" s="104">
        <f>SUMIFS('caseload data'!N:N,'caseload data'!$D:$D,"PO",'caseload data'!$A:$A,'national caseload'!$B$125:$B$127,'caseload data'!$B:$B,"custody")</f>
        <v>0</v>
      </c>
      <c r="N125" s="104">
        <f>SUMIFS('caseload data'!O:O,'caseload data'!$D:$D,"PO",'caseload data'!$A:$A,'national caseload'!$B$125:$B$127,'caseload data'!$B:$B,"custody")</f>
        <v>0</v>
      </c>
      <c r="O125" s="104">
        <f>SUMIFS('caseload data'!P:P,'caseload data'!$D:$D,"PO",'caseload data'!$A:$A,'national caseload'!$B$125:$B$127,'caseload data'!$B:$B,"custody")</f>
        <v>0</v>
      </c>
      <c r="P125" s="104">
        <f>SUMIFS('caseload data'!Q:Q,'caseload data'!$D:$D,"PO",'caseload data'!$A:$A,'national caseload'!$B$125:$B$127,'caseload data'!$B:$B,"custody")</f>
        <v>0</v>
      </c>
      <c r="Q125" s="104">
        <f>SUMIFS('caseload data'!R:R,'caseload data'!$D:$D,"PO",'caseload data'!$A:$A,'national caseload'!$B$125:$B$127,'caseload data'!$B:$B,"custody")</f>
        <v>0</v>
      </c>
      <c r="R125" s="104">
        <f>SUMIFS('caseload data'!S:S,'caseload data'!$D:$D,"PO",'caseload data'!$A:$A,'national caseload'!$B$125:$B$127,'caseload data'!$B:$B,"custody")</f>
        <v>0</v>
      </c>
      <c r="S125" s="104">
        <f>SUMIFS('caseload data'!T:T,'caseload data'!$D:$D,"PO",'caseload data'!$A:$A,'national caseload'!$B$125:$B$127,'caseload data'!$B:$B,"custody")</f>
        <v>0</v>
      </c>
      <c r="T125" s="104">
        <f>SUMIFS('caseload data'!V:V,'caseload data'!D:D,"PO",'caseload data'!A:A,'national caseload'!B125:B127,'caseload data'!B:B,"custody")</f>
        <v>0</v>
      </c>
      <c r="U125" s="73"/>
      <c r="V125" s="73"/>
      <c r="W125" s="340" t="s">
        <v>20</v>
      </c>
      <c r="X125" s="138" t="s">
        <v>911</v>
      </c>
      <c r="Y125" s="181" t="e">
        <f>SUM(D125)/SUM(D$125:D$128)</f>
        <v>#DIV/0!</v>
      </c>
      <c r="Z125" s="181" t="e">
        <f t="shared" ref="Z125:AN128" si="25">SUM(E125)/SUM(E$125:E$128)</f>
        <v>#DIV/0!</v>
      </c>
      <c r="AA125" s="181" t="e">
        <f t="shared" si="25"/>
        <v>#DIV/0!</v>
      </c>
      <c r="AB125" s="181" t="e">
        <f t="shared" si="25"/>
        <v>#DIV/0!</v>
      </c>
      <c r="AC125" s="181" t="e">
        <f t="shared" si="25"/>
        <v>#DIV/0!</v>
      </c>
      <c r="AD125" s="181" t="e">
        <f t="shared" si="25"/>
        <v>#DIV/0!</v>
      </c>
      <c r="AE125" s="181" t="e">
        <f t="shared" si="25"/>
        <v>#DIV/0!</v>
      </c>
      <c r="AF125" s="181" t="e">
        <f t="shared" si="25"/>
        <v>#DIV/0!</v>
      </c>
      <c r="AG125" s="181" t="e">
        <f t="shared" si="25"/>
        <v>#DIV/0!</v>
      </c>
      <c r="AH125" s="181" t="e">
        <f t="shared" si="25"/>
        <v>#DIV/0!</v>
      </c>
      <c r="AI125" s="181" t="e">
        <f t="shared" si="25"/>
        <v>#DIV/0!</v>
      </c>
      <c r="AJ125" s="181" t="e">
        <f t="shared" si="25"/>
        <v>#DIV/0!</v>
      </c>
      <c r="AK125" s="181" t="e">
        <f t="shared" si="25"/>
        <v>#DIV/0!</v>
      </c>
      <c r="AL125" s="181" t="e">
        <f t="shared" si="25"/>
        <v>#DIV/0!</v>
      </c>
      <c r="AM125" s="181" t="e">
        <f t="shared" si="25"/>
        <v>#DIV/0!</v>
      </c>
      <c r="AN125" s="181" t="e">
        <f t="shared" si="25"/>
        <v>#DIV/0!</v>
      </c>
    </row>
    <row r="126" spans="2:40" x14ac:dyDescent="0.15">
      <c r="B126" s="341"/>
      <c r="C126" s="139" t="s">
        <v>912</v>
      </c>
      <c r="D126" s="104">
        <f>SUMIFS('caseload data'!E:E,'caseload data'!$D:$D,"PSO",'caseload data'!$A:$A,"East Midlands Region",'caseload data'!$B:$B,"custody")</f>
        <v>0</v>
      </c>
      <c r="E126" s="104">
        <f>SUMIFS('caseload data'!F:F,'caseload data'!$D:$D,"PSO",'caseload data'!$A:$A,"East Midlands Region",'caseload data'!$B:$B,"custody")</f>
        <v>0</v>
      </c>
      <c r="F126" s="104">
        <f>SUMIFS('caseload data'!G:G,'caseload data'!$D:$D,"PSO",'caseload data'!$A:$A,"East Midlands Region",'caseload data'!$B:$B,"custody")</f>
        <v>0</v>
      </c>
      <c r="G126" s="104">
        <f>SUMIFS('caseload data'!H:H,'caseload data'!$D:$D,"PSO",'caseload data'!$A:$A,"East Midlands Region",'caseload data'!$B:$B,"custody")</f>
        <v>0</v>
      </c>
      <c r="H126" s="104">
        <f>SUMIFS('caseload data'!I:I,'caseload data'!$D:$D,"PSO",'caseload data'!$A:$A,"East Midlands Region",'caseload data'!$B:$B,"custody")</f>
        <v>0</v>
      </c>
      <c r="I126" s="104">
        <f>SUMIFS('caseload data'!J:J,'caseload data'!$D:$D,"PSO",'caseload data'!$A:$A,"East Midlands Region",'caseload data'!$B:$B,"custody")</f>
        <v>0</v>
      </c>
      <c r="J126" s="104">
        <f>SUMIFS('caseload data'!K:K,'caseload data'!$D:$D,"PSO",'caseload data'!$A:$A,"East Midlands Region",'caseload data'!$B:$B,"custody")</f>
        <v>0</v>
      </c>
      <c r="K126" s="104">
        <f>SUMIFS('caseload data'!L:L,'caseload data'!$D:$D,"PSO",'caseload data'!$A:$A,"East Midlands Region",'caseload data'!$B:$B,"custody")</f>
        <v>0</v>
      </c>
      <c r="L126" s="104">
        <f>SUMIFS('caseload data'!M:M,'caseload data'!$D:$D,"PSO",'caseload data'!$A:$A,"East Midlands Region",'caseload data'!$B:$B,"custody")</f>
        <v>0</v>
      </c>
      <c r="M126" s="104">
        <f>SUMIFS('caseload data'!N:N,'caseload data'!$D:$D,"PSO",'caseload data'!$A:$A,"East Midlands Region",'caseload data'!$B:$B,"custody")</f>
        <v>0</v>
      </c>
      <c r="N126" s="104">
        <f>SUMIFS('caseload data'!O:O,'caseload data'!$D:$D,"PSO",'caseload data'!$A:$A,"East Midlands Region",'caseload data'!$B:$B,"custody")</f>
        <v>0</v>
      </c>
      <c r="O126" s="104">
        <f>SUMIFS('caseload data'!P:P,'caseload data'!$D:$D,"PSO",'caseload data'!$A:$A,"East Midlands Region",'caseload data'!$B:$B,"custody")</f>
        <v>0</v>
      </c>
      <c r="P126" s="104">
        <f>SUMIFS('caseload data'!Q:Q,'caseload data'!$D:$D,"PSO",'caseload data'!$A:$A,"East Midlands Region",'caseload data'!$B:$B,"custody")</f>
        <v>0</v>
      </c>
      <c r="Q126" s="104">
        <f>SUMIFS('caseload data'!R:R,'caseload data'!$D:$D,"PSO",'caseload data'!$A:$A,"East Midlands Region",'caseload data'!$B:$B,"custody")</f>
        <v>0</v>
      </c>
      <c r="R126" s="104">
        <f>SUMIFS('caseload data'!S:S,'caseload data'!$D:$D,"PSO",'caseload data'!$A:$A,"East Midlands Region",'caseload data'!$B:$B,"custody")</f>
        <v>0</v>
      </c>
      <c r="S126" s="104">
        <f>SUMIFS('caseload data'!T:T,'caseload data'!$D:$D,"PSO",'caseload data'!$A:$A,"East Midlands Region",'caseload data'!$B:$B,"custody")</f>
        <v>0</v>
      </c>
      <c r="T126" s="104">
        <f>SUMIFS('caseload data'!V:V,'caseload data'!D:D,"PSO",'caseload data'!A:A,"East Midlands Region",'caseload data'!B:B,"custody")</f>
        <v>0</v>
      </c>
      <c r="U126" s="73"/>
      <c r="V126" s="73"/>
      <c r="W126" s="341"/>
      <c r="X126" s="139" t="s">
        <v>912</v>
      </c>
      <c r="Y126" s="181" t="e">
        <f>SUM(D126)/SUM(D$125:D$128)</f>
        <v>#DIV/0!</v>
      </c>
      <c r="Z126" s="181" t="e">
        <f t="shared" si="25"/>
        <v>#DIV/0!</v>
      </c>
      <c r="AA126" s="181" t="e">
        <f t="shared" si="25"/>
        <v>#DIV/0!</v>
      </c>
      <c r="AB126" s="181" t="e">
        <f t="shared" si="25"/>
        <v>#DIV/0!</v>
      </c>
      <c r="AC126" s="181" t="e">
        <f t="shared" si="25"/>
        <v>#DIV/0!</v>
      </c>
      <c r="AD126" s="181" t="e">
        <f t="shared" si="25"/>
        <v>#DIV/0!</v>
      </c>
      <c r="AE126" s="181" t="e">
        <f t="shared" si="25"/>
        <v>#DIV/0!</v>
      </c>
      <c r="AF126" s="181" t="e">
        <f t="shared" si="25"/>
        <v>#DIV/0!</v>
      </c>
      <c r="AG126" s="181" t="e">
        <f t="shared" si="25"/>
        <v>#DIV/0!</v>
      </c>
      <c r="AH126" s="181" t="e">
        <f t="shared" si="25"/>
        <v>#DIV/0!</v>
      </c>
      <c r="AI126" s="181" t="e">
        <f t="shared" si="25"/>
        <v>#DIV/0!</v>
      </c>
      <c r="AJ126" s="181" t="e">
        <f t="shared" si="25"/>
        <v>#DIV/0!</v>
      </c>
      <c r="AK126" s="181" t="e">
        <f t="shared" si="25"/>
        <v>#DIV/0!</v>
      </c>
      <c r="AL126" s="181" t="e">
        <f t="shared" si="25"/>
        <v>#DIV/0!</v>
      </c>
      <c r="AM126" s="181" t="e">
        <f t="shared" si="25"/>
        <v>#DIV/0!</v>
      </c>
      <c r="AN126" s="181" t="e">
        <f t="shared" si="25"/>
        <v>#DIV/0!</v>
      </c>
    </row>
    <row r="127" spans="2:40" x14ac:dyDescent="0.15">
      <c r="B127" s="341"/>
      <c r="C127" s="139" t="s">
        <v>913</v>
      </c>
      <c r="D127" s="104">
        <f>SUMIFS('caseload data'!E:E,'caseload data'!$D:$D,"TPO",'caseload data'!$A:$A,"East Midlands Region",'caseload data'!$B:$B,"custody")</f>
        <v>0</v>
      </c>
      <c r="E127" s="104">
        <f>SUMIFS('caseload data'!F:F,'caseload data'!$D:$D,"TPO",'caseload data'!$A:$A,"East Midlands Region",'caseload data'!$B:$B,"custody")</f>
        <v>0</v>
      </c>
      <c r="F127" s="104">
        <f>SUMIFS('caseload data'!G:G,'caseload data'!$D:$D,"TPO",'caseload data'!$A:$A,"East Midlands Region",'caseload data'!$B:$B,"custody")</f>
        <v>0</v>
      </c>
      <c r="G127" s="104">
        <f>SUMIFS('caseload data'!H:H,'caseload data'!$D:$D,"TPO",'caseload data'!$A:$A,"East Midlands Region",'caseload data'!$B:$B,"custody")</f>
        <v>0</v>
      </c>
      <c r="H127" s="104">
        <f>SUMIFS('caseload data'!I:I,'caseload data'!$D:$D,"TPO",'caseload data'!$A:$A,"East Midlands Region",'caseload data'!$B:$B,"custody")</f>
        <v>0</v>
      </c>
      <c r="I127" s="104">
        <f>SUMIFS('caseload data'!J:J,'caseload data'!$D:$D,"TPO",'caseload data'!$A:$A,"East Midlands Region",'caseload data'!$B:$B,"custody")</f>
        <v>0</v>
      </c>
      <c r="J127" s="104">
        <f>SUMIFS('caseload data'!K:K,'caseload data'!$D:$D,"TPO",'caseload data'!$A:$A,"East Midlands Region",'caseload data'!$B:$B,"custody")</f>
        <v>0</v>
      </c>
      <c r="K127" s="104">
        <f>SUMIFS('caseload data'!L:L,'caseload data'!$D:$D,"TPO",'caseload data'!$A:$A,"East Midlands Region",'caseload data'!$B:$B,"custody")</f>
        <v>0</v>
      </c>
      <c r="L127" s="104">
        <f>SUMIFS('caseload data'!M:M,'caseload data'!$D:$D,"TPO",'caseload data'!$A:$A,"East Midlands Region",'caseload data'!$B:$B,"custody")</f>
        <v>0</v>
      </c>
      <c r="M127" s="104">
        <f>SUMIFS('caseload data'!N:N,'caseload data'!$D:$D,"TPO",'caseload data'!$A:$A,"East Midlands Region",'caseload data'!$B:$B,"custody")</f>
        <v>0</v>
      </c>
      <c r="N127" s="104">
        <f>SUMIFS('caseload data'!O:O,'caseload data'!$D:$D,"TPO",'caseload data'!$A:$A,"East Midlands Region",'caseload data'!$B:$B,"custody")</f>
        <v>0</v>
      </c>
      <c r="O127" s="104">
        <f>SUMIFS('caseload data'!P:P,'caseload data'!$D:$D,"TPO",'caseload data'!$A:$A,"East Midlands Region",'caseload data'!$B:$B,"custody")</f>
        <v>0</v>
      </c>
      <c r="P127" s="104">
        <f>SUMIFS('caseload data'!Q:Q,'caseload data'!$D:$D,"TPO",'caseload data'!$A:$A,"East Midlands Region",'caseload data'!$B:$B,"custody")</f>
        <v>0</v>
      </c>
      <c r="Q127" s="104">
        <f>SUMIFS('caseload data'!R:R,'caseload data'!$D:$D,"TPO",'caseload data'!$A:$A,"East Midlands Region",'caseload data'!$B:$B,"custody")</f>
        <v>0</v>
      </c>
      <c r="R127" s="104">
        <f>SUMIFS('caseload data'!S:S,'caseload data'!$D:$D,"TPO",'caseload data'!$A:$A,"East Midlands Region",'caseload data'!$B:$B,"custody")</f>
        <v>0</v>
      </c>
      <c r="S127" s="104">
        <f>SUMIFS('caseload data'!T:T,'caseload data'!$D:$D,"TPO",'caseload data'!$A:$A,"East Midlands Region",'caseload data'!$B:$B,"custody")</f>
        <v>0</v>
      </c>
      <c r="T127" s="104">
        <f>SUMIFS('caseload data'!V:V,'caseload data'!D:D,"TPO",'caseload data'!A:A,"East Midlands Region",'caseload data'!B:B,"custody")</f>
        <v>0</v>
      </c>
      <c r="U127" s="73"/>
      <c r="V127" s="73"/>
      <c r="W127" s="341"/>
      <c r="X127" s="139" t="s">
        <v>913</v>
      </c>
      <c r="Y127" s="181" t="e">
        <f>SUM(D127)/SUM(D$125:D$128)</f>
        <v>#DIV/0!</v>
      </c>
      <c r="Z127" s="181" t="e">
        <f t="shared" si="25"/>
        <v>#DIV/0!</v>
      </c>
      <c r="AA127" s="181" t="e">
        <f t="shared" si="25"/>
        <v>#DIV/0!</v>
      </c>
      <c r="AB127" s="181" t="e">
        <f t="shared" si="25"/>
        <v>#DIV/0!</v>
      </c>
      <c r="AC127" s="181" t="e">
        <f t="shared" si="25"/>
        <v>#DIV/0!</v>
      </c>
      <c r="AD127" s="181" t="e">
        <f t="shared" si="25"/>
        <v>#DIV/0!</v>
      </c>
      <c r="AE127" s="181" t="e">
        <f t="shared" si="25"/>
        <v>#DIV/0!</v>
      </c>
      <c r="AF127" s="181" t="e">
        <f t="shared" si="25"/>
        <v>#DIV/0!</v>
      </c>
      <c r="AG127" s="181" t="e">
        <f t="shared" si="25"/>
        <v>#DIV/0!</v>
      </c>
      <c r="AH127" s="181" t="e">
        <f t="shared" si="25"/>
        <v>#DIV/0!</v>
      </c>
      <c r="AI127" s="181" t="e">
        <f t="shared" si="25"/>
        <v>#DIV/0!</v>
      </c>
      <c r="AJ127" s="181" t="e">
        <f t="shared" si="25"/>
        <v>#DIV/0!</v>
      </c>
      <c r="AK127" s="181" t="e">
        <f t="shared" si="25"/>
        <v>#DIV/0!</v>
      </c>
      <c r="AL127" s="181" t="e">
        <f t="shared" si="25"/>
        <v>#DIV/0!</v>
      </c>
      <c r="AM127" s="181" t="e">
        <f t="shared" si="25"/>
        <v>#DIV/0!</v>
      </c>
      <c r="AN127" s="181" t="e">
        <f t="shared" si="25"/>
        <v>#DIV/0!</v>
      </c>
    </row>
    <row r="128" spans="2:40" x14ac:dyDescent="0.15">
      <c r="B128" s="342"/>
      <c r="C128" s="140" t="s">
        <v>914</v>
      </c>
      <c r="D128" s="104">
        <f>SUMIFS('caseload data'!E:E,'caseload data'!$D:$D,"SPO",'caseload data'!$A:$A,"East Midlands Region",'caseload data'!$B:$B,"custody")</f>
        <v>0</v>
      </c>
      <c r="E128" s="104">
        <f>SUMIFS('caseload data'!F:F,'caseload data'!$D:$D,"SPO",'caseload data'!$A:$A,"East Midlands Region",'caseload data'!$B:$B,"custody")</f>
        <v>0</v>
      </c>
      <c r="F128" s="104">
        <f>SUMIFS('caseload data'!G:G,'caseload data'!$D:$D,"SPO",'caseload data'!$A:$A,"East Midlands Region",'caseload data'!$B:$B,"custody")</f>
        <v>0</v>
      </c>
      <c r="G128" s="104">
        <f>SUMIFS('caseload data'!H:H,'caseload data'!$D:$D,"SPO",'caseload data'!$A:$A,"East Midlands Region",'caseload data'!$B:$B,"custody")</f>
        <v>0</v>
      </c>
      <c r="H128" s="104">
        <f>SUMIFS('caseload data'!I:I,'caseload data'!$D:$D,"SPO",'caseload data'!$A:$A,"East Midlands Region",'caseload data'!$B:$B,"custody")</f>
        <v>0</v>
      </c>
      <c r="I128" s="104">
        <f>SUMIFS('caseload data'!J:J,'caseload data'!$D:$D,"SPO",'caseload data'!$A:$A,"East Midlands Region",'caseload data'!$B:$B,"custody")</f>
        <v>0</v>
      </c>
      <c r="J128" s="104">
        <f>SUMIFS('caseload data'!K:K,'caseload data'!$D:$D,"SPO",'caseload data'!$A:$A,"East Midlands Region",'caseload data'!$B:$B,"custody")</f>
        <v>0</v>
      </c>
      <c r="K128" s="104">
        <f>SUMIFS('caseload data'!L:L,'caseload data'!$D:$D,"SPO",'caseload data'!$A:$A,"East Midlands Region",'caseload data'!$B:$B,"custody")</f>
        <v>0</v>
      </c>
      <c r="L128" s="104">
        <f>SUMIFS('caseload data'!M:M,'caseload data'!$D:$D,"SPO",'caseload data'!$A:$A,"East Midlands Region",'caseload data'!$B:$B,"custody")</f>
        <v>0</v>
      </c>
      <c r="M128" s="104">
        <f>SUMIFS('caseload data'!N:N,'caseload data'!$D:$D,"SPO",'caseload data'!$A:$A,"East Midlands Region",'caseload data'!$B:$B,"custody")</f>
        <v>0</v>
      </c>
      <c r="N128" s="104">
        <f>SUMIFS('caseload data'!O:O,'caseload data'!$D:$D,"SPO",'caseload data'!$A:$A,"East Midlands Region",'caseload data'!$B:$B,"custody")</f>
        <v>0</v>
      </c>
      <c r="O128" s="104">
        <f>SUMIFS('caseload data'!P:P,'caseload data'!$D:$D,"SPO",'caseload data'!$A:$A,"East Midlands Region",'caseload data'!$B:$B,"custody")</f>
        <v>0</v>
      </c>
      <c r="P128" s="104">
        <f>SUMIFS('caseload data'!Q:Q,'caseload data'!$D:$D,"SPO",'caseload data'!$A:$A,"East Midlands Region",'caseload data'!$B:$B,"custody")</f>
        <v>0</v>
      </c>
      <c r="Q128" s="104">
        <f>SUMIFS('caseload data'!R:R,'caseload data'!$D:$D,"SPO",'caseload data'!$A:$A,"East Midlands Region",'caseload data'!$B:$B,"custody")</f>
        <v>0</v>
      </c>
      <c r="R128" s="104">
        <f>SUMIFS('caseload data'!S:S,'caseload data'!$D:$D,"SPO",'caseload data'!$A:$A,"East Midlands Region",'caseload data'!$B:$B,"custody")</f>
        <v>0</v>
      </c>
      <c r="S128" s="104">
        <f>SUMIFS('caseload data'!T:T,'caseload data'!$D:$D,"SPO",'caseload data'!$A:$A,"East Midlands Region",'caseload data'!$B:$B,"custody")</f>
        <v>0</v>
      </c>
      <c r="T128" s="104">
        <f>SUMIFS('caseload data'!V:V,'caseload data'!$D:$D,"SPO",'caseload data'!$A:$A,"East Midlands Region",'caseload data'!$B:$B,"custody")</f>
        <v>0</v>
      </c>
      <c r="U128" s="73"/>
      <c r="V128" s="73"/>
      <c r="W128" s="342"/>
      <c r="X128" s="140" t="s">
        <v>914</v>
      </c>
      <c r="Y128" s="181" t="e">
        <f>SUM(D128)/SUM(D$125:D$128)</f>
        <v>#DIV/0!</v>
      </c>
      <c r="Z128" s="181" t="e">
        <f t="shared" si="25"/>
        <v>#DIV/0!</v>
      </c>
      <c r="AA128" s="181" t="e">
        <f t="shared" si="25"/>
        <v>#DIV/0!</v>
      </c>
      <c r="AB128" s="181" t="e">
        <f t="shared" si="25"/>
        <v>#DIV/0!</v>
      </c>
      <c r="AC128" s="181" t="e">
        <f t="shared" si="25"/>
        <v>#DIV/0!</v>
      </c>
      <c r="AD128" s="181" t="e">
        <f t="shared" si="25"/>
        <v>#DIV/0!</v>
      </c>
      <c r="AE128" s="181" t="e">
        <f t="shared" si="25"/>
        <v>#DIV/0!</v>
      </c>
      <c r="AF128" s="181" t="e">
        <f t="shared" si="25"/>
        <v>#DIV/0!</v>
      </c>
      <c r="AG128" s="181" t="e">
        <f t="shared" si="25"/>
        <v>#DIV/0!</v>
      </c>
      <c r="AH128" s="181" t="e">
        <f t="shared" si="25"/>
        <v>#DIV/0!</v>
      </c>
      <c r="AI128" s="181" t="e">
        <f t="shared" si="25"/>
        <v>#DIV/0!</v>
      </c>
      <c r="AJ128" s="181" t="e">
        <f t="shared" si="25"/>
        <v>#DIV/0!</v>
      </c>
      <c r="AK128" s="181" t="e">
        <f t="shared" si="25"/>
        <v>#DIV/0!</v>
      </c>
      <c r="AL128" s="181" t="e">
        <f t="shared" si="25"/>
        <v>#DIV/0!</v>
      </c>
      <c r="AM128" s="181" t="e">
        <f t="shared" si="25"/>
        <v>#DIV/0!</v>
      </c>
      <c r="AN128" s="181" t="e">
        <f t="shared" si="25"/>
        <v>#DIV/0!</v>
      </c>
    </row>
    <row r="129" spans="2:40" x14ac:dyDescent="0.15">
      <c r="B129" s="340" t="s">
        <v>21</v>
      </c>
      <c r="C129" s="138" t="s">
        <v>911</v>
      </c>
      <c r="D129" s="104">
        <f>SUMIFS('caseload data'!E:E,'caseload data'!$D:$D,"PO",'caseload data'!$A:$A,$B$129,'caseload data'!$B:$B,"custody")</f>
        <v>0</v>
      </c>
      <c r="E129" s="104">
        <f>SUMIFS('caseload data'!F:F,'caseload data'!$D:$D,"PO",'caseload data'!$A:$A,$B$129,'caseload data'!$B:$B,"custody")</f>
        <v>0</v>
      </c>
      <c r="F129" s="104">
        <f>SUMIFS('caseload data'!G:G,'caseload data'!$D:$D,"PO",'caseload data'!$A:$A,$B$129,'caseload data'!$B:$B,"custody")</f>
        <v>0</v>
      </c>
      <c r="G129" s="104">
        <f>SUMIFS('caseload data'!H:H,'caseload data'!$D:$D,"PO",'caseload data'!$A:$A,$B$129,'caseload data'!$B:$B,"custody")</f>
        <v>0</v>
      </c>
      <c r="H129" s="104">
        <f>SUMIFS('caseload data'!I:I,'caseload data'!$D:$D,"PO",'caseload data'!$A:$A,$B$129,'caseload data'!$B:$B,"custody")</f>
        <v>0</v>
      </c>
      <c r="I129" s="104">
        <f>SUMIFS('caseload data'!J:J,'caseload data'!$D:$D,"PO",'caseload data'!$A:$A,$B$129,'caseload data'!$B:$B,"custody")</f>
        <v>0</v>
      </c>
      <c r="J129" s="104">
        <f>SUMIFS('caseload data'!K:K,'caseload data'!$D:$D,"PO",'caseload data'!$A:$A,$B$129,'caseload data'!$B:$B,"custody")</f>
        <v>0</v>
      </c>
      <c r="K129" s="104">
        <f>SUMIFS('caseload data'!L:L,'caseload data'!$D:$D,"PO",'caseload data'!$A:$A,$B$129,'caseload data'!$B:$B,"custody")</f>
        <v>0</v>
      </c>
      <c r="L129" s="104">
        <f>SUMIFS('caseload data'!M:M,'caseload data'!$D:$D,"PO",'caseload data'!$A:$A,$B$129,'caseload data'!$B:$B,"custody")</f>
        <v>0</v>
      </c>
      <c r="M129" s="104">
        <f>SUMIFS('caseload data'!N:N,'caseload data'!$D:$D,"PO",'caseload data'!$A:$A,$B$129,'caseload data'!$B:$B,"custody")</f>
        <v>0</v>
      </c>
      <c r="N129" s="104">
        <f>SUMIFS('caseload data'!O:O,'caseload data'!$D:$D,"PO",'caseload data'!$A:$A,$B$129,'caseload data'!$B:$B,"custody")</f>
        <v>0</v>
      </c>
      <c r="O129" s="104">
        <f>SUMIFS('caseload data'!P:P,'caseload data'!$D:$D,"PO",'caseload data'!$A:$A,$B$129,'caseload data'!$B:$B,"custody")</f>
        <v>0</v>
      </c>
      <c r="P129" s="104">
        <f>SUMIFS('caseload data'!Q:Q,'caseload data'!$D:$D,"PO",'caseload data'!$A:$A,$B$129,'caseload data'!$B:$B,"custody")</f>
        <v>0</v>
      </c>
      <c r="Q129" s="104">
        <f>SUMIFS('caseload data'!R:R,'caseload data'!$D:$D,"PO",'caseload data'!$A:$A,$B$129,'caseload data'!$B:$B,"custody")</f>
        <v>0</v>
      </c>
      <c r="R129" s="104">
        <f>SUMIFS('caseload data'!S:S,'caseload data'!$D:$D,"PO",'caseload data'!$A:$A,$B$129,'caseload data'!$B:$B,"custody")</f>
        <v>0</v>
      </c>
      <c r="S129" s="104">
        <f>SUMIFS('caseload data'!T:T,'caseload data'!$D:$D,"PO",'caseload data'!$A:$A,$B$129,'caseload data'!$B:$B,"custody")</f>
        <v>0</v>
      </c>
      <c r="T129" s="104">
        <f>SUMIFS('caseload data'!V:V,'caseload data'!D:D,"PO",'caseload data'!A:A,B129,'caseload data'!B:B,"custody")</f>
        <v>0</v>
      </c>
      <c r="U129" s="73"/>
      <c r="V129" s="73"/>
      <c r="W129" s="340" t="s">
        <v>21</v>
      </c>
      <c r="X129" s="138" t="s">
        <v>911</v>
      </c>
      <c r="Y129" s="181" t="e">
        <f>SUM(D129)/SUM(D$129:D$132)</f>
        <v>#DIV/0!</v>
      </c>
      <c r="Z129" s="181" t="e">
        <f t="shared" ref="Z129:AN132" si="26">SUM(E129)/SUM(E$129:E$132)</f>
        <v>#DIV/0!</v>
      </c>
      <c r="AA129" s="181" t="e">
        <f t="shared" si="26"/>
        <v>#DIV/0!</v>
      </c>
      <c r="AB129" s="181" t="e">
        <f t="shared" si="26"/>
        <v>#DIV/0!</v>
      </c>
      <c r="AC129" s="181" t="e">
        <f t="shared" si="26"/>
        <v>#DIV/0!</v>
      </c>
      <c r="AD129" s="181" t="e">
        <f t="shared" si="26"/>
        <v>#DIV/0!</v>
      </c>
      <c r="AE129" s="181" t="e">
        <f t="shared" si="26"/>
        <v>#DIV/0!</v>
      </c>
      <c r="AF129" s="181" t="e">
        <f t="shared" si="26"/>
        <v>#DIV/0!</v>
      </c>
      <c r="AG129" s="181" t="e">
        <f t="shared" si="26"/>
        <v>#DIV/0!</v>
      </c>
      <c r="AH129" s="181" t="e">
        <f t="shared" si="26"/>
        <v>#DIV/0!</v>
      </c>
      <c r="AI129" s="181" t="e">
        <f t="shared" si="26"/>
        <v>#DIV/0!</v>
      </c>
      <c r="AJ129" s="181" t="e">
        <f t="shared" si="26"/>
        <v>#DIV/0!</v>
      </c>
      <c r="AK129" s="181" t="e">
        <f t="shared" si="26"/>
        <v>#DIV/0!</v>
      </c>
      <c r="AL129" s="181" t="e">
        <f t="shared" si="26"/>
        <v>#DIV/0!</v>
      </c>
      <c r="AM129" s="181" t="e">
        <f t="shared" si="26"/>
        <v>#DIV/0!</v>
      </c>
      <c r="AN129" s="181" t="e">
        <f t="shared" si="26"/>
        <v>#DIV/0!</v>
      </c>
    </row>
    <row r="130" spans="2:40" x14ac:dyDescent="0.15">
      <c r="B130" s="341"/>
      <c r="C130" s="139" t="s">
        <v>912</v>
      </c>
      <c r="D130" s="104">
        <f>SUMIFS('caseload data'!E:E,'caseload data'!$D:$D,"PSO",'caseload data'!$A:$A,"East of England",'caseload data'!$B:$B,"custody")</f>
        <v>0</v>
      </c>
      <c r="E130" s="104">
        <f>SUMIFS('caseload data'!F:F,'caseload data'!$D:$D,"PSO",'caseload data'!$A:$A,"East of England",'caseload data'!$B:$B,"custody")</f>
        <v>0</v>
      </c>
      <c r="F130" s="104">
        <f>SUMIFS('caseload data'!G:G,'caseload data'!$D:$D,"PSO",'caseload data'!$A:$A,"East of England",'caseload data'!$B:$B,"custody")</f>
        <v>0</v>
      </c>
      <c r="G130" s="104">
        <f>SUMIFS('caseload data'!H:H,'caseload data'!$D:$D,"PSO",'caseload data'!$A:$A,"East of England",'caseload data'!$B:$B,"custody")</f>
        <v>0</v>
      </c>
      <c r="H130" s="104">
        <f>SUMIFS('caseload data'!I:I,'caseload data'!$D:$D,"PSO",'caseload data'!$A:$A,"East of England",'caseload data'!$B:$B,"custody")</f>
        <v>0</v>
      </c>
      <c r="I130" s="104">
        <f>SUMIFS('caseload data'!J:J,'caseload data'!$D:$D,"PSO",'caseload data'!$A:$A,"East of England",'caseload data'!$B:$B,"custody")</f>
        <v>0</v>
      </c>
      <c r="J130" s="104">
        <f>SUMIFS('caseload data'!K:K,'caseload data'!$D:$D,"PSO",'caseload data'!$A:$A,"East of England",'caseload data'!$B:$B,"custody")</f>
        <v>0</v>
      </c>
      <c r="K130" s="104">
        <f>SUMIFS('caseload data'!L:L,'caseload data'!$D:$D,"PSO",'caseload data'!$A:$A,"East of England",'caseload data'!$B:$B,"custody")</f>
        <v>0</v>
      </c>
      <c r="L130" s="104">
        <f>SUMIFS('caseload data'!M:M,'caseload data'!$D:$D,"PSO",'caseload data'!$A:$A,"East of England",'caseload data'!$B:$B,"custody")</f>
        <v>0</v>
      </c>
      <c r="M130" s="104">
        <f>SUMIFS('caseload data'!N:N,'caseload data'!$D:$D,"PSO",'caseload data'!$A:$A,"East of England",'caseload data'!$B:$B,"custody")</f>
        <v>0</v>
      </c>
      <c r="N130" s="104">
        <f>SUMIFS('caseload data'!O:O,'caseload data'!$D:$D,"PSO",'caseload data'!$A:$A,"East of England",'caseload data'!$B:$B,"custody")</f>
        <v>0</v>
      </c>
      <c r="O130" s="104">
        <f>SUMIFS('caseload data'!P:P,'caseload data'!$D:$D,"PSO",'caseload data'!$A:$A,"East of England",'caseload data'!$B:$B,"custody")</f>
        <v>0</v>
      </c>
      <c r="P130" s="104">
        <f>SUMIFS('caseload data'!Q:Q,'caseload data'!$D:$D,"PSO",'caseload data'!$A:$A,"East of England",'caseload data'!$B:$B,"custody")</f>
        <v>0</v>
      </c>
      <c r="Q130" s="104">
        <f>SUMIFS('caseload data'!R:R,'caseload data'!$D:$D,"PSO",'caseload data'!$A:$A,"East of England",'caseload data'!$B:$B,"custody")</f>
        <v>0</v>
      </c>
      <c r="R130" s="104">
        <f>SUMIFS('caseload data'!S:S,'caseload data'!$D:$D,"PSO",'caseload data'!$A:$A,"East of England",'caseload data'!$B:$B,"custody")</f>
        <v>0</v>
      </c>
      <c r="S130" s="104">
        <f>SUMIFS('caseload data'!T:T,'caseload data'!$D:$D,"PSO",'caseload data'!$A:$A,"East of England",'caseload data'!$B:$B,"custody")</f>
        <v>0</v>
      </c>
      <c r="T130" s="104">
        <f>SUMIFS('caseload data'!V:V,'caseload data'!D:D,"PSO",'caseload data'!A:A,"East of England",'caseload data'!B:B,"custody")</f>
        <v>0</v>
      </c>
      <c r="U130" s="73"/>
      <c r="V130" s="73"/>
      <c r="W130" s="341"/>
      <c r="X130" s="139" t="s">
        <v>912</v>
      </c>
      <c r="Y130" s="181" t="e">
        <f>SUM(D130)/SUM(D$129:D$132)</f>
        <v>#DIV/0!</v>
      </c>
      <c r="Z130" s="181" t="e">
        <f t="shared" si="26"/>
        <v>#DIV/0!</v>
      </c>
      <c r="AA130" s="181" t="e">
        <f t="shared" si="26"/>
        <v>#DIV/0!</v>
      </c>
      <c r="AB130" s="181" t="e">
        <f t="shared" si="26"/>
        <v>#DIV/0!</v>
      </c>
      <c r="AC130" s="181" t="e">
        <f t="shared" si="26"/>
        <v>#DIV/0!</v>
      </c>
      <c r="AD130" s="181" t="e">
        <f t="shared" si="26"/>
        <v>#DIV/0!</v>
      </c>
      <c r="AE130" s="181" t="e">
        <f t="shared" si="26"/>
        <v>#DIV/0!</v>
      </c>
      <c r="AF130" s="181" t="e">
        <f t="shared" si="26"/>
        <v>#DIV/0!</v>
      </c>
      <c r="AG130" s="181" t="e">
        <f t="shared" si="26"/>
        <v>#DIV/0!</v>
      </c>
      <c r="AH130" s="181" t="e">
        <f t="shared" si="26"/>
        <v>#DIV/0!</v>
      </c>
      <c r="AI130" s="181" t="e">
        <f t="shared" si="26"/>
        <v>#DIV/0!</v>
      </c>
      <c r="AJ130" s="181" t="e">
        <f t="shared" si="26"/>
        <v>#DIV/0!</v>
      </c>
      <c r="AK130" s="181" t="e">
        <f t="shared" si="26"/>
        <v>#DIV/0!</v>
      </c>
      <c r="AL130" s="181" t="e">
        <f t="shared" si="26"/>
        <v>#DIV/0!</v>
      </c>
      <c r="AM130" s="181" t="e">
        <f t="shared" si="26"/>
        <v>#DIV/0!</v>
      </c>
      <c r="AN130" s="181" t="e">
        <f t="shared" si="26"/>
        <v>#DIV/0!</v>
      </c>
    </row>
    <row r="131" spans="2:40" x14ac:dyDescent="0.15">
      <c r="B131" s="341"/>
      <c r="C131" s="139" t="s">
        <v>913</v>
      </c>
      <c r="D131" s="104">
        <f>SUMIFS('caseload data'!E:E,'caseload data'!$D:$D,"TPO",'caseload data'!$A:$A,"East of England",'caseload data'!$B:$B,"custody")</f>
        <v>0</v>
      </c>
      <c r="E131" s="104">
        <f>SUMIFS('caseload data'!F:F,'caseload data'!$D:$D,"TPO",'caseload data'!$A:$A,"East of England",'caseload data'!$B:$B,"custody")</f>
        <v>0</v>
      </c>
      <c r="F131" s="104">
        <f>SUMIFS('caseload data'!G:G,'caseload data'!$D:$D,"TPO",'caseload data'!$A:$A,"East of England",'caseload data'!$B:$B,"custody")</f>
        <v>0</v>
      </c>
      <c r="G131" s="104">
        <f>SUMIFS('caseload data'!H:H,'caseload data'!$D:$D,"TPO",'caseload data'!$A:$A,"East of England",'caseload data'!$B:$B,"custody")</f>
        <v>0</v>
      </c>
      <c r="H131" s="104">
        <f>SUMIFS('caseload data'!I:I,'caseload data'!$D:$D,"TPO",'caseload data'!$A:$A,"East of England",'caseload data'!$B:$B,"custody")</f>
        <v>0</v>
      </c>
      <c r="I131" s="104">
        <f>SUMIFS('caseload data'!J:J,'caseload data'!$D:$D,"TPO",'caseload data'!$A:$A,"East of England",'caseload data'!$B:$B,"custody")</f>
        <v>0</v>
      </c>
      <c r="J131" s="104">
        <f>SUMIFS('caseload data'!K:K,'caseload data'!$D:$D,"TPO",'caseload data'!$A:$A,"East of England",'caseload data'!$B:$B,"custody")</f>
        <v>0</v>
      </c>
      <c r="K131" s="104">
        <f>SUMIFS('caseload data'!L:L,'caseload data'!$D:$D,"TPO",'caseload data'!$A:$A,"East of England",'caseload data'!$B:$B,"custody")</f>
        <v>0</v>
      </c>
      <c r="L131" s="104">
        <f>SUMIFS('caseload data'!M:M,'caseload data'!$D:$D,"TPO",'caseload data'!$A:$A,"East of England",'caseload data'!$B:$B,"custody")</f>
        <v>0</v>
      </c>
      <c r="M131" s="104">
        <f>SUMIFS('caseload data'!N:N,'caseload data'!$D:$D,"TPO",'caseload data'!$A:$A,"East of England",'caseload data'!$B:$B,"custody")</f>
        <v>0</v>
      </c>
      <c r="N131" s="104">
        <f>SUMIFS('caseload data'!O:O,'caseload data'!$D:$D,"TPO",'caseload data'!$A:$A,"East of England",'caseload data'!$B:$B,"custody")</f>
        <v>0</v>
      </c>
      <c r="O131" s="104">
        <f>SUMIFS('caseload data'!P:P,'caseload data'!$D:$D,"TPO",'caseload data'!$A:$A,"East of England",'caseload data'!$B:$B,"custody")</f>
        <v>0</v>
      </c>
      <c r="P131" s="104">
        <f>SUMIFS('caseload data'!Q:Q,'caseload data'!$D:$D,"TPO",'caseload data'!$A:$A,"East of England",'caseload data'!$B:$B,"custody")</f>
        <v>0</v>
      </c>
      <c r="Q131" s="104">
        <f>SUMIFS('caseload data'!R:R,'caseload data'!$D:$D,"TPO",'caseload data'!$A:$A,"East of England",'caseload data'!$B:$B,"custody")</f>
        <v>0</v>
      </c>
      <c r="R131" s="104">
        <f>SUMIFS('caseload data'!S:S,'caseload data'!$D:$D,"TPO",'caseload data'!$A:$A,"East of England",'caseload data'!$B:$B,"custody")</f>
        <v>0</v>
      </c>
      <c r="S131" s="104">
        <f>SUMIFS('caseload data'!T:T,'caseload data'!$D:$D,"TPO",'caseload data'!$A:$A,"East of England",'caseload data'!$B:$B,"custody")</f>
        <v>0</v>
      </c>
      <c r="T131" s="104">
        <f>SUMIFS('caseload data'!V:V,'caseload data'!D:D,"TPO",'caseload data'!A:A,"East of England",'caseload data'!B:B,"custody")</f>
        <v>0</v>
      </c>
      <c r="U131" s="73"/>
      <c r="V131" s="73"/>
      <c r="W131" s="341"/>
      <c r="X131" s="139" t="s">
        <v>913</v>
      </c>
      <c r="Y131" s="181" t="e">
        <f>SUM(D131)/SUM(D$129:D$132)</f>
        <v>#DIV/0!</v>
      </c>
      <c r="Z131" s="181" t="e">
        <f t="shared" si="26"/>
        <v>#DIV/0!</v>
      </c>
      <c r="AA131" s="181" t="e">
        <f t="shared" si="26"/>
        <v>#DIV/0!</v>
      </c>
      <c r="AB131" s="181" t="e">
        <f t="shared" si="26"/>
        <v>#DIV/0!</v>
      </c>
      <c r="AC131" s="181" t="e">
        <f t="shared" si="26"/>
        <v>#DIV/0!</v>
      </c>
      <c r="AD131" s="181" t="e">
        <f t="shared" si="26"/>
        <v>#DIV/0!</v>
      </c>
      <c r="AE131" s="181" t="e">
        <f t="shared" si="26"/>
        <v>#DIV/0!</v>
      </c>
      <c r="AF131" s="181" t="e">
        <f t="shared" si="26"/>
        <v>#DIV/0!</v>
      </c>
      <c r="AG131" s="181" t="e">
        <f t="shared" si="26"/>
        <v>#DIV/0!</v>
      </c>
      <c r="AH131" s="181" t="e">
        <f t="shared" si="26"/>
        <v>#DIV/0!</v>
      </c>
      <c r="AI131" s="181" t="e">
        <f t="shared" si="26"/>
        <v>#DIV/0!</v>
      </c>
      <c r="AJ131" s="181" t="e">
        <f t="shared" si="26"/>
        <v>#DIV/0!</v>
      </c>
      <c r="AK131" s="181" t="e">
        <f t="shared" si="26"/>
        <v>#DIV/0!</v>
      </c>
      <c r="AL131" s="181" t="e">
        <f t="shared" si="26"/>
        <v>#DIV/0!</v>
      </c>
      <c r="AM131" s="181" t="e">
        <f t="shared" si="26"/>
        <v>#DIV/0!</v>
      </c>
      <c r="AN131" s="181" t="e">
        <f t="shared" si="26"/>
        <v>#DIV/0!</v>
      </c>
    </row>
    <row r="132" spans="2:40" x14ac:dyDescent="0.15">
      <c r="B132" s="342"/>
      <c r="C132" s="140" t="s">
        <v>914</v>
      </c>
      <c r="D132" s="104">
        <f>SUMIFS('caseload data'!E:E,'caseload data'!$D:$D,"SPO",'caseload data'!$A:$A,"East of England",'caseload data'!$B:$B,"custody")</f>
        <v>0</v>
      </c>
      <c r="E132" s="104">
        <f>SUMIFS('caseload data'!F:F,'caseload data'!$D:$D,"SPO",'caseload data'!$A:$A,"East of England",'caseload data'!$B:$B,"custody")</f>
        <v>0</v>
      </c>
      <c r="F132" s="104">
        <f>SUMIFS('caseload data'!G:G,'caseload data'!$D:$D,"SPO",'caseload data'!$A:$A,"East of England",'caseload data'!$B:$B,"custody")</f>
        <v>0</v>
      </c>
      <c r="G132" s="104">
        <f>SUMIFS('caseload data'!H:H,'caseload data'!$D:$D,"SPO",'caseload data'!$A:$A,"East of England",'caseload data'!$B:$B,"custody")</f>
        <v>0</v>
      </c>
      <c r="H132" s="104">
        <f>SUMIFS('caseload data'!I:I,'caseload data'!$D:$D,"SPO",'caseload data'!$A:$A,"East of England",'caseload data'!$B:$B,"custody")</f>
        <v>0</v>
      </c>
      <c r="I132" s="104">
        <f>SUMIFS('caseload data'!J:J,'caseload data'!$D:$D,"SPO",'caseload data'!$A:$A,"East of England",'caseload data'!$B:$B,"custody")</f>
        <v>0</v>
      </c>
      <c r="J132" s="104">
        <f>SUMIFS('caseload data'!K:K,'caseload data'!$D:$D,"SPO",'caseload data'!$A:$A,"East of England",'caseload data'!$B:$B,"custody")</f>
        <v>0</v>
      </c>
      <c r="K132" s="104">
        <f>SUMIFS('caseload data'!L:L,'caseload data'!$D:$D,"SPO",'caseload data'!$A:$A,"East of England",'caseload data'!$B:$B,"custody")</f>
        <v>0</v>
      </c>
      <c r="L132" s="104">
        <f>SUMIFS('caseload data'!M:M,'caseload data'!$D:$D,"SPO",'caseload data'!$A:$A,"East of England",'caseload data'!$B:$B,"custody")</f>
        <v>0</v>
      </c>
      <c r="M132" s="104">
        <f>SUMIFS('caseload data'!N:N,'caseload data'!$D:$D,"SPO",'caseload data'!$A:$A,"East of England",'caseload data'!$B:$B,"custody")</f>
        <v>0</v>
      </c>
      <c r="N132" s="104">
        <f>SUMIFS('caseload data'!O:O,'caseload data'!$D:$D,"SPO",'caseload data'!$A:$A,"East of England",'caseload data'!$B:$B,"custody")</f>
        <v>0</v>
      </c>
      <c r="O132" s="104">
        <f>SUMIFS('caseload data'!P:P,'caseload data'!$D:$D,"SPO",'caseload data'!$A:$A,"East of England",'caseload data'!$B:$B,"custody")</f>
        <v>0</v>
      </c>
      <c r="P132" s="104">
        <f>SUMIFS('caseload data'!Q:Q,'caseload data'!$D:$D,"SPO",'caseload data'!$A:$A,"East of England",'caseload data'!$B:$B,"custody")</f>
        <v>0</v>
      </c>
      <c r="Q132" s="104">
        <f>SUMIFS('caseload data'!R:R,'caseload data'!$D:$D,"SPO",'caseload data'!$A:$A,"East of England",'caseload data'!$B:$B,"custody")</f>
        <v>0</v>
      </c>
      <c r="R132" s="104">
        <f>SUMIFS('caseload data'!S:S,'caseload data'!$D:$D,"SPO",'caseload data'!$A:$A,"East of England",'caseload data'!$B:$B,"custody")</f>
        <v>0</v>
      </c>
      <c r="S132" s="104">
        <f>SUMIFS('caseload data'!T:T,'caseload data'!$D:$D,"SPO",'caseload data'!$A:$A,"East of England",'caseload data'!$B:$B,"custody")</f>
        <v>0</v>
      </c>
      <c r="T132" s="104">
        <f>SUMIFS('caseload data'!V:V,'caseload data'!$D:$D,"SPO",'caseload data'!$A:$A,"East of England",'caseload data'!$B:$B,"custody")</f>
        <v>0</v>
      </c>
      <c r="U132" s="73"/>
      <c r="V132" s="73"/>
      <c r="W132" s="342"/>
      <c r="X132" s="140" t="s">
        <v>914</v>
      </c>
      <c r="Y132" s="181" t="e">
        <f>SUM(D132)/SUM(D$129:D$132)</f>
        <v>#DIV/0!</v>
      </c>
      <c r="Z132" s="181" t="e">
        <f t="shared" si="26"/>
        <v>#DIV/0!</v>
      </c>
      <c r="AA132" s="181" t="e">
        <f t="shared" si="26"/>
        <v>#DIV/0!</v>
      </c>
      <c r="AB132" s="181" t="e">
        <f t="shared" si="26"/>
        <v>#DIV/0!</v>
      </c>
      <c r="AC132" s="181" t="e">
        <f t="shared" si="26"/>
        <v>#DIV/0!</v>
      </c>
      <c r="AD132" s="181" t="e">
        <f t="shared" si="26"/>
        <v>#DIV/0!</v>
      </c>
      <c r="AE132" s="181" t="e">
        <f t="shared" si="26"/>
        <v>#DIV/0!</v>
      </c>
      <c r="AF132" s="181" t="e">
        <f t="shared" si="26"/>
        <v>#DIV/0!</v>
      </c>
      <c r="AG132" s="181" t="e">
        <f t="shared" si="26"/>
        <v>#DIV/0!</v>
      </c>
      <c r="AH132" s="181" t="e">
        <f t="shared" si="26"/>
        <v>#DIV/0!</v>
      </c>
      <c r="AI132" s="181" t="e">
        <f t="shared" si="26"/>
        <v>#DIV/0!</v>
      </c>
      <c r="AJ132" s="181" t="e">
        <f t="shared" si="26"/>
        <v>#DIV/0!</v>
      </c>
      <c r="AK132" s="181" t="e">
        <f t="shared" si="26"/>
        <v>#DIV/0!</v>
      </c>
      <c r="AL132" s="181" t="e">
        <f t="shared" si="26"/>
        <v>#DIV/0!</v>
      </c>
      <c r="AM132" s="181" t="e">
        <f t="shared" si="26"/>
        <v>#DIV/0!</v>
      </c>
      <c r="AN132" s="181" t="e">
        <f t="shared" si="26"/>
        <v>#DIV/0!</v>
      </c>
    </row>
    <row r="133" spans="2:40" x14ac:dyDescent="0.15">
      <c r="B133" s="340" t="s">
        <v>22</v>
      </c>
      <c r="C133" s="138" t="s">
        <v>911</v>
      </c>
      <c r="D133" s="104">
        <f>SUMIFS('caseload data'!E:E,'caseload data'!$D:$D,"PO",'caseload data'!$A:$A,"Greater Manchester",'caseload data'!$B:$B,"custody")</f>
        <v>0</v>
      </c>
      <c r="E133" s="104">
        <f>SUMIFS('caseload data'!F:F,'caseload data'!$D:$D,"PO",'caseload data'!$A:$A,"Greater Manchester",'caseload data'!$B:$B,"custody")</f>
        <v>0</v>
      </c>
      <c r="F133" s="104">
        <f>SUMIFS('caseload data'!G:G,'caseload data'!$D:$D,"PO",'caseload data'!$A:$A,"Greater Manchester",'caseload data'!$B:$B,"custody")</f>
        <v>0</v>
      </c>
      <c r="G133" s="104">
        <f>SUMIFS('caseload data'!H:H,'caseload data'!$D:$D,"PO",'caseload data'!$A:$A,"Greater Manchester",'caseload data'!$B:$B,"custody")</f>
        <v>0</v>
      </c>
      <c r="H133" s="104">
        <f>SUMIFS('caseload data'!I:I,'caseload data'!$D:$D,"PO",'caseload data'!$A:$A,"Greater Manchester",'caseload data'!$B:$B,"custody")</f>
        <v>0</v>
      </c>
      <c r="I133" s="104">
        <f>SUMIFS('caseload data'!J:J,'caseload data'!$D:$D,"PO",'caseload data'!$A:$A,"Greater Manchester",'caseload data'!$B:$B,"custody")</f>
        <v>0</v>
      </c>
      <c r="J133" s="104">
        <f>SUMIFS('caseload data'!K:K,'caseload data'!$D:$D,"PO",'caseload data'!$A:$A,"Greater Manchester",'caseload data'!$B:$B,"custody")</f>
        <v>0</v>
      </c>
      <c r="K133" s="104">
        <f>SUMIFS('caseload data'!L:L,'caseload data'!$D:$D,"PO",'caseload data'!$A:$A,"Greater Manchester",'caseload data'!$B:$B,"custody")</f>
        <v>0</v>
      </c>
      <c r="L133" s="104">
        <f>SUMIFS('caseload data'!M:M,'caseload data'!$D:$D,"PO",'caseload data'!$A:$A,"Greater Manchester",'caseload data'!$B:$B,"custody")</f>
        <v>0</v>
      </c>
      <c r="M133" s="104">
        <f>SUMIFS('caseload data'!N:N,'caseload data'!$D:$D,"PO",'caseload data'!$A:$A,"Greater Manchester",'caseload data'!$B:$B,"custody")</f>
        <v>0</v>
      </c>
      <c r="N133" s="104">
        <f>SUMIFS('caseload data'!O:O,'caseload data'!$D:$D,"PO",'caseload data'!$A:$A,"Greater Manchester",'caseload data'!$B:$B,"custody")</f>
        <v>0</v>
      </c>
      <c r="O133" s="104">
        <f>SUMIFS('caseload data'!P:P,'caseload data'!$D:$D,"PO",'caseload data'!$A:$A,"Greater Manchester",'caseload data'!$B:$B,"custody")</f>
        <v>0</v>
      </c>
      <c r="P133" s="104">
        <f>SUMIFS('caseload data'!Q:Q,'caseload data'!$D:$D,"PO",'caseload data'!$A:$A,"Greater Manchester",'caseload data'!$B:$B,"custody")</f>
        <v>0</v>
      </c>
      <c r="Q133" s="104">
        <f>SUMIFS('caseload data'!R:R,'caseload data'!$D:$D,"PO",'caseload data'!$A:$A,"Greater Manchester",'caseload data'!$B:$B,"custody")</f>
        <v>0</v>
      </c>
      <c r="R133" s="104">
        <f>SUMIFS('caseload data'!S:S,'caseload data'!$D:$D,"PO",'caseload data'!$A:$A,"Greater Manchester",'caseload data'!$B:$B,"custody")</f>
        <v>0</v>
      </c>
      <c r="S133" s="104">
        <f>SUMIFS('caseload data'!T:T,'caseload data'!$D:$D,"PO",'caseload data'!$A:$A,"Greater Manchester",'caseload data'!$B:$B,"custody")</f>
        <v>0</v>
      </c>
      <c r="T133" s="104">
        <f>SUMIFS('caseload data'!V:V,'caseload data'!D:D,"PO",'caseload data'!A:A,"Greater Manchester",'caseload data'!B:B,"custody")</f>
        <v>0</v>
      </c>
      <c r="U133" s="73"/>
      <c r="V133" s="73"/>
      <c r="W133" s="340" t="s">
        <v>22</v>
      </c>
      <c r="X133" s="138" t="s">
        <v>911</v>
      </c>
      <c r="Y133" s="181" t="e">
        <f>SUM(D133)/SUM(D$133:D$136)</f>
        <v>#DIV/0!</v>
      </c>
      <c r="Z133" s="181" t="e">
        <f t="shared" ref="Z133:AN136" si="27">SUM(E133)/SUM(E$133:E$136)</f>
        <v>#DIV/0!</v>
      </c>
      <c r="AA133" s="181" t="e">
        <f t="shared" si="27"/>
        <v>#DIV/0!</v>
      </c>
      <c r="AB133" s="181" t="e">
        <f t="shared" si="27"/>
        <v>#DIV/0!</v>
      </c>
      <c r="AC133" s="181" t="e">
        <f t="shared" si="27"/>
        <v>#DIV/0!</v>
      </c>
      <c r="AD133" s="181" t="e">
        <f t="shared" si="27"/>
        <v>#DIV/0!</v>
      </c>
      <c r="AE133" s="181" t="e">
        <f t="shared" si="27"/>
        <v>#DIV/0!</v>
      </c>
      <c r="AF133" s="181" t="e">
        <f t="shared" si="27"/>
        <v>#DIV/0!</v>
      </c>
      <c r="AG133" s="181" t="e">
        <f t="shared" si="27"/>
        <v>#DIV/0!</v>
      </c>
      <c r="AH133" s="181" t="e">
        <f t="shared" si="27"/>
        <v>#DIV/0!</v>
      </c>
      <c r="AI133" s="181" t="e">
        <f t="shared" si="27"/>
        <v>#DIV/0!</v>
      </c>
      <c r="AJ133" s="181" t="e">
        <f t="shared" si="27"/>
        <v>#DIV/0!</v>
      </c>
      <c r="AK133" s="181" t="e">
        <f t="shared" si="27"/>
        <v>#DIV/0!</v>
      </c>
      <c r="AL133" s="181" t="e">
        <f t="shared" si="27"/>
        <v>#DIV/0!</v>
      </c>
      <c r="AM133" s="181" t="e">
        <f t="shared" si="27"/>
        <v>#DIV/0!</v>
      </c>
      <c r="AN133" s="181" t="e">
        <f t="shared" si="27"/>
        <v>#DIV/0!</v>
      </c>
    </row>
    <row r="134" spans="2:40" x14ac:dyDescent="0.15">
      <c r="B134" s="341"/>
      <c r="C134" s="139" t="s">
        <v>912</v>
      </c>
      <c r="D134" s="104">
        <f>SUMIFS('caseload data'!E:E,'caseload data'!$D:$D,"PSO",'caseload data'!$A:$A,"Greater Manchester",'caseload data'!$B:$B,"custody")</f>
        <v>0</v>
      </c>
      <c r="E134" s="104">
        <f>SUMIFS('caseload data'!F:F,'caseload data'!$D:$D,"PSO",'caseload data'!$A:$A,"Greater Manchester",'caseload data'!$B:$B,"custody")</f>
        <v>0</v>
      </c>
      <c r="F134" s="104">
        <f>SUMIFS('caseload data'!G:G,'caseload data'!$D:$D,"PSO",'caseload data'!$A:$A,"Greater Manchester",'caseload data'!$B:$B,"custody")</f>
        <v>0</v>
      </c>
      <c r="G134" s="104">
        <f>SUMIFS('caseload data'!H:H,'caseload data'!$D:$D,"PSO",'caseload data'!$A:$A,"Greater Manchester",'caseload data'!$B:$B,"custody")</f>
        <v>0</v>
      </c>
      <c r="H134" s="104">
        <f>SUMIFS('caseload data'!I:I,'caseload data'!$D:$D,"PSO",'caseload data'!$A:$A,"Greater Manchester",'caseload data'!$B:$B,"custody")</f>
        <v>0</v>
      </c>
      <c r="I134" s="104">
        <f>SUMIFS('caseload data'!J:J,'caseload data'!$D:$D,"PSO",'caseload data'!$A:$A,"Greater Manchester",'caseload data'!$B:$B,"custody")</f>
        <v>0</v>
      </c>
      <c r="J134" s="104">
        <f>SUMIFS('caseload data'!K:K,'caseload data'!$D:$D,"PSO",'caseload data'!$A:$A,"Greater Manchester",'caseload data'!$B:$B,"custody")</f>
        <v>0</v>
      </c>
      <c r="K134" s="104">
        <f>SUMIFS('caseload data'!L:L,'caseload data'!$D:$D,"PSO",'caseload data'!$A:$A,"Greater Manchester",'caseload data'!$B:$B,"custody")</f>
        <v>0</v>
      </c>
      <c r="L134" s="104">
        <f>SUMIFS('caseload data'!M:M,'caseload data'!$D:$D,"PSO",'caseload data'!$A:$A,"Greater Manchester",'caseload data'!$B:$B,"custody")</f>
        <v>0</v>
      </c>
      <c r="M134" s="104">
        <f>SUMIFS('caseload data'!N:N,'caseload data'!$D:$D,"PSO",'caseload data'!$A:$A,"Greater Manchester",'caseload data'!$B:$B,"custody")</f>
        <v>0</v>
      </c>
      <c r="N134" s="104">
        <f>SUMIFS('caseload data'!O:O,'caseload data'!$D:$D,"PSO",'caseload data'!$A:$A,"Greater Manchester",'caseload data'!$B:$B,"custody")</f>
        <v>0</v>
      </c>
      <c r="O134" s="104">
        <f>SUMIFS('caseload data'!P:P,'caseload data'!$D:$D,"PSO",'caseload data'!$A:$A,"Greater Manchester",'caseload data'!$B:$B,"custody")</f>
        <v>0</v>
      </c>
      <c r="P134" s="104">
        <f>SUMIFS('caseload data'!Q:Q,'caseload data'!$D:$D,"PSO",'caseload data'!$A:$A,"Greater Manchester",'caseload data'!$B:$B,"custody")</f>
        <v>0</v>
      </c>
      <c r="Q134" s="104">
        <f>SUMIFS('caseload data'!R:R,'caseload data'!$D:$D,"PSO",'caseload data'!$A:$A,"Greater Manchester",'caseload data'!$B:$B,"custody")</f>
        <v>0</v>
      </c>
      <c r="R134" s="104">
        <f>SUMIFS('caseload data'!S:S,'caseload data'!$D:$D,"PSO",'caseload data'!$A:$A,"Greater Manchester",'caseload data'!$B:$B,"custody")</f>
        <v>0</v>
      </c>
      <c r="S134" s="104">
        <f>SUMIFS('caseload data'!T:T,'caseload data'!$D:$D,"PSO",'caseload data'!$A:$A,"Greater Manchester",'caseload data'!$B:$B,"custody")</f>
        <v>0</v>
      </c>
      <c r="T134" s="104">
        <f>SUMIFS('caseload data'!V:V,'caseload data'!D:D,"PSO",'caseload data'!A:A,"Greater Manchester",'caseload data'!B:B,"custody")</f>
        <v>0</v>
      </c>
      <c r="U134" s="73"/>
      <c r="V134" s="73"/>
      <c r="W134" s="341"/>
      <c r="X134" s="139" t="s">
        <v>912</v>
      </c>
      <c r="Y134" s="181" t="e">
        <f>SUM(D134)/SUM(D$133:D$136)</f>
        <v>#DIV/0!</v>
      </c>
      <c r="Z134" s="181" t="e">
        <f t="shared" si="27"/>
        <v>#DIV/0!</v>
      </c>
      <c r="AA134" s="181" t="e">
        <f t="shared" si="27"/>
        <v>#DIV/0!</v>
      </c>
      <c r="AB134" s="181" t="e">
        <f t="shared" si="27"/>
        <v>#DIV/0!</v>
      </c>
      <c r="AC134" s="181" t="e">
        <f t="shared" si="27"/>
        <v>#DIV/0!</v>
      </c>
      <c r="AD134" s="181" t="e">
        <f t="shared" si="27"/>
        <v>#DIV/0!</v>
      </c>
      <c r="AE134" s="181" t="e">
        <f t="shared" si="27"/>
        <v>#DIV/0!</v>
      </c>
      <c r="AF134" s="181" t="e">
        <f t="shared" si="27"/>
        <v>#DIV/0!</v>
      </c>
      <c r="AG134" s="181" t="e">
        <f t="shared" si="27"/>
        <v>#DIV/0!</v>
      </c>
      <c r="AH134" s="181" t="e">
        <f t="shared" si="27"/>
        <v>#DIV/0!</v>
      </c>
      <c r="AI134" s="181" t="e">
        <f t="shared" si="27"/>
        <v>#DIV/0!</v>
      </c>
      <c r="AJ134" s="181" t="e">
        <f t="shared" si="27"/>
        <v>#DIV/0!</v>
      </c>
      <c r="AK134" s="181" t="e">
        <f t="shared" si="27"/>
        <v>#DIV/0!</v>
      </c>
      <c r="AL134" s="181" t="e">
        <f t="shared" si="27"/>
        <v>#DIV/0!</v>
      </c>
      <c r="AM134" s="181" t="e">
        <f t="shared" si="27"/>
        <v>#DIV/0!</v>
      </c>
      <c r="AN134" s="181" t="e">
        <f t="shared" si="27"/>
        <v>#DIV/0!</v>
      </c>
    </row>
    <row r="135" spans="2:40" x14ac:dyDescent="0.15">
      <c r="B135" s="341"/>
      <c r="C135" s="139" t="s">
        <v>913</v>
      </c>
      <c r="D135" s="104">
        <f>SUMIFS('caseload data'!E:E,'caseload data'!$D:$D,"TPO",'caseload data'!$A:$A,"Greater Manchester",'caseload data'!$B:$B,"custody")</f>
        <v>0</v>
      </c>
      <c r="E135" s="104">
        <f>SUMIFS('caseload data'!F:F,'caseload data'!$D:$D,"TPO",'caseload data'!$A:$A,"Greater Manchester",'caseload data'!$B:$B,"custody")</f>
        <v>0</v>
      </c>
      <c r="F135" s="104">
        <f>SUMIFS('caseload data'!G:G,'caseload data'!$D:$D,"TPO",'caseload data'!$A:$A,"Greater Manchester",'caseload data'!$B:$B,"custody")</f>
        <v>0</v>
      </c>
      <c r="G135" s="104">
        <f>SUMIFS('caseload data'!H:H,'caseload data'!$D:$D,"TPO",'caseload data'!$A:$A,"Greater Manchester",'caseload data'!$B:$B,"custody")</f>
        <v>0</v>
      </c>
      <c r="H135" s="104">
        <f>SUMIFS('caseload data'!I:I,'caseload data'!$D:$D,"TPO",'caseload data'!$A:$A,"Greater Manchester",'caseload data'!$B:$B,"custody")</f>
        <v>0</v>
      </c>
      <c r="I135" s="104">
        <f>SUMIFS('caseload data'!J:J,'caseload data'!$D:$D,"TPO",'caseload data'!$A:$A,"Greater Manchester",'caseload data'!$B:$B,"custody")</f>
        <v>0</v>
      </c>
      <c r="J135" s="104">
        <f>SUMIFS('caseload data'!K:K,'caseload data'!$D:$D,"TPO",'caseload data'!$A:$A,"Greater Manchester",'caseload data'!$B:$B,"custody")</f>
        <v>0</v>
      </c>
      <c r="K135" s="104">
        <f>SUMIFS('caseload data'!L:L,'caseload data'!$D:$D,"TPO",'caseload data'!$A:$A,"Greater Manchester",'caseload data'!$B:$B,"custody")</f>
        <v>0</v>
      </c>
      <c r="L135" s="104">
        <f>SUMIFS('caseload data'!M:M,'caseload data'!$D:$D,"TPO",'caseload data'!$A:$A,"Greater Manchester",'caseload data'!$B:$B,"custody")</f>
        <v>0</v>
      </c>
      <c r="M135" s="104">
        <f>SUMIFS('caseload data'!N:N,'caseload data'!$D:$D,"TPO",'caseload data'!$A:$A,"Greater Manchester",'caseload data'!$B:$B,"custody")</f>
        <v>0</v>
      </c>
      <c r="N135" s="104">
        <f>SUMIFS('caseload data'!O:O,'caseload data'!$D:$D,"TPO",'caseload data'!$A:$A,"Greater Manchester",'caseload data'!$B:$B,"custody")</f>
        <v>0</v>
      </c>
      <c r="O135" s="104">
        <f>SUMIFS('caseload data'!P:P,'caseload data'!$D:$D,"TPO",'caseload data'!$A:$A,"Greater Manchester",'caseload data'!$B:$B,"custody")</f>
        <v>0</v>
      </c>
      <c r="P135" s="104">
        <f>SUMIFS('caseload data'!Q:Q,'caseload data'!$D:$D,"TPO",'caseload data'!$A:$A,"Greater Manchester",'caseload data'!$B:$B,"custody")</f>
        <v>0</v>
      </c>
      <c r="Q135" s="104">
        <f>SUMIFS('caseload data'!R:R,'caseload data'!$D:$D,"TPO",'caseload data'!$A:$A,"Greater Manchester",'caseload data'!$B:$B,"custody")</f>
        <v>0</v>
      </c>
      <c r="R135" s="104">
        <f>SUMIFS('caseload data'!S:S,'caseload data'!$D:$D,"TPO",'caseload data'!$A:$A,"Greater Manchester",'caseload data'!$B:$B,"custody")</f>
        <v>0</v>
      </c>
      <c r="S135" s="104">
        <f>SUMIFS('caseload data'!T:T,'caseload data'!$D:$D,"TPO",'caseload data'!$A:$A,"Greater Manchester",'caseload data'!$B:$B,"custody")</f>
        <v>0</v>
      </c>
      <c r="T135" s="104">
        <f>SUMIFS('caseload data'!V:V,'caseload data'!D:D,"TPO",'caseload data'!A:A,"Greater Manchester",'caseload data'!B:B,"custody")</f>
        <v>0</v>
      </c>
      <c r="U135" s="73"/>
      <c r="V135" s="73"/>
      <c r="W135" s="341"/>
      <c r="X135" s="139" t="s">
        <v>913</v>
      </c>
      <c r="Y135" s="181" t="e">
        <f>SUM(D135)/SUM(D$133:D$136)</f>
        <v>#DIV/0!</v>
      </c>
      <c r="Z135" s="181" t="e">
        <f t="shared" si="27"/>
        <v>#DIV/0!</v>
      </c>
      <c r="AA135" s="181" t="e">
        <f t="shared" si="27"/>
        <v>#DIV/0!</v>
      </c>
      <c r="AB135" s="181" t="e">
        <f t="shared" si="27"/>
        <v>#DIV/0!</v>
      </c>
      <c r="AC135" s="181" t="e">
        <f t="shared" si="27"/>
        <v>#DIV/0!</v>
      </c>
      <c r="AD135" s="181" t="e">
        <f t="shared" si="27"/>
        <v>#DIV/0!</v>
      </c>
      <c r="AE135" s="181" t="e">
        <f t="shared" si="27"/>
        <v>#DIV/0!</v>
      </c>
      <c r="AF135" s="181" t="e">
        <f t="shared" si="27"/>
        <v>#DIV/0!</v>
      </c>
      <c r="AG135" s="181" t="e">
        <f t="shared" si="27"/>
        <v>#DIV/0!</v>
      </c>
      <c r="AH135" s="181" t="e">
        <f t="shared" si="27"/>
        <v>#DIV/0!</v>
      </c>
      <c r="AI135" s="181" t="e">
        <f t="shared" si="27"/>
        <v>#DIV/0!</v>
      </c>
      <c r="AJ135" s="181" t="e">
        <f t="shared" si="27"/>
        <v>#DIV/0!</v>
      </c>
      <c r="AK135" s="181" t="e">
        <f t="shared" si="27"/>
        <v>#DIV/0!</v>
      </c>
      <c r="AL135" s="181" t="e">
        <f t="shared" si="27"/>
        <v>#DIV/0!</v>
      </c>
      <c r="AM135" s="181" t="e">
        <f t="shared" si="27"/>
        <v>#DIV/0!</v>
      </c>
      <c r="AN135" s="181" t="e">
        <f t="shared" si="27"/>
        <v>#DIV/0!</v>
      </c>
    </row>
    <row r="136" spans="2:40" x14ac:dyDescent="0.15">
      <c r="B136" s="342"/>
      <c r="C136" s="140" t="s">
        <v>914</v>
      </c>
      <c r="D136" s="104">
        <f>SUMIFS('caseload data'!E:E,'caseload data'!$D:$D,"SPO",'caseload data'!$A:$A,"Greater Manchester",'caseload data'!$B:$B,"custody")</f>
        <v>0</v>
      </c>
      <c r="E136" s="104">
        <f>SUMIFS('caseload data'!F:F,'caseload data'!$D:$D,"SPO",'caseload data'!$A:$A,"Greater Manchester",'caseload data'!$B:$B,"custody")</f>
        <v>0</v>
      </c>
      <c r="F136" s="104">
        <f>SUMIFS('caseload data'!G:G,'caseload data'!$D:$D,"SPO",'caseload data'!$A:$A,"Greater Manchester",'caseload data'!$B:$B,"custody")</f>
        <v>0</v>
      </c>
      <c r="G136" s="104">
        <f>SUMIFS('caseload data'!H:H,'caseload data'!$D:$D,"SPO",'caseload data'!$A:$A,"Greater Manchester",'caseload data'!$B:$B,"custody")</f>
        <v>0</v>
      </c>
      <c r="H136" s="104">
        <f>SUMIFS('caseload data'!I:I,'caseload data'!$D:$D,"SPO",'caseload data'!$A:$A,"Greater Manchester",'caseload data'!$B:$B,"custody")</f>
        <v>0</v>
      </c>
      <c r="I136" s="104">
        <f>SUMIFS('caseload data'!J:J,'caseload data'!$D:$D,"SPO",'caseload data'!$A:$A,"Greater Manchester",'caseload data'!$B:$B,"custody")</f>
        <v>0</v>
      </c>
      <c r="J136" s="104">
        <f>SUMIFS('caseload data'!K:K,'caseload data'!$D:$D,"SPO",'caseload data'!$A:$A,"Greater Manchester",'caseload data'!$B:$B,"custody")</f>
        <v>0</v>
      </c>
      <c r="K136" s="104">
        <f>SUMIFS('caseload data'!L:L,'caseload data'!$D:$D,"SPO",'caseload data'!$A:$A,"Greater Manchester",'caseload data'!$B:$B,"custody")</f>
        <v>0</v>
      </c>
      <c r="L136" s="104">
        <f>SUMIFS('caseload data'!M:M,'caseload data'!$D:$D,"SPO",'caseload data'!$A:$A,"Greater Manchester",'caseload data'!$B:$B,"custody")</f>
        <v>0</v>
      </c>
      <c r="M136" s="104">
        <f>SUMIFS('caseload data'!N:N,'caseload data'!$D:$D,"SPO",'caseload data'!$A:$A,"Greater Manchester",'caseload data'!$B:$B,"custody")</f>
        <v>0</v>
      </c>
      <c r="N136" s="104">
        <f>SUMIFS('caseload data'!O:O,'caseload data'!$D:$D,"SPO",'caseload data'!$A:$A,"Greater Manchester",'caseload data'!$B:$B,"custody")</f>
        <v>0</v>
      </c>
      <c r="O136" s="104">
        <f>SUMIFS('caseload data'!P:P,'caseload data'!$D:$D,"SPO",'caseload data'!$A:$A,"Greater Manchester",'caseload data'!$B:$B,"custody")</f>
        <v>0</v>
      </c>
      <c r="P136" s="104">
        <f>SUMIFS('caseload data'!Q:Q,'caseload data'!$D:$D,"SPO",'caseload data'!$A:$A,"Greater Manchester",'caseload data'!$B:$B,"custody")</f>
        <v>0</v>
      </c>
      <c r="Q136" s="104">
        <f>SUMIFS('caseload data'!R:R,'caseload data'!$D:$D,"SPO",'caseload data'!$A:$A,"Greater Manchester",'caseload data'!$B:$B,"custody")</f>
        <v>0</v>
      </c>
      <c r="R136" s="104">
        <f>SUMIFS('caseload data'!S:S,'caseload data'!$D:$D,"SPO",'caseload data'!$A:$A,"Greater Manchester",'caseload data'!$B:$B,"custody")</f>
        <v>0</v>
      </c>
      <c r="S136" s="104">
        <f>SUMIFS('caseload data'!T:T,'caseload data'!$D:$D,"SPO",'caseload data'!$A:$A,"Greater Manchester",'caseload data'!$B:$B,"custody")</f>
        <v>0</v>
      </c>
      <c r="T136" s="104">
        <f>SUMIFS('caseload data'!V:V,'caseload data'!$D:$D,"SPO",'caseload data'!$A:$A,"Greater Manchester",'caseload data'!$B:$B,"custody")</f>
        <v>0</v>
      </c>
      <c r="U136" s="73"/>
      <c r="V136" s="73"/>
      <c r="W136" s="342"/>
      <c r="X136" s="140" t="s">
        <v>914</v>
      </c>
      <c r="Y136" s="181" t="e">
        <f>SUM(D136)/SUM(D$133:D$136)</f>
        <v>#DIV/0!</v>
      </c>
      <c r="Z136" s="181" t="e">
        <f t="shared" si="27"/>
        <v>#DIV/0!</v>
      </c>
      <c r="AA136" s="181" t="e">
        <f t="shared" si="27"/>
        <v>#DIV/0!</v>
      </c>
      <c r="AB136" s="181" t="e">
        <f t="shared" si="27"/>
        <v>#DIV/0!</v>
      </c>
      <c r="AC136" s="181" t="e">
        <f t="shared" si="27"/>
        <v>#DIV/0!</v>
      </c>
      <c r="AD136" s="181" t="e">
        <f t="shared" si="27"/>
        <v>#DIV/0!</v>
      </c>
      <c r="AE136" s="181" t="e">
        <f t="shared" si="27"/>
        <v>#DIV/0!</v>
      </c>
      <c r="AF136" s="181" t="e">
        <f t="shared" si="27"/>
        <v>#DIV/0!</v>
      </c>
      <c r="AG136" s="181" t="e">
        <f t="shared" si="27"/>
        <v>#DIV/0!</v>
      </c>
      <c r="AH136" s="181" t="e">
        <f t="shared" si="27"/>
        <v>#DIV/0!</v>
      </c>
      <c r="AI136" s="181" t="e">
        <f t="shared" si="27"/>
        <v>#DIV/0!</v>
      </c>
      <c r="AJ136" s="181" t="e">
        <f t="shared" si="27"/>
        <v>#DIV/0!</v>
      </c>
      <c r="AK136" s="181" t="e">
        <f t="shared" si="27"/>
        <v>#DIV/0!</v>
      </c>
      <c r="AL136" s="181" t="e">
        <f t="shared" si="27"/>
        <v>#DIV/0!</v>
      </c>
      <c r="AM136" s="181" t="e">
        <f t="shared" si="27"/>
        <v>#DIV/0!</v>
      </c>
      <c r="AN136" s="181" t="e">
        <f t="shared" si="27"/>
        <v>#DIV/0!</v>
      </c>
    </row>
    <row r="137" spans="2:40" x14ac:dyDescent="0.15">
      <c r="B137" s="340" t="s">
        <v>23</v>
      </c>
      <c r="C137" s="138" t="s">
        <v>911</v>
      </c>
      <c r="D137" s="104">
        <f>SUMIFS('caseload data'!E:E,'caseload data'!$D:$D,"PO",'caseload data'!$A:$A,'national caseload'!$B$137:$B$139,'caseload data'!$B:$B,"custody")</f>
        <v>0</v>
      </c>
      <c r="E137" s="104">
        <f>SUMIFS('caseload data'!F:F,'caseload data'!$D:$D,"PO",'caseload data'!$A:$A,'national caseload'!$B$137:$B$139,'caseload data'!$B:$B,"custody")</f>
        <v>0</v>
      </c>
      <c r="F137" s="104">
        <f>SUMIFS('caseload data'!G:G,'caseload data'!$D:$D,"PO",'caseload data'!$A:$A,'national caseload'!$B$137:$B$139,'caseload data'!$B:$B,"custody")</f>
        <v>0</v>
      </c>
      <c r="G137" s="104">
        <f>SUMIFS('caseload data'!H:H,'caseload data'!$D:$D,"PO",'caseload data'!$A:$A,'national caseload'!$B$137:$B$139,'caseload data'!$B:$B,"custody")</f>
        <v>0</v>
      </c>
      <c r="H137" s="104">
        <f>SUMIFS('caseload data'!I:I,'caseload data'!$D:$D,"PO",'caseload data'!$A:$A,'national caseload'!$B$137:$B$139,'caseload data'!$B:$B,"custody")</f>
        <v>0</v>
      </c>
      <c r="I137" s="104">
        <f>SUMIFS('caseload data'!J:J,'caseload data'!$D:$D,"PO",'caseload data'!$A:$A,'national caseload'!$B$137:$B$139,'caseload data'!$B:$B,"custody")</f>
        <v>0</v>
      </c>
      <c r="J137" s="104">
        <f>SUMIFS('caseload data'!K:K,'caseload data'!$D:$D,"PO",'caseload data'!$A:$A,'national caseload'!$B$137:$B$139,'caseload data'!$B:$B,"custody")</f>
        <v>0</v>
      </c>
      <c r="K137" s="104">
        <f>SUMIFS('caseload data'!L:L,'caseload data'!$D:$D,"PO",'caseload data'!$A:$A,'national caseload'!$B$137:$B$139,'caseload data'!$B:$B,"custody")</f>
        <v>0</v>
      </c>
      <c r="L137" s="104">
        <f>SUMIFS('caseload data'!M:M,'caseload data'!$D:$D,"PO",'caseload data'!$A:$A,'national caseload'!$B$137:$B$139,'caseload data'!$B:$B,"custody")</f>
        <v>0</v>
      </c>
      <c r="M137" s="104">
        <f>SUMIFS('caseload data'!N:N,'caseload data'!$D:$D,"PO",'caseload data'!$A:$A,'national caseload'!$B$137:$B$139,'caseload data'!$B:$B,"custody")</f>
        <v>0</v>
      </c>
      <c r="N137" s="104">
        <f>SUMIFS('caseload data'!O:O,'caseload data'!$D:$D,"PO",'caseload data'!$A:$A,'national caseload'!$B$137:$B$139,'caseload data'!$B:$B,"custody")</f>
        <v>0</v>
      </c>
      <c r="O137" s="104">
        <f>SUMIFS('caseload data'!P:P,'caseload data'!$D:$D,"PO",'caseload data'!$A:$A,'national caseload'!$B$137:$B$139,'caseload data'!$B:$B,"custody")</f>
        <v>0</v>
      </c>
      <c r="P137" s="104">
        <f>SUMIFS('caseload data'!Q:Q,'caseload data'!$D:$D,"PO",'caseload data'!$A:$A,'national caseload'!$B$137:$B$139,'caseload data'!$B:$B,"custody")</f>
        <v>0</v>
      </c>
      <c r="Q137" s="104">
        <f>SUMIFS('caseload data'!R:R,'caseload data'!$D:$D,"PO",'caseload data'!$A:$A,'national caseload'!$B$137:$B$139,'caseload data'!$B:$B,"custody")</f>
        <v>0</v>
      </c>
      <c r="R137" s="104">
        <f>SUMIFS('caseload data'!S:S,'caseload data'!$D:$D,"PO",'caseload data'!$A:$A,'national caseload'!$B$137:$B$139,'caseload data'!$B:$B,"custody")</f>
        <v>0</v>
      </c>
      <c r="S137" s="104">
        <f>SUMIFS('caseload data'!T:T,'caseload data'!$D:$D,"PO",'caseload data'!$A:$A,'national caseload'!$B$137:$B$139,'caseload data'!$B:$B,"custody")</f>
        <v>0</v>
      </c>
      <c r="T137" s="104">
        <f>SUMIFS('caseload data'!V:V,'caseload data'!D:D,"PO",'caseload data'!A:A,'national caseload'!B137:B139,'caseload data'!B:B,"custody")</f>
        <v>0</v>
      </c>
      <c r="U137" s="73"/>
      <c r="V137" s="73"/>
      <c r="W137" s="340" t="s">
        <v>23</v>
      </c>
      <c r="X137" s="138" t="s">
        <v>911</v>
      </c>
      <c r="Y137" s="181" t="e">
        <f>SUM(D137)/SUM(D$137:D$140)</f>
        <v>#DIV/0!</v>
      </c>
      <c r="Z137" s="181" t="e">
        <f t="shared" ref="Z137:AN140" si="28">SUM(E137)/SUM(E$137:E$140)</f>
        <v>#DIV/0!</v>
      </c>
      <c r="AA137" s="181" t="e">
        <f t="shared" si="28"/>
        <v>#DIV/0!</v>
      </c>
      <c r="AB137" s="181" t="e">
        <f t="shared" si="28"/>
        <v>#DIV/0!</v>
      </c>
      <c r="AC137" s="181" t="e">
        <f t="shared" si="28"/>
        <v>#DIV/0!</v>
      </c>
      <c r="AD137" s="181" t="e">
        <f t="shared" si="28"/>
        <v>#DIV/0!</v>
      </c>
      <c r="AE137" s="181" t="e">
        <f t="shared" si="28"/>
        <v>#DIV/0!</v>
      </c>
      <c r="AF137" s="181" t="e">
        <f t="shared" si="28"/>
        <v>#DIV/0!</v>
      </c>
      <c r="AG137" s="181" t="e">
        <f t="shared" si="28"/>
        <v>#DIV/0!</v>
      </c>
      <c r="AH137" s="181" t="e">
        <f t="shared" si="28"/>
        <v>#DIV/0!</v>
      </c>
      <c r="AI137" s="181" t="e">
        <f t="shared" si="28"/>
        <v>#DIV/0!</v>
      </c>
      <c r="AJ137" s="181" t="e">
        <f t="shared" si="28"/>
        <v>#DIV/0!</v>
      </c>
      <c r="AK137" s="181" t="e">
        <f t="shared" si="28"/>
        <v>#DIV/0!</v>
      </c>
      <c r="AL137" s="181" t="e">
        <f t="shared" si="28"/>
        <v>#DIV/0!</v>
      </c>
      <c r="AM137" s="181" t="e">
        <f t="shared" si="28"/>
        <v>#DIV/0!</v>
      </c>
      <c r="AN137" s="181" t="e">
        <f t="shared" si="28"/>
        <v>#DIV/0!</v>
      </c>
    </row>
    <row r="138" spans="2:40" x14ac:dyDescent="0.15">
      <c r="B138" s="341"/>
      <c r="C138" s="139" t="s">
        <v>912</v>
      </c>
      <c r="D138" s="104">
        <f>SUMIFS('caseload data'!E:E,'caseload data'!$D:$D,"PSO",'caseload data'!$A:$A,"Kent Surrey Sussex Region",'caseload data'!$B:$B,"custody")</f>
        <v>0</v>
      </c>
      <c r="E138" s="104">
        <f>SUMIFS('caseload data'!F:F,'caseload data'!$D:$D,"PSO",'caseload data'!$A:$A,"Kent Surrey Sussex Region",'caseload data'!$B:$B,"custody")</f>
        <v>0</v>
      </c>
      <c r="F138" s="104">
        <f>SUMIFS('caseload data'!G:G,'caseload data'!$D:$D,"PSO",'caseload data'!$A:$A,"Kent Surrey Sussex Region",'caseload data'!$B:$B,"custody")</f>
        <v>0</v>
      </c>
      <c r="G138" s="104">
        <f>SUMIFS('caseload data'!H:H,'caseload data'!$D:$D,"PSO",'caseload data'!$A:$A,"Kent Surrey Sussex Region",'caseload data'!$B:$B,"custody")</f>
        <v>0</v>
      </c>
      <c r="H138" s="104">
        <f>SUMIFS('caseload data'!I:I,'caseload data'!$D:$D,"PSO",'caseload data'!$A:$A,"Kent Surrey Sussex Region",'caseload data'!$B:$B,"custody")</f>
        <v>0</v>
      </c>
      <c r="I138" s="104">
        <f>SUMIFS('caseload data'!J:J,'caseload data'!$D:$D,"PSO",'caseload data'!$A:$A,"Kent Surrey Sussex Region",'caseload data'!$B:$B,"custody")</f>
        <v>0</v>
      </c>
      <c r="J138" s="104">
        <f>SUMIFS('caseload data'!K:K,'caseload data'!$D:$D,"PSO",'caseload data'!$A:$A,"Kent Surrey Sussex Region",'caseload data'!$B:$B,"custody")</f>
        <v>0</v>
      </c>
      <c r="K138" s="104">
        <f>SUMIFS('caseload data'!L:L,'caseload data'!$D:$D,"PSO",'caseload data'!$A:$A,"Kent Surrey Sussex Region",'caseload data'!$B:$B,"custody")</f>
        <v>0</v>
      </c>
      <c r="L138" s="104">
        <f>SUMIFS('caseload data'!M:M,'caseload data'!$D:$D,"PSO",'caseload data'!$A:$A,"Kent Surrey Sussex Region",'caseload data'!$B:$B,"custody")</f>
        <v>0</v>
      </c>
      <c r="M138" s="104">
        <f>SUMIFS('caseload data'!N:N,'caseload data'!$D:$D,"PSO",'caseload data'!$A:$A,"Kent Surrey Sussex Region",'caseload data'!$B:$B,"custody")</f>
        <v>0</v>
      </c>
      <c r="N138" s="104">
        <f>SUMIFS('caseload data'!O:O,'caseload data'!$D:$D,"PSO",'caseload data'!$A:$A,"Kent Surrey Sussex Region",'caseload data'!$B:$B,"custody")</f>
        <v>0</v>
      </c>
      <c r="O138" s="104">
        <f>SUMIFS('caseload data'!P:P,'caseload data'!$D:$D,"PSO",'caseload data'!$A:$A,"Kent Surrey Sussex Region",'caseload data'!$B:$B,"custody")</f>
        <v>0</v>
      </c>
      <c r="P138" s="104">
        <f>SUMIFS('caseload data'!Q:Q,'caseload data'!$D:$D,"PSO",'caseload data'!$A:$A,"Kent Surrey Sussex Region",'caseload data'!$B:$B,"custody")</f>
        <v>0</v>
      </c>
      <c r="Q138" s="104">
        <f>SUMIFS('caseload data'!R:R,'caseload data'!$D:$D,"PSO",'caseload data'!$A:$A,"Kent Surrey Sussex Region",'caseload data'!$B:$B,"custody")</f>
        <v>0</v>
      </c>
      <c r="R138" s="104">
        <f>SUMIFS('caseload data'!S:S,'caseload data'!$D:$D,"PSO",'caseload data'!$A:$A,"Kent Surrey Sussex Region",'caseload data'!$B:$B,"custody")</f>
        <v>0</v>
      </c>
      <c r="S138" s="104">
        <f>SUMIFS('caseload data'!T:T,'caseload data'!$D:$D,"PSO",'caseload data'!$A:$A,"Kent Surrey Sussex Region",'caseload data'!$B:$B,"custody")</f>
        <v>0</v>
      </c>
      <c r="T138" s="104">
        <f>SUMIFS('caseload data'!V:V,'caseload data'!D:D,"PSO",'caseload data'!A:A,"Kent Surrey Sussex Region",'caseload data'!B:B,"custody")</f>
        <v>0</v>
      </c>
      <c r="U138" s="73"/>
      <c r="V138" s="73"/>
      <c r="W138" s="341"/>
      <c r="X138" s="139" t="s">
        <v>912</v>
      </c>
      <c r="Y138" s="181" t="e">
        <f>SUM(D138)/SUM(D$137:D$140)</f>
        <v>#DIV/0!</v>
      </c>
      <c r="Z138" s="181" t="e">
        <f t="shared" si="28"/>
        <v>#DIV/0!</v>
      </c>
      <c r="AA138" s="181" t="e">
        <f t="shared" si="28"/>
        <v>#DIV/0!</v>
      </c>
      <c r="AB138" s="181" t="e">
        <f t="shared" si="28"/>
        <v>#DIV/0!</v>
      </c>
      <c r="AC138" s="181" t="e">
        <f t="shared" si="28"/>
        <v>#DIV/0!</v>
      </c>
      <c r="AD138" s="181" t="e">
        <f t="shared" si="28"/>
        <v>#DIV/0!</v>
      </c>
      <c r="AE138" s="181" t="e">
        <f t="shared" si="28"/>
        <v>#DIV/0!</v>
      </c>
      <c r="AF138" s="181" t="e">
        <f t="shared" si="28"/>
        <v>#DIV/0!</v>
      </c>
      <c r="AG138" s="181" t="e">
        <f t="shared" si="28"/>
        <v>#DIV/0!</v>
      </c>
      <c r="AH138" s="181" t="e">
        <f t="shared" si="28"/>
        <v>#DIV/0!</v>
      </c>
      <c r="AI138" s="181" t="e">
        <f t="shared" si="28"/>
        <v>#DIV/0!</v>
      </c>
      <c r="AJ138" s="181" t="e">
        <f t="shared" si="28"/>
        <v>#DIV/0!</v>
      </c>
      <c r="AK138" s="181" t="e">
        <f t="shared" si="28"/>
        <v>#DIV/0!</v>
      </c>
      <c r="AL138" s="181" t="e">
        <f t="shared" si="28"/>
        <v>#DIV/0!</v>
      </c>
      <c r="AM138" s="181" t="e">
        <f t="shared" si="28"/>
        <v>#DIV/0!</v>
      </c>
      <c r="AN138" s="181" t="e">
        <f t="shared" si="28"/>
        <v>#DIV/0!</v>
      </c>
    </row>
    <row r="139" spans="2:40" x14ac:dyDescent="0.15">
      <c r="B139" s="341"/>
      <c r="C139" s="139" t="s">
        <v>913</v>
      </c>
      <c r="D139" s="104">
        <f>SUMIFS('caseload data'!E:E,'caseload data'!$D:$D,"TPO",'caseload data'!$A:$A,"Kent Surrey Sussex Region",'caseload data'!$B:$B,"custody")</f>
        <v>0</v>
      </c>
      <c r="E139" s="104">
        <f>SUMIFS('caseload data'!F:F,'caseload data'!$D:$D,"TPO",'caseload data'!$A:$A,"Kent Surrey Sussex Region",'caseload data'!$B:$B,"custody")</f>
        <v>0</v>
      </c>
      <c r="F139" s="104">
        <f>SUMIFS('caseload data'!G:G,'caseload data'!$D:$D,"TPO",'caseload data'!$A:$A,"Kent Surrey Sussex Region",'caseload data'!$B:$B,"custody")</f>
        <v>0</v>
      </c>
      <c r="G139" s="104">
        <f>SUMIFS('caseload data'!H:H,'caseload data'!$D:$D,"TPO",'caseload data'!$A:$A,"Kent Surrey Sussex Region",'caseload data'!$B:$B,"custody")</f>
        <v>0</v>
      </c>
      <c r="H139" s="104">
        <f>SUMIFS('caseload data'!I:I,'caseload data'!$D:$D,"TPO",'caseload data'!$A:$A,"Kent Surrey Sussex Region",'caseload data'!$B:$B,"custody")</f>
        <v>0</v>
      </c>
      <c r="I139" s="104">
        <f>SUMIFS('caseload data'!J:J,'caseload data'!$D:$D,"TPO",'caseload data'!$A:$A,"Kent Surrey Sussex Region",'caseload data'!$B:$B,"custody")</f>
        <v>0</v>
      </c>
      <c r="J139" s="104">
        <f>SUMIFS('caseload data'!K:K,'caseload data'!$D:$D,"TPO",'caseload data'!$A:$A,"Kent Surrey Sussex Region",'caseload data'!$B:$B,"custody")</f>
        <v>0</v>
      </c>
      <c r="K139" s="104">
        <f>SUMIFS('caseload data'!L:L,'caseload data'!$D:$D,"TPO",'caseload data'!$A:$A,"Kent Surrey Sussex Region",'caseload data'!$B:$B,"custody")</f>
        <v>0</v>
      </c>
      <c r="L139" s="104">
        <f>SUMIFS('caseload data'!M:M,'caseload data'!$D:$D,"TPO",'caseload data'!$A:$A,"Kent Surrey Sussex Region",'caseload data'!$B:$B,"custody")</f>
        <v>0</v>
      </c>
      <c r="M139" s="104">
        <f>SUMIFS('caseload data'!N:N,'caseload data'!$D:$D,"TPO",'caseload data'!$A:$A,"Kent Surrey Sussex Region",'caseload data'!$B:$B,"custody")</f>
        <v>0</v>
      </c>
      <c r="N139" s="104">
        <f>SUMIFS('caseload data'!O:O,'caseload data'!$D:$D,"TPO",'caseload data'!$A:$A,"Kent Surrey Sussex Region",'caseload data'!$B:$B,"custody")</f>
        <v>0</v>
      </c>
      <c r="O139" s="104">
        <f>SUMIFS('caseload data'!P:P,'caseload data'!$D:$D,"TPO",'caseload data'!$A:$A,"Kent Surrey Sussex Region",'caseload data'!$B:$B,"custody")</f>
        <v>0</v>
      </c>
      <c r="P139" s="104">
        <f>SUMIFS('caseload data'!Q:Q,'caseload data'!$D:$D,"TPO",'caseload data'!$A:$A,"Kent Surrey Sussex Region",'caseload data'!$B:$B,"custody")</f>
        <v>0</v>
      </c>
      <c r="Q139" s="104">
        <f>SUMIFS('caseload data'!R:R,'caseload data'!$D:$D,"TPO",'caseload data'!$A:$A,"Kent Surrey Sussex Region",'caseload data'!$B:$B,"custody")</f>
        <v>0</v>
      </c>
      <c r="R139" s="104">
        <f>SUMIFS('caseload data'!S:S,'caseload data'!$D:$D,"TPO",'caseload data'!$A:$A,"Kent Surrey Sussex Region",'caseload data'!$B:$B,"custody")</f>
        <v>0</v>
      </c>
      <c r="S139" s="104">
        <f>SUMIFS('caseload data'!T:T,'caseload data'!$D:$D,"TPO",'caseload data'!$A:$A,"Kent Surrey Sussex Region",'caseload data'!$B:$B,"custody")</f>
        <v>0</v>
      </c>
      <c r="T139" s="104">
        <f>SUMIFS('caseload data'!V:V,'caseload data'!D:D,"TPO",'caseload data'!A:A,"Kent Surrey Sussex Region",'caseload data'!B:B,"custody")</f>
        <v>0</v>
      </c>
      <c r="U139" s="73"/>
      <c r="V139" s="73"/>
      <c r="W139" s="341"/>
      <c r="X139" s="139" t="s">
        <v>913</v>
      </c>
      <c r="Y139" s="181" t="e">
        <f>SUM(D139)/SUM(D$137:D$140)</f>
        <v>#DIV/0!</v>
      </c>
      <c r="Z139" s="181" t="e">
        <f t="shared" si="28"/>
        <v>#DIV/0!</v>
      </c>
      <c r="AA139" s="181" t="e">
        <f t="shared" si="28"/>
        <v>#DIV/0!</v>
      </c>
      <c r="AB139" s="181" t="e">
        <f t="shared" si="28"/>
        <v>#DIV/0!</v>
      </c>
      <c r="AC139" s="181" t="e">
        <f t="shared" si="28"/>
        <v>#DIV/0!</v>
      </c>
      <c r="AD139" s="181" t="e">
        <f t="shared" si="28"/>
        <v>#DIV/0!</v>
      </c>
      <c r="AE139" s="181" t="e">
        <f t="shared" si="28"/>
        <v>#DIV/0!</v>
      </c>
      <c r="AF139" s="181" t="e">
        <f t="shared" si="28"/>
        <v>#DIV/0!</v>
      </c>
      <c r="AG139" s="181" t="e">
        <f t="shared" si="28"/>
        <v>#DIV/0!</v>
      </c>
      <c r="AH139" s="181" t="e">
        <f t="shared" si="28"/>
        <v>#DIV/0!</v>
      </c>
      <c r="AI139" s="181" t="e">
        <f t="shared" si="28"/>
        <v>#DIV/0!</v>
      </c>
      <c r="AJ139" s="181" t="e">
        <f t="shared" si="28"/>
        <v>#DIV/0!</v>
      </c>
      <c r="AK139" s="181" t="e">
        <f t="shared" si="28"/>
        <v>#DIV/0!</v>
      </c>
      <c r="AL139" s="181" t="e">
        <f t="shared" si="28"/>
        <v>#DIV/0!</v>
      </c>
      <c r="AM139" s="181" t="e">
        <f t="shared" si="28"/>
        <v>#DIV/0!</v>
      </c>
      <c r="AN139" s="181" t="e">
        <f t="shared" si="28"/>
        <v>#DIV/0!</v>
      </c>
    </row>
    <row r="140" spans="2:40" x14ac:dyDescent="0.15">
      <c r="B140" s="342"/>
      <c r="C140" s="140" t="s">
        <v>914</v>
      </c>
      <c r="D140" s="104">
        <f>SUMIFS('caseload data'!E:E,'caseload data'!$D:$D,"SPO",'caseload data'!$A:$A,"Kent Surrey Sussex Region",'caseload data'!$B:$B,"custody")</f>
        <v>0</v>
      </c>
      <c r="E140" s="104">
        <f>SUMIFS('caseload data'!F:F,'caseload data'!$D:$D,"SPO",'caseload data'!$A:$A,"Kent Surrey Sussex Region",'caseload data'!$B:$B,"custody")</f>
        <v>0</v>
      </c>
      <c r="F140" s="104">
        <f>SUMIFS('caseload data'!G:G,'caseload data'!$D:$D,"SPO",'caseload data'!$A:$A,"Kent Surrey Sussex Region",'caseload data'!$B:$B,"custody")</f>
        <v>0</v>
      </c>
      <c r="G140" s="104">
        <f>SUMIFS('caseload data'!H:H,'caseload data'!$D:$D,"SPO",'caseload data'!$A:$A,"Kent Surrey Sussex Region",'caseload data'!$B:$B,"custody")</f>
        <v>0</v>
      </c>
      <c r="H140" s="104">
        <f>SUMIFS('caseload data'!I:I,'caseload data'!$D:$D,"SPO",'caseload data'!$A:$A,"Kent Surrey Sussex Region",'caseload data'!$B:$B,"custody")</f>
        <v>0</v>
      </c>
      <c r="I140" s="104">
        <f>SUMIFS('caseload data'!J:J,'caseload data'!$D:$D,"SPO",'caseload data'!$A:$A,"Kent Surrey Sussex Region",'caseload data'!$B:$B,"custody")</f>
        <v>0</v>
      </c>
      <c r="J140" s="104">
        <f>SUMIFS('caseload data'!K:K,'caseload data'!$D:$D,"SPO",'caseload data'!$A:$A,"Kent Surrey Sussex Region",'caseload data'!$B:$B,"custody")</f>
        <v>0</v>
      </c>
      <c r="K140" s="104">
        <f>SUMIFS('caseload data'!L:L,'caseload data'!$D:$D,"SPO",'caseload data'!$A:$A,"Kent Surrey Sussex Region",'caseload data'!$B:$B,"custody")</f>
        <v>0</v>
      </c>
      <c r="L140" s="104">
        <f>SUMIFS('caseload data'!M:M,'caseload data'!$D:$D,"SPO",'caseload data'!$A:$A,"Kent Surrey Sussex Region",'caseload data'!$B:$B,"custody")</f>
        <v>0</v>
      </c>
      <c r="M140" s="104">
        <f>SUMIFS('caseload data'!N:N,'caseload data'!$D:$D,"SPO",'caseload data'!$A:$A,"Kent Surrey Sussex Region",'caseload data'!$B:$B,"custody")</f>
        <v>0</v>
      </c>
      <c r="N140" s="104">
        <f>SUMIFS('caseload data'!O:O,'caseload data'!$D:$D,"SPO",'caseload data'!$A:$A,"Kent Surrey Sussex Region",'caseload data'!$B:$B,"custody")</f>
        <v>0</v>
      </c>
      <c r="O140" s="104">
        <f>SUMIFS('caseload data'!P:P,'caseload data'!$D:$D,"SPO",'caseload data'!$A:$A,"Kent Surrey Sussex Region",'caseload data'!$B:$B,"custody")</f>
        <v>0</v>
      </c>
      <c r="P140" s="104">
        <f>SUMIFS('caseload data'!Q:Q,'caseload data'!$D:$D,"SPO",'caseload data'!$A:$A,"Kent Surrey Sussex Region",'caseload data'!$B:$B,"custody")</f>
        <v>0</v>
      </c>
      <c r="Q140" s="104">
        <f>SUMIFS('caseload data'!R:R,'caseload data'!$D:$D,"SPO",'caseload data'!$A:$A,"Kent Surrey Sussex Region",'caseload data'!$B:$B,"custody")</f>
        <v>0</v>
      </c>
      <c r="R140" s="104">
        <f>SUMIFS('caseload data'!S:S,'caseload data'!$D:$D,"SPO",'caseload data'!$A:$A,"Kent Surrey Sussex Region",'caseload data'!$B:$B,"custody")</f>
        <v>0</v>
      </c>
      <c r="S140" s="104">
        <f>SUMIFS('caseload data'!T:T,'caseload data'!$D:$D,"SPO",'caseload data'!$A:$A,"Kent Surrey Sussex Region",'caseload data'!$B:$B,"custody")</f>
        <v>0</v>
      </c>
      <c r="T140" s="104">
        <f>SUMIFS('caseload data'!V:V,'caseload data'!$D:$D,"SPO",'caseload data'!$A:$A,"Kent Surrey Sussex Region",'caseload data'!$B:$B,"custody")</f>
        <v>0</v>
      </c>
      <c r="U140" s="73"/>
      <c r="V140" s="73"/>
      <c r="W140" s="342"/>
      <c r="X140" s="140" t="s">
        <v>914</v>
      </c>
      <c r="Y140" s="181" t="e">
        <f>SUM(D140)/SUM(D$137:D$140)</f>
        <v>#DIV/0!</v>
      </c>
      <c r="Z140" s="181" t="e">
        <f t="shared" si="28"/>
        <v>#DIV/0!</v>
      </c>
      <c r="AA140" s="181" t="e">
        <f t="shared" si="28"/>
        <v>#DIV/0!</v>
      </c>
      <c r="AB140" s="181" t="e">
        <f t="shared" si="28"/>
        <v>#DIV/0!</v>
      </c>
      <c r="AC140" s="181" t="e">
        <f t="shared" si="28"/>
        <v>#DIV/0!</v>
      </c>
      <c r="AD140" s="181" t="e">
        <f t="shared" si="28"/>
        <v>#DIV/0!</v>
      </c>
      <c r="AE140" s="181" t="e">
        <f t="shared" si="28"/>
        <v>#DIV/0!</v>
      </c>
      <c r="AF140" s="181" t="e">
        <f t="shared" si="28"/>
        <v>#DIV/0!</v>
      </c>
      <c r="AG140" s="181" t="e">
        <f t="shared" si="28"/>
        <v>#DIV/0!</v>
      </c>
      <c r="AH140" s="181" t="e">
        <f t="shared" si="28"/>
        <v>#DIV/0!</v>
      </c>
      <c r="AI140" s="181" t="e">
        <f t="shared" si="28"/>
        <v>#DIV/0!</v>
      </c>
      <c r="AJ140" s="181" t="e">
        <f t="shared" si="28"/>
        <v>#DIV/0!</v>
      </c>
      <c r="AK140" s="181" t="e">
        <f t="shared" si="28"/>
        <v>#DIV/0!</v>
      </c>
      <c r="AL140" s="181" t="e">
        <f t="shared" si="28"/>
        <v>#DIV/0!</v>
      </c>
      <c r="AM140" s="181" t="e">
        <f t="shared" si="28"/>
        <v>#DIV/0!</v>
      </c>
      <c r="AN140" s="181" t="e">
        <f t="shared" si="28"/>
        <v>#DIV/0!</v>
      </c>
    </row>
    <row r="141" spans="2:40" x14ac:dyDescent="0.15">
      <c r="B141" s="340" t="s">
        <v>24</v>
      </c>
      <c r="C141" s="138" t="s">
        <v>911</v>
      </c>
      <c r="D141" s="104">
        <f>SUMIFS('caseload data'!E:E,'caseload data'!$D:$D,"PO",'caseload data'!$A:$A,$B$141,'caseload data'!$B:$B,"custody")</f>
        <v>0</v>
      </c>
      <c r="E141" s="104">
        <f>SUMIFS('caseload data'!F:F,'caseload data'!$D:$D,"PO",'caseload data'!$A:$A,$B$141,'caseload data'!$B:$B,"custody")</f>
        <v>0</v>
      </c>
      <c r="F141" s="104">
        <f>SUMIFS('caseload data'!G:G,'caseload data'!$D:$D,"PO",'caseload data'!$A:$A,$B$141,'caseload data'!$B:$B,"custody")</f>
        <v>0</v>
      </c>
      <c r="G141" s="104">
        <f>SUMIFS('caseload data'!H:H,'caseload data'!$D:$D,"PO",'caseload data'!$A:$A,$B$141,'caseload data'!$B:$B,"custody")</f>
        <v>0</v>
      </c>
      <c r="H141" s="104">
        <f>SUMIFS('caseload data'!I:I,'caseload data'!$D:$D,"PO",'caseload data'!$A:$A,$B$141,'caseload data'!$B:$B,"custody")</f>
        <v>0</v>
      </c>
      <c r="I141" s="104">
        <f>SUMIFS('caseload data'!J:J,'caseload data'!$D:$D,"PO",'caseload data'!$A:$A,$B$141,'caseload data'!$B:$B,"custody")</f>
        <v>0</v>
      </c>
      <c r="J141" s="104">
        <f>SUMIFS('caseload data'!K:K,'caseload data'!$D:$D,"PO",'caseload data'!$A:$A,$B$141,'caseload data'!$B:$B,"custody")</f>
        <v>0</v>
      </c>
      <c r="K141" s="104">
        <f>SUMIFS('caseload data'!L:L,'caseload data'!$D:$D,"PO",'caseload data'!$A:$A,$B$141,'caseload data'!$B:$B,"custody")</f>
        <v>0</v>
      </c>
      <c r="L141" s="104">
        <f>SUMIFS('caseload data'!M:M,'caseload data'!$D:$D,"PO",'caseload data'!$A:$A,$B$141,'caseload data'!$B:$B,"custody")</f>
        <v>0</v>
      </c>
      <c r="M141" s="104">
        <f>SUMIFS('caseload data'!N:N,'caseload data'!$D:$D,"PO",'caseload data'!$A:$A,$B$141,'caseload data'!$B:$B,"custody")</f>
        <v>0</v>
      </c>
      <c r="N141" s="104">
        <f>SUMIFS('caseload data'!O:O,'caseload data'!$D:$D,"PO",'caseload data'!$A:$A,$B$141,'caseload data'!$B:$B,"custody")</f>
        <v>0</v>
      </c>
      <c r="O141" s="104">
        <f>SUMIFS('caseload data'!P:P,'caseload data'!$D:$D,"PO",'caseload data'!$A:$A,$B$141,'caseload data'!$B:$B,"custody")</f>
        <v>0</v>
      </c>
      <c r="P141" s="104">
        <f>SUMIFS('caseload data'!Q:Q,'caseload data'!$D:$D,"PO",'caseload data'!$A:$A,$B$141,'caseload data'!$B:$B,"custody")</f>
        <v>0</v>
      </c>
      <c r="Q141" s="104">
        <f>SUMIFS('caseload data'!R:R,'caseload data'!$D:$D,"PO",'caseload data'!$A:$A,$B$141,'caseload data'!$B:$B,"custody")</f>
        <v>0</v>
      </c>
      <c r="R141" s="104">
        <f>SUMIFS('caseload data'!S:S,'caseload data'!$D:$D,"PO",'caseload data'!$A:$A,$B$141,'caseload data'!$B:$B,"custody")</f>
        <v>0</v>
      </c>
      <c r="S141" s="104">
        <f>SUMIFS('caseload data'!T:T,'caseload data'!$D:$D,"PO",'caseload data'!$A:$A,$B$141,'caseload data'!$B:$B,"custody")</f>
        <v>0</v>
      </c>
      <c r="T141" s="104">
        <f>SUMIFS('caseload data'!V:V,'caseload data'!D:D,"PO",'caseload data'!A:A,B141,'caseload data'!B:B,"custody")</f>
        <v>0</v>
      </c>
      <c r="U141" s="73"/>
      <c r="V141" s="73"/>
      <c r="W141" s="340" t="s">
        <v>24</v>
      </c>
      <c r="X141" s="138" t="s">
        <v>911</v>
      </c>
      <c r="Y141" s="181" t="e">
        <f>SUM(D141)/SUM(D$141:D$144)</f>
        <v>#DIV/0!</v>
      </c>
      <c r="Z141" s="181" t="e">
        <f t="shared" ref="Z141:AN144" si="29">SUM(E141)/SUM(E$141:E$144)</f>
        <v>#DIV/0!</v>
      </c>
      <c r="AA141" s="181" t="e">
        <f t="shared" si="29"/>
        <v>#DIV/0!</v>
      </c>
      <c r="AB141" s="181" t="e">
        <f t="shared" si="29"/>
        <v>#DIV/0!</v>
      </c>
      <c r="AC141" s="181" t="e">
        <f t="shared" si="29"/>
        <v>#DIV/0!</v>
      </c>
      <c r="AD141" s="181" t="e">
        <f t="shared" si="29"/>
        <v>#DIV/0!</v>
      </c>
      <c r="AE141" s="181" t="e">
        <f t="shared" si="29"/>
        <v>#DIV/0!</v>
      </c>
      <c r="AF141" s="181" t="e">
        <f t="shared" si="29"/>
        <v>#DIV/0!</v>
      </c>
      <c r="AG141" s="181" t="e">
        <f t="shared" si="29"/>
        <v>#DIV/0!</v>
      </c>
      <c r="AH141" s="181" t="e">
        <f t="shared" si="29"/>
        <v>#DIV/0!</v>
      </c>
      <c r="AI141" s="181" t="e">
        <f t="shared" si="29"/>
        <v>#DIV/0!</v>
      </c>
      <c r="AJ141" s="181" t="e">
        <f t="shared" si="29"/>
        <v>#DIV/0!</v>
      </c>
      <c r="AK141" s="181" t="e">
        <f t="shared" si="29"/>
        <v>#DIV/0!</v>
      </c>
      <c r="AL141" s="181" t="e">
        <f t="shared" si="29"/>
        <v>#DIV/0!</v>
      </c>
      <c r="AM141" s="181" t="e">
        <f t="shared" si="29"/>
        <v>#DIV/0!</v>
      </c>
      <c r="AN141" s="181" t="e">
        <f t="shared" si="29"/>
        <v>#DIV/0!</v>
      </c>
    </row>
    <row r="142" spans="2:40" x14ac:dyDescent="0.15">
      <c r="B142" s="341"/>
      <c r="C142" s="139" t="s">
        <v>912</v>
      </c>
      <c r="D142" s="104">
        <f>SUMIFS('caseload data'!E:E,'caseload data'!$D:$D,"PSO",'caseload data'!$A:$A,"London",'caseload data'!$B:$B,"custody")</f>
        <v>0</v>
      </c>
      <c r="E142" s="104">
        <f>SUMIFS('caseload data'!F:F,'caseload data'!$D:$D,"PSO",'caseload data'!$A:$A,"London",'caseload data'!$B:$B,"custody")</f>
        <v>0</v>
      </c>
      <c r="F142" s="104">
        <f>SUMIFS('caseload data'!G:G,'caseload data'!$D:$D,"PSO",'caseload data'!$A:$A,"London",'caseload data'!$B:$B,"custody")</f>
        <v>0</v>
      </c>
      <c r="G142" s="104">
        <f>SUMIFS('caseload data'!H:H,'caseload data'!$D:$D,"PSO",'caseload data'!$A:$A,"London",'caseload data'!$B:$B,"custody")</f>
        <v>0</v>
      </c>
      <c r="H142" s="104">
        <f>SUMIFS('caseload data'!I:I,'caseload data'!$D:$D,"PSO",'caseload data'!$A:$A,"London",'caseload data'!$B:$B,"custody")</f>
        <v>0</v>
      </c>
      <c r="I142" s="104">
        <f>SUMIFS('caseload data'!J:J,'caseload data'!$D:$D,"PSO",'caseload data'!$A:$A,"London",'caseload data'!$B:$B,"custody")</f>
        <v>0</v>
      </c>
      <c r="J142" s="104">
        <f>SUMIFS('caseload data'!K:K,'caseload data'!$D:$D,"PSO",'caseload data'!$A:$A,"London",'caseload data'!$B:$B,"custody")</f>
        <v>0</v>
      </c>
      <c r="K142" s="104">
        <f>SUMIFS('caseload data'!L:L,'caseload data'!$D:$D,"PSO",'caseload data'!$A:$A,"London",'caseload data'!$B:$B,"custody")</f>
        <v>0</v>
      </c>
      <c r="L142" s="104">
        <f>SUMIFS('caseload data'!M:M,'caseload data'!$D:$D,"PSO",'caseload data'!$A:$A,"London",'caseload data'!$B:$B,"custody")</f>
        <v>0</v>
      </c>
      <c r="M142" s="104">
        <f>SUMIFS('caseload data'!N:N,'caseload data'!$D:$D,"PSO",'caseload data'!$A:$A,"London",'caseload data'!$B:$B,"custody")</f>
        <v>0</v>
      </c>
      <c r="N142" s="104">
        <f>SUMIFS('caseload data'!O:O,'caseload data'!$D:$D,"PSO",'caseload data'!$A:$A,"London",'caseload data'!$B:$B,"custody")</f>
        <v>0</v>
      </c>
      <c r="O142" s="104">
        <f>SUMIFS('caseload data'!P:P,'caseload data'!$D:$D,"PSO",'caseload data'!$A:$A,"London",'caseload data'!$B:$B,"custody")</f>
        <v>0</v>
      </c>
      <c r="P142" s="104">
        <f>SUMIFS('caseload data'!Q:Q,'caseload data'!$D:$D,"PSO",'caseload data'!$A:$A,"London",'caseload data'!$B:$B,"custody")</f>
        <v>0</v>
      </c>
      <c r="Q142" s="104">
        <f>SUMIFS('caseload data'!R:R,'caseload data'!$D:$D,"PSO",'caseload data'!$A:$A,"London",'caseload data'!$B:$B,"custody")</f>
        <v>0</v>
      </c>
      <c r="R142" s="104">
        <f>SUMIFS('caseload data'!S:S,'caseload data'!$D:$D,"PSO",'caseload data'!$A:$A,"London",'caseload data'!$B:$B,"custody")</f>
        <v>0</v>
      </c>
      <c r="S142" s="104">
        <f>SUMIFS('caseload data'!T:T,'caseload data'!$D:$D,"PSO",'caseload data'!$A:$A,"London",'caseload data'!$B:$B,"custody")</f>
        <v>0</v>
      </c>
      <c r="T142" s="104">
        <f>SUMIFS('caseload data'!V:V,'caseload data'!D:D,"PSO",'caseload data'!A:A,"London",'caseload data'!B:B,"custody")</f>
        <v>0</v>
      </c>
      <c r="U142" s="73"/>
      <c r="V142" s="73"/>
      <c r="W142" s="341"/>
      <c r="X142" s="139" t="s">
        <v>912</v>
      </c>
      <c r="Y142" s="181" t="e">
        <f>SUM(D142)/SUM(D$141:D$144)</f>
        <v>#DIV/0!</v>
      </c>
      <c r="Z142" s="181" t="e">
        <f t="shared" si="29"/>
        <v>#DIV/0!</v>
      </c>
      <c r="AA142" s="181" t="e">
        <f t="shared" si="29"/>
        <v>#DIV/0!</v>
      </c>
      <c r="AB142" s="181" t="e">
        <f t="shared" si="29"/>
        <v>#DIV/0!</v>
      </c>
      <c r="AC142" s="181" t="e">
        <f t="shared" si="29"/>
        <v>#DIV/0!</v>
      </c>
      <c r="AD142" s="181" t="e">
        <f t="shared" si="29"/>
        <v>#DIV/0!</v>
      </c>
      <c r="AE142" s="181" t="e">
        <f t="shared" si="29"/>
        <v>#DIV/0!</v>
      </c>
      <c r="AF142" s="181" t="e">
        <f t="shared" si="29"/>
        <v>#DIV/0!</v>
      </c>
      <c r="AG142" s="181" t="e">
        <f t="shared" si="29"/>
        <v>#DIV/0!</v>
      </c>
      <c r="AH142" s="181" t="e">
        <f t="shared" si="29"/>
        <v>#DIV/0!</v>
      </c>
      <c r="AI142" s="181" t="e">
        <f t="shared" si="29"/>
        <v>#DIV/0!</v>
      </c>
      <c r="AJ142" s="181" t="e">
        <f t="shared" si="29"/>
        <v>#DIV/0!</v>
      </c>
      <c r="AK142" s="181" t="e">
        <f t="shared" si="29"/>
        <v>#DIV/0!</v>
      </c>
      <c r="AL142" s="181" t="e">
        <f t="shared" si="29"/>
        <v>#DIV/0!</v>
      </c>
      <c r="AM142" s="181" t="e">
        <f t="shared" si="29"/>
        <v>#DIV/0!</v>
      </c>
      <c r="AN142" s="181" t="e">
        <f t="shared" si="29"/>
        <v>#DIV/0!</v>
      </c>
    </row>
    <row r="143" spans="2:40" x14ac:dyDescent="0.15">
      <c r="B143" s="341"/>
      <c r="C143" s="139" t="s">
        <v>913</v>
      </c>
      <c r="D143" s="104">
        <f>SUMIFS('caseload data'!E:E,'caseload data'!$D:$D,"TPO",'caseload data'!$A:$A,"London",'caseload data'!$B:$B,"custody")</f>
        <v>0</v>
      </c>
      <c r="E143" s="104">
        <f>SUMIFS('caseload data'!F:F,'caseload data'!$D:$D,"TPO",'caseload data'!$A:$A,"London",'caseload data'!$B:$B,"custody")</f>
        <v>0</v>
      </c>
      <c r="F143" s="104">
        <f>SUMIFS('caseload data'!G:G,'caseload data'!$D:$D,"TPO",'caseload data'!$A:$A,"London",'caseload data'!$B:$B,"custody")</f>
        <v>0</v>
      </c>
      <c r="G143" s="104">
        <f>SUMIFS('caseload data'!H:H,'caseload data'!$D:$D,"TPO",'caseload data'!$A:$A,"London",'caseload data'!$B:$B,"custody")</f>
        <v>0</v>
      </c>
      <c r="H143" s="104">
        <f>SUMIFS('caseload data'!I:I,'caseload data'!$D:$D,"TPO",'caseload data'!$A:$A,"London",'caseload data'!$B:$B,"custody")</f>
        <v>0</v>
      </c>
      <c r="I143" s="104">
        <f>SUMIFS('caseload data'!J:J,'caseload data'!$D:$D,"TPO",'caseload data'!$A:$A,"London",'caseload data'!$B:$B,"custody")</f>
        <v>0</v>
      </c>
      <c r="J143" s="104">
        <f>SUMIFS('caseload data'!K:K,'caseload data'!$D:$D,"TPO",'caseload data'!$A:$A,"London",'caseload data'!$B:$B,"custody")</f>
        <v>0</v>
      </c>
      <c r="K143" s="104">
        <f>SUMIFS('caseload data'!L:L,'caseload data'!$D:$D,"TPO",'caseload data'!$A:$A,"London",'caseload data'!$B:$B,"custody")</f>
        <v>0</v>
      </c>
      <c r="L143" s="104">
        <f>SUMIFS('caseload data'!M:M,'caseload data'!$D:$D,"TPO",'caseload data'!$A:$A,"London",'caseload data'!$B:$B,"custody")</f>
        <v>0</v>
      </c>
      <c r="M143" s="104">
        <f>SUMIFS('caseload data'!N:N,'caseload data'!$D:$D,"TPO",'caseload data'!$A:$A,"London",'caseload data'!$B:$B,"custody")</f>
        <v>0</v>
      </c>
      <c r="N143" s="104">
        <f>SUMIFS('caseload data'!O:O,'caseload data'!$D:$D,"TPO",'caseload data'!$A:$A,"London",'caseload data'!$B:$B,"custody")</f>
        <v>0</v>
      </c>
      <c r="O143" s="104">
        <f>SUMIFS('caseload data'!P:P,'caseload data'!$D:$D,"TPO",'caseload data'!$A:$A,"London",'caseload data'!$B:$B,"custody")</f>
        <v>0</v>
      </c>
      <c r="P143" s="104">
        <f>SUMIFS('caseload data'!Q:Q,'caseload data'!$D:$D,"TPO",'caseload data'!$A:$A,"London",'caseload data'!$B:$B,"custody")</f>
        <v>0</v>
      </c>
      <c r="Q143" s="104">
        <f>SUMIFS('caseload data'!R:R,'caseload data'!$D:$D,"TPO",'caseload data'!$A:$A,"London",'caseload data'!$B:$B,"custody")</f>
        <v>0</v>
      </c>
      <c r="R143" s="104">
        <f>SUMIFS('caseload data'!S:S,'caseload data'!$D:$D,"TPO",'caseload data'!$A:$A,"London",'caseload data'!$B:$B,"custody")</f>
        <v>0</v>
      </c>
      <c r="S143" s="104">
        <f>SUMIFS('caseload data'!T:T,'caseload data'!$D:$D,"TPO",'caseload data'!$A:$A,"London",'caseload data'!$B:$B,"custody")</f>
        <v>0</v>
      </c>
      <c r="T143" s="104">
        <f>SUMIFS('caseload data'!V:V,'caseload data'!D:D,"TPO",'caseload data'!A:A,"London",'caseload data'!B:B,"custody")</f>
        <v>0</v>
      </c>
      <c r="U143" s="73"/>
      <c r="V143" s="73"/>
      <c r="W143" s="341"/>
      <c r="X143" s="139" t="s">
        <v>913</v>
      </c>
      <c r="Y143" s="181" t="e">
        <f>SUM(D143)/SUM(D$141:D$144)</f>
        <v>#DIV/0!</v>
      </c>
      <c r="Z143" s="181" t="e">
        <f t="shared" si="29"/>
        <v>#DIV/0!</v>
      </c>
      <c r="AA143" s="181" t="e">
        <f t="shared" si="29"/>
        <v>#DIV/0!</v>
      </c>
      <c r="AB143" s="181" t="e">
        <f t="shared" si="29"/>
        <v>#DIV/0!</v>
      </c>
      <c r="AC143" s="181" t="e">
        <f t="shared" si="29"/>
        <v>#DIV/0!</v>
      </c>
      <c r="AD143" s="181" t="e">
        <f t="shared" si="29"/>
        <v>#DIV/0!</v>
      </c>
      <c r="AE143" s="181" t="e">
        <f t="shared" si="29"/>
        <v>#DIV/0!</v>
      </c>
      <c r="AF143" s="181" t="e">
        <f t="shared" si="29"/>
        <v>#DIV/0!</v>
      </c>
      <c r="AG143" s="181" t="e">
        <f t="shared" si="29"/>
        <v>#DIV/0!</v>
      </c>
      <c r="AH143" s="181" t="e">
        <f t="shared" si="29"/>
        <v>#DIV/0!</v>
      </c>
      <c r="AI143" s="181" t="e">
        <f t="shared" si="29"/>
        <v>#DIV/0!</v>
      </c>
      <c r="AJ143" s="181" t="e">
        <f t="shared" si="29"/>
        <v>#DIV/0!</v>
      </c>
      <c r="AK143" s="181" t="e">
        <f t="shared" si="29"/>
        <v>#DIV/0!</v>
      </c>
      <c r="AL143" s="181" t="e">
        <f t="shared" si="29"/>
        <v>#DIV/0!</v>
      </c>
      <c r="AM143" s="181" t="e">
        <f t="shared" si="29"/>
        <v>#DIV/0!</v>
      </c>
      <c r="AN143" s="181" t="e">
        <f t="shared" si="29"/>
        <v>#DIV/0!</v>
      </c>
    </row>
    <row r="144" spans="2:40" x14ac:dyDescent="0.15">
      <c r="B144" s="342"/>
      <c r="C144" s="140" t="s">
        <v>914</v>
      </c>
      <c r="D144" s="104">
        <f>SUMIFS('caseload data'!E:E,'caseload data'!$D:$D,"SPO",'caseload data'!$A:$A,"London",'caseload data'!$B:$B,"custody")</f>
        <v>0</v>
      </c>
      <c r="E144" s="104">
        <f>SUMIFS('caseload data'!F:F,'caseload data'!$D:$D,"SPO",'caseload data'!$A:$A,"London",'caseload data'!$B:$B,"custody")</f>
        <v>0</v>
      </c>
      <c r="F144" s="104">
        <f>SUMIFS('caseload data'!G:G,'caseload data'!$D:$D,"SPO",'caseload data'!$A:$A,"London",'caseload data'!$B:$B,"custody")</f>
        <v>0</v>
      </c>
      <c r="G144" s="104">
        <f>SUMIFS('caseload data'!H:H,'caseload data'!$D:$D,"SPO",'caseload data'!$A:$A,"London",'caseload data'!$B:$B,"custody")</f>
        <v>0</v>
      </c>
      <c r="H144" s="104">
        <f>SUMIFS('caseload data'!I:I,'caseload data'!$D:$D,"SPO",'caseload data'!$A:$A,"London",'caseload data'!$B:$B,"custody")</f>
        <v>0</v>
      </c>
      <c r="I144" s="104">
        <f>SUMIFS('caseload data'!J:J,'caseload data'!$D:$D,"SPO",'caseload data'!$A:$A,"London",'caseload data'!$B:$B,"custody")</f>
        <v>0</v>
      </c>
      <c r="J144" s="104">
        <f>SUMIFS('caseload data'!K:K,'caseload data'!$D:$D,"SPO",'caseload data'!$A:$A,"London",'caseload data'!$B:$B,"custody")</f>
        <v>0</v>
      </c>
      <c r="K144" s="104">
        <f>SUMIFS('caseload data'!L:L,'caseload data'!$D:$D,"SPO",'caseload data'!$A:$A,"London",'caseload data'!$B:$B,"custody")</f>
        <v>0</v>
      </c>
      <c r="L144" s="104">
        <f>SUMIFS('caseload data'!M:M,'caseload data'!$D:$D,"SPO",'caseload data'!$A:$A,"London",'caseload data'!$B:$B,"custody")</f>
        <v>0</v>
      </c>
      <c r="M144" s="104">
        <f>SUMIFS('caseload data'!N:N,'caseload data'!$D:$D,"SPO",'caseload data'!$A:$A,"London",'caseload data'!$B:$B,"custody")</f>
        <v>0</v>
      </c>
      <c r="N144" s="104">
        <f>SUMIFS('caseload data'!O:O,'caseload data'!$D:$D,"SPO",'caseload data'!$A:$A,"London",'caseload data'!$B:$B,"custody")</f>
        <v>0</v>
      </c>
      <c r="O144" s="104">
        <f>SUMIFS('caseload data'!P:P,'caseload data'!$D:$D,"SPO",'caseload data'!$A:$A,"London",'caseload data'!$B:$B,"custody")</f>
        <v>0</v>
      </c>
      <c r="P144" s="104">
        <f>SUMIFS('caseload data'!Q:Q,'caseload data'!$D:$D,"SPO",'caseload data'!$A:$A,"London",'caseload data'!$B:$B,"custody")</f>
        <v>0</v>
      </c>
      <c r="Q144" s="104">
        <f>SUMIFS('caseload data'!R:R,'caseload data'!$D:$D,"SPO",'caseload data'!$A:$A,"London",'caseload data'!$B:$B,"custody")</f>
        <v>0</v>
      </c>
      <c r="R144" s="104">
        <f>SUMIFS('caseload data'!S:S,'caseload data'!$D:$D,"SPO",'caseload data'!$A:$A,"London",'caseload data'!$B:$B,"custody")</f>
        <v>0</v>
      </c>
      <c r="S144" s="104">
        <f>SUMIFS('caseload data'!T:T,'caseload data'!$D:$D,"SPO",'caseload data'!$A:$A,"London",'caseload data'!$B:$B,"custody")</f>
        <v>0</v>
      </c>
      <c r="T144" s="104">
        <f>SUMIFS('caseload data'!V:V,'caseload data'!$D:$D,"SPO",'caseload data'!$A:$A,"London",'caseload data'!$B:$B,"custody")</f>
        <v>0</v>
      </c>
      <c r="U144" s="73"/>
      <c r="V144" s="73"/>
      <c r="W144" s="342"/>
      <c r="X144" s="140" t="s">
        <v>914</v>
      </c>
      <c r="Y144" s="181" t="e">
        <f>SUM(D144)/SUM(D$141:D$144)</f>
        <v>#DIV/0!</v>
      </c>
      <c r="Z144" s="181" t="e">
        <f t="shared" si="29"/>
        <v>#DIV/0!</v>
      </c>
      <c r="AA144" s="181" t="e">
        <f t="shared" si="29"/>
        <v>#DIV/0!</v>
      </c>
      <c r="AB144" s="181" t="e">
        <f t="shared" si="29"/>
        <v>#DIV/0!</v>
      </c>
      <c r="AC144" s="181" t="e">
        <f t="shared" si="29"/>
        <v>#DIV/0!</v>
      </c>
      <c r="AD144" s="181" t="e">
        <f t="shared" si="29"/>
        <v>#DIV/0!</v>
      </c>
      <c r="AE144" s="181" t="e">
        <f t="shared" si="29"/>
        <v>#DIV/0!</v>
      </c>
      <c r="AF144" s="181" t="e">
        <f t="shared" si="29"/>
        <v>#DIV/0!</v>
      </c>
      <c r="AG144" s="181" t="e">
        <f t="shared" si="29"/>
        <v>#DIV/0!</v>
      </c>
      <c r="AH144" s="181" t="e">
        <f t="shared" si="29"/>
        <v>#DIV/0!</v>
      </c>
      <c r="AI144" s="181" t="e">
        <f t="shared" si="29"/>
        <v>#DIV/0!</v>
      </c>
      <c r="AJ144" s="181" t="e">
        <f t="shared" si="29"/>
        <v>#DIV/0!</v>
      </c>
      <c r="AK144" s="181" t="e">
        <f t="shared" si="29"/>
        <v>#DIV/0!</v>
      </c>
      <c r="AL144" s="181" t="e">
        <f t="shared" si="29"/>
        <v>#DIV/0!</v>
      </c>
      <c r="AM144" s="181" t="e">
        <f t="shared" si="29"/>
        <v>#DIV/0!</v>
      </c>
      <c r="AN144" s="181" t="e">
        <f t="shared" si="29"/>
        <v>#DIV/0!</v>
      </c>
    </row>
    <row r="145" spans="2:40" x14ac:dyDescent="0.15">
      <c r="B145" s="337" t="s">
        <v>25</v>
      </c>
      <c r="C145" s="138" t="s">
        <v>911</v>
      </c>
      <c r="D145" s="104">
        <f>SUMIFS('caseload data'!E:E,'caseload data'!$D:$D,"PO",'caseload data'!$A:$A,'national caseload'!$B$145:$B$147,'caseload data'!$B:$B,"custody")</f>
        <v>0</v>
      </c>
      <c r="E145" s="104">
        <f>SUMIFS('caseload data'!F:F,'caseload data'!$D:$D,"PO",'caseload data'!$A:$A,'national caseload'!$B$145:$B$147,'caseload data'!$B:$B,"custody")</f>
        <v>0</v>
      </c>
      <c r="F145" s="104">
        <f>SUMIFS('caseload data'!G:G,'caseload data'!$D:$D,"PO",'caseload data'!$A:$A,'national caseload'!$B$145:$B$147,'caseload data'!$B:$B,"custody")</f>
        <v>0</v>
      </c>
      <c r="G145" s="104">
        <f>SUMIFS('caseload data'!H:H,'caseload data'!$D:$D,"PO",'caseload data'!$A:$A,'national caseload'!$B$145:$B$147,'caseload data'!$B:$B,"custody")</f>
        <v>0</v>
      </c>
      <c r="H145" s="104">
        <f>SUMIFS('caseload data'!I:I,'caseload data'!$D:$D,"PO",'caseload data'!$A:$A,'national caseload'!$B$145:$B$147,'caseload data'!$B:$B,"custody")</f>
        <v>0</v>
      </c>
      <c r="I145" s="104">
        <f>SUMIFS('caseload data'!J:J,'caseload data'!$D:$D,"PO",'caseload data'!$A:$A,'national caseload'!$B$145:$B$147,'caseload data'!$B:$B,"custody")</f>
        <v>0</v>
      </c>
      <c r="J145" s="104">
        <f>SUMIFS('caseload data'!K:K,'caseload data'!$D:$D,"PO",'caseload data'!$A:$A,'national caseload'!$B$145:$B$147,'caseload data'!$B:$B,"custody")</f>
        <v>0</v>
      </c>
      <c r="K145" s="104">
        <f>SUMIFS('caseload data'!L:L,'caseload data'!$D:$D,"PO",'caseload data'!$A:$A,'national caseload'!$B$145:$B$147,'caseload data'!$B:$B,"custody")</f>
        <v>0</v>
      </c>
      <c r="L145" s="104">
        <f>SUMIFS('caseload data'!M:M,'caseload data'!$D:$D,"PO",'caseload data'!$A:$A,'national caseload'!$B$145:$B$147,'caseload data'!$B:$B,"custody")</f>
        <v>0</v>
      </c>
      <c r="M145" s="104">
        <f>SUMIFS('caseload data'!N:N,'caseload data'!$D:$D,"PO",'caseload data'!$A:$A,'national caseload'!$B$145:$B$147,'caseload data'!$B:$B,"custody")</f>
        <v>0</v>
      </c>
      <c r="N145" s="104">
        <f>SUMIFS('caseload data'!O:O,'caseload data'!$D:$D,"PO",'caseload data'!$A:$A,'national caseload'!$B$145:$B$147,'caseload data'!$B:$B,"custody")</f>
        <v>0</v>
      </c>
      <c r="O145" s="104">
        <f>SUMIFS('caseload data'!P:P,'caseload data'!$D:$D,"PO",'caseload data'!$A:$A,'national caseload'!$B$145:$B$147,'caseload data'!$B:$B,"custody")</f>
        <v>0</v>
      </c>
      <c r="P145" s="104">
        <f>SUMIFS('caseload data'!Q:Q,'caseload data'!$D:$D,"PO",'caseload data'!$A:$A,'national caseload'!$B$145:$B$147,'caseload data'!$B:$B,"custody")</f>
        <v>0</v>
      </c>
      <c r="Q145" s="104">
        <f>SUMIFS('caseload data'!R:R,'caseload data'!$D:$D,"PO",'caseload data'!$A:$A,'national caseload'!$B$145:$B$147,'caseload data'!$B:$B,"custody")</f>
        <v>0</v>
      </c>
      <c r="R145" s="104">
        <f>SUMIFS('caseload data'!S:S,'caseload data'!$D:$D,"PO",'caseload data'!$A:$A,'national caseload'!$B$145:$B$147,'caseload data'!$B:$B,"custody")</f>
        <v>0</v>
      </c>
      <c r="S145" s="104">
        <f>SUMIFS('caseload data'!T:T,'caseload data'!$D:$D,"PO",'caseload data'!$A:$A,'national caseload'!$B$145:$B$147,'caseload data'!$B:$B,"custody")</f>
        <v>0</v>
      </c>
      <c r="T145" s="104">
        <f>SUMIFS('caseload data'!V:V,'caseload data'!D:D,"PO",'caseload data'!A:A,'national caseload'!B145:B147,'caseload data'!B:B,"custody")</f>
        <v>0</v>
      </c>
      <c r="U145" s="73"/>
      <c r="V145" s="73"/>
      <c r="W145" s="337" t="s">
        <v>25</v>
      </c>
      <c r="X145" s="138" t="s">
        <v>911</v>
      </c>
      <c r="Y145" s="181" t="e">
        <f>SUM(D145)/SUM(D$145:D$148)</f>
        <v>#DIV/0!</v>
      </c>
      <c r="Z145" s="181" t="e">
        <f t="shared" ref="Z145:AN148" si="30">SUM(E145)/SUM(E$145:E$148)</f>
        <v>#DIV/0!</v>
      </c>
      <c r="AA145" s="181" t="e">
        <f t="shared" si="30"/>
        <v>#DIV/0!</v>
      </c>
      <c r="AB145" s="181" t="e">
        <f t="shared" si="30"/>
        <v>#DIV/0!</v>
      </c>
      <c r="AC145" s="181" t="e">
        <f t="shared" si="30"/>
        <v>#DIV/0!</v>
      </c>
      <c r="AD145" s="181" t="e">
        <f t="shared" si="30"/>
        <v>#DIV/0!</v>
      </c>
      <c r="AE145" s="181" t="e">
        <f t="shared" si="30"/>
        <v>#DIV/0!</v>
      </c>
      <c r="AF145" s="181" t="e">
        <f t="shared" si="30"/>
        <v>#DIV/0!</v>
      </c>
      <c r="AG145" s="181" t="e">
        <f t="shared" si="30"/>
        <v>#DIV/0!</v>
      </c>
      <c r="AH145" s="181" t="e">
        <f t="shared" si="30"/>
        <v>#DIV/0!</v>
      </c>
      <c r="AI145" s="181" t="e">
        <f t="shared" si="30"/>
        <v>#DIV/0!</v>
      </c>
      <c r="AJ145" s="181" t="e">
        <f t="shared" si="30"/>
        <v>#DIV/0!</v>
      </c>
      <c r="AK145" s="181" t="e">
        <f t="shared" si="30"/>
        <v>#DIV/0!</v>
      </c>
      <c r="AL145" s="181" t="e">
        <f t="shared" si="30"/>
        <v>#DIV/0!</v>
      </c>
      <c r="AM145" s="181" t="e">
        <f t="shared" si="30"/>
        <v>#DIV/0!</v>
      </c>
      <c r="AN145" s="181" t="e">
        <f t="shared" si="30"/>
        <v>#DIV/0!</v>
      </c>
    </row>
    <row r="146" spans="2:40" x14ac:dyDescent="0.15">
      <c r="B146" s="338"/>
      <c r="C146" s="139" t="s">
        <v>912</v>
      </c>
      <c r="D146" s="104">
        <f>SUMIFS('caseload data'!E:E,'caseload data'!$D:$D,"PSO",'caseload data'!$A:$A,"North East Region",'caseload data'!$B:$B,"custody")</f>
        <v>0</v>
      </c>
      <c r="E146" s="104">
        <f>SUMIFS('caseload data'!F:F,'caseload data'!$D:$D,"PSO",'caseload data'!$A:$A,"North East Region",'caseload data'!$B:$B,"custody")</f>
        <v>0</v>
      </c>
      <c r="F146" s="104">
        <f>SUMIFS('caseload data'!G:G,'caseload data'!$D:$D,"PSO",'caseload data'!$A:$A,"North East Region",'caseload data'!$B:$B,"custody")</f>
        <v>0</v>
      </c>
      <c r="G146" s="104">
        <f>SUMIFS('caseload data'!H:H,'caseload data'!$D:$D,"PSO",'caseload data'!$A:$A,"North East Region",'caseload data'!$B:$B,"custody")</f>
        <v>0</v>
      </c>
      <c r="H146" s="104">
        <f>SUMIFS('caseload data'!I:I,'caseload data'!$D:$D,"PSO",'caseload data'!$A:$A,"North East Region",'caseload data'!$B:$B,"custody")</f>
        <v>0</v>
      </c>
      <c r="I146" s="104">
        <f>SUMIFS('caseload data'!J:J,'caseload data'!$D:$D,"PSO",'caseload data'!$A:$A,"North East Region",'caseload data'!$B:$B,"custody")</f>
        <v>0</v>
      </c>
      <c r="J146" s="104">
        <f>SUMIFS('caseload data'!K:K,'caseload data'!$D:$D,"PSO",'caseload data'!$A:$A,"North East Region",'caseload data'!$B:$B,"custody")</f>
        <v>0</v>
      </c>
      <c r="K146" s="104">
        <f>SUMIFS('caseload data'!L:L,'caseload data'!$D:$D,"PSO",'caseload data'!$A:$A,"North East Region",'caseload data'!$B:$B,"custody")</f>
        <v>0</v>
      </c>
      <c r="L146" s="104">
        <f>SUMIFS('caseload data'!M:M,'caseload data'!$D:$D,"PSO",'caseload data'!$A:$A,"North East Region",'caseload data'!$B:$B,"custody")</f>
        <v>0</v>
      </c>
      <c r="M146" s="104">
        <f>SUMIFS('caseload data'!N:N,'caseload data'!$D:$D,"PSO",'caseload data'!$A:$A,"North East Region",'caseload data'!$B:$B,"custody")</f>
        <v>0</v>
      </c>
      <c r="N146" s="104">
        <f>SUMIFS('caseload data'!O:O,'caseload data'!$D:$D,"PSO",'caseload data'!$A:$A,"North East Region",'caseload data'!$B:$B,"custody")</f>
        <v>0</v>
      </c>
      <c r="O146" s="104">
        <f>SUMIFS('caseload data'!P:P,'caseload data'!$D:$D,"PSO",'caseload data'!$A:$A,"North East Region",'caseload data'!$B:$B,"custody")</f>
        <v>0</v>
      </c>
      <c r="P146" s="104">
        <f>SUMIFS('caseload data'!Q:Q,'caseload data'!$D:$D,"PSO",'caseload data'!$A:$A,"North East Region",'caseload data'!$B:$B,"custody")</f>
        <v>0</v>
      </c>
      <c r="Q146" s="104">
        <f>SUMIFS('caseload data'!R:R,'caseload data'!$D:$D,"PSO",'caseload data'!$A:$A,"North East Region",'caseload data'!$B:$B,"custody")</f>
        <v>0</v>
      </c>
      <c r="R146" s="104">
        <f>SUMIFS('caseload data'!S:S,'caseload data'!$D:$D,"PSO",'caseload data'!$A:$A,"North East Region",'caseload data'!$B:$B,"custody")</f>
        <v>0</v>
      </c>
      <c r="S146" s="104">
        <f>SUMIFS('caseload data'!T:T,'caseload data'!$D:$D,"PSO",'caseload data'!$A:$A,"North East Region",'caseload data'!$B:$B,"custody")</f>
        <v>0</v>
      </c>
      <c r="T146" s="104">
        <f>SUMIFS('caseload data'!V:V,'caseload data'!D:D,"PSO",'caseload data'!A:A,"North East Region",'caseload data'!B:B,"custody")</f>
        <v>0</v>
      </c>
      <c r="U146" s="73"/>
      <c r="V146" s="73"/>
      <c r="W146" s="338"/>
      <c r="X146" s="139" t="s">
        <v>912</v>
      </c>
      <c r="Y146" s="181" t="e">
        <f>SUM(D146)/SUM(D$145:D$148)</f>
        <v>#DIV/0!</v>
      </c>
      <c r="Z146" s="181" t="e">
        <f t="shared" si="30"/>
        <v>#DIV/0!</v>
      </c>
      <c r="AA146" s="181" t="e">
        <f t="shared" si="30"/>
        <v>#DIV/0!</v>
      </c>
      <c r="AB146" s="181" t="e">
        <f t="shared" si="30"/>
        <v>#DIV/0!</v>
      </c>
      <c r="AC146" s="181" t="e">
        <f t="shared" si="30"/>
        <v>#DIV/0!</v>
      </c>
      <c r="AD146" s="181" t="e">
        <f t="shared" si="30"/>
        <v>#DIV/0!</v>
      </c>
      <c r="AE146" s="181" t="e">
        <f t="shared" si="30"/>
        <v>#DIV/0!</v>
      </c>
      <c r="AF146" s="181" t="e">
        <f t="shared" si="30"/>
        <v>#DIV/0!</v>
      </c>
      <c r="AG146" s="181" t="e">
        <f t="shared" si="30"/>
        <v>#DIV/0!</v>
      </c>
      <c r="AH146" s="181" t="e">
        <f t="shared" si="30"/>
        <v>#DIV/0!</v>
      </c>
      <c r="AI146" s="181" t="e">
        <f t="shared" si="30"/>
        <v>#DIV/0!</v>
      </c>
      <c r="AJ146" s="181" t="e">
        <f t="shared" si="30"/>
        <v>#DIV/0!</v>
      </c>
      <c r="AK146" s="181" t="e">
        <f t="shared" si="30"/>
        <v>#DIV/0!</v>
      </c>
      <c r="AL146" s="181" t="e">
        <f t="shared" si="30"/>
        <v>#DIV/0!</v>
      </c>
      <c r="AM146" s="181" t="e">
        <f t="shared" si="30"/>
        <v>#DIV/0!</v>
      </c>
      <c r="AN146" s="181" t="e">
        <f t="shared" si="30"/>
        <v>#DIV/0!</v>
      </c>
    </row>
    <row r="147" spans="2:40" x14ac:dyDescent="0.15">
      <c r="B147" s="338"/>
      <c r="C147" s="139" t="s">
        <v>913</v>
      </c>
      <c r="D147" s="104">
        <f>SUMIFS('caseload data'!E:E,'caseload data'!$D:$D,"TPO",'caseload data'!$A:$A,"North East Region",'caseload data'!$B:$B,"custody")</f>
        <v>0</v>
      </c>
      <c r="E147" s="104">
        <f>SUMIFS('caseload data'!F:F,'caseload data'!$D:$D,"TPO",'caseload data'!$A:$A,"North East Region",'caseload data'!$B:$B,"custody")</f>
        <v>0</v>
      </c>
      <c r="F147" s="104">
        <f>SUMIFS('caseload data'!G:G,'caseload data'!$D:$D,"TPO",'caseload data'!$A:$A,"North East Region",'caseload data'!$B:$B,"custody")</f>
        <v>0</v>
      </c>
      <c r="G147" s="104">
        <f>SUMIFS('caseload data'!H:H,'caseload data'!$D:$D,"TPO",'caseload data'!$A:$A,"North East Region",'caseload data'!$B:$B,"custody")</f>
        <v>0</v>
      </c>
      <c r="H147" s="104">
        <f>SUMIFS('caseload data'!I:I,'caseload data'!$D:$D,"TPO",'caseload data'!$A:$A,"North East Region",'caseload data'!$B:$B,"custody")</f>
        <v>0</v>
      </c>
      <c r="I147" s="104">
        <f>SUMIFS('caseload data'!J:J,'caseload data'!$D:$D,"TPO",'caseload data'!$A:$A,"North East Region",'caseload data'!$B:$B,"custody")</f>
        <v>0</v>
      </c>
      <c r="J147" s="104">
        <f>SUMIFS('caseload data'!K:K,'caseload data'!$D:$D,"TPO",'caseload data'!$A:$A,"North East Region",'caseload data'!$B:$B,"custody")</f>
        <v>0</v>
      </c>
      <c r="K147" s="104">
        <f>SUMIFS('caseload data'!L:L,'caseload data'!$D:$D,"TPO",'caseload data'!$A:$A,"North East Region",'caseload data'!$B:$B,"custody")</f>
        <v>0</v>
      </c>
      <c r="L147" s="104">
        <f>SUMIFS('caseload data'!M:M,'caseload data'!$D:$D,"TPO",'caseload data'!$A:$A,"North East Region",'caseload data'!$B:$B,"custody")</f>
        <v>0</v>
      </c>
      <c r="M147" s="104">
        <f>SUMIFS('caseload data'!N:N,'caseload data'!$D:$D,"TPO",'caseload data'!$A:$A,"North East Region",'caseload data'!$B:$B,"custody")</f>
        <v>0</v>
      </c>
      <c r="N147" s="104">
        <f>SUMIFS('caseload data'!O:O,'caseload data'!$D:$D,"TPO",'caseload data'!$A:$A,"North East Region",'caseload data'!$B:$B,"custody")</f>
        <v>0</v>
      </c>
      <c r="O147" s="104">
        <f>SUMIFS('caseload data'!P:P,'caseload data'!$D:$D,"TPO",'caseload data'!$A:$A,"North East Region",'caseload data'!$B:$B,"custody")</f>
        <v>0</v>
      </c>
      <c r="P147" s="104">
        <f>SUMIFS('caseload data'!Q:Q,'caseload data'!$D:$D,"TPO",'caseload data'!$A:$A,"North East Region",'caseload data'!$B:$B,"custody")</f>
        <v>0</v>
      </c>
      <c r="Q147" s="104">
        <f>SUMIFS('caseload data'!R:R,'caseload data'!$D:$D,"TPO",'caseload data'!$A:$A,"North East Region",'caseload data'!$B:$B,"custody")</f>
        <v>0</v>
      </c>
      <c r="R147" s="104">
        <f>SUMIFS('caseload data'!S:S,'caseload data'!$D:$D,"TPO",'caseload data'!$A:$A,"North East Region",'caseload data'!$B:$B,"custody")</f>
        <v>0</v>
      </c>
      <c r="S147" s="104">
        <f>SUMIFS('caseload data'!T:T,'caseload data'!$D:$D,"TPO",'caseload data'!$A:$A,"North East Region",'caseload data'!$B:$B,"custody")</f>
        <v>0</v>
      </c>
      <c r="T147" s="104">
        <f>SUMIFS('caseload data'!V:V,'caseload data'!D:D,"TPO",'caseload data'!A:A,"North East Region",'caseload data'!B:B,"custody")</f>
        <v>0</v>
      </c>
      <c r="U147" s="73"/>
      <c r="V147" s="73"/>
      <c r="W147" s="338"/>
      <c r="X147" s="139" t="s">
        <v>913</v>
      </c>
      <c r="Y147" s="181" t="e">
        <f>SUM(D147)/SUM(D$145:D$148)</f>
        <v>#DIV/0!</v>
      </c>
      <c r="Z147" s="181" t="e">
        <f t="shared" si="30"/>
        <v>#DIV/0!</v>
      </c>
      <c r="AA147" s="181" t="e">
        <f t="shared" si="30"/>
        <v>#DIV/0!</v>
      </c>
      <c r="AB147" s="181" t="e">
        <f t="shared" si="30"/>
        <v>#DIV/0!</v>
      </c>
      <c r="AC147" s="181" t="e">
        <f t="shared" si="30"/>
        <v>#DIV/0!</v>
      </c>
      <c r="AD147" s="181" t="e">
        <f t="shared" si="30"/>
        <v>#DIV/0!</v>
      </c>
      <c r="AE147" s="181" t="e">
        <f t="shared" si="30"/>
        <v>#DIV/0!</v>
      </c>
      <c r="AF147" s="181" t="e">
        <f t="shared" si="30"/>
        <v>#DIV/0!</v>
      </c>
      <c r="AG147" s="181" t="e">
        <f t="shared" si="30"/>
        <v>#DIV/0!</v>
      </c>
      <c r="AH147" s="181" t="e">
        <f t="shared" si="30"/>
        <v>#DIV/0!</v>
      </c>
      <c r="AI147" s="181" t="e">
        <f t="shared" si="30"/>
        <v>#DIV/0!</v>
      </c>
      <c r="AJ147" s="181" t="e">
        <f t="shared" si="30"/>
        <v>#DIV/0!</v>
      </c>
      <c r="AK147" s="181" t="e">
        <f t="shared" si="30"/>
        <v>#DIV/0!</v>
      </c>
      <c r="AL147" s="181" t="e">
        <f t="shared" si="30"/>
        <v>#DIV/0!</v>
      </c>
      <c r="AM147" s="181" t="e">
        <f t="shared" si="30"/>
        <v>#DIV/0!</v>
      </c>
      <c r="AN147" s="181" t="e">
        <f t="shared" si="30"/>
        <v>#DIV/0!</v>
      </c>
    </row>
    <row r="148" spans="2:40" x14ac:dyDescent="0.15">
      <c r="B148" s="339"/>
      <c r="C148" s="140" t="s">
        <v>914</v>
      </c>
      <c r="D148" s="104">
        <f>SUMIFS('caseload data'!E:E,'caseload data'!$D:$D,"SPO",'caseload data'!$A:$A,"North East Region",'caseload data'!$B:$B,"custody")</f>
        <v>0</v>
      </c>
      <c r="E148" s="104">
        <f>SUMIFS('caseload data'!F:F,'caseload data'!$D:$D,"SPO",'caseload data'!$A:$A,"North East Region",'caseload data'!$B:$B,"custody")</f>
        <v>0</v>
      </c>
      <c r="F148" s="104">
        <f>SUMIFS('caseload data'!G:G,'caseload data'!$D:$D,"SPO",'caseload data'!$A:$A,"North East Region",'caseload data'!$B:$B,"custody")</f>
        <v>0</v>
      </c>
      <c r="G148" s="104">
        <f>SUMIFS('caseload data'!H:H,'caseload data'!$D:$D,"SPO",'caseload data'!$A:$A,"North East Region",'caseload data'!$B:$B,"custody")</f>
        <v>0</v>
      </c>
      <c r="H148" s="104">
        <f>SUMIFS('caseload data'!I:I,'caseload data'!$D:$D,"SPO",'caseload data'!$A:$A,"North East Region",'caseload data'!$B:$B,"custody")</f>
        <v>0</v>
      </c>
      <c r="I148" s="104">
        <f>SUMIFS('caseload data'!J:J,'caseload data'!$D:$D,"SPO",'caseload data'!$A:$A,"North East Region",'caseload data'!$B:$B,"custody")</f>
        <v>0</v>
      </c>
      <c r="J148" s="104">
        <f>SUMIFS('caseload data'!K:K,'caseload data'!$D:$D,"SPO",'caseload data'!$A:$A,"North East Region",'caseload data'!$B:$B,"custody")</f>
        <v>0</v>
      </c>
      <c r="K148" s="104">
        <f>SUMIFS('caseload data'!L:L,'caseload data'!$D:$D,"SPO",'caseload data'!$A:$A,"North East Region",'caseload data'!$B:$B,"custody")</f>
        <v>0</v>
      </c>
      <c r="L148" s="104">
        <f>SUMIFS('caseload data'!M:M,'caseload data'!$D:$D,"SPO",'caseload data'!$A:$A,"North East Region",'caseload data'!$B:$B,"custody")</f>
        <v>0</v>
      </c>
      <c r="M148" s="104">
        <f>SUMIFS('caseload data'!N:N,'caseload data'!$D:$D,"SPO",'caseload data'!$A:$A,"North East Region",'caseload data'!$B:$B,"custody")</f>
        <v>0</v>
      </c>
      <c r="N148" s="104">
        <f>SUMIFS('caseload data'!O:O,'caseload data'!$D:$D,"SPO",'caseload data'!$A:$A,"North East Region",'caseload data'!$B:$B,"custody")</f>
        <v>0</v>
      </c>
      <c r="O148" s="104">
        <f>SUMIFS('caseload data'!P:P,'caseload data'!$D:$D,"SPO",'caseload data'!$A:$A,"North East Region",'caseload data'!$B:$B,"custody")</f>
        <v>0</v>
      </c>
      <c r="P148" s="104">
        <f>SUMIFS('caseload data'!Q:Q,'caseload data'!$D:$D,"SPO",'caseload data'!$A:$A,"North East Region",'caseload data'!$B:$B,"custody")</f>
        <v>0</v>
      </c>
      <c r="Q148" s="104">
        <f>SUMIFS('caseload data'!R:R,'caseload data'!$D:$D,"SPO",'caseload data'!$A:$A,"North East Region",'caseload data'!$B:$B,"custody")</f>
        <v>0</v>
      </c>
      <c r="R148" s="104">
        <f>SUMIFS('caseload data'!S:S,'caseload data'!$D:$D,"SPO",'caseload data'!$A:$A,"North East Region",'caseload data'!$B:$B,"custody")</f>
        <v>0</v>
      </c>
      <c r="S148" s="104">
        <f>SUMIFS('caseload data'!T:T,'caseload data'!$D:$D,"SPO",'caseload data'!$A:$A,"North East Region",'caseload data'!$B:$B,"custody")</f>
        <v>0</v>
      </c>
      <c r="T148" s="104">
        <f>SUMIFS('caseload data'!V:V,'caseload data'!$D:$D,"SPO",'caseload data'!$A:$A,"North East Region",'caseload data'!$B:$B,"custody")</f>
        <v>0</v>
      </c>
      <c r="U148" s="73"/>
      <c r="V148" s="73"/>
      <c r="W148" s="339"/>
      <c r="X148" s="140" t="s">
        <v>914</v>
      </c>
      <c r="Y148" s="181" t="e">
        <f>SUM(D148)/SUM(D$145:D$148)</f>
        <v>#DIV/0!</v>
      </c>
      <c r="Z148" s="181" t="e">
        <f t="shared" si="30"/>
        <v>#DIV/0!</v>
      </c>
      <c r="AA148" s="181" t="e">
        <f t="shared" si="30"/>
        <v>#DIV/0!</v>
      </c>
      <c r="AB148" s="181" t="e">
        <f t="shared" si="30"/>
        <v>#DIV/0!</v>
      </c>
      <c r="AC148" s="181" t="e">
        <f t="shared" si="30"/>
        <v>#DIV/0!</v>
      </c>
      <c r="AD148" s="181" t="e">
        <f t="shared" si="30"/>
        <v>#DIV/0!</v>
      </c>
      <c r="AE148" s="181" t="e">
        <f t="shared" si="30"/>
        <v>#DIV/0!</v>
      </c>
      <c r="AF148" s="181" t="e">
        <f t="shared" si="30"/>
        <v>#DIV/0!</v>
      </c>
      <c r="AG148" s="181" t="e">
        <f t="shared" si="30"/>
        <v>#DIV/0!</v>
      </c>
      <c r="AH148" s="181" t="e">
        <f t="shared" si="30"/>
        <v>#DIV/0!</v>
      </c>
      <c r="AI148" s="181" t="e">
        <f t="shared" si="30"/>
        <v>#DIV/0!</v>
      </c>
      <c r="AJ148" s="181" t="e">
        <f t="shared" si="30"/>
        <v>#DIV/0!</v>
      </c>
      <c r="AK148" s="181" t="e">
        <f t="shared" si="30"/>
        <v>#DIV/0!</v>
      </c>
      <c r="AL148" s="181" t="e">
        <f t="shared" si="30"/>
        <v>#DIV/0!</v>
      </c>
      <c r="AM148" s="181" t="e">
        <f t="shared" si="30"/>
        <v>#DIV/0!</v>
      </c>
      <c r="AN148" s="181" t="e">
        <f t="shared" si="30"/>
        <v>#DIV/0!</v>
      </c>
    </row>
    <row r="149" spans="2:40" x14ac:dyDescent="0.15">
      <c r="B149" s="337" t="s">
        <v>26</v>
      </c>
      <c r="C149" s="138" t="s">
        <v>911</v>
      </c>
      <c r="D149" s="104">
        <f>SUMIFS('caseload data'!E:E,'caseload data'!$D:$D,"PO",'caseload data'!$A:$A,'national caseload'!$B$149:$B$151,'caseload data'!$B:$B,"custody")</f>
        <v>0</v>
      </c>
      <c r="E149" s="104">
        <f>SUMIFS('caseload data'!F:F,'caseload data'!$D:$D,"PO",'caseload data'!$A:$A,'national caseload'!$B$149:$B$151,'caseload data'!$B:$B,"custody")</f>
        <v>0</v>
      </c>
      <c r="F149" s="104">
        <f>SUMIFS('caseload data'!G:G,'caseload data'!$D:$D,"PO",'caseload data'!$A:$A,'national caseload'!$B$149:$B$151,'caseload data'!$B:$B,"custody")</f>
        <v>0</v>
      </c>
      <c r="G149" s="104">
        <f>SUMIFS('caseload data'!H:H,'caseload data'!$D:$D,"PO",'caseload data'!$A:$A,'national caseload'!$B$149:$B$151,'caseload data'!$B:$B,"custody")</f>
        <v>0</v>
      </c>
      <c r="H149" s="104">
        <f>SUMIFS('caseload data'!I:I,'caseload data'!$D:$D,"PO",'caseload data'!$A:$A,'national caseload'!$B$149:$B$151,'caseload data'!$B:$B,"custody")</f>
        <v>0</v>
      </c>
      <c r="I149" s="104">
        <f>SUMIFS('caseload data'!J:J,'caseload data'!$D:$D,"PO",'caseload data'!$A:$A,'national caseload'!$B$149:$B$151,'caseload data'!$B:$B,"custody")</f>
        <v>0</v>
      </c>
      <c r="J149" s="104">
        <f>SUMIFS('caseload data'!K:K,'caseload data'!$D:$D,"PO",'caseload data'!$A:$A,'national caseload'!$B$149:$B$151,'caseload data'!$B:$B,"custody")</f>
        <v>0</v>
      </c>
      <c r="K149" s="104">
        <f>SUMIFS('caseload data'!L:L,'caseload data'!$D:$D,"PO",'caseload data'!$A:$A,'national caseload'!$B$149:$B$151,'caseload data'!$B:$B,"custody")</f>
        <v>0</v>
      </c>
      <c r="L149" s="104">
        <f>SUMIFS('caseload data'!M:M,'caseload data'!$D:$D,"PO",'caseload data'!$A:$A,'national caseload'!$B$149:$B$151,'caseload data'!$B:$B,"custody")</f>
        <v>0</v>
      </c>
      <c r="M149" s="104">
        <f>SUMIFS('caseload data'!N:N,'caseload data'!$D:$D,"PO",'caseload data'!$A:$A,'national caseload'!$B$149:$B$151,'caseload data'!$B:$B,"custody")</f>
        <v>0</v>
      </c>
      <c r="N149" s="104">
        <f>SUMIFS('caseload data'!O:O,'caseload data'!$D:$D,"PO",'caseload data'!$A:$A,'national caseload'!$B$149:$B$151,'caseload data'!$B:$B,"custody")</f>
        <v>0</v>
      </c>
      <c r="O149" s="104">
        <f>SUMIFS('caseload data'!P:P,'caseload data'!$D:$D,"PO",'caseload data'!$A:$A,'national caseload'!$B$149:$B$151,'caseload data'!$B:$B,"custody")</f>
        <v>0</v>
      </c>
      <c r="P149" s="104">
        <f>SUMIFS('caseload data'!Q:Q,'caseload data'!$D:$D,"PO",'caseload data'!$A:$A,'national caseload'!$B$149:$B$151,'caseload data'!$B:$B,"custody")</f>
        <v>0</v>
      </c>
      <c r="Q149" s="104">
        <f>SUMIFS('caseload data'!R:R,'caseload data'!$D:$D,"PO",'caseload data'!$A:$A,'national caseload'!$B$149:$B$151,'caseload data'!$B:$B,"custody")</f>
        <v>0</v>
      </c>
      <c r="R149" s="104">
        <f>SUMIFS('caseload data'!S:S,'caseload data'!$D:$D,"PO",'caseload data'!$A:$A,'national caseload'!$B$149:$B$151,'caseload data'!$B:$B,"custody")</f>
        <v>0</v>
      </c>
      <c r="S149" s="104">
        <f>SUMIFS('caseload data'!T:T,'caseload data'!$D:$D,"PO",'caseload data'!$A:$A,'national caseload'!$B$149:$B$151,'caseload data'!$B:$B,"custody")</f>
        <v>0</v>
      </c>
      <c r="T149" s="104">
        <f>SUMIFS('caseload data'!V:V,'caseload data'!D:D,"PO",'caseload data'!A:A,'national caseload'!B149:B151,'caseload data'!B:B,"custody")</f>
        <v>0</v>
      </c>
      <c r="U149" s="73"/>
      <c r="V149" s="73"/>
      <c r="W149" s="337" t="s">
        <v>26</v>
      </c>
      <c r="X149" s="138" t="s">
        <v>911</v>
      </c>
      <c r="Y149" s="181" t="e">
        <f>SUM(D149)/SUM(D$149:D$152)</f>
        <v>#DIV/0!</v>
      </c>
      <c r="Z149" s="181" t="e">
        <f t="shared" ref="Z149:AN152" si="31">SUM(E149)/SUM(E$149:E$152)</f>
        <v>#DIV/0!</v>
      </c>
      <c r="AA149" s="181" t="e">
        <f t="shared" si="31"/>
        <v>#DIV/0!</v>
      </c>
      <c r="AB149" s="181" t="e">
        <f t="shared" si="31"/>
        <v>#DIV/0!</v>
      </c>
      <c r="AC149" s="181" t="e">
        <f t="shared" si="31"/>
        <v>#DIV/0!</v>
      </c>
      <c r="AD149" s="181" t="e">
        <f t="shared" si="31"/>
        <v>#DIV/0!</v>
      </c>
      <c r="AE149" s="181" t="e">
        <f t="shared" si="31"/>
        <v>#DIV/0!</v>
      </c>
      <c r="AF149" s="181" t="e">
        <f t="shared" si="31"/>
        <v>#DIV/0!</v>
      </c>
      <c r="AG149" s="181" t="e">
        <f t="shared" si="31"/>
        <v>#DIV/0!</v>
      </c>
      <c r="AH149" s="181" t="e">
        <f t="shared" si="31"/>
        <v>#DIV/0!</v>
      </c>
      <c r="AI149" s="181" t="e">
        <f t="shared" si="31"/>
        <v>#DIV/0!</v>
      </c>
      <c r="AJ149" s="181" t="e">
        <f t="shared" si="31"/>
        <v>#DIV/0!</v>
      </c>
      <c r="AK149" s="181" t="e">
        <f t="shared" si="31"/>
        <v>#DIV/0!</v>
      </c>
      <c r="AL149" s="181" t="e">
        <f t="shared" si="31"/>
        <v>#DIV/0!</v>
      </c>
      <c r="AM149" s="181" t="e">
        <f t="shared" si="31"/>
        <v>#DIV/0!</v>
      </c>
      <c r="AN149" s="181" t="e">
        <f t="shared" si="31"/>
        <v>#DIV/0!</v>
      </c>
    </row>
    <row r="150" spans="2:40" x14ac:dyDescent="0.15">
      <c r="B150" s="338"/>
      <c r="C150" s="139" t="s">
        <v>912</v>
      </c>
      <c r="D150" s="104">
        <f>SUMIFS('caseload data'!E:E,'caseload data'!$D:$D,"PSO",'caseload data'!$A:$A,"North West Region",'caseload data'!$B:$B,"custody")</f>
        <v>0</v>
      </c>
      <c r="E150" s="104">
        <f>SUMIFS('caseload data'!F:F,'caseload data'!$D:$D,"PSO",'caseload data'!$A:$A,"North West Region",'caseload data'!$B:$B,"custody")</f>
        <v>0</v>
      </c>
      <c r="F150" s="104">
        <f>SUMIFS('caseload data'!G:G,'caseload data'!$D:$D,"PSO",'caseload data'!$A:$A,"North West Region",'caseload data'!$B:$B,"custody")</f>
        <v>0</v>
      </c>
      <c r="G150" s="104">
        <f>SUMIFS('caseload data'!H:H,'caseload data'!$D:$D,"PSO",'caseload data'!$A:$A,"North West Region",'caseload data'!$B:$B,"custody")</f>
        <v>0</v>
      </c>
      <c r="H150" s="104">
        <f>SUMIFS('caseload data'!I:I,'caseload data'!$D:$D,"PSO",'caseload data'!$A:$A,"North West Region",'caseload data'!$B:$B,"custody")</f>
        <v>0</v>
      </c>
      <c r="I150" s="104">
        <f>SUMIFS('caseload data'!J:J,'caseload data'!$D:$D,"PSO",'caseload data'!$A:$A,"North West Region",'caseload data'!$B:$B,"custody")</f>
        <v>0</v>
      </c>
      <c r="J150" s="104">
        <f>SUMIFS('caseload data'!K:K,'caseload data'!$D:$D,"PSO",'caseload data'!$A:$A,"North West Region",'caseload data'!$B:$B,"custody")</f>
        <v>0</v>
      </c>
      <c r="K150" s="104">
        <f>SUMIFS('caseload data'!L:L,'caseload data'!$D:$D,"PSO",'caseload data'!$A:$A,"North West Region",'caseload data'!$B:$B,"custody")</f>
        <v>0</v>
      </c>
      <c r="L150" s="104">
        <f>SUMIFS('caseload data'!M:M,'caseload data'!$D:$D,"PSO",'caseload data'!$A:$A,"North West Region",'caseload data'!$B:$B,"custody")</f>
        <v>0</v>
      </c>
      <c r="M150" s="104">
        <f>SUMIFS('caseload data'!N:N,'caseload data'!$D:$D,"PSO",'caseload data'!$A:$A,"North West Region",'caseload data'!$B:$B,"custody")</f>
        <v>0</v>
      </c>
      <c r="N150" s="104">
        <f>SUMIFS('caseload data'!O:O,'caseload data'!$D:$D,"PSO",'caseload data'!$A:$A,"North West Region",'caseload data'!$B:$B,"custody")</f>
        <v>0</v>
      </c>
      <c r="O150" s="104">
        <f>SUMIFS('caseload data'!P:P,'caseload data'!$D:$D,"PSO",'caseload data'!$A:$A,"North West Region",'caseload data'!$B:$B,"custody")</f>
        <v>0</v>
      </c>
      <c r="P150" s="104">
        <f>SUMIFS('caseload data'!Q:Q,'caseload data'!$D:$D,"PSO",'caseload data'!$A:$A,"North West Region",'caseload data'!$B:$B,"custody")</f>
        <v>0</v>
      </c>
      <c r="Q150" s="104">
        <f>SUMIFS('caseload data'!R:R,'caseload data'!$D:$D,"PSO",'caseload data'!$A:$A,"North West Region",'caseload data'!$B:$B,"custody")</f>
        <v>0</v>
      </c>
      <c r="R150" s="104">
        <f>SUMIFS('caseload data'!S:S,'caseload data'!$D:$D,"PSO",'caseload data'!$A:$A,"North West Region",'caseload data'!$B:$B,"custody")</f>
        <v>0</v>
      </c>
      <c r="S150" s="104">
        <f>SUMIFS('caseload data'!T:T,'caseload data'!$D:$D,"PSO",'caseload data'!$A:$A,"North West Region",'caseload data'!$B:$B,"custody")</f>
        <v>0</v>
      </c>
      <c r="T150" s="104">
        <f>SUMIFS('caseload data'!V:V,'caseload data'!D:D,"PSO",'caseload data'!A:A,"North West Region",'caseload data'!B:B,"custody")</f>
        <v>0</v>
      </c>
      <c r="U150" s="73"/>
      <c r="V150" s="73"/>
      <c r="W150" s="338"/>
      <c r="X150" s="139" t="s">
        <v>912</v>
      </c>
      <c r="Y150" s="181" t="e">
        <f>SUM(D150)/SUM(D$149:D$152)</f>
        <v>#DIV/0!</v>
      </c>
      <c r="Z150" s="181" t="e">
        <f t="shared" si="31"/>
        <v>#DIV/0!</v>
      </c>
      <c r="AA150" s="181" t="e">
        <f t="shared" si="31"/>
        <v>#DIV/0!</v>
      </c>
      <c r="AB150" s="181" t="e">
        <f t="shared" si="31"/>
        <v>#DIV/0!</v>
      </c>
      <c r="AC150" s="181" t="e">
        <f t="shared" si="31"/>
        <v>#DIV/0!</v>
      </c>
      <c r="AD150" s="181" t="e">
        <f t="shared" si="31"/>
        <v>#DIV/0!</v>
      </c>
      <c r="AE150" s="181" t="e">
        <f t="shared" si="31"/>
        <v>#DIV/0!</v>
      </c>
      <c r="AF150" s="181" t="e">
        <f t="shared" si="31"/>
        <v>#DIV/0!</v>
      </c>
      <c r="AG150" s="181" t="e">
        <f t="shared" si="31"/>
        <v>#DIV/0!</v>
      </c>
      <c r="AH150" s="181" t="e">
        <f t="shared" si="31"/>
        <v>#DIV/0!</v>
      </c>
      <c r="AI150" s="181" t="e">
        <f t="shared" si="31"/>
        <v>#DIV/0!</v>
      </c>
      <c r="AJ150" s="181" t="e">
        <f t="shared" si="31"/>
        <v>#DIV/0!</v>
      </c>
      <c r="AK150" s="181" t="e">
        <f t="shared" si="31"/>
        <v>#DIV/0!</v>
      </c>
      <c r="AL150" s="181" t="e">
        <f t="shared" si="31"/>
        <v>#DIV/0!</v>
      </c>
      <c r="AM150" s="181" t="e">
        <f t="shared" si="31"/>
        <v>#DIV/0!</v>
      </c>
      <c r="AN150" s="181" t="e">
        <f t="shared" si="31"/>
        <v>#DIV/0!</v>
      </c>
    </row>
    <row r="151" spans="2:40" x14ac:dyDescent="0.15">
      <c r="B151" s="338"/>
      <c r="C151" s="139" t="s">
        <v>913</v>
      </c>
      <c r="D151" s="104">
        <f>SUMIFS('caseload data'!E:E,'caseload data'!$D:$D,"TPO",'caseload data'!$A:$A,"North West Region",'caseload data'!$B:$B,"custody")</f>
        <v>0</v>
      </c>
      <c r="E151" s="104">
        <f>SUMIFS('caseload data'!F:F,'caseload data'!$D:$D,"TPO",'caseload data'!$A:$A,"North West Region",'caseload data'!$B:$B,"custody")</f>
        <v>0</v>
      </c>
      <c r="F151" s="104">
        <f>SUMIFS('caseload data'!G:G,'caseload data'!$D:$D,"TPO",'caseload data'!$A:$A,"North West Region",'caseload data'!$B:$B,"custody")</f>
        <v>0</v>
      </c>
      <c r="G151" s="104">
        <f>SUMIFS('caseload data'!H:H,'caseload data'!$D:$D,"TPO",'caseload data'!$A:$A,"North West Region",'caseload data'!$B:$B,"custody")</f>
        <v>0</v>
      </c>
      <c r="H151" s="104">
        <f>SUMIFS('caseload data'!I:I,'caseload data'!$D:$D,"TPO",'caseload data'!$A:$A,"North West Region",'caseload data'!$B:$B,"custody")</f>
        <v>0</v>
      </c>
      <c r="I151" s="104">
        <f>SUMIFS('caseload data'!J:J,'caseload data'!$D:$D,"TPO",'caseload data'!$A:$A,"North West Region",'caseload data'!$B:$B,"custody")</f>
        <v>0</v>
      </c>
      <c r="J151" s="104">
        <f>SUMIFS('caseload data'!K:K,'caseload data'!$D:$D,"TPO",'caseload data'!$A:$A,"North West Region",'caseload data'!$B:$B,"custody")</f>
        <v>0</v>
      </c>
      <c r="K151" s="104">
        <f>SUMIFS('caseload data'!L:L,'caseload data'!$D:$D,"TPO",'caseload data'!$A:$A,"North West Region",'caseload data'!$B:$B,"custody")</f>
        <v>0</v>
      </c>
      <c r="L151" s="104">
        <f>SUMIFS('caseload data'!M:M,'caseload data'!$D:$D,"TPO",'caseload data'!$A:$A,"North West Region",'caseload data'!$B:$B,"custody")</f>
        <v>0</v>
      </c>
      <c r="M151" s="104">
        <f>SUMIFS('caseload data'!N:N,'caseload data'!$D:$D,"TPO",'caseload data'!$A:$A,"North West Region",'caseload data'!$B:$B,"custody")</f>
        <v>0</v>
      </c>
      <c r="N151" s="104">
        <f>SUMIFS('caseload data'!O:O,'caseload data'!$D:$D,"TPO",'caseload data'!$A:$A,"North West Region",'caseload data'!$B:$B,"custody")</f>
        <v>0</v>
      </c>
      <c r="O151" s="104">
        <f>SUMIFS('caseload data'!P:P,'caseload data'!$D:$D,"TPO",'caseload data'!$A:$A,"North West Region",'caseload data'!$B:$B,"custody")</f>
        <v>0</v>
      </c>
      <c r="P151" s="104">
        <f>SUMIFS('caseload data'!Q:Q,'caseload data'!$D:$D,"TPO",'caseload data'!$A:$A,"North West Region",'caseload data'!$B:$B,"custody")</f>
        <v>0</v>
      </c>
      <c r="Q151" s="104">
        <f>SUMIFS('caseload data'!R:R,'caseload data'!$D:$D,"TPO",'caseload data'!$A:$A,"North West Region",'caseload data'!$B:$B,"custody")</f>
        <v>0</v>
      </c>
      <c r="R151" s="104">
        <f>SUMIFS('caseload data'!S:S,'caseload data'!$D:$D,"TPO",'caseload data'!$A:$A,"North West Region",'caseload data'!$B:$B,"custody")</f>
        <v>0</v>
      </c>
      <c r="S151" s="104">
        <f>SUMIFS('caseload data'!T:T,'caseload data'!$D:$D,"TPO",'caseload data'!$A:$A,"North West Region",'caseload data'!$B:$B,"custody")</f>
        <v>0</v>
      </c>
      <c r="T151" s="104">
        <f>SUMIFS('caseload data'!V:V,'caseload data'!D:D,"TPO",'caseload data'!A:A,"North West Region",'caseload data'!B:B,"custody")</f>
        <v>0</v>
      </c>
      <c r="U151" s="73"/>
      <c r="V151" s="73"/>
      <c r="W151" s="338"/>
      <c r="X151" s="139" t="s">
        <v>913</v>
      </c>
      <c r="Y151" s="181" t="e">
        <f>SUM(D151)/SUM(D$149:D$152)</f>
        <v>#DIV/0!</v>
      </c>
      <c r="Z151" s="181" t="e">
        <f t="shared" si="31"/>
        <v>#DIV/0!</v>
      </c>
      <c r="AA151" s="181" t="e">
        <f t="shared" si="31"/>
        <v>#DIV/0!</v>
      </c>
      <c r="AB151" s="181" t="e">
        <f t="shared" si="31"/>
        <v>#DIV/0!</v>
      </c>
      <c r="AC151" s="181" t="e">
        <f t="shared" si="31"/>
        <v>#DIV/0!</v>
      </c>
      <c r="AD151" s="181" t="e">
        <f t="shared" si="31"/>
        <v>#DIV/0!</v>
      </c>
      <c r="AE151" s="181" t="e">
        <f t="shared" si="31"/>
        <v>#DIV/0!</v>
      </c>
      <c r="AF151" s="181" t="e">
        <f t="shared" si="31"/>
        <v>#DIV/0!</v>
      </c>
      <c r="AG151" s="181" t="e">
        <f t="shared" si="31"/>
        <v>#DIV/0!</v>
      </c>
      <c r="AH151" s="181" t="e">
        <f t="shared" si="31"/>
        <v>#DIV/0!</v>
      </c>
      <c r="AI151" s="181" t="e">
        <f t="shared" si="31"/>
        <v>#DIV/0!</v>
      </c>
      <c r="AJ151" s="181" t="e">
        <f t="shared" si="31"/>
        <v>#DIV/0!</v>
      </c>
      <c r="AK151" s="181" t="e">
        <f t="shared" si="31"/>
        <v>#DIV/0!</v>
      </c>
      <c r="AL151" s="181" t="e">
        <f t="shared" si="31"/>
        <v>#DIV/0!</v>
      </c>
      <c r="AM151" s="181" t="e">
        <f t="shared" si="31"/>
        <v>#DIV/0!</v>
      </c>
      <c r="AN151" s="181" t="e">
        <f t="shared" si="31"/>
        <v>#DIV/0!</v>
      </c>
    </row>
    <row r="152" spans="2:40" x14ac:dyDescent="0.15">
      <c r="B152" s="339"/>
      <c r="C152" s="140" t="s">
        <v>914</v>
      </c>
      <c r="D152" s="104">
        <f>SUMIFS('caseload data'!E:E,'caseload data'!$D:$D,"SPO",'caseload data'!$A:$A,"North West Region",'caseload data'!$B:$B,"custody")</f>
        <v>0</v>
      </c>
      <c r="E152" s="104">
        <f>SUMIFS('caseload data'!F:F,'caseload data'!$D:$D,"SPO",'caseload data'!$A:$A,"North West Region",'caseload data'!$B:$B,"custody")</f>
        <v>0</v>
      </c>
      <c r="F152" s="104">
        <f>SUMIFS('caseload data'!G:G,'caseload data'!$D:$D,"SPO",'caseload data'!$A:$A,"North West Region",'caseload data'!$B:$B,"custody")</f>
        <v>0</v>
      </c>
      <c r="G152" s="104">
        <f>SUMIFS('caseload data'!H:H,'caseload data'!$D:$D,"SPO",'caseload data'!$A:$A,"North West Region",'caseload data'!$B:$B,"custody")</f>
        <v>0</v>
      </c>
      <c r="H152" s="104">
        <f>SUMIFS('caseload data'!I:I,'caseload data'!$D:$D,"SPO",'caseload data'!$A:$A,"North West Region",'caseload data'!$B:$B,"custody")</f>
        <v>0</v>
      </c>
      <c r="I152" s="104">
        <f>SUMIFS('caseload data'!J:J,'caseload data'!$D:$D,"SPO",'caseload data'!$A:$A,"North West Region",'caseload data'!$B:$B,"custody")</f>
        <v>0</v>
      </c>
      <c r="J152" s="104">
        <f>SUMIFS('caseload data'!K:K,'caseload data'!$D:$D,"SPO",'caseload data'!$A:$A,"North West Region",'caseload data'!$B:$B,"custody")</f>
        <v>0</v>
      </c>
      <c r="K152" s="104">
        <f>SUMIFS('caseload data'!L:L,'caseload data'!$D:$D,"SPO",'caseload data'!$A:$A,"North West Region",'caseload data'!$B:$B,"custody")</f>
        <v>0</v>
      </c>
      <c r="L152" s="104">
        <f>SUMIFS('caseload data'!M:M,'caseload data'!$D:$D,"SPO",'caseload data'!$A:$A,"North West Region",'caseload data'!$B:$B,"custody")</f>
        <v>0</v>
      </c>
      <c r="M152" s="104">
        <f>SUMIFS('caseload data'!N:N,'caseload data'!$D:$D,"SPO",'caseload data'!$A:$A,"North West Region",'caseload data'!$B:$B,"custody")</f>
        <v>0</v>
      </c>
      <c r="N152" s="104">
        <f>SUMIFS('caseload data'!O:O,'caseload data'!$D:$D,"SPO",'caseload data'!$A:$A,"North West Region",'caseload data'!$B:$B,"custody")</f>
        <v>0</v>
      </c>
      <c r="O152" s="104">
        <f>SUMIFS('caseload data'!P:P,'caseload data'!$D:$D,"SPO",'caseload data'!$A:$A,"North West Region",'caseload data'!$B:$B,"custody")</f>
        <v>0</v>
      </c>
      <c r="P152" s="104">
        <f>SUMIFS('caseload data'!Q:Q,'caseload data'!$D:$D,"SPO",'caseload data'!$A:$A,"North West Region",'caseload data'!$B:$B,"custody")</f>
        <v>0</v>
      </c>
      <c r="Q152" s="104">
        <f>SUMIFS('caseload data'!R:R,'caseload data'!$D:$D,"SPO",'caseload data'!$A:$A,"North West Region",'caseload data'!$B:$B,"custody")</f>
        <v>0</v>
      </c>
      <c r="R152" s="104">
        <f>SUMIFS('caseload data'!S:S,'caseload data'!$D:$D,"SPO",'caseload data'!$A:$A,"North West Region",'caseload data'!$B:$B,"custody")</f>
        <v>0</v>
      </c>
      <c r="S152" s="104">
        <f>SUMIFS('caseload data'!T:T,'caseload data'!$D:$D,"SPO",'caseload data'!$A:$A,"North West Region",'caseload data'!$B:$B,"custody")</f>
        <v>0</v>
      </c>
      <c r="T152" s="104">
        <f>SUMIFS('caseload data'!V:V,'caseload data'!$D:$D,"SPO",'caseload data'!$A:$A,"North West Region",'caseload data'!$B:$B,"custody")</f>
        <v>0</v>
      </c>
      <c r="U152" s="73"/>
      <c r="V152" s="73"/>
      <c r="W152" s="339"/>
      <c r="X152" s="140" t="s">
        <v>914</v>
      </c>
      <c r="Y152" s="181" t="e">
        <f>SUM(D152)/SUM(D$149:D$152)</f>
        <v>#DIV/0!</v>
      </c>
      <c r="Z152" s="181" t="e">
        <f t="shared" si="31"/>
        <v>#DIV/0!</v>
      </c>
      <c r="AA152" s="181" t="e">
        <f t="shared" si="31"/>
        <v>#DIV/0!</v>
      </c>
      <c r="AB152" s="181" t="e">
        <f t="shared" si="31"/>
        <v>#DIV/0!</v>
      </c>
      <c r="AC152" s="181" t="e">
        <f t="shared" si="31"/>
        <v>#DIV/0!</v>
      </c>
      <c r="AD152" s="181" t="e">
        <f t="shared" si="31"/>
        <v>#DIV/0!</v>
      </c>
      <c r="AE152" s="181" t="e">
        <f t="shared" si="31"/>
        <v>#DIV/0!</v>
      </c>
      <c r="AF152" s="181" t="e">
        <f t="shared" si="31"/>
        <v>#DIV/0!</v>
      </c>
      <c r="AG152" s="181" t="e">
        <f t="shared" si="31"/>
        <v>#DIV/0!</v>
      </c>
      <c r="AH152" s="181" t="e">
        <f t="shared" si="31"/>
        <v>#DIV/0!</v>
      </c>
      <c r="AI152" s="181" t="e">
        <f t="shared" si="31"/>
        <v>#DIV/0!</v>
      </c>
      <c r="AJ152" s="181" t="e">
        <f t="shared" si="31"/>
        <v>#DIV/0!</v>
      </c>
      <c r="AK152" s="181" t="e">
        <f t="shared" si="31"/>
        <v>#DIV/0!</v>
      </c>
      <c r="AL152" s="181" t="e">
        <f t="shared" si="31"/>
        <v>#DIV/0!</v>
      </c>
      <c r="AM152" s="181" t="e">
        <f t="shared" si="31"/>
        <v>#DIV/0!</v>
      </c>
      <c r="AN152" s="181" t="e">
        <f t="shared" si="31"/>
        <v>#DIV/0!</v>
      </c>
    </row>
    <row r="153" spans="2:40" x14ac:dyDescent="0.15">
      <c r="B153" s="337" t="s">
        <v>27</v>
      </c>
      <c r="C153" s="138" t="s">
        <v>911</v>
      </c>
      <c r="D153" s="104">
        <f>SUMIFS('caseload data'!E:E,'caseload data'!$D:$D,"PO",'caseload data'!$A:$A,'national caseload'!$B$153:$B$155,'caseload data'!$B:$B,"custody")</f>
        <v>0</v>
      </c>
      <c r="E153" s="104">
        <f>SUMIFS('caseload data'!F:F,'caseload data'!$D:$D,"PO",'caseload data'!$A:$A,'national caseload'!$B$153:$B$155,'caseload data'!$B:$B,"custody")</f>
        <v>0</v>
      </c>
      <c r="F153" s="104">
        <f>SUMIFS('caseload data'!G:G,'caseload data'!$D:$D,"PO",'caseload data'!$A:$A,'national caseload'!$B$153:$B$155,'caseload data'!$B:$B,"custody")</f>
        <v>0</v>
      </c>
      <c r="G153" s="104">
        <f>SUMIFS('caseload data'!H:H,'caseload data'!$D:$D,"PO",'caseload data'!$A:$A,'national caseload'!$B$153:$B$155,'caseload data'!$B:$B,"custody")</f>
        <v>0</v>
      </c>
      <c r="H153" s="104">
        <f>SUMIFS('caseload data'!I:I,'caseload data'!$D:$D,"PO",'caseload data'!$A:$A,'national caseload'!$B$153:$B$155,'caseload data'!$B:$B,"custody")</f>
        <v>0</v>
      </c>
      <c r="I153" s="104">
        <f>SUMIFS('caseload data'!J:J,'caseload data'!$D:$D,"PO",'caseload data'!$A:$A,'national caseload'!$B$153:$B$155,'caseload data'!$B:$B,"custody")</f>
        <v>0</v>
      </c>
      <c r="J153" s="104">
        <f>SUMIFS('caseload data'!K:K,'caseload data'!$D:$D,"PO",'caseload data'!$A:$A,'national caseload'!$B$153:$B$155,'caseload data'!$B:$B,"custody")</f>
        <v>0</v>
      </c>
      <c r="K153" s="104">
        <f>SUMIFS('caseload data'!L:L,'caseload data'!$D:$D,"PO",'caseload data'!$A:$A,'national caseload'!$B$153:$B$155,'caseload data'!$B:$B,"custody")</f>
        <v>0</v>
      </c>
      <c r="L153" s="104">
        <f>SUMIFS('caseload data'!M:M,'caseload data'!$D:$D,"PO",'caseload data'!$A:$A,'national caseload'!$B$153:$B$155,'caseload data'!$B:$B,"custody")</f>
        <v>0</v>
      </c>
      <c r="M153" s="104">
        <f>SUMIFS('caseload data'!N:N,'caseload data'!$D:$D,"PO",'caseload data'!$A:$A,'national caseload'!$B$153:$B$155,'caseload data'!$B:$B,"custody")</f>
        <v>0</v>
      </c>
      <c r="N153" s="104">
        <f>SUMIFS('caseload data'!O:O,'caseload data'!$D:$D,"PO",'caseload data'!$A:$A,'national caseload'!$B$153:$B$155,'caseload data'!$B:$B,"custody")</f>
        <v>0</v>
      </c>
      <c r="O153" s="104">
        <f>SUMIFS('caseload data'!P:P,'caseload data'!$D:$D,"PO",'caseload data'!$A:$A,'national caseload'!$B$153:$B$155,'caseload data'!$B:$B,"custody")</f>
        <v>0</v>
      </c>
      <c r="P153" s="104">
        <f>SUMIFS('caseload data'!Q:Q,'caseload data'!$D:$D,"PO",'caseload data'!$A:$A,'national caseload'!$B$153:$B$155,'caseload data'!$B:$B,"custody")</f>
        <v>0</v>
      </c>
      <c r="Q153" s="104">
        <f>SUMIFS('caseload data'!R:R,'caseload data'!$D:$D,"PO",'caseload data'!$A:$A,'national caseload'!$B$153:$B$155,'caseload data'!$B:$B,"custody")</f>
        <v>0</v>
      </c>
      <c r="R153" s="104">
        <f>SUMIFS('caseload data'!S:S,'caseload data'!$D:$D,"PO",'caseload data'!$A:$A,'national caseload'!$B$153:$B$155,'caseload data'!$B:$B,"custody")</f>
        <v>0</v>
      </c>
      <c r="S153" s="104">
        <f>SUMIFS('caseload data'!T:T,'caseload data'!$D:$D,"PO",'caseload data'!$A:$A,'national caseload'!$B$153:$B$155,'caseload data'!$B:$B,"custody")</f>
        <v>0</v>
      </c>
      <c r="T153" s="104">
        <f>SUMIFS('caseload data'!V:V,'caseload data'!D:D,"PO",'caseload data'!A:A,'national caseload'!B153:B155,'caseload data'!B:B,"custody")</f>
        <v>0</v>
      </c>
      <c r="U153" s="73"/>
      <c r="V153" s="73"/>
      <c r="W153" s="337" t="s">
        <v>27</v>
      </c>
      <c r="X153" s="138" t="s">
        <v>911</v>
      </c>
      <c r="Y153" s="181" t="e">
        <f>SUM(D153)/SUM(D$153:D$155)</f>
        <v>#DIV/0!</v>
      </c>
      <c r="Z153" s="181" t="e">
        <f t="shared" ref="Z153:AN156" si="32">SUM(E153)/SUM(E$153:E$155)</f>
        <v>#DIV/0!</v>
      </c>
      <c r="AA153" s="181" t="e">
        <f t="shared" si="32"/>
        <v>#DIV/0!</v>
      </c>
      <c r="AB153" s="181" t="e">
        <f t="shared" si="32"/>
        <v>#DIV/0!</v>
      </c>
      <c r="AC153" s="181" t="e">
        <f t="shared" si="32"/>
        <v>#DIV/0!</v>
      </c>
      <c r="AD153" s="181" t="e">
        <f t="shared" si="32"/>
        <v>#DIV/0!</v>
      </c>
      <c r="AE153" s="181" t="e">
        <f t="shared" si="32"/>
        <v>#DIV/0!</v>
      </c>
      <c r="AF153" s="181" t="e">
        <f t="shared" si="32"/>
        <v>#DIV/0!</v>
      </c>
      <c r="AG153" s="181" t="e">
        <f t="shared" si="32"/>
        <v>#DIV/0!</v>
      </c>
      <c r="AH153" s="181" t="e">
        <f t="shared" si="32"/>
        <v>#DIV/0!</v>
      </c>
      <c r="AI153" s="181" t="e">
        <f t="shared" si="32"/>
        <v>#DIV/0!</v>
      </c>
      <c r="AJ153" s="181" t="e">
        <f t="shared" si="32"/>
        <v>#DIV/0!</v>
      </c>
      <c r="AK153" s="181" t="e">
        <f t="shared" si="32"/>
        <v>#DIV/0!</v>
      </c>
      <c r="AL153" s="181" t="e">
        <f t="shared" si="32"/>
        <v>#DIV/0!</v>
      </c>
      <c r="AM153" s="181" t="e">
        <f t="shared" si="32"/>
        <v>#DIV/0!</v>
      </c>
      <c r="AN153" s="181" t="e">
        <f t="shared" si="32"/>
        <v>#DIV/0!</v>
      </c>
    </row>
    <row r="154" spans="2:40" x14ac:dyDescent="0.15">
      <c r="B154" s="338"/>
      <c r="C154" s="139" t="s">
        <v>912</v>
      </c>
      <c r="D154" s="104">
        <f>SUMIFS('caseload data'!E:E,'caseload data'!$D:$D,"PSO",'caseload data'!$A:$A,"South Central",'caseload data'!$B:$B,"custody")</f>
        <v>0</v>
      </c>
      <c r="E154" s="104">
        <f>SUMIFS('caseload data'!F:F,'caseload data'!$D:$D,"PSO",'caseload data'!$A:$A,"South Central",'caseload data'!$B:$B,"custody")</f>
        <v>0</v>
      </c>
      <c r="F154" s="104">
        <f>SUMIFS('caseload data'!G:G,'caseload data'!$D:$D,"PSO",'caseload data'!$A:$A,"South Central",'caseload data'!$B:$B,"custody")</f>
        <v>0</v>
      </c>
      <c r="G154" s="104">
        <f>SUMIFS('caseload data'!H:H,'caseload data'!$D:$D,"PSO",'caseload data'!$A:$A,"South Central",'caseload data'!$B:$B,"custody")</f>
        <v>0</v>
      </c>
      <c r="H154" s="104">
        <f>SUMIFS('caseload data'!I:I,'caseload data'!$D:$D,"PSO",'caseload data'!$A:$A,"South Central",'caseload data'!$B:$B,"custody")</f>
        <v>0</v>
      </c>
      <c r="I154" s="104">
        <f>SUMIFS('caseload data'!J:J,'caseload data'!$D:$D,"PSO",'caseload data'!$A:$A,"South Central",'caseload data'!$B:$B,"custody")</f>
        <v>0</v>
      </c>
      <c r="J154" s="104">
        <f>SUMIFS('caseload data'!K:K,'caseload data'!$D:$D,"PSO",'caseload data'!$A:$A,"South Central",'caseload data'!$B:$B,"custody")</f>
        <v>0</v>
      </c>
      <c r="K154" s="104">
        <f>SUMIFS('caseload data'!L:L,'caseload data'!$D:$D,"PSO",'caseload data'!$A:$A,"South Central",'caseload data'!$B:$B,"custody")</f>
        <v>0</v>
      </c>
      <c r="L154" s="104">
        <f>SUMIFS('caseload data'!M:M,'caseload data'!$D:$D,"PSO",'caseload data'!$A:$A,"South Central",'caseload data'!$B:$B,"custody")</f>
        <v>0</v>
      </c>
      <c r="M154" s="104">
        <f>SUMIFS('caseload data'!N:N,'caseload data'!$D:$D,"PSO",'caseload data'!$A:$A,"South Central",'caseload data'!$B:$B,"custody")</f>
        <v>0</v>
      </c>
      <c r="N154" s="104">
        <f>SUMIFS('caseload data'!O:O,'caseload data'!$D:$D,"PSO",'caseload data'!$A:$A,"South Central",'caseload data'!$B:$B,"custody")</f>
        <v>0</v>
      </c>
      <c r="O154" s="104">
        <f>SUMIFS('caseload data'!P:P,'caseload data'!$D:$D,"PSO",'caseload data'!$A:$A,"South Central",'caseload data'!$B:$B,"custody")</f>
        <v>0</v>
      </c>
      <c r="P154" s="104">
        <f>SUMIFS('caseload data'!Q:Q,'caseload data'!$D:$D,"PSO",'caseload data'!$A:$A,"South Central",'caseload data'!$B:$B,"custody")</f>
        <v>0</v>
      </c>
      <c r="Q154" s="104">
        <f>SUMIFS('caseload data'!R:R,'caseload data'!$D:$D,"PSO",'caseload data'!$A:$A,"South Central",'caseload data'!$B:$B,"custody")</f>
        <v>0</v>
      </c>
      <c r="R154" s="104">
        <f>SUMIFS('caseload data'!S:S,'caseload data'!$D:$D,"PSO",'caseload data'!$A:$A,"South Central",'caseload data'!$B:$B,"custody")</f>
        <v>0</v>
      </c>
      <c r="S154" s="104">
        <f>SUMIFS('caseload data'!T:T,'caseload data'!$D:$D,"PSO",'caseload data'!$A:$A,"South Central",'caseload data'!$B:$B,"custody")</f>
        <v>0</v>
      </c>
      <c r="T154" s="104">
        <f>SUMIFS('caseload data'!V:V,'caseload data'!D:D,"PSO",'caseload data'!A:A,"South Central",'caseload data'!B:B,"custody")</f>
        <v>0</v>
      </c>
      <c r="U154" s="73"/>
      <c r="V154" s="73"/>
      <c r="W154" s="338"/>
      <c r="X154" s="139" t="s">
        <v>912</v>
      </c>
      <c r="Y154" s="181" t="e">
        <f>SUM(D154)/SUM(D$153:D$155)</f>
        <v>#DIV/0!</v>
      </c>
      <c r="Z154" s="181" t="e">
        <f t="shared" si="32"/>
        <v>#DIV/0!</v>
      </c>
      <c r="AA154" s="181" t="e">
        <f t="shared" si="32"/>
        <v>#DIV/0!</v>
      </c>
      <c r="AB154" s="181" t="e">
        <f t="shared" si="32"/>
        <v>#DIV/0!</v>
      </c>
      <c r="AC154" s="181" t="e">
        <f t="shared" si="32"/>
        <v>#DIV/0!</v>
      </c>
      <c r="AD154" s="181" t="e">
        <f t="shared" si="32"/>
        <v>#DIV/0!</v>
      </c>
      <c r="AE154" s="181" t="e">
        <f t="shared" si="32"/>
        <v>#DIV/0!</v>
      </c>
      <c r="AF154" s="181" t="e">
        <f t="shared" si="32"/>
        <v>#DIV/0!</v>
      </c>
      <c r="AG154" s="181" t="e">
        <f t="shared" si="32"/>
        <v>#DIV/0!</v>
      </c>
      <c r="AH154" s="181" t="e">
        <f t="shared" si="32"/>
        <v>#DIV/0!</v>
      </c>
      <c r="AI154" s="181" t="e">
        <f t="shared" si="32"/>
        <v>#DIV/0!</v>
      </c>
      <c r="AJ154" s="181" t="e">
        <f t="shared" si="32"/>
        <v>#DIV/0!</v>
      </c>
      <c r="AK154" s="181" t="e">
        <f t="shared" si="32"/>
        <v>#DIV/0!</v>
      </c>
      <c r="AL154" s="181" t="e">
        <f t="shared" si="32"/>
        <v>#DIV/0!</v>
      </c>
      <c r="AM154" s="181" t="e">
        <f t="shared" si="32"/>
        <v>#DIV/0!</v>
      </c>
      <c r="AN154" s="181" t="e">
        <f t="shared" si="32"/>
        <v>#DIV/0!</v>
      </c>
    </row>
    <row r="155" spans="2:40" x14ac:dyDescent="0.15">
      <c r="B155" s="338"/>
      <c r="C155" s="139" t="s">
        <v>913</v>
      </c>
      <c r="D155" s="104">
        <f>SUMIFS('caseload data'!E:E,'caseload data'!$D:$D,"TPO",'caseload data'!$A:$A,"South Central",'caseload data'!$B:$B,"custody")</f>
        <v>0</v>
      </c>
      <c r="E155" s="104">
        <f>SUMIFS('caseload data'!F:F,'caseload data'!$D:$D,"TPO",'caseload data'!$A:$A,"South Central",'caseload data'!$B:$B,"custody")</f>
        <v>0</v>
      </c>
      <c r="F155" s="104">
        <f>SUMIFS('caseload data'!G:G,'caseload data'!$D:$D,"TPO",'caseload data'!$A:$A,"South Central",'caseload data'!$B:$B,"custody")</f>
        <v>0</v>
      </c>
      <c r="G155" s="104">
        <f>SUMIFS('caseload data'!H:H,'caseload data'!$D:$D,"TPO",'caseload data'!$A:$A,"South Central",'caseload data'!$B:$B,"custody")</f>
        <v>0</v>
      </c>
      <c r="H155" s="104">
        <f>SUMIFS('caseload data'!I:I,'caseload data'!$D:$D,"TPO",'caseload data'!$A:$A,"South Central",'caseload data'!$B:$B,"custody")</f>
        <v>0</v>
      </c>
      <c r="I155" s="104">
        <f>SUMIFS('caseload data'!J:J,'caseload data'!$D:$D,"TPO",'caseload data'!$A:$A,"South Central",'caseload data'!$B:$B,"custody")</f>
        <v>0</v>
      </c>
      <c r="J155" s="104">
        <f>SUMIFS('caseload data'!K:K,'caseload data'!$D:$D,"TPO",'caseload data'!$A:$A,"South Central",'caseload data'!$B:$B,"custody")</f>
        <v>0</v>
      </c>
      <c r="K155" s="104">
        <f>SUMIFS('caseload data'!L:L,'caseload data'!$D:$D,"TPO",'caseload data'!$A:$A,"South Central",'caseload data'!$B:$B,"custody")</f>
        <v>0</v>
      </c>
      <c r="L155" s="104">
        <f>SUMIFS('caseload data'!M:M,'caseload data'!$D:$D,"TPO",'caseload data'!$A:$A,"South Central",'caseload data'!$B:$B,"custody")</f>
        <v>0</v>
      </c>
      <c r="M155" s="104">
        <f>SUMIFS('caseload data'!N:N,'caseload data'!$D:$D,"TPO",'caseload data'!$A:$A,"South Central",'caseload data'!$B:$B,"custody")</f>
        <v>0</v>
      </c>
      <c r="N155" s="104">
        <f>SUMIFS('caseload data'!O:O,'caseload data'!$D:$D,"TPO",'caseload data'!$A:$A,"South Central",'caseload data'!$B:$B,"custody")</f>
        <v>0</v>
      </c>
      <c r="O155" s="104">
        <f>SUMIFS('caseload data'!P:P,'caseload data'!$D:$D,"TPO",'caseload data'!$A:$A,"South Central",'caseload data'!$B:$B,"custody")</f>
        <v>0</v>
      </c>
      <c r="P155" s="104">
        <f>SUMIFS('caseload data'!Q:Q,'caseload data'!$D:$D,"TPO",'caseload data'!$A:$A,"South Central",'caseload data'!$B:$B,"custody")</f>
        <v>0</v>
      </c>
      <c r="Q155" s="104">
        <f>SUMIFS('caseload data'!R:R,'caseload data'!$D:$D,"TPO",'caseload data'!$A:$A,"South Central",'caseload data'!$B:$B,"custody")</f>
        <v>0</v>
      </c>
      <c r="R155" s="104">
        <f>SUMIFS('caseload data'!S:S,'caseload data'!$D:$D,"TPO",'caseload data'!$A:$A,"South Central",'caseload data'!$B:$B,"custody")</f>
        <v>0</v>
      </c>
      <c r="S155" s="104">
        <f>SUMIFS('caseload data'!T:T,'caseload data'!$D:$D,"TPO",'caseload data'!$A:$A,"South Central",'caseload data'!$B:$B,"custody")</f>
        <v>0</v>
      </c>
      <c r="T155" s="104">
        <f>SUMIFS('caseload data'!V:V,'caseload data'!D:D,"TPO",'caseload data'!A:A,"South Central",'caseload data'!B:B,"custody")</f>
        <v>0</v>
      </c>
      <c r="U155" s="73"/>
      <c r="V155" s="73"/>
      <c r="W155" s="338"/>
      <c r="X155" s="139" t="s">
        <v>913</v>
      </c>
      <c r="Y155" s="181" t="e">
        <f>SUM(D155)/SUM(D$153:D$155)</f>
        <v>#DIV/0!</v>
      </c>
      <c r="Z155" s="181" t="e">
        <f t="shared" si="32"/>
        <v>#DIV/0!</v>
      </c>
      <c r="AA155" s="181" t="e">
        <f t="shared" si="32"/>
        <v>#DIV/0!</v>
      </c>
      <c r="AB155" s="181" t="e">
        <f t="shared" si="32"/>
        <v>#DIV/0!</v>
      </c>
      <c r="AC155" s="181" t="e">
        <f t="shared" si="32"/>
        <v>#DIV/0!</v>
      </c>
      <c r="AD155" s="181" t="e">
        <f t="shared" si="32"/>
        <v>#DIV/0!</v>
      </c>
      <c r="AE155" s="181" t="e">
        <f t="shared" si="32"/>
        <v>#DIV/0!</v>
      </c>
      <c r="AF155" s="181" t="e">
        <f t="shared" si="32"/>
        <v>#DIV/0!</v>
      </c>
      <c r="AG155" s="181" t="e">
        <f t="shared" si="32"/>
        <v>#DIV/0!</v>
      </c>
      <c r="AH155" s="181" t="e">
        <f t="shared" si="32"/>
        <v>#DIV/0!</v>
      </c>
      <c r="AI155" s="181" t="e">
        <f t="shared" si="32"/>
        <v>#DIV/0!</v>
      </c>
      <c r="AJ155" s="181" t="e">
        <f t="shared" si="32"/>
        <v>#DIV/0!</v>
      </c>
      <c r="AK155" s="181" t="e">
        <f t="shared" si="32"/>
        <v>#DIV/0!</v>
      </c>
      <c r="AL155" s="181" t="e">
        <f t="shared" si="32"/>
        <v>#DIV/0!</v>
      </c>
      <c r="AM155" s="181" t="e">
        <f t="shared" si="32"/>
        <v>#DIV/0!</v>
      </c>
      <c r="AN155" s="181" t="e">
        <f t="shared" si="32"/>
        <v>#DIV/0!</v>
      </c>
    </row>
    <row r="156" spans="2:40" x14ac:dyDescent="0.15">
      <c r="B156" s="339"/>
      <c r="C156" s="140" t="s">
        <v>914</v>
      </c>
      <c r="D156" s="104">
        <f>SUMIFS('caseload data'!E:E,'caseload data'!$D:$D,"SPO",'caseload data'!$A:$A,"South Central",'caseload data'!$B:$B,"custody")</f>
        <v>0</v>
      </c>
      <c r="E156" s="104">
        <f>SUMIFS('caseload data'!F:F,'caseload data'!$D:$D,"SPO",'caseload data'!$A:$A,"South Central",'caseload data'!$B:$B,"custody")</f>
        <v>0</v>
      </c>
      <c r="F156" s="104">
        <f>SUMIFS('caseload data'!G:G,'caseload data'!$D:$D,"SPO",'caseload data'!$A:$A,"South Central",'caseload data'!$B:$B,"custody")</f>
        <v>0</v>
      </c>
      <c r="G156" s="104">
        <f>SUMIFS('caseload data'!H:H,'caseload data'!$D:$D,"SPO",'caseload data'!$A:$A,"South Central",'caseload data'!$B:$B,"custody")</f>
        <v>0</v>
      </c>
      <c r="H156" s="104">
        <f>SUMIFS('caseload data'!I:I,'caseload data'!$D:$D,"SPO",'caseload data'!$A:$A,"South Central",'caseload data'!$B:$B,"custody")</f>
        <v>0</v>
      </c>
      <c r="I156" s="104">
        <f>SUMIFS('caseload data'!J:J,'caseload data'!$D:$D,"SPO",'caseload data'!$A:$A,"South Central",'caseload data'!$B:$B,"custody")</f>
        <v>0</v>
      </c>
      <c r="J156" s="104">
        <f>SUMIFS('caseload data'!K:K,'caseload data'!$D:$D,"SPO",'caseload data'!$A:$A,"South Central",'caseload data'!$B:$B,"custody")</f>
        <v>0</v>
      </c>
      <c r="K156" s="104">
        <f>SUMIFS('caseload data'!L:L,'caseload data'!$D:$D,"SPO",'caseload data'!$A:$A,"South Central",'caseload data'!$B:$B,"custody")</f>
        <v>0</v>
      </c>
      <c r="L156" s="104">
        <f>SUMIFS('caseload data'!M:M,'caseload data'!$D:$D,"SPO",'caseload data'!$A:$A,"South Central",'caseload data'!$B:$B,"custody")</f>
        <v>0</v>
      </c>
      <c r="M156" s="104">
        <f>SUMIFS('caseload data'!N:N,'caseload data'!$D:$D,"SPO",'caseload data'!$A:$A,"South Central",'caseload data'!$B:$B,"custody")</f>
        <v>0</v>
      </c>
      <c r="N156" s="104">
        <f>SUMIFS('caseload data'!O:O,'caseload data'!$D:$D,"SPO",'caseload data'!$A:$A,"South Central",'caseload data'!$B:$B,"custody")</f>
        <v>0</v>
      </c>
      <c r="O156" s="104">
        <f>SUMIFS('caseload data'!P:P,'caseload data'!$D:$D,"SPO",'caseload data'!$A:$A,"South Central",'caseload data'!$B:$B,"custody")</f>
        <v>0</v>
      </c>
      <c r="P156" s="104">
        <f>SUMIFS('caseload data'!Q:Q,'caseload data'!$D:$D,"SPO",'caseload data'!$A:$A,"South Central",'caseload data'!$B:$B,"custody")</f>
        <v>0</v>
      </c>
      <c r="Q156" s="104">
        <f>SUMIFS('caseload data'!R:R,'caseload data'!$D:$D,"SPO",'caseload data'!$A:$A,"South Central",'caseload data'!$B:$B,"custody")</f>
        <v>0</v>
      </c>
      <c r="R156" s="104">
        <f>SUMIFS('caseload data'!S:S,'caseload data'!$D:$D,"SPO",'caseload data'!$A:$A,"South Central",'caseload data'!$B:$B,"custody")</f>
        <v>0</v>
      </c>
      <c r="S156" s="104">
        <f>SUMIFS('caseload data'!T:T,'caseload data'!$D:$D,"SPO",'caseload data'!$A:$A,"South Central",'caseload data'!$B:$B,"custody")</f>
        <v>0</v>
      </c>
      <c r="T156" s="104">
        <f>SUMIFS('caseload data'!V:V,'caseload data'!$D:$D,"SPO",'caseload data'!$A:$A,"South Central",'caseload data'!$B:$B,"custody")</f>
        <v>0</v>
      </c>
      <c r="U156" s="73"/>
      <c r="V156" s="73"/>
      <c r="W156" s="339"/>
      <c r="X156" s="140" t="s">
        <v>914</v>
      </c>
      <c r="Y156" s="181" t="e">
        <f>SUM(D156)/SUM(D$153:D$155)</f>
        <v>#DIV/0!</v>
      </c>
      <c r="Z156" s="181" t="e">
        <f t="shared" si="32"/>
        <v>#DIV/0!</v>
      </c>
      <c r="AA156" s="181" t="e">
        <f t="shared" si="32"/>
        <v>#DIV/0!</v>
      </c>
      <c r="AB156" s="181" t="e">
        <f t="shared" si="32"/>
        <v>#DIV/0!</v>
      </c>
      <c r="AC156" s="181" t="e">
        <f t="shared" si="32"/>
        <v>#DIV/0!</v>
      </c>
      <c r="AD156" s="181" t="e">
        <f t="shared" si="32"/>
        <v>#DIV/0!</v>
      </c>
      <c r="AE156" s="181" t="e">
        <f t="shared" si="32"/>
        <v>#DIV/0!</v>
      </c>
      <c r="AF156" s="181" t="e">
        <f t="shared" si="32"/>
        <v>#DIV/0!</v>
      </c>
      <c r="AG156" s="181" t="e">
        <f t="shared" si="32"/>
        <v>#DIV/0!</v>
      </c>
      <c r="AH156" s="181" t="e">
        <f t="shared" si="32"/>
        <v>#DIV/0!</v>
      </c>
      <c r="AI156" s="181" t="e">
        <f t="shared" si="32"/>
        <v>#DIV/0!</v>
      </c>
      <c r="AJ156" s="181" t="e">
        <f t="shared" si="32"/>
        <v>#DIV/0!</v>
      </c>
      <c r="AK156" s="181" t="e">
        <f t="shared" si="32"/>
        <v>#DIV/0!</v>
      </c>
      <c r="AL156" s="181" t="e">
        <f t="shared" si="32"/>
        <v>#DIV/0!</v>
      </c>
      <c r="AM156" s="181" t="e">
        <f t="shared" si="32"/>
        <v>#DIV/0!</v>
      </c>
      <c r="AN156" s="181" t="e">
        <f t="shared" si="32"/>
        <v>#DIV/0!</v>
      </c>
    </row>
    <row r="157" spans="2:40" x14ac:dyDescent="0.15">
      <c r="B157" s="337" t="s">
        <v>28</v>
      </c>
      <c r="C157" s="138" t="s">
        <v>911</v>
      </c>
      <c r="D157" s="104">
        <f>SUMIFS('caseload data'!E:E,'caseload data'!$D:$D,"PO",'caseload data'!$A:$A,'national caseload'!$B$157:$B$159,'caseload data'!$B:$B,"custody")</f>
        <v>0</v>
      </c>
      <c r="E157" s="104">
        <f>SUMIFS('caseload data'!F:F,'caseload data'!$D:$D,"PO",'caseload data'!$A:$A,'national caseload'!$B$157:$B$159,'caseload data'!$B:$B,"custody")</f>
        <v>0</v>
      </c>
      <c r="F157" s="104">
        <f>SUMIFS('caseload data'!G:G,'caseload data'!$D:$D,"PO",'caseload data'!$A:$A,'national caseload'!$B$157:$B$159,'caseload data'!$B:$B,"custody")</f>
        <v>0</v>
      </c>
      <c r="G157" s="104">
        <f>SUMIFS('caseload data'!H:H,'caseload data'!$D:$D,"PO",'caseload data'!$A:$A,'national caseload'!$B$157:$B$159,'caseload data'!$B:$B,"custody")</f>
        <v>0</v>
      </c>
      <c r="H157" s="104">
        <f>SUMIFS('caseload data'!I:I,'caseload data'!$D:$D,"PO",'caseload data'!$A:$A,'national caseload'!$B$157:$B$159,'caseload data'!$B:$B,"custody")</f>
        <v>0</v>
      </c>
      <c r="I157" s="104">
        <f>SUMIFS('caseload data'!J:J,'caseload data'!$D:$D,"PO",'caseload data'!$A:$A,'national caseload'!$B$157:$B$159,'caseload data'!$B:$B,"custody")</f>
        <v>0</v>
      </c>
      <c r="J157" s="104">
        <f>SUMIFS('caseload data'!K:K,'caseload data'!$D:$D,"PO",'caseload data'!$A:$A,'national caseload'!$B$157:$B$159,'caseload data'!$B:$B,"custody")</f>
        <v>0</v>
      </c>
      <c r="K157" s="104">
        <f>SUMIFS('caseload data'!L:L,'caseload data'!$D:$D,"PO",'caseload data'!$A:$A,'national caseload'!$B$157:$B$159,'caseload data'!$B:$B,"custody")</f>
        <v>0</v>
      </c>
      <c r="L157" s="104">
        <f>SUMIFS('caseload data'!M:M,'caseload data'!$D:$D,"PO",'caseload data'!$A:$A,'national caseload'!$B$157:$B$159,'caseload data'!$B:$B,"custody")</f>
        <v>0</v>
      </c>
      <c r="M157" s="104">
        <f>SUMIFS('caseload data'!N:N,'caseload data'!$D:$D,"PO",'caseload data'!$A:$A,'national caseload'!$B$157:$B$159,'caseload data'!$B:$B,"custody")</f>
        <v>0</v>
      </c>
      <c r="N157" s="104">
        <f>SUMIFS('caseload data'!O:O,'caseload data'!$D:$D,"PO",'caseload data'!$A:$A,'national caseload'!$B$157:$B$159,'caseload data'!$B:$B,"custody")</f>
        <v>0</v>
      </c>
      <c r="O157" s="104">
        <f>SUMIFS('caseload data'!P:P,'caseload data'!$D:$D,"PO",'caseload data'!$A:$A,'national caseload'!$B$157:$B$159,'caseload data'!$B:$B,"custody")</f>
        <v>0</v>
      </c>
      <c r="P157" s="104">
        <f>SUMIFS('caseload data'!Q:Q,'caseload data'!$D:$D,"PO",'caseload data'!$A:$A,'national caseload'!$B$157:$B$159,'caseload data'!$B:$B,"custody")</f>
        <v>0</v>
      </c>
      <c r="Q157" s="104">
        <f>SUMIFS('caseload data'!R:R,'caseload data'!$D:$D,"PO",'caseload data'!$A:$A,'national caseload'!$B$157:$B$159,'caseload data'!$B:$B,"custody")</f>
        <v>0</v>
      </c>
      <c r="R157" s="104">
        <f>SUMIFS('caseload data'!S:S,'caseload data'!$D:$D,"PO",'caseload data'!$A:$A,'national caseload'!$B$157:$B$159,'caseload data'!$B:$B,"custody")</f>
        <v>0</v>
      </c>
      <c r="S157" s="104">
        <f>SUMIFS('caseload data'!T:T,'caseload data'!$D:$D,"PO",'caseload data'!$A:$A,'national caseload'!$B$157:$B$159,'caseload data'!$B:$B,"custody")</f>
        <v>0</v>
      </c>
      <c r="T157" s="104">
        <f>SUMIFS('caseload data'!V:V,'caseload data'!D:D,"PO",'caseload data'!A:A,'national caseload'!B157:B159,'caseload data'!B:B,"custody")</f>
        <v>0</v>
      </c>
      <c r="U157" s="73"/>
      <c r="V157" s="73"/>
      <c r="W157" s="337" t="s">
        <v>28</v>
      </c>
      <c r="X157" s="138" t="s">
        <v>911</v>
      </c>
      <c r="Y157" s="181" t="e">
        <f>SUM(D157)/SUM(D$157:D$160)</f>
        <v>#DIV/0!</v>
      </c>
      <c r="Z157" s="181" t="e">
        <f t="shared" ref="Z157:AN160" si="33">SUM(E157)/SUM(E$157:E$160)</f>
        <v>#DIV/0!</v>
      </c>
      <c r="AA157" s="181" t="e">
        <f t="shared" si="33"/>
        <v>#DIV/0!</v>
      </c>
      <c r="AB157" s="181" t="e">
        <f t="shared" si="33"/>
        <v>#DIV/0!</v>
      </c>
      <c r="AC157" s="181" t="e">
        <f t="shared" si="33"/>
        <v>#DIV/0!</v>
      </c>
      <c r="AD157" s="181" t="e">
        <f t="shared" si="33"/>
        <v>#DIV/0!</v>
      </c>
      <c r="AE157" s="181" t="e">
        <f t="shared" si="33"/>
        <v>#DIV/0!</v>
      </c>
      <c r="AF157" s="181" t="e">
        <f t="shared" si="33"/>
        <v>#DIV/0!</v>
      </c>
      <c r="AG157" s="181" t="e">
        <f t="shared" si="33"/>
        <v>#DIV/0!</v>
      </c>
      <c r="AH157" s="181" t="e">
        <f t="shared" si="33"/>
        <v>#DIV/0!</v>
      </c>
      <c r="AI157" s="181" t="e">
        <f t="shared" si="33"/>
        <v>#DIV/0!</v>
      </c>
      <c r="AJ157" s="181" t="e">
        <f t="shared" si="33"/>
        <v>#DIV/0!</v>
      </c>
      <c r="AK157" s="181" t="e">
        <f t="shared" si="33"/>
        <v>#DIV/0!</v>
      </c>
      <c r="AL157" s="181" t="e">
        <f t="shared" si="33"/>
        <v>#DIV/0!</v>
      </c>
      <c r="AM157" s="181" t="e">
        <f t="shared" si="33"/>
        <v>#DIV/0!</v>
      </c>
      <c r="AN157" s="181" t="e">
        <f t="shared" si="33"/>
        <v>#DIV/0!</v>
      </c>
    </row>
    <row r="158" spans="2:40" x14ac:dyDescent="0.15">
      <c r="B158" s="338"/>
      <c r="C158" s="139" t="s">
        <v>912</v>
      </c>
      <c r="D158" s="104">
        <f>SUMIFS('caseload data'!E:E,'caseload data'!$D:$D,"PSO",'caseload data'!$A:$A,"South West",'caseload data'!$B:$B,"custody")</f>
        <v>0</v>
      </c>
      <c r="E158" s="104">
        <f>SUMIFS('caseload data'!F:F,'caseload data'!$D:$D,"PSO",'caseload data'!$A:$A,"South West",'caseload data'!$B:$B,"custody")</f>
        <v>0</v>
      </c>
      <c r="F158" s="104">
        <f>SUMIFS('caseload data'!G:G,'caseload data'!$D:$D,"PSO",'caseload data'!$A:$A,"South West",'caseload data'!$B:$B,"custody")</f>
        <v>0</v>
      </c>
      <c r="G158" s="104">
        <f>SUMIFS('caseload data'!H:H,'caseload data'!$D:$D,"PSO",'caseload data'!$A:$A,"South West",'caseload data'!$B:$B,"custody")</f>
        <v>0</v>
      </c>
      <c r="H158" s="104">
        <f>SUMIFS('caseload data'!I:I,'caseload data'!$D:$D,"PSO",'caseload data'!$A:$A,"South West",'caseload data'!$B:$B,"custody")</f>
        <v>0</v>
      </c>
      <c r="I158" s="104">
        <f>SUMIFS('caseload data'!J:J,'caseload data'!$D:$D,"PSO",'caseload data'!$A:$A,"South West",'caseload data'!$B:$B,"custody")</f>
        <v>0</v>
      </c>
      <c r="J158" s="104">
        <f>SUMIFS('caseload data'!K:K,'caseload data'!$D:$D,"PSO",'caseload data'!$A:$A,"South West",'caseload data'!$B:$B,"custody")</f>
        <v>0</v>
      </c>
      <c r="K158" s="104">
        <f>SUMIFS('caseload data'!L:L,'caseload data'!$D:$D,"PSO",'caseload data'!$A:$A,"South West",'caseload data'!$B:$B,"custody")</f>
        <v>0</v>
      </c>
      <c r="L158" s="104">
        <f>SUMIFS('caseload data'!M:M,'caseload data'!$D:$D,"PSO",'caseload data'!$A:$A,"South West",'caseload data'!$B:$B,"custody")</f>
        <v>0</v>
      </c>
      <c r="M158" s="104">
        <f>SUMIFS('caseload data'!N:N,'caseload data'!$D:$D,"PSO",'caseload data'!$A:$A,"South West",'caseload data'!$B:$B,"custody")</f>
        <v>0</v>
      </c>
      <c r="N158" s="104">
        <f>SUMIFS('caseload data'!O:O,'caseload data'!$D:$D,"PSO",'caseload data'!$A:$A,"South West",'caseload data'!$B:$B,"custody")</f>
        <v>0</v>
      </c>
      <c r="O158" s="104">
        <f>SUMIFS('caseload data'!P:P,'caseload data'!$D:$D,"PSO",'caseload data'!$A:$A,"South West",'caseload data'!$B:$B,"custody")</f>
        <v>0</v>
      </c>
      <c r="P158" s="104">
        <f>SUMIFS('caseload data'!Q:Q,'caseload data'!$D:$D,"PSO",'caseload data'!$A:$A,"South West",'caseload data'!$B:$B,"custody")</f>
        <v>0</v>
      </c>
      <c r="Q158" s="104">
        <f>SUMIFS('caseload data'!R:R,'caseload data'!$D:$D,"PSO",'caseload data'!$A:$A,"South West",'caseload data'!$B:$B,"custody")</f>
        <v>0</v>
      </c>
      <c r="R158" s="104">
        <f>SUMIFS('caseload data'!S:S,'caseload data'!$D:$D,"PSO",'caseload data'!$A:$A,"South West",'caseload data'!$B:$B,"custody")</f>
        <v>0</v>
      </c>
      <c r="S158" s="104">
        <f>SUMIFS('caseload data'!T:T,'caseload data'!$D:$D,"PSO",'caseload data'!$A:$A,"South West",'caseload data'!$B:$B,"custody")</f>
        <v>0</v>
      </c>
      <c r="T158" s="104">
        <f>SUMIFS('caseload data'!V:V,'caseload data'!D:D,"PSO",'caseload data'!A:A,"South West",'caseload data'!B:B,"custody")</f>
        <v>0</v>
      </c>
      <c r="U158" s="73"/>
      <c r="V158" s="73"/>
      <c r="W158" s="338"/>
      <c r="X158" s="139" t="s">
        <v>912</v>
      </c>
      <c r="Y158" s="181" t="e">
        <f>SUM(D158)/SUM(D$157:D$160)</f>
        <v>#DIV/0!</v>
      </c>
      <c r="Z158" s="181" t="e">
        <f t="shared" si="33"/>
        <v>#DIV/0!</v>
      </c>
      <c r="AA158" s="181" t="e">
        <f t="shared" si="33"/>
        <v>#DIV/0!</v>
      </c>
      <c r="AB158" s="181" t="e">
        <f t="shared" si="33"/>
        <v>#DIV/0!</v>
      </c>
      <c r="AC158" s="181" t="e">
        <f t="shared" si="33"/>
        <v>#DIV/0!</v>
      </c>
      <c r="AD158" s="181" t="e">
        <f t="shared" si="33"/>
        <v>#DIV/0!</v>
      </c>
      <c r="AE158" s="181" t="e">
        <f t="shared" si="33"/>
        <v>#DIV/0!</v>
      </c>
      <c r="AF158" s="181" t="e">
        <f t="shared" si="33"/>
        <v>#DIV/0!</v>
      </c>
      <c r="AG158" s="181" t="e">
        <f t="shared" si="33"/>
        <v>#DIV/0!</v>
      </c>
      <c r="AH158" s="181" t="e">
        <f t="shared" si="33"/>
        <v>#DIV/0!</v>
      </c>
      <c r="AI158" s="181" t="e">
        <f t="shared" si="33"/>
        <v>#DIV/0!</v>
      </c>
      <c r="AJ158" s="181" t="e">
        <f t="shared" si="33"/>
        <v>#DIV/0!</v>
      </c>
      <c r="AK158" s="181" t="e">
        <f t="shared" si="33"/>
        <v>#DIV/0!</v>
      </c>
      <c r="AL158" s="181" t="e">
        <f t="shared" si="33"/>
        <v>#DIV/0!</v>
      </c>
      <c r="AM158" s="181" t="e">
        <f t="shared" si="33"/>
        <v>#DIV/0!</v>
      </c>
      <c r="AN158" s="181" t="e">
        <f t="shared" si="33"/>
        <v>#DIV/0!</v>
      </c>
    </row>
    <row r="159" spans="2:40" x14ac:dyDescent="0.15">
      <c r="B159" s="338"/>
      <c r="C159" s="139" t="s">
        <v>913</v>
      </c>
      <c r="D159" s="104">
        <f>SUMIFS('caseload data'!E:E,'caseload data'!$D:$D,"TPO",'caseload data'!$A:$A,"South West",'caseload data'!$B:$B,"custody")</f>
        <v>0</v>
      </c>
      <c r="E159" s="104">
        <f>SUMIFS('caseload data'!F:F,'caseload data'!$D:$D,"TPO",'caseload data'!$A:$A,"South West",'caseload data'!$B:$B,"custody")</f>
        <v>0</v>
      </c>
      <c r="F159" s="104">
        <f>SUMIFS('caseload data'!G:G,'caseload data'!$D:$D,"TPO",'caseload data'!$A:$A,"South West",'caseload data'!$B:$B,"custody")</f>
        <v>0</v>
      </c>
      <c r="G159" s="104">
        <f>SUMIFS('caseload data'!H:H,'caseload data'!$D:$D,"TPO",'caseload data'!$A:$A,"South West",'caseload data'!$B:$B,"custody")</f>
        <v>0</v>
      </c>
      <c r="H159" s="104">
        <f>SUMIFS('caseload data'!I:I,'caseload data'!$D:$D,"TPO",'caseload data'!$A:$A,"South West",'caseload data'!$B:$B,"custody")</f>
        <v>0</v>
      </c>
      <c r="I159" s="104">
        <f>SUMIFS('caseload data'!J:J,'caseload data'!$D:$D,"TPO",'caseload data'!$A:$A,"South West",'caseload data'!$B:$B,"custody")</f>
        <v>0</v>
      </c>
      <c r="J159" s="104">
        <f>SUMIFS('caseload data'!K:K,'caseload data'!$D:$D,"TPO",'caseload data'!$A:$A,"South West",'caseload data'!$B:$B,"custody")</f>
        <v>0</v>
      </c>
      <c r="K159" s="104">
        <f>SUMIFS('caseload data'!L:L,'caseload data'!$D:$D,"TPO",'caseload data'!$A:$A,"South West",'caseload data'!$B:$B,"custody")</f>
        <v>0</v>
      </c>
      <c r="L159" s="104">
        <f>SUMIFS('caseload data'!M:M,'caseload data'!$D:$D,"TPO",'caseload data'!$A:$A,"South West",'caseload data'!$B:$B,"custody")</f>
        <v>0</v>
      </c>
      <c r="M159" s="104">
        <f>SUMIFS('caseload data'!N:N,'caseload data'!$D:$D,"TPO",'caseload data'!$A:$A,"South West",'caseload data'!$B:$B,"custody")</f>
        <v>0</v>
      </c>
      <c r="N159" s="104">
        <f>SUMIFS('caseload data'!O:O,'caseload data'!$D:$D,"TPO",'caseload data'!$A:$A,"South West",'caseload data'!$B:$B,"custody")</f>
        <v>0</v>
      </c>
      <c r="O159" s="104">
        <f>SUMIFS('caseload data'!P:P,'caseload data'!$D:$D,"TPO",'caseload data'!$A:$A,"South West",'caseload data'!$B:$B,"custody")</f>
        <v>0</v>
      </c>
      <c r="P159" s="104">
        <f>SUMIFS('caseload data'!Q:Q,'caseload data'!$D:$D,"TPO",'caseload data'!$A:$A,"South West",'caseload data'!$B:$B,"custody")</f>
        <v>0</v>
      </c>
      <c r="Q159" s="104">
        <f>SUMIFS('caseload data'!R:R,'caseload data'!$D:$D,"TPO",'caseload data'!$A:$A,"South West",'caseload data'!$B:$B,"custody")</f>
        <v>0</v>
      </c>
      <c r="R159" s="104">
        <f>SUMIFS('caseload data'!S:S,'caseload data'!$D:$D,"TPO",'caseload data'!$A:$A,"South West",'caseload data'!$B:$B,"custody")</f>
        <v>0</v>
      </c>
      <c r="S159" s="104">
        <f>SUMIFS('caseload data'!T:T,'caseload data'!$D:$D,"TPO",'caseload data'!$A:$A,"South West",'caseload data'!$B:$B,"custody")</f>
        <v>0</v>
      </c>
      <c r="T159" s="104">
        <f>SUMIFS('caseload data'!V:V,'caseload data'!D:D,"TPO",'caseload data'!A:A,"South West",'caseload data'!B:B,"custody")</f>
        <v>0</v>
      </c>
      <c r="U159" s="73"/>
      <c r="V159" s="73"/>
      <c r="W159" s="338"/>
      <c r="X159" s="139" t="s">
        <v>913</v>
      </c>
      <c r="Y159" s="181" t="e">
        <f>SUM(D159)/SUM(D$157:D$160)</f>
        <v>#DIV/0!</v>
      </c>
      <c r="Z159" s="181" t="e">
        <f t="shared" si="33"/>
        <v>#DIV/0!</v>
      </c>
      <c r="AA159" s="181" t="e">
        <f t="shared" si="33"/>
        <v>#DIV/0!</v>
      </c>
      <c r="AB159" s="181" t="e">
        <f t="shared" si="33"/>
        <v>#DIV/0!</v>
      </c>
      <c r="AC159" s="181" t="e">
        <f t="shared" si="33"/>
        <v>#DIV/0!</v>
      </c>
      <c r="AD159" s="181" t="e">
        <f t="shared" si="33"/>
        <v>#DIV/0!</v>
      </c>
      <c r="AE159" s="181" t="e">
        <f t="shared" si="33"/>
        <v>#DIV/0!</v>
      </c>
      <c r="AF159" s="181" t="e">
        <f t="shared" si="33"/>
        <v>#DIV/0!</v>
      </c>
      <c r="AG159" s="181" t="e">
        <f t="shared" si="33"/>
        <v>#DIV/0!</v>
      </c>
      <c r="AH159" s="181" t="e">
        <f t="shared" si="33"/>
        <v>#DIV/0!</v>
      </c>
      <c r="AI159" s="181" t="e">
        <f t="shared" si="33"/>
        <v>#DIV/0!</v>
      </c>
      <c r="AJ159" s="181" t="e">
        <f t="shared" si="33"/>
        <v>#DIV/0!</v>
      </c>
      <c r="AK159" s="181" t="e">
        <f t="shared" si="33"/>
        <v>#DIV/0!</v>
      </c>
      <c r="AL159" s="181" t="e">
        <f t="shared" si="33"/>
        <v>#DIV/0!</v>
      </c>
      <c r="AM159" s="181" t="e">
        <f t="shared" si="33"/>
        <v>#DIV/0!</v>
      </c>
      <c r="AN159" s="181" t="e">
        <f t="shared" si="33"/>
        <v>#DIV/0!</v>
      </c>
    </row>
    <row r="160" spans="2:40" x14ac:dyDescent="0.15">
      <c r="B160" s="339"/>
      <c r="C160" s="140" t="s">
        <v>914</v>
      </c>
      <c r="D160" s="104">
        <f>SUMIFS('caseload data'!E:E,'caseload data'!$D:$D,"SPO",'caseload data'!$A:$A,"South West",'caseload data'!$B:$B,"custody")</f>
        <v>0</v>
      </c>
      <c r="E160" s="104">
        <f>SUMIFS('caseload data'!F:F,'caseload data'!$D:$D,"SPO",'caseload data'!$A:$A,"South West",'caseload data'!$B:$B,"custody")</f>
        <v>0</v>
      </c>
      <c r="F160" s="104">
        <f>SUMIFS('caseload data'!G:G,'caseload data'!$D:$D,"SPO",'caseload data'!$A:$A,"South West",'caseload data'!$B:$B,"custody")</f>
        <v>0</v>
      </c>
      <c r="G160" s="104">
        <f>SUMIFS('caseload data'!H:H,'caseload data'!$D:$D,"SPO",'caseload data'!$A:$A,"South West",'caseload data'!$B:$B,"custody")</f>
        <v>0</v>
      </c>
      <c r="H160" s="104">
        <f>SUMIFS('caseload data'!I:I,'caseload data'!$D:$D,"SPO",'caseload data'!$A:$A,"South West",'caseload data'!$B:$B,"custody")</f>
        <v>0</v>
      </c>
      <c r="I160" s="104">
        <f>SUMIFS('caseload data'!J:J,'caseload data'!$D:$D,"SPO",'caseload data'!$A:$A,"South West",'caseload data'!$B:$B,"custody")</f>
        <v>0</v>
      </c>
      <c r="J160" s="104">
        <f>SUMIFS('caseload data'!K:K,'caseload data'!$D:$D,"SPO",'caseload data'!$A:$A,"South West",'caseload data'!$B:$B,"custody")</f>
        <v>0</v>
      </c>
      <c r="K160" s="104">
        <f>SUMIFS('caseload data'!L:L,'caseload data'!$D:$D,"SPO",'caseload data'!$A:$A,"South West",'caseload data'!$B:$B,"custody")</f>
        <v>0</v>
      </c>
      <c r="L160" s="104">
        <f>SUMIFS('caseload data'!M:M,'caseload data'!$D:$D,"SPO",'caseload data'!$A:$A,"South West",'caseload data'!$B:$B,"custody")</f>
        <v>0</v>
      </c>
      <c r="M160" s="104">
        <f>SUMIFS('caseload data'!N:N,'caseload data'!$D:$D,"SPO",'caseload data'!$A:$A,"South West",'caseload data'!$B:$B,"custody")</f>
        <v>0</v>
      </c>
      <c r="N160" s="104">
        <f>SUMIFS('caseload data'!O:O,'caseload data'!$D:$D,"SPO",'caseload data'!$A:$A,"South West",'caseload data'!$B:$B,"custody")</f>
        <v>0</v>
      </c>
      <c r="O160" s="104">
        <f>SUMIFS('caseload data'!P:P,'caseload data'!$D:$D,"SPO",'caseload data'!$A:$A,"South West",'caseload data'!$B:$B,"custody")</f>
        <v>0</v>
      </c>
      <c r="P160" s="104">
        <f>SUMIFS('caseload data'!Q:Q,'caseload data'!$D:$D,"SPO",'caseload data'!$A:$A,"South West",'caseload data'!$B:$B,"custody")</f>
        <v>0</v>
      </c>
      <c r="Q160" s="104">
        <f>SUMIFS('caseload data'!R:R,'caseload data'!$D:$D,"SPO",'caseload data'!$A:$A,"South West",'caseload data'!$B:$B,"custody")</f>
        <v>0</v>
      </c>
      <c r="R160" s="104">
        <f>SUMIFS('caseload data'!S:S,'caseload data'!$D:$D,"SPO",'caseload data'!$A:$A,"South West",'caseload data'!$B:$B,"custody")</f>
        <v>0</v>
      </c>
      <c r="S160" s="104">
        <f>SUMIFS('caseload data'!T:T,'caseload data'!$D:$D,"SPO",'caseload data'!$A:$A,"South West",'caseload data'!$B:$B,"custody")</f>
        <v>0</v>
      </c>
      <c r="T160" s="104">
        <f>SUMIFS('caseload data'!V:V,'caseload data'!$D:$D,"SPO",'caseload data'!$A:$A,"South West",'caseload data'!$B:$B,"custody")</f>
        <v>0</v>
      </c>
      <c r="U160" s="73"/>
      <c r="V160" s="73"/>
      <c r="W160" s="339"/>
      <c r="X160" s="140" t="s">
        <v>914</v>
      </c>
      <c r="Y160" s="181" t="e">
        <f>SUM(D160)/SUM(D$157:D$160)</f>
        <v>#DIV/0!</v>
      </c>
      <c r="Z160" s="181" t="e">
        <f t="shared" si="33"/>
        <v>#DIV/0!</v>
      </c>
      <c r="AA160" s="181" t="e">
        <f t="shared" si="33"/>
        <v>#DIV/0!</v>
      </c>
      <c r="AB160" s="181" t="e">
        <f t="shared" si="33"/>
        <v>#DIV/0!</v>
      </c>
      <c r="AC160" s="181" t="e">
        <f t="shared" si="33"/>
        <v>#DIV/0!</v>
      </c>
      <c r="AD160" s="181" t="e">
        <f t="shared" si="33"/>
        <v>#DIV/0!</v>
      </c>
      <c r="AE160" s="181" t="e">
        <f t="shared" si="33"/>
        <v>#DIV/0!</v>
      </c>
      <c r="AF160" s="181" t="e">
        <f t="shared" si="33"/>
        <v>#DIV/0!</v>
      </c>
      <c r="AG160" s="181" t="e">
        <f t="shared" si="33"/>
        <v>#DIV/0!</v>
      </c>
      <c r="AH160" s="181" t="e">
        <f t="shared" si="33"/>
        <v>#DIV/0!</v>
      </c>
      <c r="AI160" s="181" t="e">
        <f t="shared" si="33"/>
        <v>#DIV/0!</v>
      </c>
      <c r="AJ160" s="181" t="e">
        <f t="shared" si="33"/>
        <v>#DIV/0!</v>
      </c>
      <c r="AK160" s="181" t="e">
        <f t="shared" si="33"/>
        <v>#DIV/0!</v>
      </c>
      <c r="AL160" s="181" t="e">
        <f t="shared" si="33"/>
        <v>#DIV/0!</v>
      </c>
      <c r="AM160" s="181" t="e">
        <f t="shared" si="33"/>
        <v>#DIV/0!</v>
      </c>
      <c r="AN160" s="181" t="e">
        <f t="shared" si="33"/>
        <v>#DIV/0!</v>
      </c>
    </row>
    <row r="161" spans="2:40" x14ac:dyDescent="0.15">
      <c r="B161" s="337" t="s">
        <v>29</v>
      </c>
      <c r="C161" s="138" t="s">
        <v>911</v>
      </c>
      <c r="D161" s="104">
        <f>SUMIFS('caseload data'!E:E,'caseload data'!$D:$D,"PO",'caseload data'!$A:$A,$B$161,'caseload data'!$B:$B,"custody")</f>
        <v>0</v>
      </c>
      <c r="E161" s="104">
        <f>SUMIFS('caseload data'!F:F,'caseload data'!$D:$D,"PO",'caseload data'!$A:$A,$B$161,'caseload data'!$B:$B,"custody")</f>
        <v>0</v>
      </c>
      <c r="F161" s="104">
        <f>SUMIFS('caseload data'!G:G,'caseload data'!$D:$D,"PO",'caseload data'!$A:$A,$B$161,'caseload data'!$B:$B,"custody")</f>
        <v>0</v>
      </c>
      <c r="G161" s="104">
        <f>SUMIFS('caseload data'!H:H,'caseload data'!$D:$D,"PO",'caseload data'!$A:$A,$B$161,'caseload data'!$B:$B,"custody")</f>
        <v>0</v>
      </c>
      <c r="H161" s="104">
        <f>SUMIFS('caseload data'!I:I,'caseload data'!$D:$D,"PO",'caseload data'!$A:$A,$B$161,'caseload data'!$B:$B,"custody")</f>
        <v>0</v>
      </c>
      <c r="I161" s="104">
        <f>SUMIFS('caseload data'!J:J,'caseload data'!$D:$D,"PO",'caseload data'!$A:$A,$B$161,'caseload data'!$B:$B,"custody")</f>
        <v>0</v>
      </c>
      <c r="J161" s="104">
        <f>SUMIFS('caseload data'!K:K,'caseload data'!$D:$D,"PO",'caseload data'!$A:$A,$B$161,'caseload data'!$B:$B,"custody")</f>
        <v>0</v>
      </c>
      <c r="K161" s="104">
        <f>SUMIFS('caseload data'!L:L,'caseload data'!$D:$D,"PO",'caseload data'!$A:$A,$B$161,'caseload data'!$B:$B,"custody")</f>
        <v>0</v>
      </c>
      <c r="L161" s="104">
        <f>SUMIFS('caseload data'!M:M,'caseload data'!$D:$D,"PO",'caseload data'!$A:$A,$B$161,'caseload data'!$B:$B,"custody")</f>
        <v>0</v>
      </c>
      <c r="M161" s="104">
        <f>SUMIFS('caseload data'!N:N,'caseload data'!$D:$D,"PO",'caseload data'!$A:$A,$B$161,'caseload data'!$B:$B,"custody")</f>
        <v>0</v>
      </c>
      <c r="N161" s="104">
        <f>SUMIFS('caseload data'!O:O,'caseload data'!$D:$D,"PO",'caseload data'!$A:$A,$B$161,'caseload data'!$B:$B,"custody")</f>
        <v>0</v>
      </c>
      <c r="O161" s="104">
        <f>SUMIFS('caseload data'!P:P,'caseload data'!$D:$D,"PO",'caseload data'!$A:$A,$B$161,'caseload data'!$B:$B,"custody")</f>
        <v>0</v>
      </c>
      <c r="P161" s="104">
        <f>SUMIFS('caseload data'!Q:Q,'caseload data'!$D:$D,"PO",'caseload data'!$A:$A,$B$161,'caseload data'!$B:$B,"custody")</f>
        <v>0</v>
      </c>
      <c r="Q161" s="104">
        <f>SUMIFS('caseload data'!R:R,'caseload data'!$D:$D,"PO",'caseload data'!$A:$A,$B$161,'caseload data'!$B:$B,"custody")</f>
        <v>0</v>
      </c>
      <c r="R161" s="104">
        <f>SUMIFS('caseload data'!S:S,'caseload data'!$D:$D,"PO",'caseload data'!$A:$A,$B$161,'caseload data'!$B:$B,"custody")</f>
        <v>0</v>
      </c>
      <c r="S161" s="104">
        <f>SUMIFS('caseload data'!T:T,'caseload data'!$D:$D,"PO",'caseload data'!$A:$A,$B$161,'caseload data'!$B:$B,"custody")</f>
        <v>0</v>
      </c>
      <c r="T161" s="104">
        <f>SUMIFS('caseload data'!V:V,'caseload data'!D:D,"PO",'caseload data'!A:A,B161,'caseload data'!B:B,"custody")</f>
        <v>0</v>
      </c>
      <c r="U161" s="73"/>
      <c r="V161" s="73"/>
      <c r="W161" s="337" t="s">
        <v>29</v>
      </c>
      <c r="X161" s="138" t="s">
        <v>911</v>
      </c>
      <c r="Y161" s="181" t="e">
        <f>SUM(D161)/SUM(D$161:D$164)</f>
        <v>#DIV/0!</v>
      </c>
      <c r="Z161" s="181" t="e">
        <f t="shared" ref="Z161:AN164" si="34">SUM(E161)/SUM(E$161:E$164)</f>
        <v>#DIV/0!</v>
      </c>
      <c r="AA161" s="181" t="e">
        <f t="shared" si="34"/>
        <v>#DIV/0!</v>
      </c>
      <c r="AB161" s="181" t="e">
        <f t="shared" si="34"/>
        <v>#DIV/0!</v>
      </c>
      <c r="AC161" s="181" t="e">
        <f t="shared" si="34"/>
        <v>#DIV/0!</v>
      </c>
      <c r="AD161" s="181" t="e">
        <f t="shared" si="34"/>
        <v>#DIV/0!</v>
      </c>
      <c r="AE161" s="181" t="e">
        <f t="shared" si="34"/>
        <v>#DIV/0!</v>
      </c>
      <c r="AF161" s="181" t="e">
        <f t="shared" si="34"/>
        <v>#DIV/0!</v>
      </c>
      <c r="AG161" s="181" t="e">
        <f t="shared" si="34"/>
        <v>#DIV/0!</v>
      </c>
      <c r="AH161" s="181" t="e">
        <f t="shared" si="34"/>
        <v>#DIV/0!</v>
      </c>
      <c r="AI161" s="181" t="e">
        <f t="shared" si="34"/>
        <v>#DIV/0!</v>
      </c>
      <c r="AJ161" s="181" t="e">
        <f t="shared" si="34"/>
        <v>#DIV/0!</v>
      </c>
      <c r="AK161" s="181" t="e">
        <f t="shared" si="34"/>
        <v>#DIV/0!</v>
      </c>
      <c r="AL161" s="181" t="e">
        <f t="shared" si="34"/>
        <v>#DIV/0!</v>
      </c>
      <c r="AM161" s="181" t="e">
        <f t="shared" si="34"/>
        <v>#DIV/0!</v>
      </c>
      <c r="AN161" s="181" t="e">
        <f t="shared" si="34"/>
        <v>#DIV/0!</v>
      </c>
    </row>
    <row r="162" spans="2:40" x14ac:dyDescent="0.15">
      <c r="B162" s="338"/>
      <c r="C162" s="139" t="s">
        <v>912</v>
      </c>
      <c r="D162" s="104">
        <f>SUMIFS('caseload data'!E:E,'caseload data'!$D:$D,"PSO",'caseload data'!$A:$A,"Wales",'caseload data'!$B:$B,"custody")</f>
        <v>0</v>
      </c>
      <c r="E162" s="104">
        <f>SUMIFS('caseload data'!F:F,'caseload data'!$D:$D,"PSO",'caseload data'!$A:$A,"Wales",'caseload data'!$B:$B,"custody")</f>
        <v>0</v>
      </c>
      <c r="F162" s="104">
        <f>SUMIFS('caseload data'!G:G,'caseload data'!$D:$D,"PSO",'caseload data'!$A:$A,"Wales",'caseload data'!$B:$B,"custody")</f>
        <v>0</v>
      </c>
      <c r="G162" s="104">
        <f>SUMIFS('caseload data'!H:H,'caseload data'!$D:$D,"PSO",'caseload data'!$A:$A,"Wales",'caseload data'!$B:$B,"custody")</f>
        <v>0</v>
      </c>
      <c r="H162" s="104">
        <f>SUMIFS('caseload data'!I:I,'caseload data'!$D:$D,"PSO",'caseload data'!$A:$A,"Wales",'caseload data'!$B:$B,"custody")</f>
        <v>0</v>
      </c>
      <c r="I162" s="104">
        <f>SUMIFS('caseload data'!J:J,'caseload data'!$D:$D,"PSO",'caseload data'!$A:$A,"Wales",'caseload data'!$B:$B,"custody")</f>
        <v>0</v>
      </c>
      <c r="J162" s="104">
        <f>SUMIFS('caseload data'!K:K,'caseload data'!$D:$D,"PSO",'caseload data'!$A:$A,"Wales",'caseload data'!$B:$B,"custody")</f>
        <v>0</v>
      </c>
      <c r="K162" s="104">
        <f>SUMIFS('caseload data'!L:L,'caseload data'!$D:$D,"PSO",'caseload data'!$A:$A,"Wales",'caseload data'!$B:$B,"custody")</f>
        <v>0</v>
      </c>
      <c r="L162" s="104">
        <f>SUMIFS('caseload data'!M:M,'caseload data'!$D:$D,"PSO",'caseload data'!$A:$A,"Wales",'caseload data'!$B:$B,"custody")</f>
        <v>0</v>
      </c>
      <c r="M162" s="104">
        <f>SUMIFS('caseload data'!N:N,'caseload data'!$D:$D,"PSO",'caseload data'!$A:$A,"Wales",'caseload data'!$B:$B,"custody")</f>
        <v>0</v>
      </c>
      <c r="N162" s="104">
        <f>SUMIFS('caseload data'!O:O,'caseload data'!$D:$D,"PSO",'caseload data'!$A:$A,"Wales",'caseload data'!$B:$B,"custody")</f>
        <v>0</v>
      </c>
      <c r="O162" s="104">
        <f>SUMIFS('caseload data'!P:P,'caseload data'!$D:$D,"PSO",'caseload data'!$A:$A,"Wales",'caseload data'!$B:$B,"custody")</f>
        <v>0</v>
      </c>
      <c r="P162" s="104">
        <f>SUMIFS('caseload data'!Q:Q,'caseload data'!$D:$D,"PSO",'caseload data'!$A:$A,"Wales",'caseload data'!$B:$B,"custody")</f>
        <v>0</v>
      </c>
      <c r="Q162" s="104">
        <f>SUMIFS('caseload data'!R:R,'caseload data'!$D:$D,"PSO",'caseload data'!$A:$A,"Wales",'caseload data'!$B:$B,"custody")</f>
        <v>0</v>
      </c>
      <c r="R162" s="104">
        <f>SUMIFS('caseload data'!S:S,'caseload data'!$D:$D,"PSO",'caseload data'!$A:$A,"Wales",'caseload data'!$B:$B,"custody")</f>
        <v>0</v>
      </c>
      <c r="S162" s="104">
        <f>SUMIFS('caseload data'!T:T,'caseload data'!$D:$D,"PSO",'caseload data'!$A:$A,"Wales",'caseload data'!$B:$B,"custody")</f>
        <v>0</v>
      </c>
      <c r="T162" s="104">
        <f>SUMIFS('caseload data'!V:V,'caseload data'!D:D,"PSO",'caseload data'!A:A,"Wales",'caseload data'!B:B,"custody")</f>
        <v>0</v>
      </c>
      <c r="U162" s="73"/>
      <c r="V162" s="73"/>
      <c r="W162" s="338"/>
      <c r="X162" s="139" t="s">
        <v>912</v>
      </c>
      <c r="Y162" s="181" t="e">
        <f>SUM(D162)/SUM(D$161:D$164)</f>
        <v>#DIV/0!</v>
      </c>
      <c r="Z162" s="181" t="e">
        <f t="shared" si="34"/>
        <v>#DIV/0!</v>
      </c>
      <c r="AA162" s="181" t="e">
        <f t="shared" si="34"/>
        <v>#DIV/0!</v>
      </c>
      <c r="AB162" s="181" t="e">
        <f t="shared" si="34"/>
        <v>#DIV/0!</v>
      </c>
      <c r="AC162" s="181" t="e">
        <f t="shared" si="34"/>
        <v>#DIV/0!</v>
      </c>
      <c r="AD162" s="181" t="e">
        <f t="shared" si="34"/>
        <v>#DIV/0!</v>
      </c>
      <c r="AE162" s="181" t="e">
        <f t="shared" si="34"/>
        <v>#DIV/0!</v>
      </c>
      <c r="AF162" s="181" t="e">
        <f t="shared" si="34"/>
        <v>#DIV/0!</v>
      </c>
      <c r="AG162" s="181" t="e">
        <f t="shared" si="34"/>
        <v>#DIV/0!</v>
      </c>
      <c r="AH162" s="181" t="e">
        <f t="shared" si="34"/>
        <v>#DIV/0!</v>
      </c>
      <c r="AI162" s="181" t="e">
        <f t="shared" si="34"/>
        <v>#DIV/0!</v>
      </c>
      <c r="AJ162" s="181" t="e">
        <f t="shared" si="34"/>
        <v>#DIV/0!</v>
      </c>
      <c r="AK162" s="181" t="e">
        <f t="shared" si="34"/>
        <v>#DIV/0!</v>
      </c>
      <c r="AL162" s="181" t="e">
        <f t="shared" si="34"/>
        <v>#DIV/0!</v>
      </c>
      <c r="AM162" s="181" t="e">
        <f t="shared" si="34"/>
        <v>#DIV/0!</v>
      </c>
      <c r="AN162" s="181" t="e">
        <f t="shared" si="34"/>
        <v>#DIV/0!</v>
      </c>
    </row>
    <row r="163" spans="2:40" x14ac:dyDescent="0.15">
      <c r="B163" s="338"/>
      <c r="C163" s="139" t="s">
        <v>913</v>
      </c>
      <c r="D163" s="104">
        <f>SUMIFS('caseload data'!E:E,'caseload data'!$D:$D,"TPO",'caseload data'!$A:$A,"Wales",'caseload data'!$B:$B,"custody")</f>
        <v>0</v>
      </c>
      <c r="E163" s="104">
        <f>SUMIFS('caseload data'!F:F,'caseload data'!$D:$D,"TPO",'caseload data'!$A:$A,"Wales",'caseload data'!$B:$B,"custody")</f>
        <v>0</v>
      </c>
      <c r="F163" s="104">
        <f>SUMIFS('caseload data'!G:G,'caseload data'!$D:$D,"TPO",'caseload data'!$A:$A,"Wales",'caseload data'!$B:$B,"custody")</f>
        <v>0</v>
      </c>
      <c r="G163" s="104">
        <f>SUMIFS('caseload data'!H:H,'caseload data'!$D:$D,"TPO",'caseload data'!$A:$A,"Wales",'caseload data'!$B:$B,"custody")</f>
        <v>0</v>
      </c>
      <c r="H163" s="104">
        <f>SUMIFS('caseload data'!I:I,'caseload data'!$D:$D,"TPO",'caseload data'!$A:$A,"Wales",'caseload data'!$B:$B,"custody")</f>
        <v>0</v>
      </c>
      <c r="I163" s="104">
        <f>SUMIFS('caseload data'!J:J,'caseload data'!$D:$D,"TPO",'caseload data'!$A:$A,"Wales",'caseload data'!$B:$B,"custody")</f>
        <v>0</v>
      </c>
      <c r="J163" s="104">
        <f>SUMIFS('caseload data'!K:K,'caseload data'!$D:$D,"TPO",'caseload data'!$A:$A,"Wales",'caseload data'!$B:$B,"custody")</f>
        <v>0</v>
      </c>
      <c r="K163" s="104">
        <f>SUMIFS('caseload data'!L:L,'caseload data'!$D:$D,"TPO",'caseload data'!$A:$A,"Wales",'caseload data'!$B:$B,"custody")</f>
        <v>0</v>
      </c>
      <c r="L163" s="104">
        <f>SUMIFS('caseload data'!M:M,'caseload data'!$D:$D,"TPO",'caseload data'!$A:$A,"Wales",'caseload data'!$B:$B,"custody")</f>
        <v>0</v>
      </c>
      <c r="M163" s="104">
        <f>SUMIFS('caseload data'!N:N,'caseload data'!$D:$D,"TPO",'caseload data'!$A:$A,"Wales",'caseload data'!$B:$B,"custody")</f>
        <v>0</v>
      </c>
      <c r="N163" s="104">
        <f>SUMIFS('caseload data'!O:O,'caseload data'!$D:$D,"TPO",'caseload data'!$A:$A,"Wales",'caseload data'!$B:$B,"custody")</f>
        <v>0</v>
      </c>
      <c r="O163" s="104">
        <f>SUMIFS('caseload data'!P:P,'caseload data'!$D:$D,"TPO",'caseload data'!$A:$A,"Wales",'caseload data'!$B:$B,"custody")</f>
        <v>0</v>
      </c>
      <c r="P163" s="104">
        <f>SUMIFS('caseload data'!Q:Q,'caseload data'!$D:$D,"TPO",'caseload data'!$A:$A,"Wales",'caseload data'!$B:$B,"custody")</f>
        <v>0</v>
      </c>
      <c r="Q163" s="104">
        <f>SUMIFS('caseload data'!R:R,'caseload data'!$D:$D,"TPO",'caseload data'!$A:$A,"Wales",'caseload data'!$B:$B,"custody")</f>
        <v>0</v>
      </c>
      <c r="R163" s="104">
        <f>SUMIFS('caseload data'!S:S,'caseload data'!$D:$D,"TPO",'caseload data'!$A:$A,"Wales",'caseload data'!$B:$B,"custody")</f>
        <v>0</v>
      </c>
      <c r="S163" s="104">
        <f>SUMIFS('caseload data'!T:T,'caseload data'!$D:$D,"TPO",'caseload data'!$A:$A,"Wales",'caseload data'!$B:$B,"custody")</f>
        <v>0</v>
      </c>
      <c r="T163" s="104">
        <f>SUMIFS('caseload data'!V:V,'caseload data'!D:D,"TPO",'caseload data'!A:A,"Wales",'caseload data'!B:B,"custody")</f>
        <v>0</v>
      </c>
      <c r="U163" s="73"/>
      <c r="V163" s="73"/>
      <c r="W163" s="338"/>
      <c r="X163" s="139" t="s">
        <v>913</v>
      </c>
      <c r="Y163" s="181" t="e">
        <f>SUM(D163)/SUM(D$161:D$164)</f>
        <v>#DIV/0!</v>
      </c>
      <c r="Z163" s="181" t="e">
        <f t="shared" si="34"/>
        <v>#DIV/0!</v>
      </c>
      <c r="AA163" s="181" t="e">
        <f t="shared" si="34"/>
        <v>#DIV/0!</v>
      </c>
      <c r="AB163" s="181" t="e">
        <f t="shared" si="34"/>
        <v>#DIV/0!</v>
      </c>
      <c r="AC163" s="181" t="e">
        <f t="shared" si="34"/>
        <v>#DIV/0!</v>
      </c>
      <c r="AD163" s="181" t="e">
        <f t="shared" si="34"/>
        <v>#DIV/0!</v>
      </c>
      <c r="AE163" s="181" t="e">
        <f t="shared" si="34"/>
        <v>#DIV/0!</v>
      </c>
      <c r="AF163" s="181" t="e">
        <f t="shared" si="34"/>
        <v>#DIV/0!</v>
      </c>
      <c r="AG163" s="181" t="e">
        <f t="shared" si="34"/>
        <v>#DIV/0!</v>
      </c>
      <c r="AH163" s="181" t="e">
        <f t="shared" si="34"/>
        <v>#DIV/0!</v>
      </c>
      <c r="AI163" s="181" t="e">
        <f t="shared" si="34"/>
        <v>#DIV/0!</v>
      </c>
      <c r="AJ163" s="181" t="e">
        <f t="shared" si="34"/>
        <v>#DIV/0!</v>
      </c>
      <c r="AK163" s="181" t="e">
        <f t="shared" si="34"/>
        <v>#DIV/0!</v>
      </c>
      <c r="AL163" s="181" t="e">
        <f t="shared" si="34"/>
        <v>#DIV/0!</v>
      </c>
      <c r="AM163" s="181" t="e">
        <f t="shared" si="34"/>
        <v>#DIV/0!</v>
      </c>
      <c r="AN163" s="181" t="e">
        <f t="shared" si="34"/>
        <v>#DIV/0!</v>
      </c>
    </row>
    <row r="164" spans="2:40" x14ac:dyDescent="0.15">
      <c r="B164" s="339"/>
      <c r="C164" s="140" t="s">
        <v>914</v>
      </c>
      <c r="D164" s="104">
        <f>SUMIFS('caseload data'!E:E,'caseload data'!$D:$D,"SPO",'caseload data'!$A:$A,"Wales",'caseload data'!$B:$B,"custody")</f>
        <v>0</v>
      </c>
      <c r="E164" s="104">
        <f>SUMIFS('caseload data'!F:F,'caseload data'!$D:$D,"SPO",'caseload data'!$A:$A,"Wales",'caseload data'!$B:$B,"custody")</f>
        <v>0</v>
      </c>
      <c r="F164" s="104">
        <f>SUMIFS('caseload data'!G:G,'caseload data'!$D:$D,"SPO",'caseload data'!$A:$A,"Wales",'caseload data'!$B:$B,"custody")</f>
        <v>0</v>
      </c>
      <c r="G164" s="104">
        <f>SUMIFS('caseload data'!H:H,'caseload data'!$D:$D,"SPO",'caseload data'!$A:$A,"Wales",'caseload data'!$B:$B,"custody")</f>
        <v>0</v>
      </c>
      <c r="H164" s="104">
        <f>SUMIFS('caseload data'!I:I,'caseload data'!$D:$D,"SPO",'caseload data'!$A:$A,"Wales",'caseload data'!$B:$B,"custody")</f>
        <v>0</v>
      </c>
      <c r="I164" s="104">
        <f>SUMIFS('caseload data'!J:J,'caseload data'!$D:$D,"SPO",'caseload data'!$A:$A,"Wales",'caseload data'!$B:$B,"custody")</f>
        <v>0</v>
      </c>
      <c r="J164" s="104">
        <f>SUMIFS('caseload data'!K:K,'caseload data'!$D:$D,"SPO",'caseload data'!$A:$A,"Wales",'caseload data'!$B:$B,"custody")</f>
        <v>0</v>
      </c>
      <c r="K164" s="104">
        <f>SUMIFS('caseload data'!L:L,'caseload data'!$D:$D,"SPO",'caseload data'!$A:$A,"Wales",'caseload data'!$B:$B,"custody")</f>
        <v>0</v>
      </c>
      <c r="L164" s="104">
        <f>SUMIFS('caseload data'!M:M,'caseload data'!$D:$D,"SPO",'caseload data'!$A:$A,"Wales",'caseload data'!$B:$B,"custody")</f>
        <v>0</v>
      </c>
      <c r="M164" s="104">
        <f>SUMIFS('caseload data'!N:N,'caseload data'!$D:$D,"SPO",'caseload data'!$A:$A,"Wales",'caseload data'!$B:$B,"custody")</f>
        <v>0</v>
      </c>
      <c r="N164" s="104">
        <f>SUMIFS('caseload data'!O:O,'caseload data'!$D:$D,"SPO",'caseload data'!$A:$A,"Wales",'caseload data'!$B:$B,"custody")</f>
        <v>0</v>
      </c>
      <c r="O164" s="104">
        <f>SUMIFS('caseload data'!P:P,'caseload data'!$D:$D,"SPO",'caseload data'!$A:$A,"Wales",'caseload data'!$B:$B,"custody")</f>
        <v>0</v>
      </c>
      <c r="P164" s="104">
        <f>SUMIFS('caseload data'!Q:Q,'caseload data'!$D:$D,"SPO",'caseload data'!$A:$A,"Wales",'caseload data'!$B:$B,"custody")</f>
        <v>0</v>
      </c>
      <c r="Q164" s="104">
        <f>SUMIFS('caseload data'!R:R,'caseload data'!$D:$D,"SPO",'caseload data'!$A:$A,"Wales",'caseload data'!$B:$B,"custody")</f>
        <v>0</v>
      </c>
      <c r="R164" s="104">
        <f>SUMIFS('caseload data'!S:S,'caseload data'!$D:$D,"SPO",'caseload data'!$A:$A,"Wales",'caseload data'!$B:$B,"custody")</f>
        <v>0</v>
      </c>
      <c r="S164" s="104">
        <f>SUMIFS('caseload data'!T:T,'caseload data'!$D:$D,"SPO",'caseload data'!$A:$A,"Wales",'caseload data'!$B:$B,"custody")</f>
        <v>0</v>
      </c>
      <c r="T164" s="104">
        <f>SUMIFS('caseload data'!V:V,'caseload data'!$D:$D,"SPO",'caseload data'!$A:$A,"Wales",'caseload data'!$B:$B,"custody")</f>
        <v>0</v>
      </c>
      <c r="U164" s="73"/>
      <c r="V164" s="73"/>
      <c r="W164" s="339"/>
      <c r="X164" s="140" t="s">
        <v>914</v>
      </c>
      <c r="Y164" s="181" t="e">
        <f>SUM(D164)/SUM(D$161:D$164)</f>
        <v>#DIV/0!</v>
      </c>
      <c r="Z164" s="181" t="e">
        <f t="shared" si="34"/>
        <v>#DIV/0!</v>
      </c>
      <c r="AA164" s="181" t="e">
        <f t="shared" si="34"/>
        <v>#DIV/0!</v>
      </c>
      <c r="AB164" s="181" t="e">
        <f t="shared" si="34"/>
        <v>#DIV/0!</v>
      </c>
      <c r="AC164" s="181" t="e">
        <f t="shared" si="34"/>
        <v>#DIV/0!</v>
      </c>
      <c r="AD164" s="181" t="e">
        <f t="shared" si="34"/>
        <v>#DIV/0!</v>
      </c>
      <c r="AE164" s="181" t="e">
        <f t="shared" si="34"/>
        <v>#DIV/0!</v>
      </c>
      <c r="AF164" s="181" t="e">
        <f t="shared" si="34"/>
        <v>#DIV/0!</v>
      </c>
      <c r="AG164" s="181" t="e">
        <f t="shared" si="34"/>
        <v>#DIV/0!</v>
      </c>
      <c r="AH164" s="181" t="e">
        <f t="shared" si="34"/>
        <v>#DIV/0!</v>
      </c>
      <c r="AI164" s="181" t="e">
        <f t="shared" si="34"/>
        <v>#DIV/0!</v>
      </c>
      <c r="AJ164" s="181" t="e">
        <f t="shared" si="34"/>
        <v>#DIV/0!</v>
      </c>
      <c r="AK164" s="181" t="e">
        <f t="shared" si="34"/>
        <v>#DIV/0!</v>
      </c>
      <c r="AL164" s="181" t="e">
        <f t="shared" si="34"/>
        <v>#DIV/0!</v>
      </c>
      <c r="AM164" s="181" t="e">
        <f t="shared" si="34"/>
        <v>#DIV/0!</v>
      </c>
      <c r="AN164" s="181" t="e">
        <f t="shared" si="34"/>
        <v>#DIV/0!</v>
      </c>
    </row>
    <row r="165" spans="2:40" x14ac:dyDescent="0.15">
      <c r="B165" s="337" t="s">
        <v>30</v>
      </c>
      <c r="C165" s="138" t="s">
        <v>911</v>
      </c>
      <c r="D165" s="104">
        <f>SUMIFS('caseload data'!E:E,'caseload data'!$D:$D,"PO",'caseload data'!$A:$A,$B$165,'caseload data'!$B:$B,"custody")</f>
        <v>0</v>
      </c>
      <c r="E165" s="104">
        <f>SUMIFS('caseload data'!F:F,'caseload data'!$D:$D,"PO",'caseload data'!$A:$A,$B$165,'caseload data'!$B:$B,"custody")</f>
        <v>0</v>
      </c>
      <c r="F165" s="104">
        <f>SUMIFS('caseload data'!G:G,'caseload data'!$D:$D,"PO",'caseload data'!$A:$A,$B$165,'caseload data'!$B:$B,"custody")</f>
        <v>0</v>
      </c>
      <c r="G165" s="104">
        <f>SUMIFS('caseload data'!H:H,'caseload data'!$D:$D,"PO",'caseload data'!$A:$A,$B$165,'caseload data'!$B:$B,"custody")</f>
        <v>0</v>
      </c>
      <c r="H165" s="104">
        <f>SUMIFS('caseload data'!I:I,'caseload data'!$D:$D,"PO",'caseload data'!$A:$A,$B$165,'caseload data'!$B:$B,"custody")</f>
        <v>0</v>
      </c>
      <c r="I165" s="104">
        <f>SUMIFS('caseload data'!J:J,'caseload data'!$D:$D,"PO",'caseload data'!$A:$A,$B$165,'caseload data'!$B:$B,"custody")</f>
        <v>0</v>
      </c>
      <c r="J165" s="104">
        <f>SUMIFS('caseload data'!K:K,'caseload data'!$D:$D,"PO",'caseload data'!$A:$A,$B$165,'caseload data'!$B:$B,"custody")</f>
        <v>0</v>
      </c>
      <c r="K165" s="104">
        <f>SUMIFS('caseload data'!L:L,'caseload data'!$D:$D,"PO",'caseload data'!$A:$A,$B$165,'caseload data'!$B:$B,"custody")</f>
        <v>0</v>
      </c>
      <c r="L165" s="104">
        <f>SUMIFS('caseload data'!M:M,'caseload data'!$D:$D,"PO",'caseload data'!$A:$A,$B$165,'caseload data'!$B:$B,"custody")</f>
        <v>0</v>
      </c>
      <c r="M165" s="104">
        <f>SUMIFS('caseload data'!N:N,'caseload data'!$D:$D,"PO",'caseload data'!$A:$A,$B$165,'caseload data'!$B:$B,"custody")</f>
        <v>0</v>
      </c>
      <c r="N165" s="104">
        <f>SUMIFS('caseload data'!O:O,'caseload data'!$D:$D,"PO",'caseload data'!$A:$A,$B$165,'caseload data'!$B:$B,"custody")</f>
        <v>0</v>
      </c>
      <c r="O165" s="104">
        <f>SUMIFS('caseload data'!P:P,'caseload data'!$D:$D,"PO",'caseload data'!$A:$A,$B$165,'caseload data'!$B:$B,"custody")</f>
        <v>0</v>
      </c>
      <c r="P165" s="104">
        <f>SUMIFS('caseload data'!Q:Q,'caseload data'!$D:$D,"PO",'caseload data'!$A:$A,$B$165,'caseload data'!$B:$B,"custody")</f>
        <v>0</v>
      </c>
      <c r="Q165" s="104">
        <f>SUMIFS('caseload data'!R:R,'caseload data'!$D:$D,"PO",'caseload data'!$A:$A,$B$165,'caseload data'!$B:$B,"custody")</f>
        <v>0</v>
      </c>
      <c r="R165" s="104">
        <f>SUMIFS('caseload data'!S:S,'caseload data'!$D:$D,"PO",'caseload data'!$A:$A,$B$165,'caseload data'!$B:$B,"custody")</f>
        <v>0</v>
      </c>
      <c r="S165" s="104">
        <f>SUMIFS('caseload data'!T:T,'caseload data'!$D:$D,"PO",'caseload data'!$A:$A,$B$165,'caseload data'!$B:$B,"custody")</f>
        <v>0</v>
      </c>
      <c r="T165" s="104">
        <f>SUMIFS('caseload data'!V:V,'caseload data'!D:D,"PO",'caseload data'!A:A,B165,'caseload data'!B:B,"custody")</f>
        <v>0</v>
      </c>
      <c r="U165" s="73"/>
      <c r="V165" s="73"/>
      <c r="W165" s="337" t="s">
        <v>30</v>
      </c>
      <c r="X165" s="138" t="s">
        <v>911</v>
      </c>
      <c r="Y165" s="181" t="e">
        <f>SUM(D165)/SUM(D$165:D$168)</f>
        <v>#DIV/0!</v>
      </c>
      <c r="Z165" s="181" t="e">
        <f t="shared" ref="Z165:AN168" si="35">SUM(E165)/SUM(E$165:E$168)</f>
        <v>#DIV/0!</v>
      </c>
      <c r="AA165" s="181" t="e">
        <f t="shared" si="35"/>
        <v>#DIV/0!</v>
      </c>
      <c r="AB165" s="181" t="e">
        <f t="shared" si="35"/>
        <v>#DIV/0!</v>
      </c>
      <c r="AC165" s="181" t="e">
        <f t="shared" si="35"/>
        <v>#DIV/0!</v>
      </c>
      <c r="AD165" s="181" t="e">
        <f t="shared" si="35"/>
        <v>#DIV/0!</v>
      </c>
      <c r="AE165" s="181" t="e">
        <f t="shared" si="35"/>
        <v>#DIV/0!</v>
      </c>
      <c r="AF165" s="181" t="e">
        <f t="shared" si="35"/>
        <v>#DIV/0!</v>
      </c>
      <c r="AG165" s="181" t="e">
        <f t="shared" si="35"/>
        <v>#DIV/0!</v>
      </c>
      <c r="AH165" s="181" t="e">
        <f t="shared" si="35"/>
        <v>#DIV/0!</v>
      </c>
      <c r="AI165" s="181" t="e">
        <f t="shared" si="35"/>
        <v>#DIV/0!</v>
      </c>
      <c r="AJ165" s="181" t="e">
        <f t="shared" si="35"/>
        <v>#DIV/0!</v>
      </c>
      <c r="AK165" s="181" t="e">
        <f t="shared" si="35"/>
        <v>#DIV/0!</v>
      </c>
      <c r="AL165" s="181" t="e">
        <f t="shared" si="35"/>
        <v>#DIV/0!</v>
      </c>
      <c r="AM165" s="181" t="e">
        <f t="shared" si="35"/>
        <v>#DIV/0!</v>
      </c>
      <c r="AN165" s="181" t="e">
        <f t="shared" si="35"/>
        <v>#DIV/0!</v>
      </c>
    </row>
    <row r="166" spans="2:40" x14ac:dyDescent="0.15">
      <c r="B166" s="338"/>
      <c r="C166" s="139" t="s">
        <v>912</v>
      </c>
      <c r="D166" s="104">
        <f>SUMIFS('caseload data'!E:E,'caseload data'!$D:$D,"PSO",'caseload data'!$A:$A,B165,'caseload data'!$B:$B,"custody")</f>
        <v>0</v>
      </c>
      <c r="E166" s="104">
        <f>SUMIFS('caseload data'!F:F,'caseload data'!$D:$D,"PSO",'caseload data'!$A:$A,C165,'caseload data'!$B:$B,"custody")</f>
        <v>0</v>
      </c>
      <c r="F166" s="104">
        <f>SUMIFS('caseload data'!G:G,'caseload data'!$D:$D,"PSO",'caseload data'!$A:$A,D165,'caseload data'!$B:$B,"custody")</f>
        <v>0</v>
      </c>
      <c r="G166" s="104">
        <f>SUMIFS('caseload data'!H:H,'caseload data'!$D:$D,"PSO",'caseload data'!$A:$A,E165,'caseload data'!$B:$B,"custody")</f>
        <v>0</v>
      </c>
      <c r="H166" s="104">
        <f>SUMIFS('caseload data'!I:I,'caseload data'!$D:$D,"PSO",'caseload data'!$A:$A,F165,'caseload data'!$B:$B,"custody")</f>
        <v>0</v>
      </c>
      <c r="I166" s="104">
        <f>SUMIFS('caseload data'!J:J,'caseload data'!$D:$D,"PSO",'caseload data'!$A:$A,G165,'caseload data'!$B:$B,"custody")</f>
        <v>0</v>
      </c>
      <c r="J166" s="104">
        <f>SUMIFS('caseload data'!K:K,'caseload data'!$D:$D,"PSO",'caseload data'!$A:$A,H165,'caseload data'!$B:$B,"custody")</f>
        <v>0</v>
      </c>
      <c r="K166" s="104">
        <f>SUMIFS('caseload data'!L:L,'caseload data'!$D:$D,"PSO",'caseload data'!$A:$A,I165,'caseload data'!$B:$B,"custody")</f>
        <v>0</v>
      </c>
      <c r="L166" s="104">
        <f>SUMIFS('caseload data'!M:M,'caseload data'!$D:$D,"PSO",'caseload data'!$A:$A,J165,'caseload data'!$B:$B,"custody")</f>
        <v>0</v>
      </c>
      <c r="M166" s="104">
        <f>SUMIFS('caseload data'!N:N,'caseload data'!$D:$D,"PSO",'caseload data'!$A:$A,K165,'caseload data'!$B:$B,"custody")</f>
        <v>0</v>
      </c>
      <c r="N166" s="104">
        <f>SUMIFS('caseload data'!O:O,'caseload data'!$D:$D,"PSO",'caseload data'!$A:$A,L165,'caseload data'!$B:$B,"custody")</f>
        <v>0</v>
      </c>
      <c r="O166" s="104">
        <f>SUMIFS('caseload data'!P:P,'caseload data'!$D:$D,"PSO",'caseload data'!$A:$A,M165,'caseload data'!$B:$B,"custody")</f>
        <v>0</v>
      </c>
      <c r="P166" s="104">
        <f>SUMIFS('caseload data'!Q:Q,'caseload data'!$D:$D,"PSO",'caseload data'!$A:$A,N165,'caseload data'!$B:$B,"custody")</f>
        <v>0</v>
      </c>
      <c r="Q166" s="104">
        <f>SUMIFS('caseload data'!R:R,'caseload data'!$D:$D,"PSO",'caseload data'!$A:$A,O165,'caseload data'!$B:$B,"custody")</f>
        <v>0</v>
      </c>
      <c r="R166" s="104">
        <f>SUMIFS('caseload data'!S:S,'caseload data'!$D:$D,"PSO",'caseload data'!$A:$A,P165,'caseload data'!$B:$B,"custody")</f>
        <v>0</v>
      </c>
      <c r="S166" s="104">
        <f>SUMIFS('caseload data'!T:T,'caseload data'!$D:$D,"PSO",'caseload data'!$A:$A,Q165,'caseload data'!$B:$B,"custody")</f>
        <v>0</v>
      </c>
      <c r="T166" s="104">
        <f>SUMIFS('caseload data'!V:V,'caseload data'!D:D,"PSO",'caseload data'!A:A,B165)</f>
        <v>0</v>
      </c>
      <c r="U166" s="73"/>
      <c r="V166" s="73"/>
      <c r="W166" s="338"/>
      <c r="X166" s="139" t="s">
        <v>912</v>
      </c>
      <c r="Y166" s="181" t="e">
        <f>SUM(D166)/SUM(D$165:D$168)</f>
        <v>#DIV/0!</v>
      </c>
      <c r="Z166" s="181" t="e">
        <f t="shared" si="35"/>
        <v>#DIV/0!</v>
      </c>
      <c r="AA166" s="181" t="e">
        <f t="shared" si="35"/>
        <v>#DIV/0!</v>
      </c>
      <c r="AB166" s="181" t="e">
        <f t="shared" si="35"/>
        <v>#DIV/0!</v>
      </c>
      <c r="AC166" s="181" t="e">
        <f t="shared" si="35"/>
        <v>#DIV/0!</v>
      </c>
      <c r="AD166" s="181" t="e">
        <f t="shared" si="35"/>
        <v>#DIV/0!</v>
      </c>
      <c r="AE166" s="181" t="e">
        <f t="shared" si="35"/>
        <v>#DIV/0!</v>
      </c>
      <c r="AF166" s="181" t="e">
        <f t="shared" si="35"/>
        <v>#DIV/0!</v>
      </c>
      <c r="AG166" s="181" t="e">
        <f t="shared" si="35"/>
        <v>#DIV/0!</v>
      </c>
      <c r="AH166" s="181" t="e">
        <f t="shared" si="35"/>
        <v>#DIV/0!</v>
      </c>
      <c r="AI166" s="181" t="e">
        <f t="shared" si="35"/>
        <v>#DIV/0!</v>
      </c>
      <c r="AJ166" s="181" t="e">
        <f t="shared" si="35"/>
        <v>#DIV/0!</v>
      </c>
      <c r="AK166" s="181" t="e">
        <f t="shared" si="35"/>
        <v>#DIV/0!</v>
      </c>
      <c r="AL166" s="181" t="e">
        <f t="shared" si="35"/>
        <v>#DIV/0!</v>
      </c>
      <c r="AM166" s="181" t="e">
        <f t="shared" si="35"/>
        <v>#DIV/0!</v>
      </c>
      <c r="AN166" s="181" t="e">
        <f t="shared" si="35"/>
        <v>#DIV/0!</v>
      </c>
    </row>
    <row r="167" spans="2:40" x14ac:dyDescent="0.15">
      <c r="B167" s="338"/>
      <c r="C167" s="139" t="s">
        <v>913</v>
      </c>
      <c r="D167" s="104">
        <f>SUMIFS('caseload data'!E:E,'caseload data'!$D:$D,"TPO",'caseload data'!$A:$A,B165)</f>
        <v>0</v>
      </c>
      <c r="E167" s="104">
        <f>SUMIFS('caseload data'!F:F,'caseload data'!$D:$D,"TPO",'caseload data'!$A:$A,C165)</f>
        <v>0</v>
      </c>
      <c r="F167" s="104">
        <f>SUMIFS('caseload data'!G:G,'caseload data'!$D:$D,"TPO",'caseload data'!$A:$A,D165)</f>
        <v>0</v>
      </c>
      <c r="G167" s="104">
        <f>SUMIFS('caseload data'!H:H,'caseload data'!$D:$D,"TPO",'caseload data'!$A:$A,E165)</f>
        <v>0</v>
      </c>
      <c r="H167" s="104">
        <f>SUMIFS('caseload data'!I:I,'caseload data'!$D:$D,"TPO",'caseload data'!$A:$A,F165)</f>
        <v>0</v>
      </c>
      <c r="I167" s="104">
        <f>SUMIFS('caseload data'!J:J,'caseload data'!$D:$D,"TPO",'caseload data'!$A:$A,G165)</f>
        <v>0</v>
      </c>
      <c r="J167" s="104">
        <f>SUMIFS('caseload data'!K:K,'caseload data'!$D:$D,"TPO",'caseload data'!$A:$A,H165)</f>
        <v>0</v>
      </c>
      <c r="K167" s="104">
        <f>SUMIFS('caseload data'!L:L,'caseload data'!$D:$D,"TPO",'caseload data'!$A:$A,I165)</f>
        <v>0</v>
      </c>
      <c r="L167" s="104">
        <f>SUMIFS('caseload data'!M:M,'caseload data'!$D:$D,"TPO",'caseload data'!$A:$A,J165)</f>
        <v>0</v>
      </c>
      <c r="M167" s="104">
        <f>SUMIFS('caseload data'!N:N,'caseload data'!$D:$D,"TPO",'caseload data'!$A:$A,K165)</f>
        <v>0</v>
      </c>
      <c r="N167" s="104">
        <f>SUMIFS('caseload data'!O:O,'caseload data'!$D:$D,"TPO",'caseload data'!$A:$A,L165)</f>
        <v>0</v>
      </c>
      <c r="O167" s="104">
        <f>SUMIFS('caseload data'!P:P,'caseload data'!$D:$D,"TPO",'caseload data'!$A:$A,M165)</f>
        <v>0</v>
      </c>
      <c r="P167" s="104">
        <f>SUMIFS('caseload data'!Q:Q,'caseload data'!$D:$D,"TPO",'caseload data'!$A:$A,N165)</f>
        <v>0</v>
      </c>
      <c r="Q167" s="104">
        <f>SUMIFS('caseload data'!R:R,'caseload data'!$D:$D,"TPO",'caseload data'!$A:$A,O165)</f>
        <v>0</v>
      </c>
      <c r="R167" s="104">
        <f>SUMIFS('caseload data'!S:S,'caseload data'!$D:$D,"TPO",'caseload data'!$A:$A,P165)</f>
        <v>0</v>
      </c>
      <c r="S167" s="104">
        <f>SUMIFS('caseload data'!T:T,'caseload data'!$D:$D,"TPO",'caseload data'!$A:$A,Q165)</f>
        <v>0</v>
      </c>
      <c r="T167" s="104">
        <f>SUMIFS('caseload data'!V:V,'caseload data'!D:D,"TPO",'caseload data'!A:A,B165,'caseload data'!B:B,"custody")</f>
        <v>0</v>
      </c>
      <c r="U167" s="73"/>
      <c r="V167" s="73"/>
      <c r="W167" s="338"/>
      <c r="X167" s="139" t="s">
        <v>913</v>
      </c>
      <c r="Y167" s="181" t="e">
        <f>SUM(D167)/SUM(D$165:D$168)</f>
        <v>#DIV/0!</v>
      </c>
      <c r="Z167" s="181" t="e">
        <f t="shared" si="35"/>
        <v>#DIV/0!</v>
      </c>
      <c r="AA167" s="181" t="e">
        <f t="shared" si="35"/>
        <v>#DIV/0!</v>
      </c>
      <c r="AB167" s="181" t="e">
        <f t="shared" si="35"/>
        <v>#DIV/0!</v>
      </c>
      <c r="AC167" s="181" t="e">
        <f t="shared" si="35"/>
        <v>#DIV/0!</v>
      </c>
      <c r="AD167" s="181" t="e">
        <f t="shared" si="35"/>
        <v>#DIV/0!</v>
      </c>
      <c r="AE167" s="181" t="e">
        <f t="shared" si="35"/>
        <v>#DIV/0!</v>
      </c>
      <c r="AF167" s="181" t="e">
        <f t="shared" si="35"/>
        <v>#DIV/0!</v>
      </c>
      <c r="AG167" s="181" t="e">
        <f t="shared" si="35"/>
        <v>#DIV/0!</v>
      </c>
      <c r="AH167" s="181" t="e">
        <f t="shared" si="35"/>
        <v>#DIV/0!</v>
      </c>
      <c r="AI167" s="181" t="e">
        <f t="shared" si="35"/>
        <v>#DIV/0!</v>
      </c>
      <c r="AJ167" s="181" t="e">
        <f t="shared" si="35"/>
        <v>#DIV/0!</v>
      </c>
      <c r="AK167" s="181" t="e">
        <f t="shared" si="35"/>
        <v>#DIV/0!</v>
      </c>
      <c r="AL167" s="181" t="e">
        <f t="shared" si="35"/>
        <v>#DIV/0!</v>
      </c>
      <c r="AM167" s="181" t="e">
        <f t="shared" si="35"/>
        <v>#DIV/0!</v>
      </c>
      <c r="AN167" s="181" t="e">
        <f t="shared" si="35"/>
        <v>#DIV/0!</v>
      </c>
    </row>
    <row r="168" spans="2:40" x14ac:dyDescent="0.15">
      <c r="B168" s="339"/>
      <c r="C168" s="140" t="s">
        <v>914</v>
      </c>
      <c r="D168" s="104">
        <f>SUMIFS('caseload data'!E:E,'caseload data'!$D:$D,"SPO",'caseload data'!$A:$A,"West Midlands Region",'caseload data'!$B:$B,"custody")</f>
        <v>0</v>
      </c>
      <c r="E168" s="104">
        <f>SUMIFS('caseload data'!F:F,'caseload data'!$D:$D,"SPO",'caseload data'!$A:$A,"West Midlands Region",'caseload data'!$B:$B,"custody")</f>
        <v>0</v>
      </c>
      <c r="F168" s="104">
        <f>SUMIFS('caseload data'!G:G,'caseload data'!$D:$D,"SPO",'caseload data'!$A:$A,"West Midlands Region",'caseload data'!$B:$B,"custody")</f>
        <v>0</v>
      </c>
      <c r="G168" s="104">
        <f>SUMIFS('caseload data'!H:H,'caseload data'!$D:$D,"SPO",'caseload data'!$A:$A,"West Midlands Region",'caseload data'!$B:$B,"custody")</f>
        <v>0</v>
      </c>
      <c r="H168" s="104">
        <f>SUMIFS('caseload data'!I:I,'caseload data'!$D:$D,"SPO",'caseload data'!$A:$A,"West Midlands Region",'caseload data'!$B:$B,"custody")</f>
        <v>0</v>
      </c>
      <c r="I168" s="104">
        <f>SUMIFS('caseload data'!J:J,'caseload data'!$D:$D,"SPO",'caseload data'!$A:$A,"West Midlands Region",'caseload data'!$B:$B,"custody")</f>
        <v>0</v>
      </c>
      <c r="J168" s="104">
        <f>SUMIFS('caseload data'!K:K,'caseload data'!$D:$D,"SPO",'caseload data'!$A:$A,"West Midlands Region",'caseload data'!$B:$B,"custody")</f>
        <v>0</v>
      </c>
      <c r="K168" s="104">
        <f>SUMIFS('caseload data'!L:L,'caseload data'!$D:$D,"SPO",'caseload data'!$A:$A,"West Midlands Region",'caseload data'!$B:$B,"custody")</f>
        <v>0</v>
      </c>
      <c r="L168" s="104">
        <f>SUMIFS('caseload data'!M:M,'caseload data'!$D:$D,"SPO",'caseload data'!$A:$A,"West Midlands Region",'caseload data'!$B:$B,"custody")</f>
        <v>0</v>
      </c>
      <c r="M168" s="104">
        <f>SUMIFS('caseload data'!N:N,'caseload data'!$D:$D,"SPO",'caseload data'!$A:$A,"West Midlands Region",'caseload data'!$B:$B,"custody")</f>
        <v>0</v>
      </c>
      <c r="N168" s="104">
        <f>SUMIFS('caseload data'!O:O,'caseload data'!$D:$D,"SPO",'caseload data'!$A:$A,"West Midlands Region",'caseload data'!$B:$B,"custody")</f>
        <v>0</v>
      </c>
      <c r="O168" s="104">
        <f>SUMIFS('caseload data'!P:P,'caseload data'!$D:$D,"SPO",'caseload data'!$A:$A,"West Midlands Region",'caseload data'!$B:$B,"custody")</f>
        <v>0</v>
      </c>
      <c r="P168" s="104">
        <f>SUMIFS('caseload data'!Q:Q,'caseload data'!$D:$D,"SPO",'caseload data'!$A:$A,"West Midlands Region",'caseload data'!$B:$B,"custody")</f>
        <v>0</v>
      </c>
      <c r="Q168" s="104">
        <f>SUMIFS('caseload data'!R:R,'caseload data'!$D:$D,"SPO",'caseload data'!$A:$A,"West Midlands Region",'caseload data'!$B:$B,"custody")</f>
        <v>0</v>
      </c>
      <c r="R168" s="104">
        <f>SUMIFS('caseload data'!S:S,'caseload data'!$D:$D,"SPO",'caseload data'!$A:$A,"West Midlands Region",'caseload data'!$B:$B,"custody")</f>
        <v>0</v>
      </c>
      <c r="S168" s="104">
        <f>SUMIFS('caseload data'!T:T,'caseload data'!$D:$D,"SPO",'caseload data'!$A:$A,"West Midlands Region",'caseload data'!$B:$B,"custody")</f>
        <v>0</v>
      </c>
      <c r="T168" s="104">
        <f>SUMIFS('caseload data'!V:V,'caseload data'!$D:$D,"SPO",'caseload data'!$A:$A,"West Midlands Region",'caseload data'!$B:$B,"custody")</f>
        <v>0</v>
      </c>
      <c r="U168" s="73"/>
      <c r="V168" s="73"/>
      <c r="W168" s="339"/>
      <c r="X168" s="140" t="s">
        <v>914</v>
      </c>
      <c r="Y168" s="181" t="e">
        <f>SUM(D168)/SUM(D$165:D$168)</f>
        <v>#DIV/0!</v>
      </c>
      <c r="Z168" s="181" t="e">
        <f t="shared" si="35"/>
        <v>#DIV/0!</v>
      </c>
      <c r="AA168" s="181" t="e">
        <f t="shared" si="35"/>
        <v>#DIV/0!</v>
      </c>
      <c r="AB168" s="181" t="e">
        <f t="shared" si="35"/>
        <v>#DIV/0!</v>
      </c>
      <c r="AC168" s="181" t="e">
        <f t="shared" si="35"/>
        <v>#DIV/0!</v>
      </c>
      <c r="AD168" s="181" t="e">
        <f t="shared" si="35"/>
        <v>#DIV/0!</v>
      </c>
      <c r="AE168" s="181" t="e">
        <f t="shared" si="35"/>
        <v>#DIV/0!</v>
      </c>
      <c r="AF168" s="181" t="e">
        <f t="shared" si="35"/>
        <v>#DIV/0!</v>
      </c>
      <c r="AG168" s="181" t="e">
        <f t="shared" si="35"/>
        <v>#DIV/0!</v>
      </c>
      <c r="AH168" s="181" t="e">
        <f t="shared" si="35"/>
        <v>#DIV/0!</v>
      </c>
      <c r="AI168" s="181" t="e">
        <f t="shared" si="35"/>
        <v>#DIV/0!</v>
      </c>
      <c r="AJ168" s="181" t="e">
        <f t="shared" si="35"/>
        <v>#DIV/0!</v>
      </c>
      <c r="AK168" s="181" t="e">
        <f t="shared" si="35"/>
        <v>#DIV/0!</v>
      </c>
      <c r="AL168" s="181" t="e">
        <f t="shared" si="35"/>
        <v>#DIV/0!</v>
      </c>
      <c r="AM168" s="181" t="e">
        <f t="shared" si="35"/>
        <v>#DIV/0!</v>
      </c>
      <c r="AN168" s="181" t="e">
        <f t="shared" si="35"/>
        <v>#DIV/0!</v>
      </c>
    </row>
    <row r="169" spans="2:40" x14ac:dyDescent="0.15">
      <c r="B169" s="337" t="s">
        <v>31</v>
      </c>
      <c r="C169" s="138" t="s">
        <v>911</v>
      </c>
      <c r="D169" s="104">
        <f>SUMIFS('caseload data'!E:E,'caseload data'!$D:$D,"PO",'caseload data'!$A:$A,$B$169,'caseload data'!$B:$B,"custody")</f>
        <v>0</v>
      </c>
      <c r="E169" s="104">
        <f>SUMIFS('caseload data'!F:F,'caseload data'!$D:$D,"PO",'caseload data'!$A:$A,$B$169,'caseload data'!$B:$B,"custody")</f>
        <v>0</v>
      </c>
      <c r="F169" s="104">
        <f>SUMIFS('caseload data'!G:G,'caseload data'!$D:$D,"PO",'caseload data'!$A:$A,$B$169,'caseload data'!$B:$B,"custody")</f>
        <v>0</v>
      </c>
      <c r="G169" s="104">
        <f>SUMIFS('caseload data'!H:H,'caseload data'!$D:$D,"PO",'caseload data'!$A:$A,$B$169,'caseload data'!$B:$B,"custody")</f>
        <v>0</v>
      </c>
      <c r="H169" s="104">
        <f>SUMIFS('caseload data'!I:I,'caseload data'!$D:$D,"PO",'caseload data'!$A:$A,$B$169,'caseload data'!$B:$B,"custody")</f>
        <v>0</v>
      </c>
      <c r="I169" s="104">
        <f>SUMIFS('caseload data'!J:J,'caseload data'!$D:$D,"PO",'caseload data'!$A:$A,$B$169,'caseload data'!$B:$B,"custody")</f>
        <v>0</v>
      </c>
      <c r="J169" s="104">
        <f>SUMIFS('caseload data'!K:K,'caseload data'!$D:$D,"PO",'caseload data'!$A:$A,$B$169,'caseload data'!$B:$B,"custody")</f>
        <v>0</v>
      </c>
      <c r="K169" s="104">
        <f>SUMIFS('caseload data'!L:L,'caseload data'!$D:$D,"PO",'caseload data'!$A:$A,$B$169,'caseload data'!$B:$B,"custody")</f>
        <v>0</v>
      </c>
      <c r="L169" s="104">
        <f>SUMIFS('caseload data'!M:M,'caseload data'!$D:$D,"PO",'caseload data'!$A:$A,$B$169,'caseload data'!$B:$B,"custody")</f>
        <v>0</v>
      </c>
      <c r="M169" s="104">
        <f>SUMIFS('caseload data'!N:N,'caseload data'!$D:$D,"PO",'caseload data'!$A:$A,$B$169,'caseload data'!$B:$B,"custody")</f>
        <v>0</v>
      </c>
      <c r="N169" s="104">
        <f>SUMIFS('caseload data'!O:O,'caseload data'!$D:$D,"PO",'caseload data'!$A:$A,$B$169,'caseload data'!$B:$B,"custody")</f>
        <v>0</v>
      </c>
      <c r="O169" s="104">
        <f>SUMIFS('caseload data'!P:P,'caseload data'!$D:$D,"PO",'caseload data'!$A:$A,$B$169,'caseload data'!$B:$B,"custody")</f>
        <v>0</v>
      </c>
      <c r="P169" s="104">
        <f>SUMIFS('caseload data'!Q:Q,'caseload data'!$D:$D,"PO",'caseload data'!$A:$A,$B$169,'caseload data'!$B:$B,"custody")</f>
        <v>0</v>
      </c>
      <c r="Q169" s="104">
        <f>SUMIFS('caseload data'!R:R,'caseload data'!$D:$D,"PO",'caseload data'!$A:$A,$B$169,'caseload data'!$B:$B,"custody")</f>
        <v>0</v>
      </c>
      <c r="R169" s="104">
        <f>SUMIFS('caseload data'!S:S,'caseload data'!$D:$D,"PO",'caseload data'!$A:$A,$B$169,'caseload data'!$B:$B,"custody")</f>
        <v>0</v>
      </c>
      <c r="S169" s="104">
        <f>SUMIFS('caseload data'!T:T,'caseload data'!$D:$D,"PO",'caseload data'!$A:$A,$B$169,'caseload data'!$B:$B,"custody")</f>
        <v>0</v>
      </c>
      <c r="T169" s="104">
        <f>SUMIFS('caseload data'!V:V,'caseload data'!D:D,"PO",'caseload data'!A:A,B169,'caseload data'!B:B,"custody")</f>
        <v>0</v>
      </c>
      <c r="U169" s="73"/>
      <c r="V169" s="73"/>
      <c r="W169" s="337" t="s">
        <v>31</v>
      </c>
      <c r="X169" s="138" t="s">
        <v>911</v>
      </c>
      <c r="Y169" s="181" t="e">
        <f>SUM(D169)/SUM(D$169:D$172)</f>
        <v>#DIV/0!</v>
      </c>
      <c r="Z169" s="181" t="e">
        <f t="shared" ref="Z169:AN172" si="36">SUM(E169)/SUM(E$169:E$172)</f>
        <v>#DIV/0!</v>
      </c>
      <c r="AA169" s="181" t="e">
        <f t="shared" si="36"/>
        <v>#DIV/0!</v>
      </c>
      <c r="AB169" s="181" t="e">
        <f t="shared" si="36"/>
        <v>#DIV/0!</v>
      </c>
      <c r="AC169" s="181" t="e">
        <f t="shared" si="36"/>
        <v>#DIV/0!</v>
      </c>
      <c r="AD169" s="181" t="e">
        <f t="shared" si="36"/>
        <v>#DIV/0!</v>
      </c>
      <c r="AE169" s="181" t="e">
        <f t="shared" si="36"/>
        <v>#DIV/0!</v>
      </c>
      <c r="AF169" s="181" t="e">
        <f t="shared" si="36"/>
        <v>#DIV/0!</v>
      </c>
      <c r="AG169" s="181" t="e">
        <f t="shared" si="36"/>
        <v>#DIV/0!</v>
      </c>
      <c r="AH169" s="181" t="e">
        <f t="shared" si="36"/>
        <v>#DIV/0!</v>
      </c>
      <c r="AI169" s="181" t="e">
        <f t="shared" si="36"/>
        <v>#DIV/0!</v>
      </c>
      <c r="AJ169" s="181" t="e">
        <f t="shared" si="36"/>
        <v>#DIV/0!</v>
      </c>
      <c r="AK169" s="181" t="e">
        <f t="shared" si="36"/>
        <v>#DIV/0!</v>
      </c>
      <c r="AL169" s="181" t="e">
        <f t="shared" si="36"/>
        <v>#DIV/0!</v>
      </c>
      <c r="AM169" s="181" t="e">
        <f t="shared" si="36"/>
        <v>#DIV/0!</v>
      </c>
      <c r="AN169" s="181" t="e">
        <f t="shared" si="36"/>
        <v>#DIV/0!</v>
      </c>
    </row>
    <row r="170" spans="2:40" x14ac:dyDescent="0.15">
      <c r="B170" s="338"/>
      <c r="C170" s="139" t="s">
        <v>912</v>
      </c>
      <c r="D170" s="104">
        <f>SUMIFS('caseload data'!E:E,'caseload data'!$D:$D,"PSO",'caseload data'!$A:$A,B169,'caseload data'!$B:$B,"custody")</f>
        <v>0</v>
      </c>
      <c r="E170" s="104">
        <f>SUMIFS('caseload data'!F:F,'caseload data'!$D:$D,"PSO",'caseload data'!$A:$A,C169,'caseload data'!$B:$B,"custody")</f>
        <v>0</v>
      </c>
      <c r="F170" s="104">
        <f>SUMIFS('caseload data'!G:G,'caseload data'!$D:$D,"PSO",'caseload data'!$A:$A,D169,'caseload data'!$B:$B,"custody")</f>
        <v>0</v>
      </c>
      <c r="G170" s="104">
        <f>SUMIFS('caseload data'!H:H,'caseload data'!$D:$D,"PSO",'caseload data'!$A:$A,E169,'caseload data'!$B:$B,"custody")</f>
        <v>0</v>
      </c>
      <c r="H170" s="104">
        <f>SUMIFS('caseload data'!I:I,'caseload data'!$D:$D,"PSO",'caseload data'!$A:$A,F169,'caseload data'!$B:$B,"custody")</f>
        <v>0</v>
      </c>
      <c r="I170" s="104">
        <f>SUMIFS('caseload data'!J:J,'caseload data'!$D:$D,"PSO",'caseload data'!$A:$A,G169,'caseload data'!$B:$B,"custody")</f>
        <v>0</v>
      </c>
      <c r="J170" s="104">
        <f>SUMIFS('caseload data'!K:K,'caseload data'!$D:$D,"PSO",'caseload data'!$A:$A,H169,'caseload data'!$B:$B,"custody")</f>
        <v>0</v>
      </c>
      <c r="K170" s="104">
        <f>SUMIFS('caseload data'!L:L,'caseload data'!$D:$D,"PSO",'caseload data'!$A:$A,I169,'caseload data'!$B:$B,"custody")</f>
        <v>0</v>
      </c>
      <c r="L170" s="104">
        <f>SUMIFS('caseload data'!M:M,'caseload data'!$D:$D,"PSO",'caseload data'!$A:$A,J169,'caseload data'!$B:$B,"custody")</f>
        <v>0</v>
      </c>
      <c r="M170" s="104">
        <f>SUMIFS('caseload data'!N:N,'caseload data'!$D:$D,"PSO",'caseload data'!$A:$A,K169,'caseload data'!$B:$B,"custody")</f>
        <v>0</v>
      </c>
      <c r="N170" s="104">
        <f>SUMIFS('caseload data'!O:O,'caseload data'!$D:$D,"PSO",'caseload data'!$A:$A,L169,'caseload data'!$B:$B,"custody")</f>
        <v>0</v>
      </c>
      <c r="O170" s="104">
        <f>SUMIFS('caseload data'!P:P,'caseload data'!$D:$D,"PSO",'caseload data'!$A:$A,M169,'caseload data'!$B:$B,"custody")</f>
        <v>0</v>
      </c>
      <c r="P170" s="104">
        <f>SUMIFS('caseload data'!Q:Q,'caseload data'!$D:$D,"PSO",'caseload data'!$A:$A,N169,'caseload data'!$B:$B,"custody")</f>
        <v>0</v>
      </c>
      <c r="Q170" s="104">
        <f>SUMIFS('caseload data'!R:R,'caseload data'!$D:$D,"PSO",'caseload data'!$A:$A,O169,'caseload data'!$B:$B,"custody")</f>
        <v>0</v>
      </c>
      <c r="R170" s="104">
        <f>SUMIFS('caseload data'!S:S,'caseload data'!$D:$D,"PSO",'caseload data'!$A:$A,P169,'caseload data'!$B:$B,"custody")</f>
        <v>0</v>
      </c>
      <c r="S170" s="104">
        <f>SUMIFS('caseload data'!T:T,'caseload data'!$D:$D,"PSO",'caseload data'!$A:$A,Q169,'caseload data'!$B:$B,"custody")</f>
        <v>0</v>
      </c>
      <c r="T170" s="104">
        <f>SUMIFS('caseload data'!V:V,'caseload data'!D:D,"PSO",'caseload data'!A:A,B169,'caseload data'!B:B,"custody")</f>
        <v>0</v>
      </c>
      <c r="U170" s="73"/>
      <c r="V170" s="73"/>
      <c r="W170" s="338"/>
      <c r="X170" s="139" t="s">
        <v>912</v>
      </c>
      <c r="Y170" s="181" t="e">
        <f>SUM(D170)/SUM(D$169:D$172)</f>
        <v>#DIV/0!</v>
      </c>
      <c r="Z170" s="181" t="e">
        <f t="shared" si="36"/>
        <v>#DIV/0!</v>
      </c>
      <c r="AA170" s="181" t="e">
        <f t="shared" si="36"/>
        <v>#DIV/0!</v>
      </c>
      <c r="AB170" s="181" t="e">
        <f t="shared" si="36"/>
        <v>#DIV/0!</v>
      </c>
      <c r="AC170" s="181" t="e">
        <f t="shared" si="36"/>
        <v>#DIV/0!</v>
      </c>
      <c r="AD170" s="181" t="e">
        <f t="shared" si="36"/>
        <v>#DIV/0!</v>
      </c>
      <c r="AE170" s="181" t="e">
        <f t="shared" si="36"/>
        <v>#DIV/0!</v>
      </c>
      <c r="AF170" s="181" t="e">
        <f t="shared" si="36"/>
        <v>#DIV/0!</v>
      </c>
      <c r="AG170" s="181" t="e">
        <f t="shared" si="36"/>
        <v>#DIV/0!</v>
      </c>
      <c r="AH170" s="181" t="e">
        <f t="shared" si="36"/>
        <v>#DIV/0!</v>
      </c>
      <c r="AI170" s="181" t="e">
        <f t="shared" si="36"/>
        <v>#DIV/0!</v>
      </c>
      <c r="AJ170" s="181" t="e">
        <f t="shared" si="36"/>
        <v>#DIV/0!</v>
      </c>
      <c r="AK170" s="181" t="e">
        <f t="shared" si="36"/>
        <v>#DIV/0!</v>
      </c>
      <c r="AL170" s="181" t="e">
        <f t="shared" si="36"/>
        <v>#DIV/0!</v>
      </c>
      <c r="AM170" s="181" t="e">
        <f t="shared" si="36"/>
        <v>#DIV/0!</v>
      </c>
      <c r="AN170" s="181" t="e">
        <f t="shared" si="36"/>
        <v>#DIV/0!</v>
      </c>
    </row>
    <row r="171" spans="2:40" x14ac:dyDescent="0.15">
      <c r="B171" s="338"/>
      <c r="C171" s="139" t="s">
        <v>913</v>
      </c>
      <c r="D171" s="104">
        <f>SUMIFS('caseload data'!E:E,'caseload data'!$D:$D,"TPO",'caseload data'!$A:$A,B169,'caseload data'!$B:$B,"custody")</f>
        <v>0</v>
      </c>
      <c r="E171" s="104">
        <f>SUMIFS('caseload data'!F:F,'caseload data'!$D:$D,"TPO",'caseload data'!$A:$A,C169,'caseload data'!$B:$B,"custody")</f>
        <v>0</v>
      </c>
      <c r="F171" s="104">
        <f>SUMIFS('caseload data'!G:G,'caseload data'!$D:$D,"TPO",'caseload data'!$A:$A,D169,'caseload data'!$B:$B,"custody")</f>
        <v>0</v>
      </c>
      <c r="G171" s="104">
        <f>SUMIFS('caseload data'!H:H,'caseload data'!$D:$D,"TPO",'caseload data'!$A:$A,E169,'caseload data'!$B:$B,"custody")</f>
        <v>0</v>
      </c>
      <c r="H171" s="104">
        <f>SUMIFS('caseload data'!I:I,'caseload data'!$D:$D,"TPO",'caseload data'!$A:$A,F169,'caseload data'!$B:$B,"custody")</f>
        <v>0</v>
      </c>
      <c r="I171" s="104">
        <f>SUMIFS('caseload data'!J:J,'caseload data'!$D:$D,"TPO",'caseload data'!$A:$A,G169,'caseload data'!$B:$B,"custody")</f>
        <v>0</v>
      </c>
      <c r="J171" s="104">
        <f>SUMIFS('caseload data'!K:K,'caseload data'!$D:$D,"TPO",'caseload data'!$A:$A,H169,'caseload data'!$B:$B,"custody")</f>
        <v>0</v>
      </c>
      <c r="K171" s="104">
        <f>SUMIFS('caseload data'!L:L,'caseload data'!$D:$D,"TPO",'caseload data'!$A:$A,I169,'caseload data'!$B:$B,"custody")</f>
        <v>0</v>
      </c>
      <c r="L171" s="104">
        <f>SUMIFS('caseload data'!M:M,'caseload data'!$D:$D,"TPO",'caseload data'!$A:$A,J169,'caseload data'!$B:$B,"custody")</f>
        <v>0</v>
      </c>
      <c r="M171" s="104">
        <f>SUMIFS('caseload data'!N:N,'caseload data'!$D:$D,"TPO",'caseload data'!$A:$A,K169,'caseload data'!$B:$B,"custody")</f>
        <v>0</v>
      </c>
      <c r="N171" s="104">
        <f>SUMIFS('caseload data'!O:O,'caseload data'!$D:$D,"TPO",'caseload data'!$A:$A,L169,'caseload data'!$B:$B,"custody")</f>
        <v>0</v>
      </c>
      <c r="O171" s="104">
        <f>SUMIFS('caseload data'!P:P,'caseload data'!$D:$D,"TPO",'caseload data'!$A:$A,M169,'caseload data'!$B:$B,"custody")</f>
        <v>0</v>
      </c>
      <c r="P171" s="104">
        <f>SUMIFS('caseload data'!Q:Q,'caseload data'!$D:$D,"TPO",'caseload data'!$A:$A,N169,'caseload data'!$B:$B,"custody")</f>
        <v>0</v>
      </c>
      <c r="Q171" s="104">
        <f>SUMIFS('caseload data'!R:R,'caseload data'!$D:$D,"TPO",'caseload data'!$A:$A,O169,'caseload data'!$B:$B,"custody")</f>
        <v>0</v>
      </c>
      <c r="R171" s="104">
        <f>SUMIFS('caseload data'!S:S,'caseload data'!$D:$D,"TPO",'caseload data'!$A:$A,P169,'caseload data'!$B:$B,"custody")</f>
        <v>0</v>
      </c>
      <c r="S171" s="104">
        <f>SUMIFS('caseload data'!T:T,'caseload data'!$D:$D,"TPO",'caseload data'!$A:$A,Q169,'caseload data'!$B:$B,"custody")</f>
        <v>0</v>
      </c>
      <c r="T171" s="104">
        <f>SUMIFS('caseload data'!V:V,'caseload data'!D:D,"TPO",'caseload data'!A:A,B169,'caseload data'!B:B,"custody")</f>
        <v>0</v>
      </c>
      <c r="U171" s="73"/>
      <c r="V171" s="73"/>
      <c r="W171" s="338"/>
      <c r="X171" s="139" t="s">
        <v>913</v>
      </c>
      <c r="Y171" s="181" t="e">
        <f>SUM(D171)/SUM(D$169:D$172)</f>
        <v>#DIV/0!</v>
      </c>
      <c r="Z171" s="181" t="e">
        <f t="shared" si="36"/>
        <v>#DIV/0!</v>
      </c>
      <c r="AA171" s="181" t="e">
        <f t="shared" si="36"/>
        <v>#DIV/0!</v>
      </c>
      <c r="AB171" s="181" t="e">
        <f t="shared" si="36"/>
        <v>#DIV/0!</v>
      </c>
      <c r="AC171" s="181" t="e">
        <f t="shared" si="36"/>
        <v>#DIV/0!</v>
      </c>
      <c r="AD171" s="181" t="e">
        <f t="shared" si="36"/>
        <v>#DIV/0!</v>
      </c>
      <c r="AE171" s="181" t="e">
        <f t="shared" si="36"/>
        <v>#DIV/0!</v>
      </c>
      <c r="AF171" s="181" t="e">
        <f t="shared" si="36"/>
        <v>#DIV/0!</v>
      </c>
      <c r="AG171" s="181" t="e">
        <f t="shared" si="36"/>
        <v>#DIV/0!</v>
      </c>
      <c r="AH171" s="181" t="e">
        <f t="shared" si="36"/>
        <v>#DIV/0!</v>
      </c>
      <c r="AI171" s="181" t="e">
        <f t="shared" si="36"/>
        <v>#DIV/0!</v>
      </c>
      <c r="AJ171" s="181" t="e">
        <f t="shared" si="36"/>
        <v>#DIV/0!</v>
      </c>
      <c r="AK171" s="181" t="e">
        <f t="shared" si="36"/>
        <v>#DIV/0!</v>
      </c>
      <c r="AL171" s="181" t="e">
        <f t="shared" si="36"/>
        <v>#DIV/0!</v>
      </c>
      <c r="AM171" s="181" t="e">
        <f t="shared" si="36"/>
        <v>#DIV/0!</v>
      </c>
      <c r="AN171" s="181" t="e">
        <f t="shared" si="36"/>
        <v>#DIV/0!</v>
      </c>
    </row>
    <row r="172" spans="2:40" ht="15" thickBot="1" x14ac:dyDescent="0.2">
      <c r="B172" s="339"/>
      <c r="C172" s="140" t="s">
        <v>914</v>
      </c>
      <c r="D172" s="104">
        <f>SUMIFS('caseload data'!E:E,'caseload data'!$D:$D,"SPO",'caseload data'!$A:$A,"Yorkshire and The Humber",'caseload data'!$B:$B,"custody")</f>
        <v>0</v>
      </c>
      <c r="E172" s="104">
        <f>SUMIFS('caseload data'!F:F,'caseload data'!$D:$D,"SPO",'caseload data'!$A:$A,"Yorkshire and The Humber",'caseload data'!$B:$B,"custody")</f>
        <v>0</v>
      </c>
      <c r="F172" s="104">
        <f>SUMIFS('caseload data'!G:G,'caseload data'!$D:$D,"SPO",'caseload data'!$A:$A,"Yorkshire and The Humber",'caseload data'!$B:$B,"custody")</f>
        <v>0</v>
      </c>
      <c r="G172" s="104">
        <f>SUMIFS('caseload data'!H:H,'caseload data'!$D:$D,"SPO",'caseload data'!$A:$A,"Yorkshire and The Humber",'caseload data'!$B:$B,"custody")</f>
        <v>0</v>
      </c>
      <c r="H172" s="104">
        <f>SUMIFS('caseload data'!I:I,'caseload data'!$D:$D,"SPO",'caseload data'!$A:$A,"Yorkshire and The Humber",'caseload data'!$B:$B,"custody")</f>
        <v>0</v>
      </c>
      <c r="I172" s="104">
        <f>SUMIFS('caseload data'!J:J,'caseload data'!$D:$D,"SPO",'caseload data'!$A:$A,"Yorkshire and The Humber",'caseload data'!$B:$B,"custody")</f>
        <v>0</v>
      </c>
      <c r="J172" s="104">
        <f>SUMIFS('caseload data'!K:K,'caseload data'!$D:$D,"SPO",'caseload data'!$A:$A,"Yorkshire and The Humber",'caseload data'!$B:$B,"custody")</f>
        <v>0</v>
      </c>
      <c r="K172" s="104">
        <f>SUMIFS('caseload data'!L:L,'caseload data'!$D:$D,"SPO",'caseload data'!$A:$A,"Yorkshire and The Humber",'caseload data'!$B:$B,"custody")</f>
        <v>0</v>
      </c>
      <c r="L172" s="104">
        <f>SUMIFS('caseload data'!M:M,'caseload data'!$D:$D,"SPO",'caseload data'!$A:$A,"Yorkshire and The Humber",'caseload data'!$B:$B,"custody")</f>
        <v>0</v>
      </c>
      <c r="M172" s="104">
        <f>SUMIFS('caseload data'!N:N,'caseload data'!$D:$D,"SPO",'caseload data'!$A:$A,"Yorkshire and The Humber",'caseload data'!$B:$B,"custody")</f>
        <v>0</v>
      </c>
      <c r="N172" s="104">
        <f>SUMIFS('caseload data'!O:O,'caseload data'!$D:$D,"SPO",'caseload data'!$A:$A,"Yorkshire and The Humber",'caseload data'!$B:$B,"custody")</f>
        <v>0</v>
      </c>
      <c r="O172" s="104">
        <f>SUMIFS('caseload data'!P:P,'caseload data'!$D:$D,"SPO",'caseload data'!$A:$A,"Yorkshire and The Humber",'caseload data'!$B:$B,"custody")</f>
        <v>0</v>
      </c>
      <c r="P172" s="104">
        <f>SUMIFS('caseload data'!Q:Q,'caseload data'!$D:$D,"SPO",'caseload data'!$A:$A,"Yorkshire and The Humber",'caseload data'!$B:$B,"custody")</f>
        <v>0</v>
      </c>
      <c r="Q172" s="104">
        <f>SUMIFS('caseload data'!R:R,'caseload data'!$D:$D,"SPO",'caseload data'!$A:$A,"Yorkshire and The Humber",'caseload data'!$B:$B,"custody")</f>
        <v>0</v>
      </c>
      <c r="R172" s="104">
        <f>SUMIFS('caseload data'!S:S,'caseload data'!$D:$D,"SPO",'caseload data'!$A:$A,"Yorkshire and The Humber",'caseload data'!$B:$B,"custody")</f>
        <v>0</v>
      </c>
      <c r="S172" s="104">
        <f>SUMIFS('caseload data'!T:T,'caseload data'!$D:$D,"SPO",'caseload data'!$A:$A,"Yorkshire and The Humber",'caseload data'!$B:$B,"custody")</f>
        <v>0</v>
      </c>
      <c r="T172" s="104">
        <f>SUMIFS('caseload data'!V:V,'caseload data'!$D:$D,"SPO",'caseload data'!$A:$A,"Yorkshire and The Humber",'caseload data'!$B:$B,"custody")</f>
        <v>0</v>
      </c>
      <c r="U172" s="73"/>
      <c r="V172" s="73"/>
      <c r="W172" s="339"/>
      <c r="X172" s="140" t="s">
        <v>914</v>
      </c>
      <c r="Y172" s="181" t="e">
        <f>SUM(D172)/SUM(D$169:D$172)</f>
        <v>#DIV/0!</v>
      </c>
      <c r="Z172" s="181" t="e">
        <f t="shared" si="36"/>
        <v>#DIV/0!</v>
      </c>
      <c r="AA172" s="181" t="e">
        <f t="shared" si="36"/>
        <v>#DIV/0!</v>
      </c>
      <c r="AB172" s="181" t="e">
        <f t="shared" si="36"/>
        <v>#DIV/0!</v>
      </c>
      <c r="AC172" s="181" t="e">
        <f t="shared" si="36"/>
        <v>#DIV/0!</v>
      </c>
      <c r="AD172" s="181" t="e">
        <f t="shared" si="36"/>
        <v>#DIV/0!</v>
      </c>
      <c r="AE172" s="181" t="e">
        <f t="shared" si="36"/>
        <v>#DIV/0!</v>
      </c>
      <c r="AF172" s="181" t="e">
        <f t="shared" si="36"/>
        <v>#DIV/0!</v>
      </c>
      <c r="AG172" s="181" t="e">
        <f t="shared" si="36"/>
        <v>#DIV/0!</v>
      </c>
      <c r="AH172" s="181" t="e">
        <f t="shared" si="36"/>
        <v>#DIV/0!</v>
      </c>
      <c r="AI172" s="181" t="e">
        <f t="shared" si="36"/>
        <v>#DIV/0!</v>
      </c>
      <c r="AJ172" s="181" t="e">
        <f t="shared" si="36"/>
        <v>#DIV/0!</v>
      </c>
      <c r="AK172" s="181" t="e">
        <f t="shared" si="36"/>
        <v>#DIV/0!</v>
      </c>
      <c r="AL172" s="181" t="e">
        <f t="shared" si="36"/>
        <v>#DIV/0!</v>
      </c>
      <c r="AM172" s="181" t="e">
        <f t="shared" si="36"/>
        <v>#DIV/0!</v>
      </c>
      <c r="AN172" s="181" t="e">
        <f t="shared" si="36"/>
        <v>#DIV/0!</v>
      </c>
    </row>
    <row r="173" spans="2:40" x14ac:dyDescent="0.15">
      <c r="B173" s="361" t="s">
        <v>1113</v>
      </c>
      <c r="C173" s="147" t="s">
        <v>911</v>
      </c>
      <c r="D173" s="148">
        <f>SUMIFS('caseload data'!E:E,'caseload data'!$D:$D,"PO",'caseload data'!$B:$B,"custody")</f>
        <v>0</v>
      </c>
      <c r="E173" s="148">
        <f>SUMIFS('caseload data'!F:F,'caseload data'!$D:$D,"PO",'caseload data'!$B:$B,"custody")</f>
        <v>0</v>
      </c>
      <c r="F173" s="148">
        <f>SUMIFS('caseload data'!G:G,'caseload data'!$D:$D,"PO",'caseload data'!$B:$B,"custody")</f>
        <v>0</v>
      </c>
      <c r="G173" s="148">
        <f>SUMIFS('caseload data'!H:H,'caseload data'!$D:$D,"PO",'caseload data'!$B:$B,"custody")</f>
        <v>0</v>
      </c>
      <c r="H173" s="148">
        <f>SUMIFS('caseload data'!I:I,'caseload data'!$D:$D,"PO",'caseload data'!$B:$B,"custody")</f>
        <v>0</v>
      </c>
      <c r="I173" s="148">
        <f>SUMIFS('caseload data'!J:J,'caseload data'!$D:$D,"PO",'caseload data'!$B:$B,"custody")</f>
        <v>0</v>
      </c>
      <c r="J173" s="148">
        <f>SUMIFS('caseload data'!K:K,'caseload data'!$D:$D,"PO",'caseload data'!$B:$B,"custody")</f>
        <v>0</v>
      </c>
      <c r="K173" s="148">
        <f>SUMIFS('caseload data'!L:L,'caseload data'!$D:$D,"PO",'caseload data'!$B:$B,"custody")</f>
        <v>0</v>
      </c>
      <c r="L173" s="148">
        <f>SUMIFS('caseload data'!M:M,'caseload data'!$D:$D,"PO",'caseload data'!$B:$B,"custody")</f>
        <v>0</v>
      </c>
      <c r="M173" s="148">
        <f>SUMIFS('caseload data'!N:N,'caseload data'!$D:$D,"PO",'caseload data'!$B:$B,"custody")</f>
        <v>0</v>
      </c>
      <c r="N173" s="148">
        <f>SUMIFS('caseload data'!O:O,'caseload data'!$D:$D,"PO",'caseload data'!$B:$B,"custody")</f>
        <v>0</v>
      </c>
      <c r="O173" s="148">
        <f>SUMIFS('caseload data'!P:P,'caseload data'!$D:$D,"PO",'caseload data'!$B:$B,"custody")</f>
        <v>0</v>
      </c>
      <c r="P173" s="148">
        <f>SUMIFS('caseload data'!Q:Q,'caseload data'!$D:$D,"PO",'caseload data'!$B:$B,"custody")</f>
        <v>0</v>
      </c>
      <c r="Q173" s="148">
        <f>SUMIFS('caseload data'!R:R,'caseload data'!$D:$D,"PO",'caseload data'!$B:$B,"custody")</f>
        <v>0</v>
      </c>
      <c r="R173" s="148">
        <f>SUMIFS('caseload data'!S:S,'caseload data'!$D:$D,"PO",'caseload data'!$B:$B,"custody")</f>
        <v>0</v>
      </c>
      <c r="S173" s="148">
        <f>SUMIFS('caseload data'!T:T,'caseload data'!$D:$D,"PO",'caseload data'!$B:$B,"custody")</f>
        <v>0</v>
      </c>
      <c r="T173" s="149">
        <f>SUMIFS('caseload data'!V:V,'caseload data'!D:D,"PO",'caseload data'!B:B,"custody")</f>
        <v>0</v>
      </c>
      <c r="U173" s="73"/>
      <c r="V173" s="73"/>
      <c r="W173" s="358" t="s">
        <v>1113</v>
      </c>
      <c r="X173" s="147" t="s">
        <v>911</v>
      </c>
      <c r="Y173" s="151" t="e">
        <f>SUM(D173)/SUM(D$173:D$176)</f>
        <v>#DIV/0!</v>
      </c>
      <c r="Z173" s="151" t="e">
        <f t="shared" ref="Z173:AN176" si="37">SUM(E173)/SUM(E$173:E$176)</f>
        <v>#DIV/0!</v>
      </c>
      <c r="AA173" s="151" t="e">
        <f t="shared" si="37"/>
        <v>#DIV/0!</v>
      </c>
      <c r="AB173" s="151" t="e">
        <f t="shared" si="37"/>
        <v>#DIV/0!</v>
      </c>
      <c r="AC173" s="151" t="e">
        <f t="shared" si="37"/>
        <v>#DIV/0!</v>
      </c>
      <c r="AD173" s="151" t="e">
        <f t="shared" si="37"/>
        <v>#DIV/0!</v>
      </c>
      <c r="AE173" s="151" t="e">
        <f t="shared" si="37"/>
        <v>#DIV/0!</v>
      </c>
      <c r="AF173" s="151" t="e">
        <f t="shared" si="37"/>
        <v>#DIV/0!</v>
      </c>
      <c r="AG173" s="151" t="e">
        <f t="shared" si="37"/>
        <v>#DIV/0!</v>
      </c>
      <c r="AH173" s="151" t="e">
        <f t="shared" si="37"/>
        <v>#DIV/0!</v>
      </c>
      <c r="AI173" s="151" t="e">
        <f t="shared" si="37"/>
        <v>#DIV/0!</v>
      </c>
      <c r="AJ173" s="151" t="e">
        <f t="shared" si="37"/>
        <v>#DIV/0!</v>
      </c>
      <c r="AK173" s="151" t="e">
        <f t="shared" si="37"/>
        <v>#DIV/0!</v>
      </c>
      <c r="AL173" s="151" t="e">
        <f t="shared" si="37"/>
        <v>#DIV/0!</v>
      </c>
      <c r="AM173" s="151" t="e">
        <f t="shared" si="37"/>
        <v>#DIV/0!</v>
      </c>
      <c r="AN173" s="151" t="e">
        <f t="shared" si="37"/>
        <v>#DIV/0!</v>
      </c>
    </row>
    <row r="174" spans="2:40" x14ac:dyDescent="0.15">
      <c r="B174" s="344"/>
      <c r="C174" s="150" t="s">
        <v>912</v>
      </c>
      <c r="D174" s="148">
        <f>SUMIFS('caseload data'!E:E,'caseload data'!$D:$D,"PSO",'caseload data'!$B:$B,"custody")</f>
        <v>0</v>
      </c>
      <c r="E174" s="148">
        <f>SUMIFS('caseload data'!F:F,'caseload data'!$D:$D,"PSO",'caseload data'!$B:$B,"custody")</f>
        <v>0</v>
      </c>
      <c r="F174" s="148">
        <f>SUMIFS('caseload data'!G:G,'caseload data'!$D:$D,"PSO",'caseload data'!$B:$B,"custody")</f>
        <v>0</v>
      </c>
      <c r="G174" s="148">
        <f>SUMIFS('caseload data'!H:H,'caseload data'!$D:$D,"PSO",'caseload data'!$B:$B,"custody")</f>
        <v>0</v>
      </c>
      <c r="H174" s="148">
        <f>SUMIFS('caseload data'!I:I,'caseload data'!$D:$D,"PSO",'caseload data'!$B:$B,"custody")</f>
        <v>0</v>
      </c>
      <c r="I174" s="148">
        <f>SUMIFS('caseload data'!J:J,'caseload data'!$D:$D,"PSO",'caseload data'!$B:$B,"custody")</f>
        <v>0</v>
      </c>
      <c r="J174" s="148">
        <f>SUMIFS('caseload data'!K:K,'caseload data'!$D:$D,"PSO",'caseload data'!$B:$B,"custody")</f>
        <v>0</v>
      </c>
      <c r="K174" s="148">
        <f>SUMIFS('caseload data'!L:L,'caseload data'!$D:$D,"PSO",'caseload data'!$B:$B,"custody")</f>
        <v>0</v>
      </c>
      <c r="L174" s="148">
        <f>SUMIFS('caseload data'!M:M,'caseload data'!$D:$D,"PSO",'caseload data'!$B:$B,"custody")</f>
        <v>0</v>
      </c>
      <c r="M174" s="148">
        <f>SUMIFS('caseload data'!N:N,'caseload data'!$D:$D,"PSO",'caseload data'!$B:$B,"custody")</f>
        <v>0</v>
      </c>
      <c r="N174" s="148">
        <f>SUMIFS('caseload data'!O:O,'caseload data'!$D:$D,"PSO",'caseload data'!$B:$B,"custody")</f>
        <v>0</v>
      </c>
      <c r="O174" s="148">
        <f>SUMIFS('caseload data'!P:P,'caseload data'!$D:$D,"PSO",'caseload data'!$B:$B,"custody")</f>
        <v>0</v>
      </c>
      <c r="P174" s="148">
        <f>SUMIFS('caseload data'!Q:Q,'caseload data'!$D:$D,"PSO",'caseload data'!$B:$B,"custody")</f>
        <v>0</v>
      </c>
      <c r="Q174" s="148">
        <f>SUMIFS('caseload data'!R:R,'caseload data'!$D:$D,"PSO",'caseload data'!$B:$B,"custody")</f>
        <v>0</v>
      </c>
      <c r="R174" s="148">
        <f>SUMIFS('caseload data'!S:S,'caseload data'!$D:$D,"PSO",'caseload data'!$B:$B,"custody")</f>
        <v>0</v>
      </c>
      <c r="S174" s="148">
        <f>SUMIFS('caseload data'!T:T,'caseload data'!$D:$D,"PSO",'caseload data'!$B:$B,"custody")</f>
        <v>0</v>
      </c>
      <c r="T174" s="149">
        <f>SUMIFS('caseload data'!V:V,'caseload data'!D:D,"PSO",'caseload data'!B:B,"custody")</f>
        <v>0</v>
      </c>
      <c r="U174" s="73"/>
      <c r="V174" s="73"/>
      <c r="W174" s="362"/>
      <c r="X174" s="150" t="s">
        <v>912</v>
      </c>
      <c r="Y174" s="151" t="e">
        <f>SUM(D174)/SUM(D$173:D$176)</f>
        <v>#DIV/0!</v>
      </c>
      <c r="Z174" s="151" t="e">
        <f t="shared" si="37"/>
        <v>#DIV/0!</v>
      </c>
      <c r="AA174" s="151" t="e">
        <f t="shared" si="37"/>
        <v>#DIV/0!</v>
      </c>
      <c r="AB174" s="151" t="e">
        <f t="shared" si="37"/>
        <v>#DIV/0!</v>
      </c>
      <c r="AC174" s="151" t="e">
        <f t="shared" si="37"/>
        <v>#DIV/0!</v>
      </c>
      <c r="AD174" s="151" t="e">
        <f t="shared" si="37"/>
        <v>#DIV/0!</v>
      </c>
      <c r="AE174" s="151" t="e">
        <f t="shared" si="37"/>
        <v>#DIV/0!</v>
      </c>
      <c r="AF174" s="151" t="e">
        <f t="shared" si="37"/>
        <v>#DIV/0!</v>
      </c>
      <c r="AG174" s="151" t="e">
        <f t="shared" si="37"/>
        <v>#DIV/0!</v>
      </c>
      <c r="AH174" s="151" t="e">
        <f t="shared" si="37"/>
        <v>#DIV/0!</v>
      </c>
      <c r="AI174" s="151" t="e">
        <f t="shared" si="37"/>
        <v>#DIV/0!</v>
      </c>
      <c r="AJ174" s="151" t="e">
        <f t="shared" si="37"/>
        <v>#DIV/0!</v>
      </c>
      <c r="AK174" s="151" t="e">
        <f t="shared" si="37"/>
        <v>#DIV/0!</v>
      </c>
      <c r="AL174" s="151" t="e">
        <f t="shared" si="37"/>
        <v>#DIV/0!</v>
      </c>
      <c r="AM174" s="151" t="e">
        <f t="shared" si="37"/>
        <v>#DIV/0!</v>
      </c>
      <c r="AN174" s="151" t="e">
        <f t="shared" si="37"/>
        <v>#DIV/0!</v>
      </c>
    </row>
    <row r="175" spans="2:40" x14ac:dyDescent="0.15">
      <c r="B175" s="344"/>
      <c r="C175" s="150" t="s">
        <v>913</v>
      </c>
      <c r="D175" s="148">
        <f>SUMIFS('caseload data'!E:E,'caseload data'!$D:$D,"TPO",'caseload data'!$B:$B,"custody")</f>
        <v>0</v>
      </c>
      <c r="E175" s="148">
        <f>SUMIFS('caseload data'!F:F,'caseload data'!$D:$D,"TPO",'caseload data'!$B:$B,"custody")</f>
        <v>0</v>
      </c>
      <c r="F175" s="148">
        <f>SUMIFS('caseload data'!G:G,'caseload data'!$D:$D,"TPO",'caseload data'!$B:$B,"custody")</f>
        <v>0</v>
      </c>
      <c r="G175" s="148">
        <f>SUMIFS('caseload data'!H:H,'caseload data'!$D:$D,"TPO",'caseload data'!$B:$B,"custody")</f>
        <v>0</v>
      </c>
      <c r="H175" s="148">
        <f>SUMIFS('caseload data'!I:I,'caseload data'!$D:$D,"TPO",'caseload data'!$B:$B,"custody")</f>
        <v>0</v>
      </c>
      <c r="I175" s="148">
        <f>SUMIFS('caseload data'!J:J,'caseload data'!$D:$D,"TPO",'caseload data'!$B:$B,"custody")</f>
        <v>0</v>
      </c>
      <c r="J175" s="148">
        <f>SUMIFS('caseload data'!K:K,'caseload data'!$D:$D,"TPO",'caseload data'!$B:$B,"custody")</f>
        <v>0</v>
      </c>
      <c r="K175" s="148">
        <f>SUMIFS('caseload data'!L:L,'caseload data'!$D:$D,"TPO",'caseload data'!$B:$B,"custody")</f>
        <v>0</v>
      </c>
      <c r="L175" s="148">
        <f>SUMIFS('caseload data'!M:M,'caseload data'!$D:$D,"TPO",'caseload data'!$B:$B,"custody")</f>
        <v>0</v>
      </c>
      <c r="M175" s="148">
        <f>SUMIFS('caseload data'!N:N,'caseload data'!$D:$D,"TPO",'caseload data'!$B:$B,"custody")</f>
        <v>0</v>
      </c>
      <c r="N175" s="148">
        <f>SUMIFS('caseload data'!O:O,'caseload data'!$D:$D,"TPO",'caseload data'!$B:$B,"custody")</f>
        <v>0</v>
      </c>
      <c r="O175" s="148">
        <f>SUMIFS('caseload data'!P:P,'caseload data'!$D:$D,"TPO",'caseload data'!$B:$B,"custody")</f>
        <v>0</v>
      </c>
      <c r="P175" s="148">
        <f>SUMIFS('caseload data'!Q:Q,'caseload data'!$D:$D,"TPO",'caseload data'!$B:$B,"custody")</f>
        <v>0</v>
      </c>
      <c r="Q175" s="148">
        <f>SUMIFS('caseload data'!R:R,'caseload data'!$D:$D,"TPO",'caseload data'!$B:$B,"custody")</f>
        <v>0</v>
      </c>
      <c r="R175" s="148">
        <f>SUMIFS('caseload data'!S:S,'caseload data'!$D:$D,"TPO",'caseload data'!$B:$B,"custody")</f>
        <v>0</v>
      </c>
      <c r="S175" s="148">
        <f>SUMIFS('caseload data'!T:T,'caseload data'!$D:$D,"TPO",'caseload data'!$B:$B,"custody")</f>
        <v>0</v>
      </c>
      <c r="T175" s="149">
        <f>SUMIFS('caseload data'!V:V,'caseload data'!D:D,"TPO",'caseload data'!B:B,"custody")</f>
        <v>0</v>
      </c>
      <c r="U175" s="73"/>
      <c r="V175" s="73"/>
      <c r="W175" s="362"/>
      <c r="X175" s="150" t="s">
        <v>913</v>
      </c>
      <c r="Y175" s="151" t="e">
        <f>SUM(D175)/SUM(D$173:D$176)</f>
        <v>#DIV/0!</v>
      </c>
      <c r="Z175" s="151" t="e">
        <f t="shared" si="37"/>
        <v>#DIV/0!</v>
      </c>
      <c r="AA175" s="151" t="e">
        <f t="shared" si="37"/>
        <v>#DIV/0!</v>
      </c>
      <c r="AB175" s="151" t="e">
        <f t="shared" si="37"/>
        <v>#DIV/0!</v>
      </c>
      <c r="AC175" s="151" t="e">
        <f t="shared" si="37"/>
        <v>#DIV/0!</v>
      </c>
      <c r="AD175" s="151" t="e">
        <f t="shared" si="37"/>
        <v>#DIV/0!</v>
      </c>
      <c r="AE175" s="151" t="e">
        <f t="shared" si="37"/>
        <v>#DIV/0!</v>
      </c>
      <c r="AF175" s="151" t="e">
        <f t="shared" si="37"/>
        <v>#DIV/0!</v>
      </c>
      <c r="AG175" s="151" t="e">
        <f t="shared" si="37"/>
        <v>#DIV/0!</v>
      </c>
      <c r="AH175" s="151" t="e">
        <f t="shared" si="37"/>
        <v>#DIV/0!</v>
      </c>
      <c r="AI175" s="151" t="e">
        <f t="shared" si="37"/>
        <v>#DIV/0!</v>
      </c>
      <c r="AJ175" s="151" t="e">
        <f t="shared" si="37"/>
        <v>#DIV/0!</v>
      </c>
      <c r="AK175" s="151" t="e">
        <f t="shared" si="37"/>
        <v>#DIV/0!</v>
      </c>
      <c r="AL175" s="151" t="e">
        <f t="shared" si="37"/>
        <v>#DIV/0!</v>
      </c>
      <c r="AM175" s="151" t="e">
        <f t="shared" si="37"/>
        <v>#DIV/0!</v>
      </c>
      <c r="AN175" s="151" t="e">
        <f t="shared" si="37"/>
        <v>#DIV/0!</v>
      </c>
    </row>
    <row r="176" spans="2:40" ht="15" thickBot="1" x14ac:dyDescent="0.2">
      <c r="B176" s="344"/>
      <c r="C176" s="150" t="s">
        <v>914</v>
      </c>
      <c r="D176" s="148">
        <f>SUMIFS('caseload data'!E:E,'caseload data'!$D:$D,"SPO",'caseload data'!$B:$B,"custody")</f>
        <v>0</v>
      </c>
      <c r="E176" s="148">
        <f>SUMIFS('caseload data'!F:F,'caseload data'!$D:$D,"SPO",'caseload data'!$B:$B,"custody")</f>
        <v>0</v>
      </c>
      <c r="F176" s="148">
        <f>SUMIFS('caseload data'!G:G,'caseload data'!$D:$D,"SPO",'caseload data'!$B:$B,"custody")</f>
        <v>0</v>
      </c>
      <c r="G176" s="148">
        <f>SUMIFS('caseload data'!H:H,'caseload data'!$D:$D,"SPO",'caseload data'!$B:$B,"custody")</f>
        <v>0</v>
      </c>
      <c r="H176" s="148">
        <f>SUMIFS('caseload data'!I:I,'caseload data'!$D:$D,"SPO",'caseload data'!$B:$B,"custody")</f>
        <v>0</v>
      </c>
      <c r="I176" s="148">
        <f>SUMIFS('caseload data'!J:J,'caseload data'!$D:$D,"SPO",'caseload data'!$B:$B,"custody")</f>
        <v>0</v>
      </c>
      <c r="J176" s="148">
        <f>SUMIFS('caseload data'!K:K,'caseload data'!$D:$D,"SPO",'caseload data'!$B:$B,"custody")</f>
        <v>0</v>
      </c>
      <c r="K176" s="148">
        <f>SUMIFS('caseload data'!L:L,'caseload data'!$D:$D,"SPO",'caseload data'!$B:$B,"custody")</f>
        <v>0</v>
      </c>
      <c r="L176" s="148">
        <f>SUMIFS('caseload data'!M:M,'caseload data'!$D:$D,"SPO",'caseload data'!$B:$B,"custody")</f>
        <v>0</v>
      </c>
      <c r="M176" s="148">
        <f>SUMIFS('caseload data'!N:N,'caseload data'!$D:$D,"SPO",'caseload data'!$B:$B,"custody")</f>
        <v>0</v>
      </c>
      <c r="N176" s="148">
        <f>SUMIFS('caseload data'!O:O,'caseload data'!$D:$D,"SPO",'caseload data'!$B:$B,"custody")</f>
        <v>0</v>
      </c>
      <c r="O176" s="148">
        <f>SUMIFS('caseload data'!P:P,'caseload data'!$D:$D,"SPO",'caseload data'!$B:$B,"custody")</f>
        <v>0</v>
      </c>
      <c r="P176" s="148">
        <f>SUMIFS('caseload data'!Q:Q,'caseload data'!$D:$D,"SPO",'caseload data'!$B:$B,"custody")</f>
        <v>0</v>
      </c>
      <c r="Q176" s="148">
        <f>SUMIFS('caseload data'!R:R,'caseload data'!$D:$D,"SPO",'caseload data'!$B:$B,"custody")</f>
        <v>0</v>
      </c>
      <c r="R176" s="148">
        <f>SUMIFS('caseload data'!S:S,'caseload data'!$D:$D,"SPO",'caseload data'!$B:$B,"custody")</f>
        <v>0</v>
      </c>
      <c r="S176" s="148">
        <f>SUMIFS('caseload data'!T:T,'caseload data'!$D:$D,"SPO",'caseload data'!$B:$B,"custody")</f>
        <v>0</v>
      </c>
      <c r="T176" s="149">
        <f>SUMIFS('caseload data'!V:V,'caseload data'!$D:$D,"SPO",'caseload data'!$B:$B,"custody")</f>
        <v>0</v>
      </c>
      <c r="U176" s="73"/>
      <c r="V176" s="73"/>
      <c r="W176" s="363"/>
      <c r="X176" s="152" t="s">
        <v>914</v>
      </c>
      <c r="Y176" s="151" t="e">
        <f>SUM(D176)/SUM(D$173:D$176)</f>
        <v>#DIV/0!</v>
      </c>
      <c r="Z176" s="151" t="e">
        <f t="shared" si="37"/>
        <v>#DIV/0!</v>
      </c>
      <c r="AA176" s="151" t="e">
        <f t="shared" si="37"/>
        <v>#DIV/0!</v>
      </c>
      <c r="AB176" s="151" t="e">
        <f t="shared" si="37"/>
        <v>#DIV/0!</v>
      </c>
      <c r="AC176" s="151" t="e">
        <f t="shared" si="37"/>
        <v>#DIV/0!</v>
      </c>
      <c r="AD176" s="151" t="e">
        <f t="shared" si="37"/>
        <v>#DIV/0!</v>
      </c>
      <c r="AE176" s="151" t="e">
        <f t="shared" si="37"/>
        <v>#DIV/0!</v>
      </c>
      <c r="AF176" s="151" t="e">
        <f t="shared" si="37"/>
        <v>#DIV/0!</v>
      </c>
      <c r="AG176" s="151" t="e">
        <f t="shared" si="37"/>
        <v>#DIV/0!</v>
      </c>
      <c r="AH176" s="151" t="e">
        <f t="shared" si="37"/>
        <v>#DIV/0!</v>
      </c>
      <c r="AI176" s="151" t="e">
        <f t="shared" si="37"/>
        <v>#DIV/0!</v>
      </c>
      <c r="AJ176" s="151" t="e">
        <f t="shared" si="37"/>
        <v>#DIV/0!</v>
      </c>
      <c r="AK176" s="151" t="e">
        <f t="shared" si="37"/>
        <v>#DIV/0!</v>
      </c>
      <c r="AL176" s="151" t="e">
        <f t="shared" si="37"/>
        <v>#DIV/0!</v>
      </c>
      <c r="AM176" s="151" t="e">
        <f t="shared" si="37"/>
        <v>#DIV/0!</v>
      </c>
      <c r="AN176" s="151" t="e">
        <f t="shared" si="37"/>
        <v>#DIV/0!</v>
      </c>
    </row>
    <row r="177" spans="2:31" ht="31.5" customHeight="1" thickBot="1" x14ac:dyDescent="0.2">
      <c r="B177" s="345"/>
      <c r="C177" s="144" t="s">
        <v>1114</v>
      </c>
      <c r="D177" s="145">
        <f>SUMIF('caseload data'!$B:$B,"custody",'caseload data'!E:E)</f>
        <v>0</v>
      </c>
      <c r="E177" s="145">
        <f>SUMIF('caseload data'!$B:$B,"custody",'caseload data'!F:F)</f>
        <v>0</v>
      </c>
      <c r="F177" s="145">
        <f>SUMIF('caseload data'!$B:$B,"custody",'caseload data'!G:G)</f>
        <v>0</v>
      </c>
      <c r="G177" s="145">
        <f>SUMIF('caseload data'!$B:$B,"custody",'caseload data'!H:H)</f>
        <v>0</v>
      </c>
      <c r="H177" s="145">
        <f>SUMIF('caseload data'!$B:$B,"custody",'caseload data'!I:I)</f>
        <v>0</v>
      </c>
      <c r="I177" s="145">
        <f>SUMIF('caseload data'!$B:$B,"custody",'caseload data'!J:J)</f>
        <v>0</v>
      </c>
      <c r="J177" s="145">
        <f>SUMIF('caseload data'!$B:$B,"custody",'caseload data'!K:K)</f>
        <v>0</v>
      </c>
      <c r="K177" s="145">
        <f>SUMIF('caseload data'!$B:$B,"custody",'caseload data'!L:L)</f>
        <v>0</v>
      </c>
      <c r="L177" s="145">
        <f>SUMIF('caseload data'!$B:$B,"custody",'caseload data'!M:M)</f>
        <v>0</v>
      </c>
      <c r="M177" s="145">
        <f>SUMIF('caseload data'!$B:$B,"custody",'caseload data'!N:N)</f>
        <v>0</v>
      </c>
      <c r="N177" s="145">
        <f>SUMIF('caseload data'!$B:$B,"custody",'caseload data'!O:O)</f>
        <v>0</v>
      </c>
      <c r="O177" s="145">
        <f>SUMIF('caseload data'!$B:$B,"custody",'caseload data'!P:P)</f>
        <v>0</v>
      </c>
      <c r="P177" s="145">
        <f>SUMIF('caseload data'!$B:$B,"custody",'caseload data'!Q:Q)</f>
        <v>0</v>
      </c>
      <c r="Q177" s="145">
        <f>SUMIF('caseload data'!$B:$B,"custody",'caseload data'!R:R)</f>
        <v>0</v>
      </c>
      <c r="R177" s="145">
        <f>SUMIF('caseload data'!$B:$B,"custody",'caseload data'!S:S)</f>
        <v>0</v>
      </c>
      <c r="S177" s="145">
        <f>SUMIF('caseload data'!$B:$B,"custody",'caseload data'!T:T)</f>
        <v>0</v>
      </c>
      <c r="T177" s="146">
        <f>SUMIF('caseload data'!B:B,"custody",'caseload data'!V:V)</f>
        <v>0</v>
      </c>
      <c r="U177" s="73"/>
      <c r="V177" s="73"/>
      <c r="W177" s="73"/>
      <c r="X177" s="73"/>
      <c r="Y177" s="73"/>
      <c r="Z177" s="73"/>
      <c r="AA177" s="73"/>
      <c r="AB177" s="73"/>
      <c r="AC177" s="73"/>
      <c r="AD177" s="73"/>
      <c r="AE177" s="73"/>
    </row>
  </sheetData>
  <mergeCells count="86">
    <mergeCell ref="B173:B177"/>
    <mergeCell ref="W141:W144"/>
    <mergeCell ref="W173:W176"/>
    <mergeCell ref="B149:B152"/>
    <mergeCell ref="W157:W160"/>
    <mergeCell ref="B169:B172"/>
    <mergeCell ref="B165:B168"/>
    <mergeCell ref="B161:B164"/>
    <mergeCell ref="B157:B160"/>
    <mergeCell ref="B153:B156"/>
    <mergeCell ref="W153:W156"/>
    <mergeCell ref="W133:W136"/>
    <mergeCell ref="W169:W172"/>
    <mergeCell ref="W165:W168"/>
    <mergeCell ref="W161:W164"/>
    <mergeCell ref="B112:B115"/>
    <mergeCell ref="W112:W115"/>
    <mergeCell ref="W149:W152"/>
    <mergeCell ref="B145:B148"/>
    <mergeCell ref="W145:W148"/>
    <mergeCell ref="B137:B140"/>
    <mergeCell ref="W137:W140"/>
    <mergeCell ref="B116:B120"/>
    <mergeCell ref="B125:B128"/>
    <mergeCell ref="W129:W132"/>
    <mergeCell ref="B129:B132"/>
    <mergeCell ref="B141:B144"/>
    <mergeCell ref="B133:B136"/>
    <mergeCell ref="Y123:AN123"/>
    <mergeCell ref="B39:B42"/>
    <mergeCell ref="W39:W42"/>
    <mergeCell ref="B96:B99"/>
    <mergeCell ref="W96:W99"/>
    <mergeCell ref="W104:W107"/>
    <mergeCell ref="B55:B58"/>
    <mergeCell ref="W55:W58"/>
    <mergeCell ref="B80:B83"/>
    <mergeCell ref="B108:B111"/>
    <mergeCell ref="W108:W111"/>
    <mergeCell ref="W116:W119"/>
    <mergeCell ref="D123:T123"/>
    <mergeCell ref="W125:W128"/>
    <mergeCell ref="B43:B46"/>
    <mergeCell ref="D66:T66"/>
    <mergeCell ref="A1:AN1"/>
    <mergeCell ref="A2:AN2"/>
    <mergeCell ref="Y9:AN9"/>
    <mergeCell ref="Y66:AN66"/>
    <mergeCell ref="B11:B14"/>
    <mergeCell ref="W11:W14"/>
    <mergeCell ref="B19:B22"/>
    <mergeCell ref="B27:B30"/>
    <mergeCell ref="W27:W30"/>
    <mergeCell ref="D9:T9"/>
    <mergeCell ref="B59:B63"/>
    <mergeCell ref="B51:B54"/>
    <mergeCell ref="B35:B38"/>
    <mergeCell ref="B47:B50"/>
    <mergeCell ref="W47:W50"/>
    <mergeCell ref="W51:W54"/>
    <mergeCell ref="W59:W62"/>
    <mergeCell ref="B15:B18"/>
    <mergeCell ref="W15:W18"/>
    <mergeCell ref="W43:W46"/>
    <mergeCell ref="W19:W22"/>
    <mergeCell ref="B23:B26"/>
    <mergeCell ref="W23:W26"/>
    <mergeCell ref="W35:W38"/>
    <mergeCell ref="W31:W34"/>
    <mergeCell ref="B31:B34"/>
    <mergeCell ref="B104:B107"/>
    <mergeCell ref="W100:W103"/>
    <mergeCell ref="B100:B103"/>
    <mergeCell ref="B92:B95"/>
    <mergeCell ref="W92:W95"/>
    <mergeCell ref="W88:W91"/>
    <mergeCell ref="B88:B91"/>
    <mergeCell ref="B84:B87"/>
    <mergeCell ref="W84:W87"/>
    <mergeCell ref="B68:B71"/>
    <mergeCell ref="B76:B79"/>
    <mergeCell ref="W68:W71"/>
    <mergeCell ref="W72:W75"/>
    <mergeCell ref="W76:W79"/>
    <mergeCell ref="W80:W83"/>
    <mergeCell ref="B72:B75"/>
  </mergeCells>
  <conditionalFormatting sqref="T18 T34 T38 T46 T50 T62 Y58 Y115">
    <cfRule type="cellIs" dxfId="6407" priority="3905" operator="equal">
      <formula>0</formula>
    </cfRule>
  </conditionalFormatting>
  <conditionalFormatting sqref="T128 T132 T136 T144 T164 T168 T172 T176">
    <cfRule type="cellIs" dxfId="6406" priority="3904" operator="equal">
      <formula>0</formula>
    </cfRule>
  </conditionalFormatting>
  <conditionalFormatting sqref="T71 T91 T95 T103 T107 D119:T119">
    <cfRule type="cellIs" dxfId="6405" priority="3903" operator="equal">
      <formula>0</formula>
    </cfRule>
  </conditionalFormatting>
  <conditionalFormatting sqref="T14">
    <cfRule type="cellIs" dxfId="6404" priority="3886" operator="equal">
      <formula>0</formula>
    </cfRule>
  </conditionalFormatting>
  <conditionalFormatting sqref="T22">
    <cfRule type="cellIs" dxfId="6403" priority="3869" operator="equal">
      <formula>0</formula>
    </cfRule>
  </conditionalFormatting>
  <conditionalFormatting sqref="T26">
    <cfRule type="cellIs" dxfId="6402" priority="3852" operator="equal">
      <formula>0</formula>
    </cfRule>
  </conditionalFormatting>
  <conditionalFormatting sqref="T30">
    <cfRule type="cellIs" dxfId="6401" priority="3835" operator="equal">
      <formula>0</formula>
    </cfRule>
  </conditionalFormatting>
  <conditionalFormatting sqref="T54">
    <cfRule type="cellIs" dxfId="6400" priority="3824" operator="equal">
      <formula>0</formula>
    </cfRule>
  </conditionalFormatting>
  <conditionalFormatting sqref="T58">
    <cfRule type="cellIs" dxfId="6399" priority="3813" operator="equal">
      <formula>0</formula>
    </cfRule>
  </conditionalFormatting>
  <conditionalFormatting sqref="T75">
    <cfRule type="cellIs" dxfId="6398" priority="3798" operator="equal">
      <formula>0</formula>
    </cfRule>
  </conditionalFormatting>
  <conditionalFormatting sqref="T79">
    <cfRule type="cellIs" dxfId="6397" priority="3783" operator="equal">
      <formula>0</formula>
    </cfRule>
  </conditionalFormatting>
  <conditionalFormatting sqref="T83">
    <cfRule type="cellIs" dxfId="6396" priority="3768" operator="equal">
      <formula>0</formula>
    </cfRule>
  </conditionalFormatting>
  <conditionalFormatting sqref="T87">
    <cfRule type="cellIs" dxfId="6395" priority="3753" operator="equal">
      <formula>0</formula>
    </cfRule>
  </conditionalFormatting>
  <conditionalFormatting sqref="T148">
    <cfRule type="cellIs" dxfId="6394" priority="3738" operator="equal">
      <formula>0</formula>
    </cfRule>
  </conditionalFormatting>
  <conditionalFormatting sqref="T140">
    <cfRule type="cellIs" dxfId="6393" priority="3723" operator="equal">
      <formula>0</formula>
    </cfRule>
  </conditionalFormatting>
  <conditionalFormatting sqref="T160">
    <cfRule type="cellIs" dxfId="6392" priority="3708" operator="equal">
      <formula>0</formula>
    </cfRule>
  </conditionalFormatting>
  <conditionalFormatting sqref="T152">
    <cfRule type="cellIs" dxfId="6391" priority="3693" operator="equal">
      <formula>0</formula>
    </cfRule>
  </conditionalFormatting>
  <conditionalFormatting sqref="T111">
    <cfRule type="cellIs" dxfId="6390" priority="3678" operator="equal">
      <formula>0</formula>
    </cfRule>
  </conditionalFormatting>
  <conditionalFormatting sqref="T115">
    <cfRule type="cellIs" dxfId="6389" priority="3663" operator="equal">
      <formula>0</formula>
    </cfRule>
  </conditionalFormatting>
  <conditionalFormatting sqref="T42">
    <cfRule type="cellIs" dxfId="6388" priority="3652" operator="equal">
      <formula>0</formula>
    </cfRule>
  </conditionalFormatting>
  <conditionalFormatting sqref="T99">
    <cfRule type="cellIs" dxfId="6387" priority="3641" operator="equal">
      <formula>0</formula>
    </cfRule>
  </conditionalFormatting>
  <conditionalFormatting sqref="T156">
    <cfRule type="cellIs" dxfId="6386" priority="3625" operator="equal">
      <formula>0</formula>
    </cfRule>
  </conditionalFormatting>
  <conditionalFormatting sqref="D12:D13">
    <cfRule type="cellIs" dxfId="6385" priority="3618" operator="equal">
      <formula>0</formula>
    </cfRule>
    <cfRule type="cellIs" dxfId="6384" priority="3619" operator="notEqual">
      <formula>0</formula>
    </cfRule>
  </conditionalFormatting>
  <conditionalFormatting sqref="D14">
    <cfRule type="cellIs" dxfId="6383" priority="3617" operator="equal">
      <formula>0</formula>
    </cfRule>
  </conditionalFormatting>
  <conditionalFormatting sqref="E12:E13">
    <cfRule type="cellIs" dxfId="6382" priority="3615" operator="equal">
      <formula>0</formula>
    </cfRule>
    <cfRule type="cellIs" dxfId="6381" priority="3616" operator="notEqual">
      <formula>0</formula>
    </cfRule>
  </conditionalFormatting>
  <conditionalFormatting sqref="E14">
    <cfRule type="cellIs" dxfId="6380" priority="3614" operator="equal">
      <formula>0</formula>
    </cfRule>
  </conditionalFormatting>
  <conditionalFormatting sqref="F12:F13">
    <cfRule type="cellIs" dxfId="6379" priority="3612" operator="equal">
      <formula>0</formula>
    </cfRule>
    <cfRule type="cellIs" dxfId="6378" priority="3613" operator="notEqual">
      <formula>0</formula>
    </cfRule>
  </conditionalFormatting>
  <conditionalFormatting sqref="F14">
    <cfRule type="cellIs" dxfId="6377" priority="3611" operator="equal">
      <formula>0</formula>
    </cfRule>
  </conditionalFormatting>
  <conditionalFormatting sqref="G12:G13">
    <cfRule type="cellIs" dxfId="6376" priority="3609" operator="equal">
      <formula>0</formula>
    </cfRule>
    <cfRule type="cellIs" dxfId="6375" priority="3610" operator="notEqual">
      <formula>0</formula>
    </cfRule>
  </conditionalFormatting>
  <conditionalFormatting sqref="G14">
    <cfRule type="cellIs" dxfId="6374" priority="3608" operator="equal">
      <formula>0</formula>
    </cfRule>
  </conditionalFormatting>
  <conditionalFormatting sqref="H12:H13">
    <cfRule type="cellIs" dxfId="6373" priority="3606" operator="equal">
      <formula>0</formula>
    </cfRule>
    <cfRule type="cellIs" dxfId="6372" priority="3607" operator="notEqual">
      <formula>0</formula>
    </cfRule>
  </conditionalFormatting>
  <conditionalFormatting sqref="H14">
    <cfRule type="cellIs" dxfId="6371" priority="3605" operator="equal">
      <formula>0</formula>
    </cfRule>
  </conditionalFormatting>
  <conditionalFormatting sqref="I12:I13">
    <cfRule type="cellIs" dxfId="6370" priority="3603" operator="equal">
      <formula>0</formula>
    </cfRule>
    <cfRule type="cellIs" dxfId="6369" priority="3604" operator="notEqual">
      <formula>0</formula>
    </cfRule>
  </conditionalFormatting>
  <conditionalFormatting sqref="I14">
    <cfRule type="cellIs" dxfId="6368" priority="3602" operator="equal">
      <formula>0</formula>
    </cfRule>
  </conditionalFormatting>
  <conditionalFormatting sqref="J12:J13">
    <cfRule type="cellIs" dxfId="6367" priority="3600" operator="equal">
      <formula>0</formula>
    </cfRule>
    <cfRule type="cellIs" dxfId="6366" priority="3601" operator="notEqual">
      <formula>0</formula>
    </cfRule>
  </conditionalFormatting>
  <conditionalFormatting sqref="J14">
    <cfRule type="cellIs" dxfId="6365" priority="3599" operator="equal">
      <formula>0</formula>
    </cfRule>
  </conditionalFormatting>
  <conditionalFormatting sqref="K12:K13">
    <cfRule type="cellIs" dxfId="6364" priority="3597" operator="equal">
      <formula>0</formula>
    </cfRule>
    <cfRule type="cellIs" dxfId="6363" priority="3598" operator="notEqual">
      <formula>0</formula>
    </cfRule>
  </conditionalFormatting>
  <conditionalFormatting sqref="K14">
    <cfRule type="cellIs" dxfId="6362" priority="3596" operator="equal">
      <formula>0</formula>
    </cfRule>
  </conditionalFormatting>
  <conditionalFormatting sqref="L14">
    <cfRule type="cellIs" dxfId="6361" priority="3595" operator="equal">
      <formula>0</formula>
    </cfRule>
  </conditionalFormatting>
  <conditionalFormatting sqref="M14">
    <cfRule type="cellIs" dxfId="6360" priority="3594" operator="equal">
      <formula>0</formula>
    </cfRule>
  </conditionalFormatting>
  <conditionalFormatting sqref="N14">
    <cfRule type="cellIs" dxfId="6359" priority="3593" operator="equal">
      <formula>0</formula>
    </cfRule>
  </conditionalFormatting>
  <conditionalFormatting sqref="O14">
    <cfRule type="cellIs" dxfId="6358" priority="3592" operator="equal">
      <formula>0</formula>
    </cfRule>
  </conditionalFormatting>
  <conditionalFormatting sqref="P11">
    <cfRule type="cellIs" dxfId="6357" priority="3590" operator="equal">
      <formula>0</formula>
    </cfRule>
    <cfRule type="cellIs" dxfId="6356" priority="3591" operator="notEqual">
      <formula>0</formula>
    </cfRule>
  </conditionalFormatting>
  <conditionalFormatting sqref="P14">
    <cfRule type="cellIs" dxfId="6355" priority="3589" operator="equal">
      <formula>0</formula>
    </cfRule>
  </conditionalFormatting>
  <conditionalFormatting sqref="Q11">
    <cfRule type="cellIs" dxfId="6354" priority="3587" operator="equal">
      <formula>0</formula>
    </cfRule>
    <cfRule type="cellIs" dxfId="6353" priority="3588" operator="notEqual">
      <formula>0</formula>
    </cfRule>
  </conditionalFormatting>
  <conditionalFormatting sqref="Q14">
    <cfRule type="cellIs" dxfId="6352" priority="3586" operator="equal">
      <formula>0</formula>
    </cfRule>
  </conditionalFormatting>
  <conditionalFormatting sqref="R11">
    <cfRule type="cellIs" dxfId="6351" priority="3584" operator="equal">
      <formula>0</formula>
    </cfRule>
    <cfRule type="cellIs" dxfId="6350" priority="3585" operator="notEqual">
      <formula>0</formula>
    </cfRule>
  </conditionalFormatting>
  <conditionalFormatting sqref="R14">
    <cfRule type="cellIs" dxfId="6349" priority="3583" operator="equal">
      <formula>0</formula>
    </cfRule>
  </conditionalFormatting>
  <conditionalFormatting sqref="S11">
    <cfRule type="cellIs" dxfId="6348" priority="3581" operator="equal">
      <formula>0</formula>
    </cfRule>
    <cfRule type="cellIs" dxfId="6347" priority="3582" operator="notEqual">
      <formula>0</formula>
    </cfRule>
  </conditionalFormatting>
  <conditionalFormatting sqref="S14">
    <cfRule type="cellIs" dxfId="6346" priority="3580" operator="equal">
      <formula>0</formula>
    </cfRule>
  </conditionalFormatting>
  <conditionalFormatting sqref="D16:D17">
    <cfRule type="cellIs" dxfId="6345" priority="3578" operator="equal">
      <formula>0</formula>
    </cfRule>
    <cfRule type="cellIs" dxfId="6344" priority="3579" operator="notEqual">
      <formula>0</formula>
    </cfRule>
  </conditionalFormatting>
  <conditionalFormatting sqref="D18">
    <cfRule type="cellIs" dxfId="6343" priority="3577" operator="equal">
      <formula>0</formula>
    </cfRule>
  </conditionalFormatting>
  <conditionalFormatting sqref="E16:E17">
    <cfRule type="cellIs" dxfId="6342" priority="3575" operator="equal">
      <formula>0</formula>
    </cfRule>
    <cfRule type="cellIs" dxfId="6341" priority="3576" operator="notEqual">
      <formula>0</formula>
    </cfRule>
  </conditionalFormatting>
  <conditionalFormatting sqref="E18">
    <cfRule type="cellIs" dxfId="6340" priority="3574" operator="equal">
      <formula>0</formula>
    </cfRule>
  </conditionalFormatting>
  <conditionalFormatting sqref="F16:F17">
    <cfRule type="cellIs" dxfId="6339" priority="3572" operator="equal">
      <formula>0</formula>
    </cfRule>
    <cfRule type="cellIs" dxfId="6338" priority="3573" operator="notEqual">
      <formula>0</formula>
    </cfRule>
  </conditionalFormatting>
  <conditionalFormatting sqref="F18">
    <cfRule type="cellIs" dxfId="6337" priority="3571" operator="equal">
      <formula>0</formula>
    </cfRule>
  </conditionalFormatting>
  <conditionalFormatting sqref="G16:G17">
    <cfRule type="cellIs" dxfId="6336" priority="3569" operator="equal">
      <formula>0</formula>
    </cfRule>
    <cfRule type="cellIs" dxfId="6335" priority="3570" operator="notEqual">
      <formula>0</formula>
    </cfRule>
  </conditionalFormatting>
  <conditionalFormatting sqref="G18">
    <cfRule type="cellIs" dxfId="6334" priority="3568" operator="equal">
      <formula>0</formula>
    </cfRule>
  </conditionalFormatting>
  <conditionalFormatting sqref="H16:H17">
    <cfRule type="cellIs" dxfId="6333" priority="3566" operator="equal">
      <formula>0</formula>
    </cfRule>
    <cfRule type="cellIs" dxfId="6332" priority="3567" operator="notEqual">
      <formula>0</formula>
    </cfRule>
  </conditionalFormatting>
  <conditionalFormatting sqref="H18">
    <cfRule type="cellIs" dxfId="6331" priority="3565" operator="equal">
      <formula>0</formula>
    </cfRule>
  </conditionalFormatting>
  <conditionalFormatting sqref="I16:I17">
    <cfRule type="cellIs" dxfId="6330" priority="3563" operator="equal">
      <formula>0</formula>
    </cfRule>
    <cfRule type="cellIs" dxfId="6329" priority="3564" operator="notEqual">
      <formula>0</formula>
    </cfRule>
  </conditionalFormatting>
  <conditionalFormatting sqref="I18">
    <cfRule type="cellIs" dxfId="6328" priority="3562" operator="equal">
      <formula>0</formula>
    </cfRule>
  </conditionalFormatting>
  <conditionalFormatting sqref="J16:J17">
    <cfRule type="cellIs" dxfId="6327" priority="3560" operator="equal">
      <formula>0</formula>
    </cfRule>
    <cfRule type="cellIs" dxfId="6326" priority="3561" operator="notEqual">
      <formula>0</formula>
    </cfRule>
  </conditionalFormatting>
  <conditionalFormatting sqref="J18">
    <cfRule type="cellIs" dxfId="6325" priority="3559" operator="equal">
      <formula>0</formula>
    </cfRule>
  </conditionalFormatting>
  <conditionalFormatting sqref="K16:K17">
    <cfRule type="cellIs" dxfId="6324" priority="3557" operator="equal">
      <formula>0</formula>
    </cfRule>
    <cfRule type="cellIs" dxfId="6323" priority="3558" operator="notEqual">
      <formula>0</formula>
    </cfRule>
  </conditionalFormatting>
  <conditionalFormatting sqref="K18">
    <cfRule type="cellIs" dxfId="6322" priority="3556" operator="equal">
      <formula>0</formula>
    </cfRule>
  </conditionalFormatting>
  <conditionalFormatting sqref="L18">
    <cfRule type="cellIs" dxfId="6321" priority="3555" operator="equal">
      <formula>0</formula>
    </cfRule>
  </conditionalFormatting>
  <conditionalFormatting sqref="M18">
    <cfRule type="cellIs" dxfId="6320" priority="3554" operator="equal">
      <formula>0</formula>
    </cfRule>
  </conditionalFormatting>
  <conditionalFormatting sqref="N18">
    <cfRule type="cellIs" dxfId="6319" priority="3553" operator="equal">
      <formula>0</formula>
    </cfRule>
  </conditionalFormatting>
  <conditionalFormatting sqref="O18">
    <cfRule type="cellIs" dxfId="6318" priority="3552" operator="equal">
      <formula>0</formula>
    </cfRule>
  </conditionalFormatting>
  <conditionalFormatting sqref="P15">
    <cfRule type="cellIs" dxfId="6317" priority="3550" operator="equal">
      <formula>0</formula>
    </cfRule>
    <cfRule type="cellIs" dxfId="6316" priority="3551" operator="notEqual">
      <formula>0</formula>
    </cfRule>
  </conditionalFormatting>
  <conditionalFormatting sqref="P18">
    <cfRule type="cellIs" dxfId="6315" priority="3549" operator="equal">
      <formula>0</formula>
    </cfRule>
  </conditionalFormatting>
  <conditionalFormatting sqref="Q15">
    <cfRule type="cellIs" dxfId="6314" priority="3547" operator="equal">
      <formula>0</formula>
    </cfRule>
    <cfRule type="cellIs" dxfId="6313" priority="3548" operator="notEqual">
      <formula>0</formula>
    </cfRule>
  </conditionalFormatting>
  <conditionalFormatting sqref="Q18">
    <cfRule type="cellIs" dxfId="6312" priority="3546" operator="equal">
      <formula>0</formula>
    </cfRule>
  </conditionalFormatting>
  <conditionalFormatting sqref="R15">
    <cfRule type="cellIs" dxfId="6311" priority="3544" operator="equal">
      <formula>0</formula>
    </cfRule>
    <cfRule type="cellIs" dxfId="6310" priority="3545" operator="notEqual">
      <formula>0</formula>
    </cfRule>
  </conditionalFormatting>
  <conditionalFormatting sqref="R18">
    <cfRule type="cellIs" dxfId="6309" priority="3543" operator="equal">
      <formula>0</formula>
    </cfRule>
  </conditionalFormatting>
  <conditionalFormatting sqref="S15">
    <cfRule type="cellIs" dxfId="6308" priority="3541" operator="equal">
      <formula>0</formula>
    </cfRule>
    <cfRule type="cellIs" dxfId="6307" priority="3542" operator="notEqual">
      <formula>0</formula>
    </cfRule>
  </conditionalFormatting>
  <conditionalFormatting sqref="S18">
    <cfRule type="cellIs" dxfId="6306" priority="3540" operator="equal">
      <formula>0</formula>
    </cfRule>
  </conditionalFormatting>
  <conditionalFormatting sqref="D20:D21">
    <cfRule type="cellIs" dxfId="6305" priority="3538" operator="equal">
      <formula>0</formula>
    </cfRule>
    <cfRule type="cellIs" dxfId="6304" priority="3539" operator="notEqual">
      <formula>0</formula>
    </cfRule>
  </conditionalFormatting>
  <conditionalFormatting sqref="D22">
    <cfRule type="cellIs" dxfId="6303" priority="3537" operator="equal">
      <formula>0</formula>
    </cfRule>
  </conditionalFormatting>
  <conditionalFormatting sqref="E20:E21">
    <cfRule type="cellIs" dxfId="6302" priority="3535" operator="equal">
      <formula>0</formula>
    </cfRule>
    <cfRule type="cellIs" dxfId="6301" priority="3536" operator="notEqual">
      <formula>0</formula>
    </cfRule>
  </conditionalFormatting>
  <conditionalFormatting sqref="E22">
    <cfRule type="cellIs" dxfId="6300" priority="3534" operator="equal">
      <formula>0</formula>
    </cfRule>
  </conditionalFormatting>
  <conditionalFormatting sqref="F20:F21">
    <cfRule type="cellIs" dxfId="6299" priority="3532" operator="equal">
      <formula>0</formula>
    </cfRule>
    <cfRule type="cellIs" dxfId="6298" priority="3533" operator="notEqual">
      <formula>0</formula>
    </cfRule>
  </conditionalFormatting>
  <conditionalFormatting sqref="F22">
    <cfRule type="cellIs" dxfId="6297" priority="3531" operator="equal">
      <formula>0</formula>
    </cfRule>
  </conditionalFormatting>
  <conditionalFormatting sqref="G20:G21">
    <cfRule type="cellIs" dxfId="6296" priority="3529" operator="equal">
      <formula>0</formula>
    </cfRule>
    <cfRule type="cellIs" dxfId="6295" priority="3530" operator="notEqual">
      <formula>0</formula>
    </cfRule>
  </conditionalFormatting>
  <conditionalFormatting sqref="G22">
    <cfRule type="cellIs" dxfId="6294" priority="3528" operator="equal">
      <formula>0</formula>
    </cfRule>
  </conditionalFormatting>
  <conditionalFormatting sqref="H20:H21">
    <cfRule type="cellIs" dxfId="6293" priority="3526" operator="equal">
      <formula>0</formula>
    </cfRule>
    <cfRule type="cellIs" dxfId="6292" priority="3527" operator="notEqual">
      <formula>0</formula>
    </cfRule>
  </conditionalFormatting>
  <conditionalFormatting sqref="H22">
    <cfRule type="cellIs" dxfId="6291" priority="3525" operator="equal">
      <formula>0</formula>
    </cfRule>
  </conditionalFormatting>
  <conditionalFormatting sqref="I20:I21">
    <cfRule type="cellIs" dxfId="6290" priority="3523" operator="equal">
      <formula>0</formula>
    </cfRule>
    <cfRule type="cellIs" dxfId="6289" priority="3524" operator="notEqual">
      <formula>0</formula>
    </cfRule>
  </conditionalFormatting>
  <conditionalFormatting sqref="I22">
    <cfRule type="cellIs" dxfId="6288" priority="3522" operator="equal">
      <formula>0</formula>
    </cfRule>
  </conditionalFormatting>
  <conditionalFormatting sqref="J20:J21">
    <cfRule type="cellIs" dxfId="6287" priority="3520" operator="equal">
      <formula>0</formula>
    </cfRule>
    <cfRule type="cellIs" dxfId="6286" priority="3521" operator="notEqual">
      <formula>0</formula>
    </cfRule>
  </conditionalFormatting>
  <conditionalFormatting sqref="J22">
    <cfRule type="cellIs" dxfId="6285" priority="3519" operator="equal">
      <formula>0</formula>
    </cfRule>
  </conditionalFormatting>
  <conditionalFormatting sqref="K20:K21">
    <cfRule type="cellIs" dxfId="6284" priority="3517" operator="equal">
      <formula>0</formula>
    </cfRule>
    <cfRule type="cellIs" dxfId="6283" priority="3518" operator="notEqual">
      <formula>0</formula>
    </cfRule>
  </conditionalFormatting>
  <conditionalFormatting sqref="K22">
    <cfRule type="cellIs" dxfId="6282" priority="3516" operator="equal">
      <formula>0</formula>
    </cfRule>
  </conditionalFormatting>
  <conditionalFormatting sqref="L22">
    <cfRule type="cellIs" dxfId="6281" priority="3515" operator="equal">
      <formula>0</formula>
    </cfRule>
  </conditionalFormatting>
  <conditionalFormatting sqref="M22">
    <cfRule type="cellIs" dxfId="6280" priority="3514" operator="equal">
      <formula>0</formula>
    </cfRule>
  </conditionalFormatting>
  <conditionalFormatting sqref="N22">
    <cfRule type="cellIs" dxfId="6279" priority="3513" operator="equal">
      <formula>0</formula>
    </cfRule>
  </conditionalFormatting>
  <conditionalFormatting sqref="O22">
    <cfRule type="cellIs" dxfId="6278" priority="3512" operator="equal">
      <formula>0</formula>
    </cfRule>
  </conditionalFormatting>
  <conditionalFormatting sqref="P19">
    <cfRule type="cellIs" dxfId="6277" priority="3510" operator="equal">
      <formula>0</formula>
    </cfRule>
    <cfRule type="cellIs" dxfId="6276" priority="3511" operator="notEqual">
      <formula>0</formula>
    </cfRule>
  </conditionalFormatting>
  <conditionalFormatting sqref="P22">
    <cfRule type="cellIs" dxfId="6275" priority="3509" operator="equal">
      <formula>0</formula>
    </cfRule>
  </conditionalFormatting>
  <conditionalFormatting sqref="Q19">
    <cfRule type="cellIs" dxfId="6274" priority="3507" operator="equal">
      <formula>0</formula>
    </cfRule>
    <cfRule type="cellIs" dxfId="6273" priority="3508" operator="notEqual">
      <formula>0</formula>
    </cfRule>
  </conditionalFormatting>
  <conditionalFormatting sqref="Q22">
    <cfRule type="cellIs" dxfId="6272" priority="3506" operator="equal">
      <formula>0</formula>
    </cfRule>
  </conditionalFormatting>
  <conditionalFormatting sqref="R19">
    <cfRule type="cellIs" dxfId="6271" priority="3504" operator="equal">
      <formula>0</formula>
    </cfRule>
    <cfRule type="cellIs" dxfId="6270" priority="3505" operator="notEqual">
      <formula>0</formula>
    </cfRule>
  </conditionalFormatting>
  <conditionalFormatting sqref="R22">
    <cfRule type="cellIs" dxfId="6269" priority="3503" operator="equal">
      <formula>0</formula>
    </cfRule>
  </conditionalFormatting>
  <conditionalFormatting sqref="S19">
    <cfRule type="cellIs" dxfId="6268" priority="3501" operator="equal">
      <formula>0</formula>
    </cfRule>
    <cfRule type="cellIs" dxfId="6267" priority="3502" operator="notEqual">
      <formula>0</formula>
    </cfRule>
  </conditionalFormatting>
  <conditionalFormatting sqref="S22">
    <cfRule type="cellIs" dxfId="6266" priority="3500" operator="equal">
      <formula>0</formula>
    </cfRule>
  </conditionalFormatting>
  <conditionalFormatting sqref="D24:D25">
    <cfRule type="cellIs" dxfId="6265" priority="3498" operator="equal">
      <formula>0</formula>
    </cfRule>
    <cfRule type="cellIs" dxfId="6264" priority="3499" operator="notEqual">
      <formula>0</formula>
    </cfRule>
  </conditionalFormatting>
  <conditionalFormatting sqref="D26">
    <cfRule type="cellIs" dxfId="6263" priority="3497" operator="equal">
      <formula>0</formula>
    </cfRule>
  </conditionalFormatting>
  <conditionalFormatting sqref="E24:E25">
    <cfRule type="cellIs" dxfId="6262" priority="3495" operator="equal">
      <formula>0</formula>
    </cfRule>
    <cfRule type="cellIs" dxfId="6261" priority="3496" operator="notEqual">
      <formula>0</formula>
    </cfRule>
  </conditionalFormatting>
  <conditionalFormatting sqref="E26">
    <cfRule type="cellIs" dxfId="6260" priority="3494" operator="equal">
      <formula>0</formula>
    </cfRule>
  </conditionalFormatting>
  <conditionalFormatting sqref="F24:F25">
    <cfRule type="cellIs" dxfId="6259" priority="3492" operator="equal">
      <formula>0</formula>
    </cfRule>
    <cfRule type="cellIs" dxfId="6258" priority="3493" operator="notEqual">
      <formula>0</formula>
    </cfRule>
  </conditionalFormatting>
  <conditionalFormatting sqref="F26">
    <cfRule type="cellIs" dxfId="6257" priority="3491" operator="equal">
      <formula>0</formula>
    </cfRule>
  </conditionalFormatting>
  <conditionalFormatting sqref="G24:G25">
    <cfRule type="cellIs" dxfId="6256" priority="3489" operator="equal">
      <formula>0</formula>
    </cfRule>
    <cfRule type="cellIs" dxfId="6255" priority="3490" operator="notEqual">
      <formula>0</formula>
    </cfRule>
  </conditionalFormatting>
  <conditionalFormatting sqref="G26">
    <cfRule type="cellIs" dxfId="6254" priority="3488" operator="equal">
      <formula>0</formula>
    </cfRule>
  </conditionalFormatting>
  <conditionalFormatting sqref="H24:H25">
    <cfRule type="cellIs" dxfId="6253" priority="3486" operator="equal">
      <formula>0</formula>
    </cfRule>
    <cfRule type="cellIs" dxfId="6252" priority="3487" operator="notEqual">
      <formula>0</formula>
    </cfRule>
  </conditionalFormatting>
  <conditionalFormatting sqref="H26">
    <cfRule type="cellIs" dxfId="6251" priority="3485" operator="equal">
      <formula>0</formula>
    </cfRule>
  </conditionalFormatting>
  <conditionalFormatting sqref="I24:I25">
    <cfRule type="cellIs" dxfId="6250" priority="3483" operator="equal">
      <formula>0</formula>
    </cfRule>
    <cfRule type="cellIs" dxfId="6249" priority="3484" operator="notEqual">
      <formula>0</formula>
    </cfRule>
  </conditionalFormatting>
  <conditionalFormatting sqref="I26">
    <cfRule type="cellIs" dxfId="6248" priority="3482" operator="equal">
      <formula>0</formula>
    </cfRule>
  </conditionalFormatting>
  <conditionalFormatting sqref="J24:J25">
    <cfRule type="cellIs" dxfId="6247" priority="3480" operator="equal">
      <formula>0</formula>
    </cfRule>
    <cfRule type="cellIs" dxfId="6246" priority="3481" operator="notEqual">
      <formula>0</formula>
    </cfRule>
  </conditionalFormatting>
  <conditionalFormatting sqref="J26">
    <cfRule type="cellIs" dxfId="6245" priority="3479" operator="equal">
      <formula>0</formula>
    </cfRule>
  </conditionalFormatting>
  <conditionalFormatting sqref="K24:K25">
    <cfRule type="cellIs" dxfId="6244" priority="3477" operator="equal">
      <formula>0</formula>
    </cfRule>
    <cfRule type="cellIs" dxfId="6243" priority="3478" operator="notEqual">
      <formula>0</formula>
    </cfRule>
  </conditionalFormatting>
  <conditionalFormatting sqref="K26">
    <cfRule type="cellIs" dxfId="6242" priority="3476" operator="equal">
      <formula>0</formula>
    </cfRule>
  </conditionalFormatting>
  <conditionalFormatting sqref="L26">
    <cfRule type="cellIs" dxfId="6241" priority="3475" operator="equal">
      <formula>0</formula>
    </cfRule>
  </conditionalFormatting>
  <conditionalFormatting sqref="M26">
    <cfRule type="cellIs" dxfId="6240" priority="3474" operator="equal">
      <formula>0</formula>
    </cfRule>
  </conditionalFormatting>
  <conditionalFormatting sqref="N26">
    <cfRule type="cellIs" dxfId="6239" priority="3473" operator="equal">
      <formula>0</formula>
    </cfRule>
  </conditionalFormatting>
  <conditionalFormatting sqref="O26">
    <cfRule type="cellIs" dxfId="6238" priority="3472" operator="equal">
      <formula>0</formula>
    </cfRule>
  </conditionalFormatting>
  <conditionalFormatting sqref="P23">
    <cfRule type="cellIs" dxfId="6237" priority="3470" operator="equal">
      <formula>0</formula>
    </cfRule>
    <cfRule type="cellIs" dxfId="6236" priority="3471" operator="notEqual">
      <formula>0</formula>
    </cfRule>
  </conditionalFormatting>
  <conditionalFormatting sqref="P26">
    <cfRule type="cellIs" dxfId="6235" priority="3469" operator="equal">
      <formula>0</formula>
    </cfRule>
  </conditionalFormatting>
  <conditionalFormatting sqref="Q23">
    <cfRule type="cellIs" dxfId="6234" priority="3467" operator="equal">
      <formula>0</formula>
    </cfRule>
    <cfRule type="cellIs" dxfId="6233" priority="3468" operator="notEqual">
      <formula>0</formula>
    </cfRule>
  </conditionalFormatting>
  <conditionalFormatting sqref="Q26">
    <cfRule type="cellIs" dxfId="6232" priority="3466" operator="equal">
      <formula>0</formula>
    </cfRule>
  </conditionalFormatting>
  <conditionalFormatting sqref="R23">
    <cfRule type="cellIs" dxfId="6231" priority="3464" operator="equal">
      <formula>0</formula>
    </cfRule>
    <cfRule type="cellIs" dxfId="6230" priority="3465" operator="notEqual">
      <formula>0</formula>
    </cfRule>
  </conditionalFormatting>
  <conditionalFormatting sqref="R26">
    <cfRule type="cellIs" dxfId="6229" priority="3463" operator="equal">
      <formula>0</formula>
    </cfRule>
  </conditionalFormatting>
  <conditionalFormatting sqref="S23">
    <cfRule type="cellIs" dxfId="6228" priority="3461" operator="equal">
      <formula>0</formula>
    </cfRule>
    <cfRule type="cellIs" dxfId="6227" priority="3462" operator="notEqual">
      <formula>0</formula>
    </cfRule>
  </conditionalFormatting>
  <conditionalFormatting sqref="S26">
    <cfRule type="cellIs" dxfId="6226" priority="3460" operator="equal">
      <formula>0</formula>
    </cfRule>
  </conditionalFormatting>
  <conditionalFormatting sqref="D28:D29">
    <cfRule type="cellIs" dxfId="6225" priority="3458" operator="equal">
      <formula>0</formula>
    </cfRule>
    <cfRule type="cellIs" dxfId="6224" priority="3459" operator="notEqual">
      <formula>0</formula>
    </cfRule>
  </conditionalFormatting>
  <conditionalFormatting sqref="D30">
    <cfRule type="cellIs" dxfId="6223" priority="3457" operator="equal">
      <formula>0</formula>
    </cfRule>
  </conditionalFormatting>
  <conditionalFormatting sqref="E28:E29">
    <cfRule type="cellIs" dxfId="6222" priority="3455" operator="equal">
      <formula>0</formula>
    </cfRule>
    <cfRule type="cellIs" dxfId="6221" priority="3456" operator="notEqual">
      <formula>0</formula>
    </cfRule>
  </conditionalFormatting>
  <conditionalFormatting sqref="E30">
    <cfRule type="cellIs" dxfId="6220" priority="3454" operator="equal">
      <formula>0</formula>
    </cfRule>
  </conditionalFormatting>
  <conditionalFormatting sqref="F28:F29">
    <cfRule type="cellIs" dxfId="6219" priority="3452" operator="equal">
      <formula>0</formula>
    </cfRule>
    <cfRule type="cellIs" dxfId="6218" priority="3453" operator="notEqual">
      <formula>0</formula>
    </cfRule>
  </conditionalFormatting>
  <conditionalFormatting sqref="F30">
    <cfRule type="cellIs" dxfId="6217" priority="3451" operator="equal">
      <formula>0</formula>
    </cfRule>
  </conditionalFormatting>
  <conditionalFormatting sqref="G28:G29">
    <cfRule type="cellIs" dxfId="6216" priority="3449" operator="equal">
      <formula>0</formula>
    </cfRule>
    <cfRule type="cellIs" dxfId="6215" priority="3450" operator="notEqual">
      <formula>0</formula>
    </cfRule>
  </conditionalFormatting>
  <conditionalFormatting sqref="G30">
    <cfRule type="cellIs" dxfId="6214" priority="3448" operator="equal">
      <formula>0</formula>
    </cfRule>
  </conditionalFormatting>
  <conditionalFormatting sqref="H28:H29">
    <cfRule type="cellIs" dxfId="6213" priority="3446" operator="equal">
      <formula>0</formula>
    </cfRule>
    <cfRule type="cellIs" dxfId="6212" priority="3447" operator="notEqual">
      <formula>0</formula>
    </cfRule>
  </conditionalFormatting>
  <conditionalFormatting sqref="H30">
    <cfRule type="cellIs" dxfId="6211" priority="3445" operator="equal">
      <formula>0</formula>
    </cfRule>
  </conditionalFormatting>
  <conditionalFormatting sqref="I28:I29">
    <cfRule type="cellIs" dxfId="6210" priority="3443" operator="equal">
      <formula>0</formula>
    </cfRule>
    <cfRule type="cellIs" dxfId="6209" priority="3444" operator="notEqual">
      <formula>0</formula>
    </cfRule>
  </conditionalFormatting>
  <conditionalFormatting sqref="I30">
    <cfRule type="cellIs" dxfId="6208" priority="3442" operator="equal">
      <formula>0</formula>
    </cfRule>
  </conditionalFormatting>
  <conditionalFormatting sqref="J28:J29">
    <cfRule type="cellIs" dxfId="6207" priority="3440" operator="equal">
      <formula>0</formula>
    </cfRule>
    <cfRule type="cellIs" dxfId="6206" priority="3441" operator="notEqual">
      <formula>0</formula>
    </cfRule>
  </conditionalFormatting>
  <conditionalFormatting sqref="J30">
    <cfRule type="cellIs" dxfId="6205" priority="3439" operator="equal">
      <formula>0</formula>
    </cfRule>
  </conditionalFormatting>
  <conditionalFormatting sqref="K28:K29">
    <cfRule type="cellIs" dxfId="6204" priority="3437" operator="equal">
      <formula>0</formula>
    </cfRule>
    <cfRule type="cellIs" dxfId="6203" priority="3438" operator="notEqual">
      <formula>0</formula>
    </cfRule>
  </conditionalFormatting>
  <conditionalFormatting sqref="K30">
    <cfRule type="cellIs" dxfId="6202" priority="3436" operator="equal">
      <formula>0</formula>
    </cfRule>
  </conditionalFormatting>
  <conditionalFormatting sqref="L30">
    <cfRule type="cellIs" dxfId="6201" priority="3435" operator="equal">
      <formula>0</formula>
    </cfRule>
  </conditionalFormatting>
  <conditionalFormatting sqref="M30">
    <cfRule type="cellIs" dxfId="6200" priority="3434" operator="equal">
      <formula>0</formula>
    </cfRule>
  </conditionalFormatting>
  <conditionalFormatting sqref="N30">
    <cfRule type="cellIs" dxfId="6199" priority="3433" operator="equal">
      <formula>0</formula>
    </cfRule>
  </conditionalFormatting>
  <conditionalFormatting sqref="O30">
    <cfRule type="cellIs" dxfId="6198" priority="3432" operator="equal">
      <formula>0</formula>
    </cfRule>
  </conditionalFormatting>
  <conditionalFormatting sqref="P27">
    <cfRule type="cellIs" dxfId="6197" priority="3430" operator="equal">
      <formula>0</formula>
    </cfRule>
    <cfRule type="cellIs" dxfId="6196" priority="3431" operator="notEqual">
      <formula>0</formula>
    </cfRule>
  </conditionalFormatting>
  <conditionalFormatting sqref="P30">
    <cfRule type="cellIs" dxfId="6195" priority="3429" operator="equal">
      <formula>0</formula>
    </cfRule>
  </conditionalFormatting>
  <conditionalFormatting sqref="Q27">
    <cfRule type="cellIs" dxfId="6194" priority="3427" operator="equal">
      <formula>0</formula>
    </cfRule>
    <cfRule type="cellIs" dxfId="6193" priority="3428" operator="notEqual">
      <formula>0</formula>
    </cfRule>
  </conditionalFormatting>
  <conditionalFormatting sqref="Q30">
    <cfRule type="cellIs" dxfId="6192" priority="3426" operator="equal">
      <formula>0</formula>
    </cfRule>
  </conditionalFormatting>
  <conditionalFormatting sqref="R27">
    <cfRule type="cellIs" dxfId="6191" priority="3424" operator="equal">
      <formula>0</formula>
    </cfRule>
    <cfRule type="cellIs" dxfId="6190" priority="3425" operator="notEqual">
      <formula>0</formula>
    </cfRule>
  </conditionalFormatting>
  <conditionalFormatting sqref="R30">
    <cfRule type="cellIs" dxfId="6189" priority="3423" operator="equal">
      <formula>0</formula>
    </cfRule>
  </conditionalFormatting>
  <conditionalFormatting sqref="S27">
    <cfRule type="cellIs" dxfId="6188" priority="3421" operator="equal">
      <formula>0</formula>
    </cfRule>
    <cfRule type="cellIs" dxfId="6187" priority="3422" operator="notEqual">
      <formula>0</formula>
    </cfRule>
  </conditionalFormatting>
  <conditionalFormatting sqref="S30">
    <cfRule type="cellIs" dxfId="6186" priority="3420" operator="equal">
      <formula>0</formula>
    </cfRule>
  </conditionalFormatting>
  <conditionalFormatting sqref="D32:D33">
    <cfRule type="cellIs" dxfId="6185" priority="3418" operator="equal">
      <formula>0</formula>
    </cfRule>
    <cfRule type="cellIs" dxfId="6184" priority="3419" operator="notEqual">
      <formula>0</formula>
    </cfRule>
  </conditionalFormatting>
  <conditionalFormatting sqref="D34">
    <cfRule type="cellIs" dxfId="6183" priority="3417" operator="equal">
      <formula>0</formula>
    </cfRule>
  </conditionalFormatting>
  <conditionalFormatting sqref="E32:E33">
    <cfRule type="cellIs" dxfId="6182" priority="3415" operator="equal">
      <formula>0</formula>
    </cfRule>
    <cfRule type="cellIs" dxfId="6181" priority="3416" operator="notEqual">
      <formula>0</formula>
    </cfRule>
  </conditionalFormatting>
  <conditionalFormatting sqref="E34">
    <cfRule type="cellIs" dxfId="6180" priority="3414" operator="equal">
      <formula>0</formula>
    </cfRule>
  </conditionalFormatting>
  <conditionalFormatting sqref="F32:F33">
    <cfRule type="cellIs" dxfId="6179" priority="3412" operator="equal">
      <formula>0</formula>
    </cfRule>
    <cfRule type="cellIs" dxfId="6178" priority="3413" operator="notEqual">
      <formula>0</formula>
    </cfRule>
  </conditionalFormatting>
  <conditionalFormatting sqref="F34">
    <cfRule type="cellIs" dxfId="6177" priority="3411" operator="equal">
      <formula>0</formula>
    </cfRule>
  </conditionalFormatting>
  <conditionalFormatting sqref="G32:G33">
    <cfRule type="cellIs" dxfId="6176" priority="3409" operator="equal">
      <formula>0</formula>
    </cfRule>
    <cfRule type="cellIs" dxfId="6175" priority="3410" operator="notEqual">
      <formula>0</formula>
    </cfRule>
  </conditionalFormatting>
  <conditionalFormatting sqref="G34">
    <cfRule type="cellIs" dxfId="6174" priority="3408" operator="equal">
      <formula>0</formula>
    </cfRule>
  </conditionalFormatting>
  <conditionalFormatting sqref="H32:H33">
    <cfRule type="cellIs" dxfId="6173" priority="3406" operator="equal">
      <formula>0</formula>
    </cfRule>
    <cfRule type="cellIs" dxfId="6172" priority="3407" operator="notEqual">
      <formula>0</formula>
    </cfRule>
  </conditionalFormatting>
  <conditionalFormatting sqref="H34">
    <cfRule type="cellIs" dxfId="6171" priority="3405" operator="equal">
      <formula>0</formula>
    </cfRule>
  </conditionalFormatting>
  <conditionalFormatting sqref="I32:I33">
    <cfRule type="cellIs" dxfId="6170" priority="3403" operator="equal">
      <formula>0</formula>
    </cfRule>
    <cfRule type="cellIs" dxfId="6169" priority="3404" operator="notEqual">
      <formula>0</formula>
    </cfRule>
  </conditionalFormatting>
  <conditionalFormatting sqref="I34">
    <cfRule type="cellIs" dxfId="6168" priority="3402" operator="equal">
      <formula>0</formula>
    </cfRule>
  </conditionalFormatting>
  <conditionalFormatting sqref="J32:J33">
    <cfRule type="cellIs" dxfId="6167" priority="3400" operator="equal">
      <formula>0</formula>
    </cfRule>
    <cfRule type="cellIs" dxfId="6166" priority="3401" operator="notEqual">
      <formula>0</formula>
    </cfRule>
  </conditionalFormatting>
  <conditionalFormatting sqref="J34">
    <cfRule type="cellIs" dxfId="6165" priority="3399" operator="equal">
      <formula>0</formula>
    </cfRule>
  </conditionalFormatting>
  <conditionalFormatting sqref="K32:K33">
    <cfRule type="cellIs" dxfId="6164" priority="3397" operator="equal">
      <formula>0</formula>
    </cfRule>
    <cfRule type="cellIs" dxfId="6163" priority="3398" operator="notEqual">
      <formula>0</formula>
    </cfRule>
  </conditionalFormatting>
  <conditionalFormatting sqref="K34">
    <cfRule type="cellIs" dxfId="6162" priority="3396" operator="equal">
      <formula>0</formula>
    </cfRule>
  </conditionalFormatting>
  <conditionalFormatting sqref="L34">
    <cfRule type="cellIs" dxfId="6161" priority="3395" operator="equal">
      <formula>0</formula>
    </cfRule>
  </conditionalFormatting>
  <conditionalFormatting sqref="M34">
    <cfRule type="cellIs" dxfId="6160" priority="3394" operator="equal">
      <formula>0</formula>
    </cfRule>
  </conditionalFormatting>
  <conditionalFormatting sqref="N34">
    <cfRule type="cellIs" dxfId="6159" priority="3393" operator="equal">
      <formula>0</formula>
    </cfRule>
  </conditionalFormatting>
  <conditionalFormatting sqref="O34">
    <cfRule type="cellIs" dxfId="6158" priority="3392" operator="equal">
      <formula>0</formula>
    </cfRule>
  </conditionalFormatting>
  <conditionalFormatting sqref="P31">
    <cfRule type="cellIs" dxfId="6157" priority="3390" operator="equal">
      <formula>0</formula>
    </cfRule>
    <cfRule type="cellIs" dxfId="6156" priority="3391" operator="notEqual">
      <formula>0</formula>
    </cfRule>
  </conditionalFormatting>
  <conditionalFormatting sqref="P34">
    <cfRule type="cellIs" dxfId="6155" priority="3389" operator="equal">
      <formula>0</formula>
    </cfRule>
  </conditionalFormatting>
  <conditionalFormatting sqref="Q31">
    <cfRule type="cellIs" dxfId="6154" priority="3387" operator="equal">
      <formula>0</formula>
    </cfRule>
    <cfRule type="cellIs" dxfId="6153" priority="3388" operator="notEqual">
      <formula>0</formula>
    </cfRule>
  </conditionalFormatting>
  <conditionalFormatting sqref="Q34">
    <cfRule type="cellIs" dxfId="6152" priority="3386" operator="equal">
      <formula>0</formula>
    </cfRule>
  </conditionalFormatting>
  <conditionalFormatting sqref="R31">
    <cfRule type="cellIs" dxfId="6151" priority="3384" operator="equal">
      <formula>0</formula>
    </cfRule>
    <cfRule type="cellIs" dxfId="6150" priority="3385" operator="notEqual">
      <formula>0</formula>
    </cfRule>
  </conditionalFormatting>
  <conditionalFormatting sqref="R34">
    <cfRule type="cellIs" dxfId="6149" priority="3383" operator="equal">
      <formula>0</formula>
    </cfRule>
  </conditionalFormatting>
  <conditionalFormatting sqref="S31">
    <cfRule type="cellIs" dxfId="6148" priority="3381" operator="equal">
      <formula>0</formula>
    </cfRule>
    <cfRule type="cellIs" dxfId="6147" priority="3382" operator="notEqual">
      <formula>0</formula>
    </cfRule>
  </conditionalFormatting>
  <conditionalFormatting sqref="S34">
    <cfRule type="cellIs" dxfId="6146" priority="3380" operator="equal">
      <formula>0</formula>
    </cfRule>
  </conditionalFormatting>
  <conditionalFormatting sqref="D36:D37">
    <cfRule type="cellIs" dxfId="6145" priority="3378" operator="equal">
      <formula>0</formula>
    </cfRule>
    <cfRule type="cellIs" dxfId="6144" priority="3379" operator="notEqual">
      <formula>0</formula>
    </cfRule>
  </conditionalFormatting>
  <conditionalFormatting sqref="D38">
    <cfRule type="cellIs" dxfId="6143" priority="3377" operator="equal">
      <formula>0</formula>
    </cfRule>
  </conditionalFormatting>
  <conditionalFormatting sqref="E36:E37">
    <cfRule type="cellIs" dxfId="6142" priority="3375" operator="equal">
      <formula>0</formula>
    </cfRule>
    <cfRule type="cellIs" dxfId="6141" priority="3376" operator="notEqual">
      <formula>0</formula>
    </cfRule>
  </conditionalFormatting>
  <conditionalFormatting sqref="E38">
    <cfRule type="cellIs" dxfId="6140" priority="3374" operator="equal">
      <formula>0</formula>
    </cfRule>
  </conditionalFormatting>
  <conditionalFormatting sqref="F36:F37">
    <cfRule type="cellIs" dxfId="6139" priority="3372" operator="equal">
      <formula>0</formula>
    </cfRule>
    <cfRule type="cellIs" dxfId="6138" priority="3373" operator="notEqual">
      <formula>0</formula>
    </cfRule>
  </conditionalFormatting>
  <conditionalFormatting sqref="F38">
    <cfRule type="cellIs" dxfId="6137" priority="3371" operator="equal">
      <formula>0</formula>
    </cfRule>
  </conditionalFormatting>
  <conditionalFormatting sqref="G36:G37">
    <cfRule type="cellIs" dxfId="6136" priority="3369" operator="equal">
      <formula>0</formula>
    </cfRule>
    <cfRule type="cellIs" dxfId="6135" priority="3370" operator="notEqual">
      <formula>0</formula>
    </cfRule>
  </conditionalFormatting>
  <conditionalFormatting sqref="G38">
    <cfRule type="cellIs" dxfId="6134" priority="3368" operator="equal">
      <formula>0</formula>
    </cfRule>
  </conditionalFormatting>
  <conditionalFormatting sqref="H36:H37">
    <cfRule type="cellIs" dxfId="6133" priority="3366" operator="equal">
      <formula>0</formula>
    </cfRule>
    <cfRule type="cellIs" dxfId="6132" priority="3367" operator="notEqual">
      <formula>0</formula>
    </cfRule>
  </conditionalFormatting>
  <conditionalFormatting sqref="H38">
    <cfRule type="cellIs" dxfId="6131" priority="3365" operator="equal">
      <formula>0</formula>
    </cfRule>
  </conditionalFormatting>
  <conditionalFormatting sqref="I36:I37">
    <cfRule type="cellIs" dxfId="6130" priority="3363" operator="equal">
      <formula>0</formula>
    </cfRule>
    <cfRule type="cellIs" dxfId="6129" priority="3364" operator="notEqual">
      <formula>0</formula>
    </cfRule>
  </conditionalFormatting>
  <conditionalFormatting sqref="I38">
    <cfRule type="cellIs" dxfId="6128" priority="3362" operator="equal">
      <formula>0</formula>
    </cfRule>
  </conditionalFormatting>
  <conditionalFormatting sqref="J36:J37">
    <cfRule type="cellIs" dxfId="6127" priority="3360" operator="equal">
      <formula>0</formula>
    </cfRule>
    <cfRule type="cellIs" dxfId="6126" priority="3361" operator="notEqual">
      <formula>0</formula>
    </cfRule>
  </conditionalFormatting>
  <conditionalFormatting sqref="J38">
    <cfRule type="cellIs" dxfId="6125" priority="3359" operator="equal">
      <formula>0</formula>
    </cfRule>
  </conditionalFormatting>
  <conditionalFormatting sqref="K36:K37">
    <cfRule type="cellIs" dxfId="6124" priority="3357" operator="equal">
      <formula>0</formula>
    </cfRule>
    <cfRule type="cellIs" dxfId="6123" priority="3358" operator="notEqual">
      <formula>0</formula>
    </cfRule>
  </conditionalFormatting>
  <conditionalFormatting sqref="K38">
    <cfRule type="cellIs" dxfId="6122" priority="3356" operator="equal">
      <formula>0</formula>
    </cfRule>
  </conditionalFormatting>
  <conditionalFormatting sqref="L38">
    <cfRule type="cellIs" dxfId="6121" priority="3355" operator="equal">
      <formula>0</formula>
    </cfRule>
  </conditionalFormatting>
  <conditionalFormatting sqref="M38">
    <cfRule type="cellIs" dxfId="6120" priority="3354" operator="equal">
      <formula>0</formula>
    </cfRule>
  </conditionalFormatting>
  <conditionalFormatting sqref="N38">
    <cfRule type="cellIs" dxfId="6119" priority="3353" operator="equal">
      <formula>0</formula>
    </cfRule>
  </conditionalFormatting>
  <conditionalFormatting sqref="O38">
    <cfRule type="cellIs" dxfId="6118" priority="3352" operator="equal">
      <formula>0</formula>
    </cfRule>
  </conditionalFormatting>
  <conditionalFormatting sqref="P35">
    <cfRule type="cellIs" dxfId="6117" priority="3350" operator="equal">
      <formula>0</formula>
    </cfRule>
    <cfRule type="cellIs" dxfId="6116" priority="3351" operator="notEqual">
      <formula>0</formula>
    </cfRule>
  </conditionalFormatting>
  <conditionalFormatting sqref="P38">
    <cfRule type="cellIs" dxfId="6115" priority="3349" operator="equal">
      <formula>0</formula>
    </cfRule>
  </conditionalFormatting>
  <conditionalFormatting sqref="Q35">
    <cfRule type="cellIs" dxfId="6114" priority="3347" operator="equal">
      <formula>0</formula>
    </cfRule>
    <cfRule type="cellIs" dxfId="6113" priority="3348" operator="notEqual">
      <formula>0</formula>
    </cfRule>
  </conditionalFormatting>
  <conditionalFormatting sqref="Q38">
    <cfRule type="cellIs" dxfId="6112" priority="3346" operator="equal">
      <formula>0</formula>
    </cfRule>
  </conditionalFormatting>
  <conditionalFormatting sqref="R35">
    <cfRule type="cellIs" dxfId="6111" priority="3344" operator="equal">
      <formula>0</formula>
    </cfRule>
    <cfRule type="cellIs" dxfId="6110" priority="3345" operator="notEqual">
      <formula>0</formula>
    </cfRule>
  </conditionalFormatting>
  <conditionalFormatting sqref="R38">
    <cfRule type="cellIs" dxfId="6109" priority="3343" operator="equal">
      <formula>0</formula>
    </cfRule>
  </conditionalFormatting>
  <conditionalFormatting sqref="S35">
    <cfRule type="cellIs" dxfId="6108" priority="3341" operator="equal">
      <formula>0</formula>
    </cfRule>
    <cfRule type="cellIs" dxfId="6107" priority="3342" operator="notEqual">
      <formula>0</formula>
    </cfRule>
  </conditionalFormatting>
  <conditionalFormatting sqref="S38">
    <cfRule type="cellIs" dxfId="6106" priority="3340" operator="equal">
      <formula>0</formula>
    </cfRule>
  </conditionalFormatting>
  <conditionalFormatting sqref="D40:D41">
    <cfRule type="cellIs" dxfId="6105" priority="3338" operator="equal">
      <formula>0</formula>
    </cfRule>
    <cfRule type="cellIs" dxfId="6104" priority="3339" operator="notEqual">
      <formula>0</formula>
    </cfRule>
  </conditionalFormatting>
  <conditionalFormatting sqref="D42">
    <cfRule type="cellIs" dxfId="6103" priority="3337" operator="equal">
      <formula>0</formula>
    </cfRule>
  </conditionalFormatting>
  <conditionalFormatting sqref="E40:E41">
    <cfRule type="cellIs" dxfId="6102" priority="3335" operator="equal">
      <formula>0</formula>
    </cfRule>
    <cfRule type="cellIs" dxfId="6101" priority="3336" operator="notEqual">
      <formula>0</formula>
    </cfRule>
  </conditionalFormatting>
  <conditionalFormatting sqref="E42">
    <cfRule type="cellIs" dxfId="6100" priority="3334" operator="equal">
      <formula>0</formula>
    </cfRule>
  </conditionalFormatting>
  <conditionalFormatting sqref="F40:F41">
    <cfRule type="cellIs" dxfId="6099" priority="3332" operator="equal">
      <formula>0</formula>
    </cfRule>
    <cfRule type="cellIs" dxfId="6098" priority="3333" operator="notEqual">
      <formula>0</formula>
    </cfRule>
  </conditionalFormatting>
  <conditionalFormatting sqref="F42">
    <cfRule type="cellIs" dxfId="6097" priority="3331" operator="equal">
      <formula>0</formula>
    </cfRule>
  </conditionalFormatting>
  <conditionalFormatting sqref="G40:G41">
    <cfRule type="cellIs" dxfId="6096" priority="3329" operator="equal">
      <formula>0</formula>
    </cfRule>
    <cfRule type="cellIs" dxfId="6095" priority="3330" operator="notEqual">
      <formula>0</formula>
    </cfRule>
  </conditionalFormatting>
  <conditionalFormatting sqref="G42">
    <cfRule type="cellIs" dxfId="6094" priority="3328" operator="equal">
      <formula>0</formula>
    </cfRule>
  </conditionalFormatting>
  <conditionalFormatting sqref="H40:H41">
    <cfRule type="cellIs" dxfId="6093" priority="3326" operator="equal">
      <formula>0</formula>
    </cfRule>
    <cfRule type="cellIs" dxfId="6092" priority="3327" operator="notEqual">
      <formula>0</formula>
    </cfRule>
  </conditionalFormatting>
  <conditionalFormatting sqref="H42">
    <cfRule type="cellIs" dxfId="6091" priority="3325" operator="equal">
      <formula>0</formula>
    </cfRule>
  </conditionalFormatting>
  <conditionalFormatting sqref="I40:I41">
    <cfRule type="cellIs" dxfId="6090" priority="3323" operator="equal">
      <formula>0</formula>
    </cfRule>
    <cfRule type="cellIs" dxfId="6089" priority="3324" operator="notEqual">
      <formula>0</formula>
    </cfRule>
  </conditionalFormatting>
  <conditionalFormatting sqref="I42">
    <cfRule type="cellIs" dxfId="6088" priority="3322" operator="equal">
      <formula>0</formula>
    </cfRule>
  </conditionalFormatting>
  <conditionalFormatting sqref="J40:J41">
    <cfRule type="cellIs" dxfId="6087" priority="3320" operator="equal">
      <formula>0</formula>
    </cfRule>
    <cfRule type="cellIs" dxfId="6086" priority="3321" operator="notEqual">
      <formula>0</formula>
    </cfRule>
  </conditionalFormatting>
  <conditionalFormatting sqref="J42">
    <cfRule type="cellIs" dxfId="6085" priority="3319" operator="equal">
      <formula>0</formula>
    </cfRule>
  </conditionalFormatting>
  <conditionalFormatting sqref="K40:K41">
    <cfRule type="cellIs" dxfId="6084" priority="3317" operator="equal">
      <formula>0</formula>
    </cfRule>
    <cfRule type="cellIs" dxfId="6083" priority="3318" operator="notEqual">
      <formula>0</formula>
    </cfRule>
  </conditionalFormatting>
  <conditionalFormatting sqref="K42">
    <cfRule type="cellIs" dxfId="6082" priority="3316" operator="equal">
      <formula>0</formula>
    </cfRule>
  </conditionalFormatting>
  <conditionalFormatting sqref="L42">
    <cfRule type="cellIs" dxfId="6081" priority="3315" operator="equal">
      <formula>0</formula>
    </cfRule>
  </conditionalFormatting>
  <conditionalFormatting sqref="M42">
    <cfRule type="cellIs" dxfId="6080" priority="3314" operator="equal">
      <formula>0</formula>
    </cfRule>
  </conditionalFormatting>
  <conditionalFormatting sqref="N42">
    <cfRule type="cellIs" dxfId="6079" priority="3313" operator="equal">
      <formula>0</formula>
    </cfRule>
  </conditionalFormatting>
  <conditionalFormatting sqref="O42">
    <cfRule type="cellIs" dxfId="6078" priority="3312" operator="equal">
      <formula>0</formula>
    </cfRule>
  </conditionalFormatting>
  <conditionalFormatting sqref="P39">
    <cfRule type="cellIs" dxfId="6077" priority="3310" operator="equal">
      <formula>0</formula>
    </cfRule>
    <cfRule type="cellIs" dxfId="6076" priority="3311" operator="notEqual">
      <formula>0</formula>
    </cfRule>
  </conditionalFormatting>
  <conditionalFormatting sqref="P42">
    <cfRule type="cellIs" dxfId="6075" priority="3309" operator="equal">
      <formula>0</formula>
    </cfRule>
  </conditionalFormatting>
  <conditionalFormatting sqref="Q39">
    <cfRule type="cellIs" dxfId="6074" priority="3307" operator="equal">
      <formula>0</formula>
    </cfRule>
    <cfRule type="cellIs" dxfId="6073" priority="3308" operator="notEqual">
      <formula>0</formula>
    </cfRule>
  </conditionalFormatting>
  <conditionalFormatting sqref="Q42">
    <cfRule type="cellIs" dxfId="6072" priority="3306" operator="equal">
      <formula>0</formula>
    </cfRule>
  </conditionalFormatting>
  <conditionalFormatting sqref="R39">
    <cfRule type="cellIs" dxfId="6071" priority="3304" operator="equal">
      <formula>0</formula>
    </cfRule>
    <cfRule type="cellIs" dxfId="6070" priority="3305" operator="notEqual">
      <formula>0</formula>
    </cfRule>
  </conditionalFormatting>
  <conditionalFormatting sqref="R42">
    <cfRule type="cellIs" dxfId="6069" priority="3303" operator="equal">
      <formula>0</formula>
    </cfRule>
  </conditionalFormatting>
  <conditionalFormatting sqref="S39">
    <cfRule type="cellIs" dxfId="6068" priority="3301" operator="equal">
      <formula>0</formula>
    </cfRule>
    <cfRule type="cellIs" dxfId="6067" priority="3302" operator="notEqual">
      <formula>0</formula>
    </cfRule>
  </conditionalFormatting>
  <conditionalFormatting sqref="S42">
    <cfRule type="cellIs" dxfId="6066" priority="3300" operator="equal">
      <formula>0</formula>
    </cfRule>
  </conditionalFormatting>
  <conditionalFormatting sqref="D44:D45">
    <cfRule type="cellIs" dxfId="6065" priority="3298" operator="equal">
      <formula>0</formula>
    </cfRule>
    <cfRule type="cellIs" dxfId="6064" priority="3299" operator="notEqual">
      <formula>0</formula>
    </cfRule>
  </conditionalFormatting>
  <conditionalFormatting sqref="D46">
    <cfRule type="cellIs" dxfId="6063" priority="3297" operator="equal">
      <formula>0</formula>
    </cfRule>
  </conditionalFormatting>
  <conditionalFormatting sqref="E44:E45">
    <cfRule type="cellIs" dxfId="6062" priority="3295" operator="equal">
      <formula>0</formula>
    </cfRule>
    <cfRule type="cellIs" dxfId="6061" priority="3296" operator="notEqual">
      <formula>0</formula>
    </cfRule>
  </conditionalFormatting>
  <conditionalFormatting sqref="E46">
    <cfRule type="cellIs" dxfId="6060" priority="3294" operator="equal">
      <formula>0</formula>
    </cfRule>
  </conditionalFormatting>
  <conditionalFormatting sqref="F44:F45">
    <cfRule type="cellIs" dxfId="6059" priority="3292" operator="equal">
      <formula>0</formula>
    </cfRule>
    <cfRule type="cellIs" dxfId="6058" priority="3293" operator="notEqual">
      <formula>0</formula>
    </cfRule>
  </conditionalFormatting>
  <conditionalFormatting sqref="F46">
    <cfRule type="cellIs" dxfId="6057" priority="3291" operator="equal">
      <formula>0</formula>
    </cfRule>
  </conditionalFormatting>
  <conditionalFormatting sqref="G44:G45">
    <cfRule type="cellIs" dxfId="6056" priority="3289" operator="equal">
      <formula>0</formula>
    </cfRule>
    <cfRule type="cellIs" dxfId="6055" priority="3290" operator="notEqual">
      <formula>0</formula>
    </cfRule>
  </conditionalFormatting>
  <conditionalFormatting sqref="G46">
    <cfRule type="cellIs" dxfId="6054" priority="3288" operator="equal">
      <formula>0</formula>
    </cfRule>
  </conditionalFormatting>
  <conditionalFormatting sqref="H44:H45">
    <cfRule type="cellIs" dxfId="6053" priority="3286" operator="equal">
      <formula>0</formula>
    </cfRule>
    <cfRule type="cellIs" dxfId="6052" priority="3287" operator="notEqual">
      <formula>0</formula>
    </cfRule>
  </conditionalFormatting>
  <conditionalFormatting sqref="H46">
    <cfRule type="cellIs" dxfId="6051" priority="3285" operator="equal">
      <formula>0</formula>
    </cfRule>
  </conditionalFormatting>
  <conditionalFormatting sqref="I44:I45">
    <cfRule type="cellIs" dxfId="6050" priority="3283" operator="equal">
      <formula>0</formula>
    </cfRule>
    <cfRule type="cellIs" dxfId="6049" priority="3284" operator="notEqual">
      <formula>0</formula>
    </cfRule>
  </conditionalFormatting>
  <conditionalFormatting sqref="I46">
    <cfRule type="cellIs" dxfId="6048" priority="3282" operator="equal">
      <formula>0</formula>
    </cfRule>
  </conditionalFormatting>
  <conditionalFormatting sqref="J44:J45">
    <cfRule type="cellIs" dxfId="6047" priority="3280" operator="equal">
      <formula>0</formula>
    </cfRule>
    <cfRule type="cellIs" dxfId="6046" priority="3281" operator="notEqual">
      <formula>0</formula>
    </cfRule>
  </conditionalFormatting>
  <conditionalFormatting sqref="J46">
    <cfRule type="cellIs" dxfId="6045" priority="3279" operator="equal">
      <formula>0</formula>
    </cfRule>
  </conditionalFormatting>
  <conditionalFormatting sqref="K44:K45">
    <cfRule type="cellIs" dxfId="6044" priority="3277" operator="equal">
      <formula>0</formula>
    </cfRule>
    <cfRule type="cellIs" dxfId="6043" priority="3278" operator="notEqual">
      <formula>0</formula>
    </cfRule>
  </conditionalFormatting>
  <conditionalFormatting sqref="K46">
    <cfRule type="cellIs" dxfId="6042" priority="3276" operator="equal">
      <formula>0</formula>
    </cfRule>
  </conditionalFormatting>
  <conditionalFormatting sqref="L46">
    <cfRule type="cellIs" dxfId="6041" priority="3275" operator="equal">
      <formula>0</formula>
    </cfRule>
  </conditionalFormatting>
  <conditionalFormatting sqref="M46">
    <cfRule type="cellIs" dxfId="6040" priority="3274" operator="equal">
      <formula>0</formula>
    </cfRule>
  </conditionalFormatting>
  <conditionalFormatting sqref="N46">
    <cfRule type="cellIs" dxfId="6039" priority="3273" operator="equal">
      <formula>0</formula>
    </cfRule>
  </conditionalFormatting>
  <conditionalFormatting sqref="O46">
    <cfRule type="cellIs" dxfId="6038" priority="3272" operator="equal">
      <formula>0</formula>
    </cfRule>
  </conditionalFormatting>
  <conditionalFormatting sqref="P43">
    <cfRule type="cellIs" dxfId="6037" priority="3270" operator="equal">
      <formula>0</formula>
    </cfRule>
    <cfRule type="cellIs" dxfId="6036" priority="3271" operator="notEqual">
      <formula>0</formula>
    </cfRule>
  </conditionalFormatting>
  <conditionalFormatting sqref="P46">
    <cfRule type="cellIs" dxfId="6035" priority="3269" operator="equal">
      <formula>0</formula>
    </cfRule>
  </conditionalFormatting>
  <conditionalFormatting sqref="Q43">
    <cfRule type="cellIs" dxfId="6034" priority="3267" operator="equal">
      <formula>0</formula>
    </cfRule>
    <cfRule type="cellIs" dxfId="6033" priority="3268" operator="notEqual">
      <formula>0</formula>
    </cfRule>
  </conditionalFormatting>
  <conditionalFormatting sqref="Q46">
    <cfRule type="cellIs" dxfId="6032" priority="3266" operator="equal">
      <formula>0</formula>
    </cfRule>
  </conditionalFormatting>
  <conditionalFormatting sqref="R43">
    <cfRule type="cellIs" dxfId="6031" priority="3264" operator="equal">
      <formula>0</formula>
    </cfRule>
    <cfRule type="cellIs" dxfId="6030" priority="3265" operator="notEqual">
      <formula>0</formula>
    </cfRule>
  </conditionalFormatting>
  <conditionalFormatting sqref="R46">
    <cfRule type="cellIs" dxfId="6029" priority="3263" operator="equal">
      <formula>0</formula>
    </cfRule>
  </conditionalFormatting>
  <conditionalFormatting sqref="S43">
    <cfRule type="cellIs" dxfId="6028" priority="3261" operator="equal">
      <formula>0</formula>
    </cfRule>
    <cfRule type="cellIs" dxfId="6027" priority="3262" operator="notEqual">
      <formula>0</formula>
    </cfRule>
  </conditionalFormatting>
  <conditionalFormatting sqref="S46">
    <cfRule type="cellIs" dxfId="6026" priority="3260" operator="equal">
      <formula>0</formula>
    </cfRule>
  </conditionalFormatting>
  <conditionalFormatting sqref="D48:D49">
    <cfRule type="cellIs" dxfId="6025" priority="3258" operator="equal">
      <formula>0</formula>
    </cfRule>
    <cfRule type="cellIs" dxfId="6024" priority="3259" operator="notEqual">
      <formula>0</formula>
    </cfRule>
  </conditionalFormatting>
  <conditionalFormatting sqref="D50">
    <cfRule type="cellIs" dxfId="6023" priority="3257" operator="equal">
      <formula>0</formula>
    </cfRule>
  </conditionalFormatting>
  <conditionalFormatting sqref="E48:E49">
    <cfRule type="cellIs" dxfId="6022" priority="3255" operator="equal">
      <formula>0</formula>
    </cfRule>
    <cfRule type="cellIs" dxfId="6021" priority="3256" operator="notEqual">
      <formula>0</formula>
    </cfRule>
  </conditionalFormatting>
  <conditionalFormatting sqref="E50">
    <cfRule type="cellIs" dxfId="6020" priority="3254" operator="equal">
      <formula>0</formula>
    </cfRule>
  </conditionalFormatting>
  <conditionalFormatting sqref="F48:F49">
    <cfRule type="cellIs" dxfId="6019" priority="3252" operator="equal">
      <formula>0</formula>
    </cfRule>
    <cfRule type="cellIs" dxfId="6018" priority="3253" operator="notEqual">
      <formula>0</formula>
    </cfRule>
  </conditionalFormatting>
  <conditionalFormatting sqref="F50">
    <cfRule type="cellIs" dxfId="6017" priority="3251" operator="equal">
      <formula>0</formula>
    </cfRule>
  </conditionalFormatting>
  <conditionalFormatting sqref="G48:G49">
    <cfRule type="cellIs" dxfId="6016" priority="3249" operator="equal">
      <formula>0</formula>
    </cfRule>
    <cfRule type="cellIs" dxfId="6015" priority="3250" operator="notEqual">
      <formula>0</formula>
    </cfRule>
  </conditionalFormatting>
  <conditionalFormatting sqref="G50">
    <cfRule type="cellIs" dxfId="6014" priority="3248" operator="equal">
      <formula>0</formula>
    </cfRule>
  </conditionalFormatting>
  <conditionalFormatting sqref="H48:H49">
    <cfRule type="cellIs" dxfId="6013" priority="3246" operator="equal">
      <formula>0</formula>
    </cfRule>
    <cfRule type="cellIs" dxfId="6012" priority="3247" operator="notEqual">
      <formula>0</formula>
    </cfRule>
  </conditionalFormatting>
  <conditionalFormatting sqref="H50">
    <cfRule type="cellIs" dxfId="6011" priority="3245" operator="equal">
      <formula>0</formula>
    </cfRule>
  </conditionalFormatting>
  <conditionalFormatting sqref="I48:I49">
    <cfRule type="cellIs" dxfId="6010" priority="3243" operator="equal">
      <formula>0</formula>
    </cfRule>
    <cfRule type="cellIs" dxfId="6009" priority="3244" operator="notEqual">
      <formula>0</formula>
    </cfRule>
  </conditionalFormatting>
  <conditionalFormatting sqref="I50">
    <cfRule type="cellIs" dxfId="6008" priority="3242" operator="equal">
      <formula>0</formula>
    </cfRule>
  </conditionalFormatting>
  <conditionalFormatting sqref="J48:J49">
    <cfRule type="cellIs" dxfId="6007" priority="3240" operator="equal">
      <formula>0</formula>
    </cfRule>
    <cfRule type="cellIs" dxfId="6006" priority="3241" operator="notEqual">
      <formula>0</formula>
    </cfRule>
  </conditionalFormatting>
  <conditionalFormatting sqref="J50">
    <cfRule type="cellIs" dxfId="6005" priority="3239" operator="equal">
      <formula>0</formula>
    </cfRule>
  </conditionalFormatting>
  <conditionalFormatting sqref="K48:K49">
    <cfRule type="cellIs" dxfId="6004" priority="3237" operator="equal">
      <formula>0</formula>
    </cfRule>
    <cfRule type="cellIs" dxfId="6003" priority="3238" operator="notEqual">
      <formula>0</formula>
    </cfRule>
  </conditionalFormatting>
  <conditionalFormatting sqref="K50">
    <cfRule type="cellIs" dxfId="6002" priority="3236" operator="equal">
      <formula>0</formula>
    </cfRule>
  </conditionalFormatting>
  <conditionalFormatting sqref="L50">
    <cfRule type="cellIs" dxfId="6001" priority="3235" operator="equal">
      <formula>0</formula>
    </cfRule>
  </conditionalFormatting>
  <conditionalFormatting sqref="M50">
    <cfRule type="cellIs" dxfId="6000" priority="3234" operator="equal">
      <formula>0</formula>
    </cfRule>
  </conditionalFormatting>
  <conditionalFormatting sqref="N50">
    <cfRule type="cellIs" dxfId="5999" priority="3233" operator="equal">
      <formula>0</formula>
    </cfRule>
  </conditionalFormatting>
  <conditionalFormatting sqref="O50">
    <cfRule type="cellIs" dxfId="5998" priority="3232" operator="equal">
      <formula>0</formula>
    </cfRule>
  </conditionalFormatting>
  <conditionalFormatting sqref="P47">
    <cfRule type="cellIs" dxfId="5997" priority="3230" operator="equal">
      <formula>0</formula>
    </cfRule>
    <cfRule type="cellIs" dxfId="5996" priority="3231" operator="notEqual">
      <formula>0</formula>
    </cfRule>
  </conditionalFormatting>
  <conditionalFormatting sqref="P50">
    <cfRule type="cellIs" dxfId="5995" priority="3229" operator="equal">
      <formula>0</formula>
    </cfRule>
  </conditionalFormatting>
  <conditionalFormatting sqref="Q47">
    <cfRule type="cellIs" dxfId="5994" priority="3227" operator="equal">
      <formula>0</formula>
    </cfRule>
    <cfRule type="cellIs" dxfId="5993" priority="3228" operator="notEqual">
      <formula>0</formula>
    </cfRule>
  </conditionalFormatting>
  <conditionalFormatting sqref="Q50">
    <cfRule type="cellIs" dxfId="5992" priority="3226" operator="equal">
      <formula>0</formula>
    </cfRule>
  </conditionalFormatting>
  <conditionalFormatting sqref="R47">
    <cfRule type="cellIs" dxfId="5991" priority="3224" operator="equal">
      <formula>0</formula>
    </cfRule>
    <cfRule type="cellIs" dxfId="5990" priority="3225" operator="notEqual">
      <formula>0</formula>
    </cfRule>
  </conditionalFormatting>
  <conditionalFormatting sqref="R50">
    <cfRule type="cellIs" dxfId="5989" priority="3223" operator="equal">
      <formula>0</formula>
    </cfRule>
  </conditionalFormatting>
  <conditionalFormatting sqref="S47">
    <cfRule type="cellIs" dxfId="5988" priority="3221" operator="equal">
      <formula>0</formula>
    </cfRule>
    <cfRule type="cellIs" dxfId="5987" priority="3222" operator="notEqual">
      <formula>0</formula>
    </cfRule>
  </conditionalFormatting>
  <conditionalFormatting sqref="S50">
    <cfRule type="cellIs" dxfId="5986" priority="3220" operator="equal">
      <formula>0</formula>
    </cfRule>
  </conditionalFormatting>
  <conditionalFormatting sqref="D52:D53">
    <cfRule type="cellIs" dxfId="5985" priority="3218" operator="equal">
      <formula>0</formula>
    </cfRule>
    <cfRule type="cellIs" dxfId="5984" priority="3219" operator="notEqual">
      <formula>0</formula>
    </cfRule>
  </conditionalFormatting>
  <conditionalFormatting sqref="D54">
    <cfRule type="cellIs" dxfId="5983" priority="3217" operator="equal">
      <formula>0</formula>
    </cfRule>
  </conditionalFormatting>
  <conditionalFormatting sqref="E52:E53">
    <cfRule type="cellIs" dxfId="5982" priority="3215" operator="equal">
      <formula>0</formula>
    </cfRule>
    <cfRule type="cellIs" dxfId="5981" priority="3216" operator="notEqual">
      <formula>0</formula>
    </cfRule>
  </conditionalFormatting>
  <conditionalFormatting sqref="E54">
    <cfRule type="cellIs" dxfId="5980" priority="3214" operator="equal">
      <formula>0</formula>
    </cfRule>
  </conditionalFormatting>
  <conditionalFormatting sqref="F52:F53">
    <cfRule type="cellIs" dxfId="5979" priority="3212" operator="equal">
      <formula>0</formula>
    </cfRule>
    <cfRule type="cellIs" dxfId="5978" priority="3213" operator="notEqual">
      <formula>0</formula>
    </cfRule>
  </conditionalFormatting>
  <conditionalFormatting sqref="F54">
    <cfRule type="cellIs" dxfId="5977" priority="3211" operator="equal">
      <formula>0</formula>
    </cfRule>
  </conditionalFormatting>
  <conditionalFormatting sqref="G52:G53">
    <cfRule type="cellIs" dxfId="5976" priority="3209" operator="equal">
      <formula>0</formula>
    </cfRule>
    <cfRule type="cellIs" dxfId="5975" priority="3210" operator="notEqual">
      <formula>0</formula>
    </cfRule>
  </conditionalFormatting>
  <conditionalFormatting sqref="G54">
    <cfRule type="cellIs" dxfId="5974" priority="3208" operator="equal">
      <formula>0</formula>
    </cfRule>
  </conditionalFormatting>
  <conditionalFormatting sqref="H52:H53">
    <cfRule type="cellIs" dxfId="5973" priority="3206" operator="equal">
      <formula>0</formula>
    </cfRule>
    <cfRule type="cellIs" dxfId="5972" priority="3207" operator="notEqual">
      <formula>0</formula>
    </cfRule>
  </conditionalFormatting>
  <conditionalFormatting sqref="H54">
    <cfRule type="cellIs" dxfId="5971" priority="3205" operator="equal">
      <formula>0</formula>
    </cfRule>
  </conditionalFormatting>
  <conditionalFormatting sqref="I52:I53">
    <cfRule type="cellIs" dxfId="5970" priority="3203" operator="equal">
      <formula>0</formula>
    </cfRule>
    <cfRule type="cellIs" dxfId="5969" priority="3204" operator="notEqual">
      <formula>0</formula>
    </cfRule>
  </conditionalFormatting>
  <conditionalFormatting sqref="I54">
    <cfRule type="cellIs" dxfId="5968" priority="3202" operator="equal">
      <formula>0</formula>
    </cfRule>
  </conditionalFormatting>
  <conditionalFormatting sqref="J52:J53">
    <cfRule type="cellIs" dxfId="5967" priority="3200" operator="equal">
      <formula>0</formula>
    </cfRule>
    <cfRule type="cellIs" dxfId="5966" priority="3201" operator="notEqual">
      <formula>0</formula>
    </cfRule>
  </conditionalFormatting>
  <conditionalFormatting sqref="J54">
    <cfRule type="cellIs" dxfId="5965" priority="3199" operator="equal">
      <formula>0</formula>
    </cfRule>
  </conditionalFormatting>
  <conditionalFormatting sqref="K52:K53">
    <cfRule type="cellIs" dxfId="5964" priority="3197" operator="equal">
      <formula>0</formula>
    </cfRule>
    <cfRule type="cellIs" dxfId="5963" priority="3198" operator="notEqual">
      <formula>0</formula>
    </cfRule>
  </conditionalFormatting>
  <conditionalFormatting sqref="K54">
    <cfRule type="cellIs" dxfId="5962" priority="3196" operator="equal">
      <formula>0</formula>
    </cfRule>
  </conditionalFormatting>
  <conditionalFormatting sqref="L54">
    <cfRule type="cellIs" dxfId="5961" priority="3195" operator="equal">
      <formula>0</formula>
    </cfRule>
  </conditionalFormatting>
  <conditionalFormatting sqref="M54">
    <cfRule type="cellIs" dxfId="5960" priority="3194" operator="equal">
      <formula>0</formula>
    </cfRule>
  </conditionalFormatting>
  <conditionalFormatting sqref="N54">
    <cfRule type="cellIs" dxfId="5959" priority="3193" operator="equal">
      <formula>0</formula>
    </cfRule>
  </conditionalFormatting>
  <conditionalFormatting sqref="O54">
    <cfRule type="cellIs" dxfId="5958" priority="3192" operator="equal">
      <formula>0</formula>
    </cfRule>
  </conditionalFormatting>
  <conditionalFormatting sqref="P51">
    <cfRule type="cellIs" dxfId="5957" priority="3190" operator="equal">
      <formula>0</formula>
    </cfRule>
    <cfRule type="cellIs" dxfId="5956" priority="3191" operator="notEqual">
      <formula>0</formula>
    </cfRule>
  </conditionalFormatting>
  <conditionalFormatting sqref="P54">
    <cfRule type="cellIs" dxfId="5955" priority="3189" operator="equal">
      <formula>0</formula>
    </cfRule>
  </conditionalFormatting>
  <conditionalFormatting sqref="Q51">
    <cfRule type="cellIs" dxfId="5954" priority="3187" operator="equal">
      <formula>0</formula>
    </cfRule>
    <cfRule type="cellIs" dxfId="5953" priority="3188" operator="notEqual">
      <formula>0</formula>
    </cfRule>
  </conditionalFormatting>
  <conditionalFormatting sqref="Q54">
    <cfRule type="cellIs" dxfId="5952" priority="3186" operator="equal">
      <formula>0</formula>
    </cfRule>
  </conditionalFormatting>
  <conditionalFormatting sqref="R51">
    <cfRule type="cellIs" dxfId="5951" priority="3184" operator="equal">
      <formula>0</formula>
    </cfRule>
    <cfRule type="cellIs" dxfId="5950" priority="3185" operator="notEqual">
      <formula>0</formula>
    </cfRule>
  </conditionalFormatting>
  <conditionalFormatting sqref="R54">
    <cfRule type="cellIs" dxfId="5949" priority="3183" operator="equal">
      <formula>0</formula>
    </cfRule>
  </conditionalFormatting>
  <conditionalFormatting sqref="S51">
    <cfRule type="cellIs" dxfId="5948" priority="3181" operator="equal">
      <formula>0</formula>
    </cfRule>
    <cfRule type="cellIs" dxfId="5947" priority="3182" operator="notEqual">
      <formula>0</formula>
    </cfRule>
  </conditionalFormatting>
  <conditionalFormatting sqref="S54">
    <cfRule type="cellIs" dxfId="5946" priority="3180" operator="equal">
      <formula>0</formula>
    </cfRule>
  </conditionalFormatting>
  <conditionalFormatting sqref="D56:D57">
    <cfRule type="cellIs" dxfId="5945" priority="3178" operator="equal">
      <formula>0</formula>
    </cfRule>
    <cfRule type="cellIs" dxfId="5944" priority="3179" operator="notEqual">
      <formula>0</formula>
    </cfRule>
  </conditionalFormatting>
  <conditionalFormatting sqref="D58">
    <cfRule type="cellIs" dxfId="5943" priority="3177" operator="equal">
      <formula>0</formula>
    </cfRule>
  </conditionalFormatting>
  <conditionalFormatting sqref="E56:E57">
    <cfRule type="cellIs" dxfId="5942" priority="3175" operator="equal">
      <formula>0</formula>
    </cfRule>
    <cfRule type="cellIs" dxfId="5941" priority="3176" operator="notEqual">
      <formula>0</formula>
    </cfRule>
  </conditionalFormatting>
  <conditionalFormatting sqref="E58">
    <cfRule type="cellIs" dxfId="5940" priority="3174" operator="equal">
      <formula>0</formula>
    </cfRule>
  </conditionalFormatting>
  <conditionalFormatting sqref="F56:F57">
    <cfRule type="cellIs" dxfId="5939" priority="3172" operator="equal">
      <formula>0</formula>
    </cfRule>
    <cfRule type="cellIs" dxfId="5938" priority="3173" operator="notEqual">
      <formula>0</formula>
    </cfRule>
  </conditionalFormatting>
  <conditionalFormatting sqref="F58">
    <cfRule type="cellIs" dxfId="5937" priority="3171" operator="equal">
      <formula>0</formula>
    </cfRule>
  </conditionalFormatting>
  <conditionalFormatting sqref="G56:G57">
    <cfRule type="cellIs" dxfId="5936" priority="3169" operator="equal">
      <formula>0</formula>
    </cfRule>
    <cfRule type="cellIs" dxfId="5935" priority="3170" operator="notEqual">
      <formula>0</formula>
    </cfRule>
  </conditionalFormatting>
  <conditionalFormatting sqref="G58">
    <cfRule type="cellIs" dxfId="5934" priority="3168" operator="equal">
      <formula>0</formula>
    </cfRule>
  </conditionalFormatting>
  <conditionalFormatting sqref="H56:H57">
    <cfRule type="cellIs" dxfId="5933" priority="3166" operator="equal">
      <formula>0</formula>
    </cfRule>
    <cfRule type="cellIs" dxfId="5932" priority="3167" operator="notEqual">
      <formula>0</formula>
    </cfRule>
  </conditionalFormatting>
  <conditionalFormatting sqref="H58">
    <cfRule type="cellIs" dxfId="5931" priority="3165" operator="equal">
      <formula>0</formula>
    </cfRule>
  </conditionalFormatting>
  <conditionalFormatting sqref="I56:I57">
    <cfRule type="cellIs" dxfId="5930" priority="3163" operator="equal">
      <formula>0</formula>
    </cfRule>
    <cfRule type="cellIs" dxfId="5929" priority="3164" operator="notEqual">
      <formula>0</formula>
    </cfRule>
  </conditionalFormatting>
  <conditionalFormatting sqref="I58">
    <cfRule type="cellIs" dxfId="5928" priority="3162" operator="equal">
      <formula>0</formula>
    </cfRule>
  </conditionalFormatting>
  <conditionalFormatting sqref="J56:J57">
    <cfRule type="cellIs" dxfId="5927" priority="3160" operator="equal">
      <formula>0</formula>
    </cfRule>
    <cfRule type="cellIs" dxfId="5926" priority="3161" operator="notEqual">
      <formula>0</formula>
    </cfRule>
  </conditionalFormatting>
  <conditionalFormatting sqref="J58">
    <cfRule type="cellIs" dxfId="5925" priority="3159" operator="equal">
      <formula>0</formula>
    </cfRule>
  </conditionalFormatting>
  <conditionalFormatting sqref="K56:K57">
    <cfRule type="cellIs" dxfId="5924" priority="3157" operator="equal">
      <formula>0</formula>
    </cfRule>
    <cfRule type="cellIs" dxfId="5923" priority="3158" operator="notEqual">
      <formula>0</formula>
    </cfRule>
  </conditionalFormatting>
  <conditionalFormatting sqref="K58">
    <cfRule type="cellIs" dxfId="5922" priority="3156" operator="equal">
      <formula>0</formula>
    </cfRule>
  </conditionalFormatting>
  <conditionalFormatting sqref="L58">
    <cfRule type="cellIs" dxfId="5921" priority="3155" operator="equal">
      <formula>0</formula>
    </cfRule>
  </conditionalFormatting>
  <conditionalFormatting sqref="M58">
    <cfRule type="cellIs" dxfId="5920" priority="3154" operator="equal">
      <formula>0</formula>
    </cfRule>
  </conditionalFormatting>
  <conditionalFormatting sqref="N58">
    <cfRule type="cellIs" dxfId="5919" priority="3153" operator="equal">
      <formula>0</formula>
    </cfRule>
  </conditionalFormatting>
  <conditionalFormatting sqref="O58">
    <cfRule type="cellIs" dxfId="5918" priority="3152" operator="equal">
      <formula>0</formula>
    </cfRule>
  </conditionalFormatting>
  <conditionalFormatting sqref="P55">
    <cfRule type="cellIs" dxfId="5917" priority="3150" operator="equal">
      <formula>0</formula>
    </cfRule>
    <cfRule type="cellIs" dxfId="5916" priority="3151" operator="notEqual">
      <formula>0</formula>
    </cfRule>
  </conditionalFormatting>
  <conditionalFormatting sqref="P58">
    <cfRule type="cellIs" dxfId="5915" priority="3149" operator="equal">
      <formula>0</formula>
    </cfRule>
  </conditionalFormatting>
  <conditionalFormatting sqref="Q55">
    <cfRule type="cellIs" dxfId="5914" priority="3147" operator="equal">
      <formula>0</formula>
    </cfRule>
    <cfRule type="cellIs" dxfId="5913" priority="3148" operator="notEqual">
      <formula>0</formula>
    </cfRule>
  </conditionalFormatting>
  <conditionalFormatting sqref="Q58">
    <cfRule type="cellIs" dxfId="5912" priority="3146" operator="equal">
      <formula>0</formula>
    </cfRule>
  </conditionalFormatting>
  <conditionalFormatting sqref="R55">
    <cfRule type="cellIs" dxfId="5911" priority="3144" operator="equal">
      <formula>0</formula>
    </cfRule>
    <cfRule type="cellIs" dxfId="5910" priority="3145" operator="notEqual">
      <formula>0</formula>
    </cfRule>
  </conditionalFormatting>
  <conditionalFormatting sqref="R58">
    <cfRule type="cellIs" dxfId="5909" priority="3143" operator="equal">
      <formula>0</formula>
    </cfRule>
  </conditionalFormatting>
  <conditionalFormatting sqref="S55">
    <cfRule type="cellIs" dxfId="5908" priority="3141" operator="equal">
      <formula>0</formula>
    </cfRule>
    <cfRule type="cellIs" dxfId="5907" priority="3142" operator="notEqual">
      <formula>0</formula>
    </cfRule>
  </conditionalFormatting>
  <conditionalFormatting sqref="S58">
    <cfRule type="cellIs" dxfId="5906" priority="3140" operator="equal">
      <formula>0</formula>
    </cfRule>
  </conditionalFormatting>
  <conditionalFormatting sqref="D62">
    <cfRule type="cellIs" dxfId="5905" priority="3139" operator="equal">
      <formula>0</formula>
    </cfRule>
  </conditionalFormatting>
  <conditionalFormatting sqref="E62">
    <cfRule type="cellIs" dxfId="5904" priority="3138" operator="equal">
      <formula>0</formula>
    </cfRule>
  </conditionalFormatting>
  <conditionalFormatting sqref="F62">
    <cfRule type="cellIs" dxfId="5903" priority="3137" operator="equal">
      <formula>0</formula>
    </cfRule>
  </conditionalFormatting>
  <conditionalFormatting sqref="G62">
    <cfRule type="cellIs" dxfId="5902" priority="3136" operator="equal">
      <formula>0</formula>
    </cfRule>
  </conditionalFormatting>
  <conditionalFormatting sqref="H62">
    <cfRule type="cellIs" dxfId="5901" priority="3135" operator="equal">
      <formula>0</formula>
    </cfRule>
  </conditionalFormatting>
  <conditionalFormatting sqref="I62">
    <cfRule type="cellIs" dxfId="5900" priority="3134" operator="equal">
      <formula>0</formula>
    </cfRule>
  </conditionalFormatting>
  <conditionalFormatting sqref="J62">
    <cfRule type="cellIs" dxfId="5899" priority="3133" operator="equal">
      <formula>0</formula>
    </cfRule>
  </conditionalFormatting>
  <conditionalFormatting sqref="K62">
    <cfRule type="cellIs" dxfId="5898" priority="3132" operator="equal">
      <formula>0</formula>
    </cfRule>
  </conditionalFormatting>
  <conditionalFormatting sqref="L62">
    <cfRule type="cellIs" dxfId="5897" priority="3131" operator="equal">
      <formula>0</formula>
    </cfRule>
  </conditionalFormatting>
  <conditionalFormatting sqref="M62">
    <cfRule type="cellIs" dxfId="5896" priority="3130" operator="equal">
      <formula>0</formula>
    </cfRule>
  </conditionalFormatting>
  <conditionalFormatting sqref="N62">
    <cfRule type="cellIs" dxfId="5895" priority="3129" operator="equal">
      <formula>0</formula>
    </cfRule>
  </conditionalFormatting>
  <conditionalFormatting sqref="O62">
    <cfRule type="cellIs" dxfId="5894" priority="3128" operator="equal">
      <formula>0</formula>
    </cfRule>
  </conditionalFormatting>
  <conditionalFormatting sqref="P62">
    <cfRule type="cellIs" dxfId="5893" priority="3127" operator="equal">
      <formula>0</formula>
    </cfRule>
  </conditionalFormatting>
  <conditionalFormatting sqref="Q62">
    <cfRule type="cellIs" dxfId="5892" priority="3126" operator="equal">
      <formula>0</formula>
    </cfRule>
  </conditionalFormatting>
  <conditionalFormatting sqref="R62">
    <cfRule type="cellIs" dxfId="5891" priority="3125" operator="equal">
      <formula>0</formula>
    </cfRule>
  </conditionalFormatting>
  <conditionalFormatting sqref="S62">
    <cfRule type="cellIs" dxfId="5890" priority="3124" operator="equal">
      <formula>0</formula>
    </cfRule>
  </conditionalFormatting>
  <conditionalFormatting sqref="P125">
    <cfRule type="cellIs" dxfId="5889" priority="2858" operator="equal">
      <formula>0</formula>
    </cfRule>
    <cfRule type="cellIs" dxfId="5888" priority="2859" operator="notEqual">
      <formula>0</formula>
    </cfRule>
  </conditionalFormatting>
  <conditionalFormatting sqref="P145 P149 P157 P161">
    <cfRule type="cellIs" dxfId="5887" priority="2856" operator="equal">
      <formula>0</formula>
    </cfRule>
    <cfRule type="cellIs" dxfId="5886" priority="2857" operator="notEqual">
      <formula>0</formula>
    </cfRule>
  </conditionalFormatting>
  <conditionalFormatting sqref="P128 P148 P152 P160 P164 P176">
    <cfRule type="cellIs" dxfId="5885" priority="2855" operator="equal">
      <formula>0</formula>
    </cfRule>
  </conditionalFormatting>
  <conditionalFormatting sqref="P129">
    <cfRule type="cellIs" dxfId="5884" priority="2853" operator="equal">
      <formula>0</formula>
    </cfRule>
    <cfRule type="cellIs" dxfId="5883" priority="2854" operator="notEqual">
      <formula>0</formula>
    </cfRule>
  </conditionalFormatting>
  <conditionalFormatting sqref="P132">
    <cfRule type="cellIs" dxfId="5882" priority="2852" operator="equal">
      <formula>0</formula>
    </cfRule>
  </conditionalFormatting>
  <conditionalFormatting sqref="P133">
    <cfRule type="cellIs" dxfId="5881" priority="2850" operator="equal">
      <formula>0</formula>
    </cfRule>
    <cfRule type="cellIs" dxfId="5880" priority="2851" operator="notEqual">
      <formula>0</formula>
    </cfRule>
  </conditionalFormatting>
  <conditionalFormatting sqref="P136">
    <cfRule type="cellIs" dxfId="5879" priority="2849" operator="equal">
      <formula>0</formula>
    </cfRule>
  </conditionalFormatting>
  <conditionalFormatting sqref="P137">
    <cfRule type="cellIs" dxfId="5878" priority="2847" operator="equal">
      <formula>0</formula>
    </cfRule>
    <cfRule type="cellIs" dxfId="5877" priority="2848" operator="notEqual">
      <formula>0</formula>
    </cfRule>
  </conditionalFormatting>
  <conditionalFormatting sqref="P140">
    <cfRule type="cellIs" dxfId="5876" priority="2846" operator="equal">
      <formula>0</formula>
    </cfRule>
  </conditionalFormatting>
  <conditionalFormatting sqref="P141">
    <cfRule type="cellIs" dxfId="5875" priority="2844" operator="equal">
      <formula>0</formula>
    </cfRule>
    <cfRule type="cellIs" dxfId="5874" priority="2845" operator="notEqual">
      <formula>0</formula>
    </cfRule>
  </conditionalFormatting>
  <conditionalFormatting sqref="P144">
    <cfRule type="cellIs" dxfId="5873" priority="2843" operator="equal">
      <formula>0</formula>
    </cfRule>
  </conditionalFormatting>
  <conditionalFormatting sqref="P168">
    <cfRule type="cellIs" dxfId="5872" priority="2840" operator="equal">
      <formula>0</formula>
    </cfRule>
  </conditionalFormatting>
  <conditionalFormatting sqref="P172">
    <cfRule type="cellIs" dxfId="5871" priority="2837" operator="equal">
      <formula>0</formula>
    </cfRule>
  </conditionalFormatting>
  <conditionalFormatting sqref="P165">
    <cfRule type="cellIs" dxfId="5870" priority="2841" operator="equal">
      <formula>0</formula>
    </cfRule>
    <cfRule type="cellIs" dxfId="5869" priority="2842" operator="notEqual">
      <formula>0</formula>
    </cfRule>
  </conditionalFormatting>
  <conditionalFormatting sqref="P169">
    <cfRule type="cellIs" dxfId="5868" priority="2838" operator="equal">
      <formula>0</formula>
    </cfRule>
    <cfRule type="cellIs" dxfId="5867" priority="2839" operator="notEqual">
      <formula>0</formula>
    </cfRule>
  </conditionalFormatting>
  <conditionalFormatting sqref="P153">
    <cfRule type="cellIs" dxfId="5866" priority="2835" operator="equal">
      <formula>0</formula>
    </cfRule>
    <cfRule type="cellIs" dxfId="5865" priority="2836" operator="notEqual">
      <formula>0</formula>
    </cfRule>
  </conditionalFormatting>
  <conditionalFormatting sqref="P156">
    <cfRule type="cellIs" dxfId="5864" priority="2834" operator="equal">
      <formula>0</formula>
    </cfRule>
  </conditionalFormatting>
  <conditionalFormatting sqref="Q125">
    <cfRule type="cellIs" dxfId="5863" priority="2832" operator="equal">
      <formula>0</formula>
    </cfRule>
    <cfRule type="cellIs" dxfId="5862" priority="2833" operator="notEqual">
      <formula>0</formula>
    </cfRule>
  </conditionalFormatting>
  <conditionalFormatting sqref="Q145 Q149 Q157 Q161">
    <cfRule type="cellIs" dxfId="5861" priority="2830" operator="equal">
      <formula>0</formula>
    </cfRule>
    <cfRule type="cellIs" dxfId="5860" priority="2831" operator="notEqual">
      <formula>0</formula>
    </cfRule>
  </conditionalFormatting>
  <conditionalFormatting sqref="Q128 Q148 Q152 Q160 Q164 Q176">
    <cfRule type="cellIs" dxfId="5859" priority="2829" operator="equal">
      <formula>0</formula>
    </cfRule>
  </conditionalFormatting>
  <conditionalFormatting sqref="Q129">
    <cfRule type="cellIs" dxfId="5858" priority="2827" operator="equal">
      <formula>0</formula>
    </cfRule>
    <cfRule type="cellIs" dxfId="5857" priority="2828" operator="notEqual">
      <formula>0</formula>
    </cfRule>
  </conditionalFormatting>
  <conditionalFormatting sqref="Q132">
    <cfRule type="cellIs" dxfId="5856" priority="2826" operator="equal">
      <formula>0</formula>
    </cfRule>
  </conditionalFormatting>
  <conditionalFormatting sqref="Q133">
    <cfRule type="cellIs" dxfId="5855" priority="2824" operator="equal">
      <formula>0</formula>
    </cfRule>
    <cfRule type="cellIs" dxfId="5854" priority="2825" operator="notEqual">
      <formula>0</formula>
    </cfRule>
  </conditionalFormatting>
  <conditionalFormatting sqref="Q136">
    <cfRule type="cellIs" dxfId="5853" priority="2823" operator="equal">
      <formula>0</formula>
    </cfRule>
  </conditionalFormatting>
  <conditionalFormatting sqref="Q137">
    <cfRule type="cellIs" dxfId="5852" priority="2821" operator="equal">
      <formula>0</formula>
    </cfRule>
    <cfRule type="cellIs" dxfId="5851" priority="2822" operator="notEqual">
      <formula>0</formula>
    </cfRule>
  </conditionalFormatting>
  <conditionalFormatting sqref="Q140">
    <cfRule type="cellIs" dxfId="5850" priority="2820" operator="equal">
      <formula>0</formula>
    </cfRule>
  </conditionalFormatting>
  <conditionalFormatting sqref="Q141">
    <cfRule type="cellIs" dxfId="5849" priority="2818" operator="equal">
      <formula>0</formula>
    </cfRule>
    <cfRule type="cellIs" dxfId="5848" priority="2819" operator="notEqual">
      <formula>0</formula>
    </cfRule>
  </conditionalFormatting>
  <conditionalFormatting sqref="Q144">
    <cfRule type="cellIs" dxfId="5847" priority="2817" operator="equal">
      <formula>0</formula>
    </cfRule>
  </conditionalFormatting>
  <conditionalFormatting sqref="Q168">
    <cfRule type="cellIs" dxfId="5846" priority="2814" operator="equal">
      <formula>0</formula>
    </cfRule>
  </conditionalFormatting>
  <conditionalFormatting sqref="Q172">
    <cfRule type="cellIs" dxfId="5845" priority="2811" operator="equal">
      <formula>0</formula>
    </cfRule>
  </conditionalFormatting>
  <conditionalFormatting sqref="Q165">
    <cfRule type="cellIs" dxfId="5844" priority="2815" operator="equal">
      <formula>0</formula>
    </cfRule>
    <cfRule type="cellIs" dxfId="5843" priority="2816" operator="notEqual">
      <formula>0</formula>
    </cfRule>
  </conditionalFormatting>
  <conditionalFormatting sqref="Q169">
    <cfRule type="cellIs" dxfId="5842" priority="2812" operator="equal">
      <formula>0</formula>
    </cfRule>
    <cfRule type="cellIs" dxfId="5841" priority="2813" operator="notEqual">
      <formula>0</formula>
    </cfRule>
  </conditionalFormatting>
  <conditionalFormatting sqref="Q153">
    <cfRule type="cellIs" dxfId="5840" priority="2809" operator="equal">
      <formula>0</formula>
    </cfRule>
    <cfRule type="cellIs" dxfId="5839" priority="2810" operator="notEqual">
      <formula>0</formula>
    </cfRule>
  </conditionalFormatting>
  <conditionalFormatting sqref="Q156">
    <cfRule type="cellIs" dxfId="5838" priority="2808" operator="equal">
      <formula>0</formula>
    </cfRule>
  </conditionalFormatting>
  <conditionalFormatting sqref="R125">
    <cfRule type="cellIs" dxfId="5837" priority="2806" operator="equal">
      <formula>0</formula>
    </cfRule>
    <cfRule type="cellIs" dxfId="5836" priority="2807" operator="notEqual">
      <formula>0</formula>
    </cfRule>
  </conditionalFormatting>
  <conditionalFormatting sqref="R145 R149 R157 R161">
    <cfRule type="cellIs" dxfId="5835" priority="2804" operator="equal">
      <formula>0</formula>
    </cfRule>
    <cfRule type="cellIs" dxfId="5834" priority="2805" operator="notEqual">
      <formula>0</formula>
    </cfRule>
  </conditionalFormatting>
  <conditionalFormatting sqref="R128 R148 R152 R160 R164 R176">
    <cfRule type="cellIs" dxfId="5833" priority="2803" operator="equal">
      <formula>0</formula>
    </cfRule>
  </conditionalFormatting>
  <conditionalFormatting sqref="R129">
    <cfRule type="cellIs" dxfId="5832" priority="2801" operator="equal">
      <formula>0</formula>
    </cfRule>
    <cfRule type="cellIs" dxfId="5831" priority="2802" operator="notEqual">
      <formula>0</formula>
    </cfRule>
  </conditionalFormatting>
  <conditionalFormatting sqref="R132">
    <cfRule type="cellIs" dxfId="5830" priority="2800" operator="equal">
      <formula>0</formula>
    </cfRule>
  </conditionalFormatting>
  <conditionalFormatting sqref="R133">
    <cfRule type="cellIs" dxfId="5829" priority="2798" operator="equal">
      <formula>0</formula>
    </cfRule>
    <cfRule type="cellIs" dxfId="5828" priority="2799" operator="notEqual">
      <formula>0</formula>
    </cfRule>
  </conditionalFormatting>
  <conditionalFormatting sqref="R136">
    <cfRule type="cellIs" dxfId="5827" priority="2797" operator="equal">
      <formula>0</formula>
    </cfRule>
  </conditionalFormatting>
  <conditionalFormatting sqref="R137">
    <cfRule type="cellIs" dxfId="5826" priority="2795" operator="equal">
      <formula>0</formula>
    </cfRule>
    <cfRule type="cellIs" dxfId="5825" priority="2796" operator="notEqual">
      <formula>0</formula>
    </cfRule>
  </conditionalFormatting>
  <conditionalFormatting sqref="R140">
    <cfRule type="cellIs" dxfId="5824" priority="2794" operator="equal">
      <formula>0</formula>
    </cfRule>
  </conditionalFormatting>
  <conditionalFormatting sqref="R141">
    <cfRule type="cellIs" dxfId="5823" priority="2792" operator="equal">
      <formula>0</formula>
    </cfRule>
    <cfRule type="cellIs" dxfId="5822" priority="2793" operator="notEqual">
      <formula>0</formula>
    </cfRule>
  </conditionalFormatting>
  <conditionalFormatting sqref="R144">
    <cfRule type="cellIs" dxfId="5821" priority="2791" operator="equal">
      <formula>0</formula>
    </cfRule>
  </conditionalFormatting>
  <conditionalFormatting sqref="R168">
    <cfRule type="cellIs" dxfId="5820" priority="2788" operator="equal">
      <formula>0</formula>
    </cfRule>
  </conditionalFormatting>
  <conditionalFormatting sqref="R172">
    <cfRule type="cellIs" dxfId="5819" priority="2785" operator="equal">
      <formula>0</formula>
    </cfRule>
  </conditionalFormatting>
  <conditionalFormatting sqref="R165">
    <cfRule type="cellIs" dxfId="5818" priority="2789" operator="equal">
      <formula>0</formula>
    </cfRule>
    <cfRule type="cellIs" dxfId="5817" priority="2790" operator="notEqual">
      <formula>0</formula>
    </cfRule>
  </conditionalFormatting>
  <conditionalFormatting sqref="R169">
    <cfRule type="cellIs" dxfId="5816" priority="2786" operator="equal">
      <formula>0</formula>
    </cfRule>
    <cfRule type="cellIs" dxfId="5815" priority="2787" operator="notEqual">
      <formula>0</formula>
    </cfRule>
  </conditionalFormatting>
  <conditionalFormatting sqref="R153">
    <cfRule type="cellIs" dxfId="5814" priority="2783" operator="equal">
      <formula>0</formula>
    </cfRule>
    <cfRule type="cellIs" dxfId="5813" priority="2784" operator="notEqual">
      <formula>0</formula>
    </cfRule>
  </conditionalFormatting>
  <conditionalFormatting sqref="R156">
    <cfRule type="cellIs" dxfId="5812" priority="2782" operator="equal">
      <formula>0</formula>
    </cfRule>
  </conditionalFormatting>
  <conditionalFormatting sqref="S125">
    <cfRule type="cellIs" dxfId="5811" priority="2780" operator="equal">
      <formula>0</formula>
    </cfRule>
    <cfRule type="cellIs" dxfId="5810" priority="2781" operator="notEqual">
      <formula>0</formula>
    </cfRule>
  </conditionalFormatting>
  <conditionalFormatting sqref="S145 S149 S157 S161">
    <cfRule type="cellIs" dxfId="5809" priority="2778" operator="equal">
      <formula>0</formula>
    </cfRule>
    <cfRule type="cellIs" dxfId="5808" priority="2779" operator="notEqual">
      <formula>0</formula>
    </cfRule>
  </conditionalFormatting>
  <conditionalFormatting sqref="S128 S148 S152 S160 S164 S176">
    <cfRule type="cellIs" dxfId="5807" priority="2777" operator="equal">
      <formula>0</formula>
    </cfRule>
  </conditionalFormatting>
  <conditionalFormatting sqref="S129">
    <cfRule type="cellIs" dxfId="5806" priority="2775" operator="equal">
      <formula>0</formula>
    </cfRule>
    <cfRule type="cellIs" dxfId="5805" priority="2776" operator="notEqual">
      <formula>0</formula>
    </cfRule>
  </conditionalFormatting>
  <conditionalFormatting sqref="S132">
    <cfRule type="cellIs" dxfId="5804" priority="2774" operator="equal">
      <formula>0</formula>
    </cfRule>
  </conditionalFormatting>
  <conditionalFormatting sqref="S133">
    <cfRule type="cellIs" dxfId="5803" priority="2772" operator="equal">
      <formula>0</formula>
    </cfRule>
    <cfRule type="cellIs" dxfId="5802" priority="2773" operator="notEqual">
      <formula>0</formula>
    </cfRule>
  </conditionalFormatting>
  <conditionalFormatting sqref="S136">
    <cfRule type="cellIs" dxfId="5801" priority="2771" operator="equal">
      <formula>0</formula>
    </cfRule>
  </conditionalFormatting>
  <conditionalFormatting sqref="S137">
    <cfRule type="cellIs" dxfId="5800" priority="2769" operator="equal">
      <formula>0</formula>
    </cfRule>
    <cfRule type="cellIs" dxfId="5799" priority="2770" operator="notEqual">
      <formula>0</formula>
    </cfRule>
  </conditionalFormatting>
  <conditionalFormatting sqref="S140">
    <cfRule type="cellIs" dxfId="5798" priority="2768" operator="equal">
      <formula>0</formula>
    </cfRule>
  </conditionalFormatting>
  <conditionalFormatting sqref="S141">
    <cfRule type="cellIs" dxfId="5797" priority="2766" operator="equal">
      <formula>0</formula>
    </cfRule>
    <cfRule type="cellIs" dxfId="5796" priority="2767" operator="notEqual">
      <formula>0</formula>
    </cfRule>
  </conditionalFormatting>
  <conditionalFormatting sqref="S144">
    <cfRule type="cellIs" dxfId="5795" priority="2765" operator="equal">
      <formula>0</formula>
    </cfRule>
  </conditionalFormatting>
  <conditionalFormatting sqref="S168">
    <cfRule type="cellIs" dxfId="5794" priority="2762" operator="equal">
      <formula>0</formula>
    </cfRule>
  </conditionalFormatting>
  <conditionalFormatting sqref="S172">
    <cfRule type="cellIs" dxfId="5793" priority="2759" operator="equal">
      <formula>0</formula>
    </cfRule>
  </conditionalFormatting>
  <conditionalFormatting sqref="S165">
    <cfRule type="cellIs" dxfId="5792" priority="2763" operator="equal">
      <formula>0</formula>
    </cfRule>
    <cfRule type="cellIs" dxfId="5791" priority="2764" operator="notEqual">
      <formula>0</formula>
    </cfRule>
  </conditionalFormatting>
  <conditionalFormatting sqref="S169">
    <cfRule type="cellIs" dxfId="5790" priority="2760" operator="equal">
      <formula>0</formula>
    </cfRule>
    <cfRule type="cellIs" dxfId="5789" priority="2761" operator="notEqual">
      <formula>0</formula>
    </cfRule>
  </conditionalFormatting>
  <conditionalFormatting sqref="S153">
    <cfRule type="cellIs" dxfId="5788" priority="2757" operator="equal">
      <formula>0</formula>
    </cfRule>
    <cfRule type="cellIs" dxfId="5787" priority="2758" operator="notEqual">
      <formula>0</formula>
    </cfRule>
  </conditionalFormatting>
  <conditionalFormatting sqref="S156">
    <cfRule type="cellIs" dxfId="5786" priority="2756" operator="equal">
      <formula>0</formula>
    </cfRule>
  </conditionalFormatting>
  <conditionalFormatting sqref="D126:D127">
    <cfRule type="cellIs" dxfId="5785" priority="2754" operator="equal">
      <formula>0</formula>
    </cfRule>
    <cfRule type="cellIs" dxfId="5784" priority="2755" operator="notEqual">
      <formula>0</formula>
    </cfRule>
  </conditionalFormatting>
  <conditionalFormatting sqref="D130:D131 D134:D135 D142:D143 D162:D163 D166:D167 D170:D171">
    <cfRule type="cellIs" dxfId="5783" priority="2752" operator="equal">
      <formula>0</formula>
    </cfRule>
    <cfRule type="cellIs" dxfId="5782" priority="2753" operator="notEqual">
      <formula>0</formula>
    </cfRule>
  </conditionalFormatting>
  <conditionalFormatting sqref="D128 D132 D136 D144 D164 D168 D172 D176">
    <cfRule type="cellIs" dxfId="5781" priority="2751" operator="equal">
      <formula>0</formula>
    </cfRule>
  </conditionalFormatting>
  <conditionalFormatting sqref="D148">
    <cfRule type="cellIs" dxfId="5780" priority="2748" operator="equal">
      <formula>0</formula>
    </cfRule>
  </conditionalFormatting>
  <conditionalFormatting sqref="D140">
    <cfRule type="cellIs" dxfId="5779" priority="2745" operator="equal">
      <formula>0</formula>
    </cfRule>
  </conditionalFormatting>
  <conditionalFormatting sqref="D146:D147">
    <cfRule type="cellIs" dxfId="5778" priority="2749" operator="equal">
      <formula>0</formula>
    </cfRule>
    <cfRule type="cellIs" dxfId="5777" priority="2750" operator="notEqual">
      <formula>0</formula>
    </cfRule>
  </conditionalFormatting>
  <conditionalFormatting sqref="D160">
    <cfRule type="cellIs" dxfId="5776" priority="2742" operator="equal">
      <formula>0</formula>
    </cfRule>
  </conditionalFormatting>
  <conditionalFormatting sqref="D138:D139">
    <cfRule type="cellIs" dxfId="5775" priority="2746" operator="equal">
      <formula>0</formula>
    </cfRule>
    <cfRule type="cellIs" dxfId="5774" priority="2747" operator="notEqual">
      <formula>0</formula>
    </cfRule>
  </conditionalFormatting>
  <conditionalFormatting sqref="D152">
    <cfRule type="cellIs" dxfId="5773" priority="2739" operator="equal">
      <formula>0</formula>
    </cfRule>
  </conditionalFormatting>
  <conditionalFormatting sqref="D158:D159">
    <cfRule type="cellIs" dxfId="5772" priority="2743" operator="equal">
      <formula>0</formula>
    </cfRule>
    <cfRule type="cellIs" dxfId="5771" priority="2744" operator="notEqual">
      <formula>0</formula>
    </cfRule>
  </conditionalFormatting>
  <conditionalFormatting sqref="D150:D151">
    <cfRule type="cellIs" dxfId="5770" priority="2740" operator="equal">
      <formula>0</formula>
    </cfRule>
    <cfRule type="cellIs" dxfId="5769" priority="2741" operator="notEqual">
      <formula>0</formula>
    </cfRule>
  </conditionalFormatting>
  <conditionalFormatting sqref="D156">
    <cfRule type="cellIs" dxfId="5768" priority="2736" operator="equal">
      <formula>0</formula>
    </cfRule>
  </conditionalFormatting>
  <conditionalFormatting sqref="D154:D155">
    <cfRule type="cellIs" dxfId="5767" priority="2737" operator="equal">
      <formula>0</formula>
    </cfRule>
    <cfRule type="cellIs" dxfId="5766" priority="2738" operator="notEqual">
      <formula>0</formula>
    </cfRule>
  </conditionalFormatting>
  <conditionalFormatting sqref="E126:E127">
    <cfRule type="cellIs" dxfId="5765" priority="2734" operator="equal">
      <formula>0</formula>
    </cfRule>
    <cfRule type="cellIs" dxfId="5764" priority="2735" operator="notEqual">
      <formula>0</formula>
    </cfRule>
  </conditionalFormatting>
  <conditionalFormatting sqref="E130:E131 E134:E135 E142:E143 E162:E163 E166:E167 E170:E171">
    <cfRule type="cellIs" dxfId="5763" priority="2732" operator="equal">
      <formula>0</formula>
    </cfRule>
    <cfRule type="cellIs" dxfId="5762" priority="2733" operator="notEqual">
      <formula>0</formula>
    </cfRule>
  </conditionalFormatting>
  <conditionalFormatting sqref="E128 E132 E136 E144 E164 E168 E172 E176">
    <cfRule type="cellIs" dxfId="5761" priority="2731" operator="equal">
      <formula>0</formula>
    </cfRule>
  </conditionalFormatting>
  <conditionalFormatting sqref="E148">
    <cfRule type="cellIs" dxfId="5760" priority="2728" operator="equal">
      <formula>0</formula>
    </cfRule>
  </conditionalFormatting>
  <conditionalFormatting sqref="E140">
    <cfRule type="cellIs" dxfId="5759" priority="2725" operator="equal">
      <formula>0</formula>
    </cfRule>
  </conditionalFormatting>
  <conditionalFormatting sqref="E146:E147">
    <cfRule type="cellIs" dxfId="5758" priority="2729" operator="equal">
      <formula>0</formula>
    </cfRule>
    <cfRule type="cellIs" dxfId="5757" priority="2730" operator="notEqual">
      <formula>0</formula>
    </cfRule>
  </conditionalFormatting>
  <conditionalFormatting sqref="E160">
    <cfRule type="cellIs" dxfId="5756" priority="2722" operator="equal">
      <formula>0</formula>
    </cfRule>
  </conditionalFormatting>
  <conditionalFormatting sqref="E138:E139">
    <cfRule type="cellIs" dxfId="5755" priority="2726" operator="equal">
      <formula>0</formula>
    </cfRule>
    <cfRule type="cellIs" dxfId="5754" priority="2727" operator="notEqual">
      <formula>0</formula>
    </cfRule>
  </conditionalFormatting>
  <conditionalFormatting sqref="E152">
    <cfRule type="cellIs" dxfId="5753" priority="2719" operator="equal">
      <formula>0</formula>
    </cfRule>
  </conditionalFormatting>
  <conditionalFormatting sqref="E158:E159">
    <cfRule type="cellIs" dxfId="5752" priority="2723" operator="equal">
      <formula>0</formula>
    </cfRule>
    <cfRule type="cellIs" dxfId="5751" priority="2724" operator="notEqual">
      <formula>0</formula>
    </cfRule>
  </conditionalFormatting>
  <conditionalFormatting sqref="E150:E151">
    <cfRule type="cellIs" dxfId="5750" priority="2720" operator="equal">
      <formula>0</formula>
    </cfRule>
    <cfRule type="cellIs" dxfId="5749" priority="2721" operator="notEqual">
      <formula>0</formula>
    </cfRule>
  </conditionalFormatting>
  <conditionalFormatting sqref="E156">
    <cfRule type="cellIs" dxfId="5748" priority="2716" operator="equal">
      <formula>0</formula>
    </cfRule>
  </conditionalFormatting>
  <conditionalFormatting sqref="E154:E155">
    <cfRule type="cellIs" dxfId="5747" priority="2717" operator="equal">
      <formula>0</formula>
    </cfRule>
    <cfRule type="cellIs" dxfId="5746" priority="2718" operator="notEqual">
      <formula>0</formula>
    </cfRule>
  </conditionalFormatting>
  <conditionalFormatting sqref="F126:F127">
    <cfRule type="cellIs" dxfId="5745" priority="2714" operator="equal">
      <formula>0</formula>
    </cfRule>
    <cfRule type="cellIs" dxfId="5744" priority="2715" operator="notEqual">
      <formula>0</formula>
    </cfRule>
  </conditionalFormatting>
  <conditionalFormatting sqref="F130:F131 F134:F135 F142:F143 F162:F163 F166:F167 F170:F171">
    <cfRule type="cellIs" dxfId="5743" priority="2712" operator="equal">
      <formula>0</formula>
    </cfRule>
    <cfRule type="cellIs" dxfId="5742" priority="2713" operator="notEqual">
      <formula>0</formula>
    </cfRule>
  </conditionalFormatting>
  <conditionalFormatting sqref="F128 F132 F136 F144 F164 F168 F172 F176">
    <cfRule type="cellIs" dxfId="5741" priority="2711" operator="equal">
      <formula>0</formula>
    </cfRule>
  </conditionalFormatting>
  <conditionalFormatting sqref="F148">
    <cfRule type="cellIs" dxfId="5740" priority="2708" operator="equal">
      <formula>0</formula>
    </cfRule>
  </conditionalFormatting>
  <conditionalFormatting sqref="F140">
    <cfRule type="cellIs" dxfId="5739" priority="2705" operator="equal">
      <formula>0</formula>
    </cfRule>
  </conditionalFormatting>
  <conditionalFormatting sqref="F146:F147">
    <cfRule type="cellIs" dxfId="5738" priority="2709" operator="equal">
      <formula>0</formula>
    </cfRule>
    <cfRule type="cellIs" dxfId="5737" priority="2710" operator="notEqual">
      <formula>0</formula>
    </cfRule>
  </conditionalFormatting>
  <conditionalFormatting sqref="F160">
    <cfRule type="cellIs" dxfId="5736" priority="2702" operator="equal">
      <formula>0</formula>
    </cfRule>
  </conditionalFormatting>
  <conditionalFormatting sqref="F138:F139">
    <cfRule type="cellIs" dxfId="5735" priority="2706" operator="equal">
      <formula>0</formula>
    </cfRule>
    <cfRule type="cellIs" dxfId="5734" priority="2707" operator="notEqual">
      <formula>0</formula>
    </cfRule>
  </conditionalFormatting>
  <conditionalFormatting sqref="F152">
    <cfRule type="cellIs" dxfId="5733" priority="2699" operator="equal">
      <formula>0</formula>
    </cfRule>
  </conditionalFormatting>
  <conditionalFormatting sqref="F158:F159">
    <cfRule type="cellIs" dxfId="5732" priority="2703" operator="equal">
      <formula>0</formula>
    </cfRule>
    <cfRule type="cellIs" dxfId="5731" priority="2704" operator="notEqual">
      <formula>0</formula>
    </cfRule>
  </conditionalFormatting>
  <conditionalFormatting sqref="F150:F151">
    <cfRule type="cellIs" dxfId="5730" priority="2700" operator="equal">
      <formula>0</formula>
    </cfRule>
    <cfRule type="cellIs" dxfId="5729" priority="2701" operator="notEqual">
      <formula>0</formula>
    </cfRule>
  </conditionalFormatting>
  <conditionalFormatting sqref="F156">
    <cfRule type="cellIs" dxfId="5728" priority="2696" operator="equal">
      <formula>0</formula>
    </cfRule>
  </conditionalFormatting>
  <conditionalFormatting sqref="F154:F155">
    <cfRule type="cellIs" dxfId="5727" priority="2697" operator="equal">
      <formula>0</formula>
    </cfRule>
    <cfRule type="cellIs" dxfId="5726" priority="2698" operator="notEqual">
      <formula>0</formula>
    </cfRule>
  </conditionalFormatting>
  <conditionalFormatting sqref="G126:G127">
    <cfRule type="cellIs" dxfId="5725" priority="2694" operator="equal">
      <formula>0</formula>
    </cfRule>
    <cfRule type="cellIs" dxfId="5724" priority="2695" operator="notEqual">
      <formula>0</formula>
    </cfRule>
  </conditionalFormatting>
  <conditionalFormatting sqref="G130:G131 G134:G135 G142:G143 G162:G163 G166:G167 G170:G171">
    <cfRule type="cellIs" dxfId="5723" priority="2692" operator="equal">
      <formula>0</formula>
    </cfRule>
    <cfRule type="cellIs" dxfId="5722" priority="2693" operator="notEqual">
      <formula>0</formula>
    </cfRule>
  </conditionalFormatting>
  <conditionalFormatting sqref="G128 G132 G136 G144 G164 G168 G172 G176">
    <cfRule type="cellIs" dxfId="5721" priority="2691" operator="equal">
      <formula>0</formula>
    </cfRule>
  </conditionalFormatting>
  <conditionalFormatting sqref="G148">
    <cfRule type="cellIs" dxfId="5720" priority="2688" operator="equal">
      <formula>0</formula>
    </cfRule>
  </conditionalFormatting>
  <conditionalFormatting sqref="G140">
    <cfRule type="cellIs" dxfId="5719" priority="2685" operator="equal">
      <formula>0</formula>
    </cfRule>
  </conditionalFormatting>
  <conditionalFormatting sqref="G146:G147">
    <cfRule type="cellIs" dxfId="5718" priority="2689" operator="equal">
      <formula>0</formula>
    </cfRule>
    <cfRule type="cellIs" dxfId="5717" priority="2690" operator="notEqual">
      <formula>0</formula>
    </cfRule>
  </conditionalFormatting>
  <conditionalFormatting sqref="G160">
    <cfRule type="cellIs" dxfId="5716" priority="2682" operator="equal">
      <formula>0</formula>
    </cfRule>
  </conditionalFormatting>
  <conditionalFormatting sqref="G138:G139">
    <cfRule type="cellIs" dxfId="5715" priority="2686" operator="equal">
      <formula>0</formula>
    </cfRule>
    <cfRule type="cellIs" dxfId="5714" priority="2687" operator="notEqual">
      <formula>0</formula>
    </cfRule>
  </conditionalFormatting>
  <conditionalFormatting sqref="G152">
    <cfRule type="cellIs" dxfId="5713" priority="2679" operator="equal">
      <formula>0</formula>
    </cfRule>
  </conditionalFormatting>
  <conditionalFormatting sqref="G158:G159">
    <cfRule type="cellIs" dxfId="5712" priority="2683" operator="equal">
      <formula>0</formula>
    </cfRule>
    <cfRule type="cellIs" dxfId="5711" priority="2684" operator="notEqual">
      <formula>0</formula>
    </cfRule>
  </conditionalFormatting>
  <conditionalFormatting sqref="G150:G151">
    <cfRule type="cellIs" dxfId="5710" priority="2680" operator="equal">
      <formula>0</formula>
    </cfRule>
    <cfRule type="cellIs" dxfId="5709" priority="2681" operator="notEqual">
      <formula>0</formula>
    </cfRule>
  </conditionalFormatting>
  <conditionalFormatting sqref="G156">
    <cfRule type="cellIs" dxfId="5708" priority="2676" operator="equal">
      <formula>0</formula>
    </cfRule>
  </conditionalFormatting>
  <conditionalFormatting sqref="G154:G155">
    <cfRule type="cellIs" dxfId="5707" priority="2677" operator="equal">
      <formula>0</formula>
    </cfRule>
    <cfRule type="cellIs" dxfId="5706" priority="2678" operator="notEqual">
      <formula>0</formula>
    </cfRule>
  </conditionalFormatting>
  <conditionalFormatting sqref="H126:H127">
    <cfRule type="cellIs" dxfId="5705" priority="2674" operator="equal">
      <formula>0</formula>
    </cfRule>
    <cfRule type="cellIs" dxfId="5704" priority="2675" operator="notEqual">
      <formula>0</formula>
    </cfRule>
  </conditionalFormatting>
  <conditionalFormatting sqref="H130:H131 H134:H135 H142:H143 H162:H163 H166:H167 H170:H171">
    <cfRule type="cellIs" dxfId="5703" priority="2672" operator="equal">
      <formula>0</formula>
    </cfRule>
    <cfRule type="cellIs" dxfId="5702" priority="2673" operator="notEqual">
      <formula>0</formula>
    </cfRule>
  </conditionalFormatting>
  <conditionalFormatting sqref="H128 H132 H136 H144 H164 H168 H172 H176">
    <cfRule type="cellIs" dxfId="5701" priority="2671" operator="equal">
      <formula>0</formula>
    </cfRule>
  </conditionalFormatting>
  <conditionalFormatting sqref="H148">
    <cfRule type="cellIs" dxfId="5700" priority="2668" operator="equal">
      <formula>0</formula>
    </cfRule>
  </conditionalFormatting>
  <conditionalFormatting sqref="H140">
    <cfRule type="cellIs" dxfId="5699" priority="2665" operator="equal">
      <formula>0</formula>
    </cfRule>
  </conditionalFormatting>
  <conditionalFormatting sqref="H146:H147">
    <cfRule type="cellIs" dxfId="5698" priority="2669" operator="equal">
      <formula>0</formula>
    </cfRule>
    <cfRule type="cellIs" dxfId="5697" priority="2670" operator="notEqual">
      <formula>0</formula>
    </cfRule>
  </conditionalFormatting>
  <conditionalFormatting sqref="H160">
    <cfRule type="cellIs" dxfId="5696" priority="2662" operator="equal">
      <formula>0</formula>
    </cfRule>
  </conditionalFormatting>
  <conditionalFormatting sqref="H138:H139">
    <cfRule type="cellIs" dxfId="5695" priority="2666" operator="equal">
      <formula>0</formula>
    </cfRule>
    <cfRule type="cellIs" dxfId="5694" priority="2667" operator="notEqual">
      <formula>0</formula>
    </cfRule>
  </conditionalFormatting>
  <conditionalFormatting sqref="H152">
    <cfRule type="cellIs" dxfId="5693" priority="2659" operator="equal">
      <formula>0</formula>
    </cfRule>
  </conditionalFormatting>
  <conditionalFormatting sqref="H158:H159">
    <cfRule type="cellIs" dxfId="5692" priority="2663" operator="equal">
      <formula>0</formula>
    </cfRule>
    <cfRule type="cellIs" dxfId="5691" priority="2664" operator="notEqual">
      <formula>0</formula>
    </cfRule>
  </conditionalFormatting>
  <conditionalFormatting sqref="H150:H151">
    <cfRule type="cellIs" dxfId="5690" priority="2660" operator="equal">
      <formula>0</formula>
    </cfRule>
    <cfRule type="cellIs" dxfId="5689" priority="2661" operator="notEqual">
      <formula>0</formula>
    </cfRule>
  </conditionalFormatting>
  <conditionalFormatting sqref="H156">
    <cfRule type="cellIs" dxfId="5688" priority="2656" operator="equal">
      <formula>0</formula>
    </cfRule>
  </conditionalFormatting>
  <conditionalFormatting sqref="H154:H155">
    <cfRule type="cellIs" dxfId="5687" priority="2657" operator="equal">
      <formula>0</formula>
    </cfRule>
    <cfRule type="cellIs" dxfId="5686" priority="2658" operator="notEqual">
      <formula>0</formula>
    </cfRule>
  </conditionalFormatting>
  <conditionalFormatting sqref="I126:I127">
    <cfRule type="cellIs" dxfId="5685" priority="2654" operator="equal">
      <formula>0</formula>
    </cfRule>
    <cfRule type="cellIs" dxfId="5684" priority="2655" operator="notEqual">
      <formula>0</formula>
    </cfRule>
  </conditionalFormatting>
  <conditionalFormatting sqref="I130:I131 I134:I135 I142:I143 I162:I163 I166:I167 I170:I171">
    <cfRule type="cellIs" dxfId="5683" priority="2652" operator="equal">
      <formula>0</formula>
    </cfRule>
    <cfRule type="cellIs" dxfId="5682" priority="2653" operator="notEqual">
      <formula>0</formula>
    </cfRule>
  </conditionalFormatting>
  <conditionalFormatting sqref="I128 I132 I136 I144 I164 I168 I172 I176">
    <cfRule type="cellIs" dxfId="5681" priority="2651" operator="equal">
      <formula>0</formula>
    </cfRule>
  </conditionalFormatting>
  <conditionalFormatting sqref="I148">
    <cfRule type="cellIs" dxfId="5680" priority="2648" operator="equal">
      <formula>0</formula>
    </cfRule>
  </conditionalFormatting>
  <conditionalFormatting sqref="I140">
    <cfRule type="cellIs" dxfId="5679" priority="2645" operator="equal">
      <formula>0</formula>
    </cfRule>
  </conditionalFormatting>
  <conditionalFormatting sqref="I146:I147">
    <cfRule type="cellIs" dxfId="5678" priority="2649" operator="equal">
      <formula>0</formula>
    </cfRule>
    <cfRule type="cellIs" dxfId="5677" priority="2650" operator="notEqual">
      <formula>0</formula>
    </cfRule>
  </conditionalFormatting>
  <conditionalFormatting sqref="I160">
    <cfRule type="cellIs" dxfId="5676" priority="2642" operator="equal">
      <formula>0</formula>
    </cfRule>
  </conditionalFormatting>
  <conditionalFormatting sqref="I138:I139">
    <cfRule type="cellIs" dxfId="5675" priority="2646" operator="equal">
      <formula>0</formula>
    </cfRule>
    <cfRule type="cellIs" dxfId="5674" priority="2647" operator="notEqual">
      <formula>0</formula>
    </cfRule>
  </conditionalFormatting>
  <conditionalFormatting sqref="I152">
    <cfRule type="cellIs" dxfId="5673" priority="2639" operator="equal">
      <formula>0</formula>
    </cfRule>
  </conditionalFormatting>
  <conditionalFormatting sqref="I158:I159">
    <cfRule type="cellIs" dxfId="5672" priority="2643" operator="equal">
      <formula>0</formula>
    </cfRule>
    <cfRule type="cellIs" dxfId="5671" priority="2644" operator="notEqual">
      <formula>0</formula>
    </cfRule>
  </conditionalFormatting>
  <conditionalFormatting sqref="I150:I151">
    <cfRule type="cellIs" dxfId="5670" priority="2640" operator="equal">
      <formula>0</formula>
    </cfRule>
    <cfRule type="cellIs" dxfId="5669" priority="2641" operator="notEqual">
      <formula>0</formula>
    </cfRule>
  </conditionalFormatting>
  <conditionalFormatting sqref="I156">
    <cfRule type="cellIs" dxfId="5668" priority="2636" operator="equal">
      <formula>0</formula>
    </cfRule>
  </conditionalFormatting>
  <conditionalFormatting sqref="I154:I155">
    <cfRule type="cellIs" dxfId="5667" priority="2637" operator="equal">
      <formula>0</formula>
    </cfRule>
    <cfRule type="cellIs" dxfId="5666" priority="2638" operator="notEqual">
      <formula>0</formula>
    </cfRule>
  </conditionalFormatting>
  <conditionalFormatting sqref="J126:J127">
    <cfRule type="cellIs" dxfId="5665" priority="2634" operator="equal">
      <formula>0</formula>
    </cfRule>
    <cfRule type="cellIs" dxfId="5664" priority="2635" operator="notEqual">
      <formula>0</formula>
    </cfRule>
  </conditionalFormatting>
  <conditionalFormatting sqref="J130:J131 J134:J135 J142:J143 J162:J163 J166:J167 J170:J171">
    <cfRule type="cellIs" dxfId="5663" priority="2632" operator="equal">
      <formula>0</formula>
    </cfRule>
    <cfRule type="cellIs" dxfId="5662" priority="2633" operator="notEqual">
      <formula>0</formula>
    </cfRule>
  </conditionalFormatting>
  <conditionalFormatting sqref="J128 J132 J136 J144 J164 J168 J172 J176">
    <cfRule type="cellIs" dxfId="5661" priority="2631" operator="equal">
      <formula>0</formula>
    </cfRule>
  </conditionalFormatting>
  <conditionalFormatting sqref="J148">
    <cfRule type="cellIs" dxfId="5660" priority="2628" operator="equal">
      <formula>0</formula>
    </cfRule>
  </conditionalFormatting>
  <conditionalFormatting sqref="J140">
    <cfRule type="cellIs" dxfId="5659" priority="2625" operator="equal">
      <formula>0</formula>
    </cfRule>
  </conditionalFormatting>
  <conditionalFormatting sqref="J146:J147">
    <cfRule type="cellIs" dxfId="5658" priority="2629" operator="equal">
      <formula>0</formula>
    </cfRule>
    <cfRule type="cellIs" dxfId="5657" priority="2630" operator="notEqual">
      <formula>0</formula>
    </cfRule>
  </conditionalFormatting>
  <conditionalFormatting sqref="J160">
    <cfRule type="cellIs" dxfId="5656" priority="2622" operator="equal">
      <formula>0</formula>
    </cfRule>
  </conditionalFormatting>
  <conditionalFormatting sqref="J138:J139">
    <cfRule type="cellIs" dxfId="5655" priority="2626" operator="equal">
      <formula>0</formula>
    </cfRule>
    <cfRule type="cellIs" dxfId="5654" priority="2627" operator="notEqual">
      <formula>0</formula>
    </cfRule>
  </conditionalFormatting>
  <conditionalFormatting sqref="J152">
    <cfRule type="cellIs" dxfId="5653" priority="2619" operator="equal">
      <formula>0</formula>
    </cfRule>
  </conditionalFormatting>
  <conditionalFormatting sqref="J158:J159">
    <cfRule type="cellIs" dxfId="5652" priority="2623" operator="equal">
      <formula>0</formula>
    </cfRule>
    <cfRule type="cellIs" dxfId="5651" priority="2624" operator="notEqual">
      <formula>0</formula>
    </cfRule>
  </conditionalFormatting>
  <conditionalFormatting sqref="J150:J151">
    <cfRule type="cellIs" dxfId="5650" priority="2620" operator="equal">
      <formula>0</formula>
    </cfRule>
    <cfRule type="cellIs" dxfId="5649" priority="2621" operator="notEqual">
      <formula>0</formula>
    </cfRule>
  </conditionalFormatting>
  <conditionalFormatting sqref="J156">
    <cfRule type="cellIs" dxfId="5648" priority="2616" operator="equal">
      <formula>0</formula>
    </cfRule>
  </conditionalFormatting>
  <conditionalFormatting sqref="J154:J155">
    <cfRule type="cellIs" dxfId="5647" priority="2617" operator="equal">
      <formula>0</formula>
    </cfRule>
    <cfRule type="cellIs" dxfId="5646" priority="2618" operator="notEqual">
      <formula>0</formula>
    </cfRule>
  </conditionalFormatting>
  <conditionalFormatting sqref="K126:K127">
    <cfRule type="cellIs" dxfId="5645" priority="2614" operator="equal">
      <formula>0</formula>
    </cfRule>
    <cfRule type="cellIs" dxfId="5644" priority="2615" operator="notEqual">
      <formula>0</formula>
    </cfRule>
  </conditionalFormatting>
  <conditionalFormatting sqref="K130:K131 K134:K135 K142:K143 K162:K163 K166:K167 K170:K171">
    <cfRule type="cellIs" dxfId="5643" priority="2612" operator="equal">
      <formula>0</formula>
    </cfRule>
    <cfRule type="cellIs" dxfId="5642" priority="2613" operator="notEqual">
      <formula>0</formula>
    </cfRule>
  </conditionalFormatting>
  <conditionalFormatting sqref="K128 K132 K136 K144 K164 K168 K172 K176">
    <cfRule type="cellIs" dxfId="5641" priority="2611" operator="equal">
      <formula>0</formula>
    </cfRule>
  </conditionalFormatting>
  <conditionalFormatting sqref="K148">
    <cfRule type="cellIs" dxfId="5640" priority="2608" operator="equal">
      <formula>0</formula>
    </cfRule>
  </conditionalFormatting>
  <conditionalFormatting sqref="K140">
    <cfRule type="cellIs" dxfId="5639" priority="2605" operator="equal">
      <formula>0</formula>
    </cfRule>
  </conditionalFormatting>
  <conditionalFormatting sqref="K146:K147">
    <cfRule type="cellIs" dxfId="5638" priority="2609" operator="equal">
      <formula>0</formula>
    </cfRule>
    <cfRule type="cellIs" dxfId="5637" priority="2610" operator="notEqual">
      <formula>0</formula>
    </cfRule>
  </conditionalFormatting>
  <conditionalFormatting sqref="K160">
    <cfRule type="cellIs" dxfId="5636" priority="2602" operator="equal">
      <formula>0</formula>
    </cfRule>
  </conditionalFormatting>
  <conditionalFormatting sqref="K138:K139">
    <cfRule type="cellIs" dxfId="5635" priority="2606" operator="equal">
      <formula>0</formula>
    </cfRule>
    <cfRule type="cellIs" dxfId="5634" priority="2607" operator="notEqual">
      <formula>0</formula>
    </cfRule>
  </conditionalFormatting>
  <conditionalFormatting sqref="K152">
    <cfRule type="cellIs" dxfId="5633" priority="2599" operator="equal">
      <formula>0</formula>
    </cfRule>
  </conditionalFormatting>
  <conditionalFormatting sqref="K158:K159">
    <cfRule type="cellIs" dxfId="5632" priority="2603" operator="equal">
      <formula>0</formula>
    </cfRule>
    <cfRule type="cellIs" dxfId="5631" priority="2604" operator="notEqual">
      <formula>0</formula>
    </cfRule>
  </conditionalFormatting>
  <conditionalFormatting sqref="K150:K151">
    <cfRule type="cellIs" dxfId="5630" priority="2600" operator="equal">
      <formula>0</formula>
    </cfRule>
    <cfRule type="cellIs" dxfId="5629" priority="2601" operator="notEqual">
      <formula>0</formula>
    </cfRule>
  </conditionalFormatting>
  <conditionalFormatting sqref="K156">
    <cfRule type="cellIs" dxfId="5628" priority="2596" operator="equal">
      <formula>0</formula>
    </cfRule>
  </conditionalFormatting>
  <conditionalFormatting sqref="K154:K155">
    <cfRule type="cellIs" dxfId="5627" priority="2597" operator="equal">
      <formula>0</formula>
    </cfRule>
    <cfRule type="cellIs" dxfId="5626" priority="2598" operator="notEqual">
      <formula>0</formula>
    </cfRule>
  </conditionalFormatting>
  <conditionalFormatting sqref="L128 L132 L136 L144 L164 L168 L172 L176">
    <cfRule type="cellIs" dxfId="5625" priority="2595" operator="equal">
      <formula>0</formula>
    </cfRule>
  </conditionalFormatting>
  <conditionalFormatting sqref="L148">
    <cfRule type="cellIs" dxfId="5624" priority="2594" operator="equal">
      <formula>0</formula>
    </cfRule>
  </conditionalFormatting>
  <conditionalFormatting sqref="L140">
    <cfRule type="cellIs" dxfId="5623" priority="2593" operator="equal">
      <formula>0</formula>
    </cfRule>
  </conditionalFormatting>
  <conditionalFormatting sqref="L160">
    <cfRule type="cellIs" dxfId="5622" priority="2592" operator="equal">
      <formula>0</formula>
    </cfRule>
  </conditionalFormatting>
  <conditionalFormatting sqref="L152">
    <cfRule type="cellIs" dxfId="5621" priority="2591" operator="equal">
      <formula>0</formula>
    </cfRule>
  </conditionalFormatting>
  <conditionalFormatting sqref="L156">
    <cfRule type="cellIs" dxfId="5620" priority="2590" operator="equal">
      <formula>0</formula>
    </cfRule>
  </conditionalFormatting>
  <conditionalFormatting sqref="M128 M132 M136 M144 M164 M168 M172 M176">
    <cfRule type="cellIs" dxfId="5619" priority="2589" operator="equal">
      <formula>0</formula>
    </cfRule>
  </conditionalFormatting>
  <conditionalFormatting sqref="M148">
    <cfRule type="cellIs" dxfId="5618" priority="2588" operator="equal">
      <formula>0</formula>
    </cfRule>
  </conditionalFormatting>
  <conditionalFormatting sqref="M140">
    <cfRule type="cellIs" dxfId="5617" priority="2587" operator="equal">
      <formula>0</formula>
    </cfRule>
  </conditionalFormatting>
  <conditionalFormatting sqref="M160">
    <cfRule type="cellIs" dxfId="5616" priority="2586" operator="equal">
      <formula>0</formula>
    </cfRule>
  </conditionalFormatting>
  <conditionalFormatting sqref="M152">
    <cfRule type="cellIs" dxfId="5615" priority="2585" operator="equal">
      <formula>0</formula>
    </cfRule>
  </conditionalFormatting>
  <conditionalFormatting sqref="M156">
    <cfRule type="cellIs" dxfId="5614" priority="2584" operator="equal">
      <formula>0</formula>
    </cfRule>
  </conditionalFormatting>
  <conditionalFormatting sqref="N128 N132 N136 N144 N164 N168 N172 N176">
    <cfRule type="cellIs" dxfId="5613" priority="2583" operator="equal">
      <formula>0</formula>
    </cfRule>
  </conditionalFormatting>
  <conditionalFormatting sqref="N148">
    <cfRule type="cellIs" dxfId="5612" priority="2582" operator="equal">
      <formula>0</formula>
    </cfRule>
  </conditionalFormatting>
  <conditionalFormatting sqref="N140">
    <cfRule type="cellIs" dxfId="5611" priority="2581" operator="equal">
      <formula>0</formula>
    </cfRule>
  </conditionalFormatting>
  <conditionalFormatting sqref="N160">
    <cfRule type="cellIs" dxfId="5610" priority="2580" operator="equal">
      <formula>0</formula>
    </cfRule>
  </conditionalFormatting>
  <conditionalFormatting sqref="N152">
    <cfRule type="cellIs" dxfId="5609" priority="2579" operator="equal">
      <formula>0</formula>
    </cfRule>
  </conditionalFormatting>
  <conditionalFormatting sqref="N156">
    <cfRule type="cellIs" dxfId="5608" priority="2578" operator="equal">
      <formula>0</formula>
    </cfRule>
  </conditionalFormatting>
  <conditionalFormatting sqref="O128 O132 O136 O144 O164 O168 O172 O176">
    <cfRule type="cellIs" dxfId="5607" priority="2577" operator="equal">
      <formula>0</formula>
    </cfRule>
  </conditionalFormatting>
  <conditionalFormatting sqref="O148">
    <cfRule type="cellIs" dxfId="5606" priority="2576" operator="equal">
      <formula>0</formula>
    </cfRule>
  </conditionalFormatting>
  <conditionalFormatting sqref="O140">
    <cfRule type="cellIs" dxfId="5605" priority="2575" operator="equal">
      <formula>0</formula>
    </cfRule>
  </conditionalFormatting>
  <conditionalFormatting sqref="O160">
    <cfRule type="cellIs" dxfId="5604" priority="2574" operator="equal">
      <formula>0</formula>
    </cfRule>
  </conditionalFormatting>
  <conditionalFormatting sqref="O152">
    <cfRule type="cellIs" dxfId="5603" priority="2573" operator="equal">
      <formula>0</formula>
    </cfRule>
  </conditionalFormatting>
  <conditionalFormatting sqref="O156">
    <cfRule type="cellIs" dxfId="5602" priority="2572" operator="equal">
      <formula>0</formula>
    </cfRule>
  </conditionalFormatting>
  <conditionalFormatting sqref="P68">
    <cfRule type="cellIs" dxfId="5601" priority="2570" operator="equal">
      <formula>0</formula>
    </cfRule>
    <cfRule type="cellIs" dxfId="5600" priority="2571" operator="notEqual">
      <formula>0</formula>
    </cfRule>
  </conditionalFormatting>
  <conditionalFormatting sqref="P88 P92 P100 P104">
    <cfRule type="cellIs" dxfId="5599" priority="2568" operator="equal">
      <formula>0</formula>
    </cfRule>
    <cfRule type="cellIs" dxfId="5598" priority="2569" operator="notEqual">
      <formula>0</formula>
    </cfRule>
  </conditionalFormatting>
  <conditionalFormatting sqref="P71 P91 P95 P103 P107">
    <cfRule type="cellIs" dxfId="5597" priority="2567" operator="equal">
      <formula>0</formula>
    </cfRule>
  </conditionalFormatting>
  <conditionalFormatting sqref="P72">
    <cfRule type="cellIs" dxfId="5596" priority="2565" operator="equal">
      <formula>0</formula>
    </cfRule>
    <cfRule type="cellIs" dxfId="5595" priority="2566" operator="notEqual">
      <formula>0</formula>
    </cfRule>
  </conditionalFormatting>
  <conditionalFormatting sqref="P75">
    <cfRule type="cellIs" dxfId="5594" priority="2564" operator="equal">
      <formula>0</formula>
    </cfRule>
  </conditionalFormatting>
  <conditionalFormatting sqref="P76">
    <cfRule type="cellIs" dxfId="5593" priority="2562" operator="equal">
      <formula>0</formula>
    </cfRule>
    <cfRule type="cellIs" dxfId="5592" priority="2563" operator="notEqual">
      <formula>0</formula>
    </cfRule>
  </conditionalFormatting>
  <conditionalFormatting sqref="P79">
    <cfRule type="cellIs" dxfId="5591" priority="2561" operator="equal">
      <formula>0</formula>
    </cfRule>
  </conditionalFormatting>
  <conditionalFormatting sqref="P80">
    <cfRule type="cellIs" dxfId="5590" priority="2559" operator="equal">
      <formula>0</formula>
    </cfRule>
    <cfRule type="cellIs" dxfId="5589" priority="2560" operator="notEqual">
      <formula>0</formula>
    </cfRule>
  </conditionalFormatting>
  <conditionalFormatting sqref="P83">
    <cfRule type="cellIs" dxfId="5588" priority="2558" operator="equal">
      <formula>0</formula>
    </cfRule>
  </conditionalFormatting>
  <conditionalFormatting sqref="P84">
    <cfRule type="cellIs" dxfId="5587" priority="2556" operator="equal">
      <formula>0</formula>
    </cfRule>
    <cfRule type="cellIs" dxfId="5586" priority="2557" operator="notEqual">
      <formula>0</formula>
    </cfRule>
  </conditionalFormatting>
  <conditionalFormatting sqref="P87">
    <cfRule type="cellIs" dxfId="5585" priority="2555" operator="equal">
      <formula>0</formula>
    </cfRule>
  </conditionalFormatting>
  <conditionalFormatting sqref="P111">
    <cfRule type="cellIs" dxfId="5584" priority="2552" operator="equal">
      <formula>0</formula>
    </cfRule>
  </conditionalFormatting>
  <conditionalFormatting sqref="P115">
    <cfRule type="cellIs" dxfId="5583" priority="2549" operator="equal">
      <formula>0</formula>
    </cfRule>
  </conditionalFormatting>
  <conditionalFormatting sqref="P108">
    <cfRule type="cellIs" dxfId="5582" priority="2553" operator="equal">
      <formula>0</formula>
    </cfRule>
    <cfRule type="cellIs" dxfId="5581" priority="2554" operator="notEqual">
      <formula>0</formula>
    </cfRule>
  </conditionalFormatting>
  <conditionalFormatting sqref="P112">
    <cfRule type="cellIs" dxfId="5580" priority="2550" operator="equal">
      <formula>0</formula>
    </cfRule>
    <cfRule type="cellIs" dxfId="5579" priority="2551" operator="notEqual">
      <formula>0</formula>
    </cfRule>
  </conditionalFormatting>
  <conditionalFormatting sqref="P96">
    <cfRule type="cellIs" dxfId="5578" priority="2547" operator="equal">
      <formula>0</formula>
    </cfRule>
    <cfRule type="cellIs" dxfId="5577" priority="2548" operator="notEqual">
      <formula>0</formula>
    </cfRule>
  </conditionalFormatting>
  <conditionalFormatting sqref="P99">
    <cfRule type="cellIs" dxfId="5576" priority="2546" operator="equal">
      <formula>0</formula>
    </cfRule>
  </conditionalFormatting>
  <conditionalFormatting sqref="Q68">
    <cfRule type="cellIs" dxfId="5575" priority="2544" operator="equal">
      <formula>0</formula>
    </cfRule>
    <cfRule type="cellIs" dxfId="5574" priority="2545" operator="notEqual">
      <formula>0</formula>
    </cfRule>
  </conditionalFormatting>
  <conditionalFormatting sqref="Q88 Q92 Q100 Q104">
    <cfRule type="cellIs" dxfId="5573" priority="2542" operator="equal">
      <formula>0</formula>
    </cfRule>
    <cfRule type="cellIs" dxfId="5572" priority="2543" operator="notEqual">
      <formula>0</formula>
    </cfRule>
  </conditionalFormatting>
  <conditionalFormatting sqref="Q71 Q91 Q95 Q103 Q107">
    <cfRule type="cellIs" dxfId="5571" priority="2541" operator="equal">
      <formula>0</formula>
    </cfRule>
  </conditionalFormatting>
  <conditionalFormatting sqref="Q72">
    <cfRule type="cellIs" dxfId="5570" priority="2539" operator="equal">
      <formula>0</formula>
    </cfRule>
    <cfRule type="cellIs" dxfId="5569" priority="2540" operator="notEqual">
      <formula>0</formula>
    </cfRule>
  </conditionalFormatting>
  <conditionalFormatting sqref="Q75">
    <cfRule type="cellIs" dxfId="5568" priority="2538" operator="equal">
      <formula>0</formula>
    </cfRule>
  </conditionalFormatting>
  <conditionalFormatting sqref="Q76">
    <cfRule type="cellIs" dxfId="5567" priority="2536" operator="equal">
      <formula>0</formula>
    </cfRule>
    <cfRule type="cellIs" dxfId="5566" priority="2537" operator="notEqual">
      <formula>0</formula>
    </cfRule>
  </conditionalFormatting>
  <conditionalFormatting sqref="Q79">
    <cfRule type="cellIs" dxfId="5565" priority="2535" operator="equal">
      <formula>0</formula>
    </cfRule>
  </conditionalFormatting>
  <conditionalFormatting sqref="Q80">
    <cfRule type="cellIs" dxfId="5564" priority="2533" operator="equal">
      <formula>0</formula>
    </cfRule>
    <cfRule type="cellIs" dxfId="5563" priority="2534" operator="notEqual">
      <formula>0</formula>
    </cfRule>
  </conditionalFormatting>
  <conditionalFormatting sqref="Q83">
    <cfRule type="cellIs" dxfId="5562" priority="2532" operator="equal">
      <formula>0</formula>
    </cfRule>
  </conditionalFormatting>
  <conditionalFormatting sqref="Q84">
    <cfRule type="cellIs" dxfId="5561" priority="2530" operator="equal">
      <formula>0</formula>
    </cfRule>
    <cfRule type="cellIs" dxfId="5560" priority="2531" operator="notEqual">
      <formula>0</formula>
    </cfRule>
  </conditionalFormatting>
  <conditionalFormatting sqref="Q87">
    <cfRule type="cellIs" dxfId="5559" priority="2529" operator="equal">
      <formula>0</formula>
    </cfRule>
  </conditionalFormatting>
  <conditionalFormatting sqref="Q111">
    <cfRule type="cellIs" dxfId="5558" priority="2526" operator="equal">
      <formula>0</formula>
    </cfRule>
  </conditionalFormatting>
  <conditionalFormatting sqref="Q115">
    <cfRule type="cellIs" dxfId="5557" priority="2523" operator="equal">
      <formula>0</formula>
    </cfRule>
  </conditionalFormatting>
  <conditionalFormatting sqref="Q108">
    <cfRule type="cellIs" dxfId="5556" priority="2527" operator="equal">
      <formula>0</formula>
    </cfRule>
    <cfRule type="cellIs" dxfId="5555" priority="2528" operator="notEqual">
      <formula>0</formula>
    </cfRule>
  </conditionalFormatting>
  <conditionalFormatting sqref="Q112">
    <cfRule type="cellIs" dxfId="5554" priority="2524" operator="equal">
      <formula>0</formula>
    </cfRule>
    <cfRule type="cellIs" dxfId="5553" priority="2525" operator="notEqual">
      <formula>0</formula>
    </cfRule>
  </conditionalFormatting>
  <conditionalFormatting sqref="Q96">
    <cfRule type="cellIs" dxfId="5552" priority="2521" operator="equal">
      <formula>0</formula>
    </cfRule>
    <cfRule type="cellIs" dxfId="5551" priority="2522" operator="notEqual">
      <formula>0</formula>
    </cfRule>
  </conditionalFormatting>
  <conditionalFormatting sqref="Q99">
    <cfRule type="cellIs" dxfId="5550" priority="2520" operator="equal">
      <formula>0</formula>
    </cfRule>
  </conditionalFormatting>
  <conditionalFormatting sqref="R68">
    <cfRule type="cellIs" dxfId="5549" priority="2518" operator="equal">
      <formula>0</formula>
    </cfRule>
    <cfRule type="cellIs" dxfId="5548" priority="2519" operator="notEqual">
      <formula>0</formula>
    </cfRule>
  </conditionalFormatting>
  <conditionalFormatting sqref="R88 R92 R100 R104">
    <cfRule type="cellIs" dxfId="5547" priority="2516" operator="equal">
      <formula>0</formula>
    </cfRule>
    <cfRule type="cellIs" dxfId="5546" priority="2517" operator="notEqual">
      <formula>0</formula>
    </cfRule>
  </conditionalFormatting>
  <conditionalFormatting sqref="R71 R91 R95 R103 R107">
    <cfRule type="cellIs" dxfId="5545" priority="2515" operator="equal">
      <formula>0</formula>
    </cfRule>
  </conditionalFormatting>
  <conditionalFormatting sqref="R72">
    <cfRule type="cellIs" dxfId="5544" priority="2513" operator="equal">
      <formula>0</formula>
    </cfRule>
    <cfRule type="cellIs" dxfId="5543" priority="2514" operator="notEqual">
      <formula>0</formula>
    </cfRule>
  </conditionalFormatting>
  <conditionalFormatting sqref="R75">
    <cfRule type="cellIs" dxfId="5542" priority="2512" operator="equal">
      <formula>0</formula>
    </cfRule>
  </conditionalFormatting>
  <conditionalFormatting sqref="R76">
    <cfRule type="cellIs" dxfId="5541" priority="2510" operator="equal">
      <formula>0</formula>
    </cfRule>
    <cfRule type="cellIs" dxfId="5540" priority="2511" operator="notEqual">
      <formula>0</formula>
    </cfRule>
  </conditionalFormatting>
  <conditionalFormatting sqref="R79">
    <cfRule type="cellIs" dxfId="5539" priority="2509" operator="equal">
      <formula>0</formula>
    </cfRule>
  </conditionalFormatting>
  <conditionalFormatting sqref="R80">
    <cfRule type="cellIs" dxfId="5538" priority="2507" operator="equal">
      <formula>0</formula>
    </cfRule>
    <cfRule type="cellIs" dxfId="5537" priority="2508" operator="notEqual">
      <formula>0</formula>
    </cfRule>
  </conditionalFormatting>
  <conditionalFormatting sqref="R83">
    <cfRule type="cellIs" dxfId="5536" priority="2506" operator="equal">
      <formula>0</formula>
    </cfRule>
  </conditionalFormatting>
  <conditionalFormatting sqref="R84">
    <cfRule type="cellIs" dxfId="5535" priority="2504" operator="equal">
      <formula>0</formula>
    </cfRule>
    <cfRule type="cellIs" dxfId="5534" priority="2505" operator="notEqual">
      <formula>0</formula>
    </cfRule>
  </conditionalFormatting>
  <conditionalFormatting sqref="R87">
    <cfRule type="cellIs" dxfId="5533" priority="2503" operator="equal">
      <formula>0</formula>
    </cfRule>
  </conditionalFormatting>
  <conditionalFormatting sqref="R111">
    <cfRule type="cellIs" dxfId="5532" priority="2500" operator="equal">
      <formula>0</formula>
    </cfRule>
  </conditionalFormatting>
  <conditionalFormatting sqref="R115">
    <cfRule type="cellIs" dxfId="5531" priority="2497" operator="equal">
      <formula>0</formula>
    </cfRule>
  </conditionalFormatting>
  <conditionalFormatting sqref="R108">
    <cfRule type="cellIs" dxfId="5530" priority="2501" operator="equal">
      <formula>0</formula>
    </cfRule>
    <cfRule type="cellIs" dxfId="5529" priority="2502" operator="notEqual">
      <formula>0</formula>
    </cfRule>
  </conditionalFormatting>
  <conditionalFormatting sqref="R112">
    <cfRule type="cellIs" dxfId="5528" priority="2498" operator="equal">
      <formula>0</formula>
    </cfRule>
    <cfRule type="cellIs" dxfId="5527" priority="2499" operator="notEqual">
      <formula>0</formula>
    </cfRule>
  </conditionalFormatting>
  <conditionalFormatting sqref="R96">
    <cfRule type="cellIs" dxfId="5526" priority="2495" operator="equal">
      <formula>0</formula>
    </cfRule>
    <cfRule type="cellIs" dxfId="5525" priority="2496" operator="notEqual">
      <formula>0</formula>
    </cfRule>
  </conditionalFormatting>
  <conditionalFormatting sqref="R99">
    <cfRule type="cellIs" dxfId="5524" priority="2494" operator="equal">
      <formula>0</formula>
    </cfRule>
  </conditionalFormatting>
  <conditionalFormatting sqref="S68">
    <cfRule type="cellIs" dxfId="5523" priority="2492" operator="equal">
      <formula>0</formula>
    </cfRule>
    <cfRule type="cellIs" dxfId="5522" priority="2493" operator="notEqual">
      <formula>0</formula>
    </cfRule>
  </conditionalFormatting>
  <conditionalFormatting sqref="S88 S92 S100 S104">
    <cfRule type="cellIs" dxfId="5521" priority="2490" operator="equal">
      <formula>0</formula>
    </cfRule>
    <cfRule type="cellIs" dxfId="5520" priority="2491" operator="notEqual">
      <formula>0</formula>
    </cfRule>
  </conditionalFormatting>
  <conditionalFormatting sqref="S71 S91 S95 S103 S107">
    <cfRule type="cellIs" dxfId="5519" priority="2489" operator="equal">
      <formula>0</formula>
    </cfRule>
  </conditionalFormatting>
  <conditionalFormatting sqref="S72">
    <cfRule type="cellIs" dxfId="5518" priority="2487" operator="equal">
      <formula>0</formula>
    </cfRule>
    <cfRule type="cellIs" dxfId="5517" priority="2488" operator="notEqual">
      <formula>0</formula>
    </cfRule>
  </conditionalFormatting>
  <conditionalFormatting sqref="S75">
    <cfRule type="cellIs" dxfId="5516" priority="2486" operator="equal">
      <formula>0</formula>
    </cfRule>
  </conditionalFormatting>
  <conditionalFormatting sqref="S76">
    <cfRule type="cellIs" dxfId="5515" priority="2484" operator="equal">
      <formula>0</formula>
    </cfRule>
    <cfRule type="cellIs" dxfId="5514" priority="2485" operator="notEqual">
      <formula>0</formula>
    </cfRule>
  </conditionalFormatting>
  <conditionalFormatting sqref="S79">
    <cfRule type="cellIs" dxfId="5513" priority="2483" operator="equal">
      <formula>0</formula>
    </cfRule>
  </conditionalFormatting>
  <conditionalFormatting sqref="S80">
    <cfRule type="cellIs" dxfId="5512" priority="2481" operator="equal">
      <formula>0</formula>
    </cfRule>
    <cfRule type="cellIs" dxfId="5511" priority="2482" operator="notEqual">
      <formula>0</formula>
    </cfRule>
  </conditionalFormatting>
  <conditionalFormatting sqref="S83">
    <cfRule type="cellIs" dxfId="5510" priority="2480" operator="equal">
      <formula>0</formula>
    </cfRule>
  </conditionalFormatting>
  <conditionalFormatting sqref="S84">
    <cfRule type="cellIs" dxfId="5509" priority="2478" operator="equal">
      <formula>0</formula>
    </cfRule>
    <cfRule type="cellIs" dxfId="5508" priority="2479" operator="notEqual">
      <formula>0</formula>
    </cfRule>
  </conditionalFormatting>
  <conditionalFormatting sqref="S87">
    <cfRule type="cellIs" dxfId="5507" priority="2477" operator="equal">
      <formula>0</formula>
    </cfRule>
  </conditionalFormatting>
  <conditionalFormatting sqref="S111">
    <cfRule type="cellIs" dxfId="5506" priority="2474" operator="equal">
      <formula>0</formula>
    </cfRule>
  </conditionalFormatting>
  <conditionalFormatting sqref="S115">
    <cfRule type="cellIs" dxfId="5505" priority="2471" operator="equal">
      <formula>0</formula>
    </cfRule>
  </conditionalFormatting>
  <conditionalFormatting sqref="S108">
    <cfRule type="cellIs" dxfId="5504" priority="2475" operator="equal">
      <formula>0</formula>
    </cfRule>
    <cfRule type="cellIs" dxfId="5503" priority="2476" operator="notEqual">
      <formula>0</formula>
    </cfRule>
  </conditionalFormatting>
  <conditionalFormatting sqref="S112">
    <cfRule type="cellIs" dxfId="5502" priority="2472" operator="equal">
      <formula>0</formula>
    </cfRule>
    <cfRule type="cellIs" dxfId="5501" priority="2473" operator="notEqual">
      <formula>0</formula>
    </cfRule>
  </conditionalFormatting>
  <conditionalFormatting sqref="S96">
    <cfRule type="cellIs" dxfId="5500" priority="2469" operator="equal">
      <formula>0</formula>
    </cfRule>
    <cfRule type="cellIs" dxfId="5499" priority="2470" operator="notEqual">
      <formula>0</formula>
    </cfRule>
  </conditionalFormatting>
  <conditionalFormatting sqref="S99">
    <cfRule type="cellIs" dxfId="5498" priority="2468" operator="equal">
      <formula>0</formula>
    </cfRule>
  </conditionalFormatting>
  <conditionalFormatting sqref="D69:D70">
    <cfRule type="cellIs" dxfId="5497" priority="2466" operator="equal">
      <formula>0</formula>
    </cfRule>
    <cfRule type="cellIs" dxfId="5496" priority="2467" operator="notEqual">
      <formula>0</formula>
    </cfRule>
  </conditionalFormatting>
  <conditionalFormatting sqref="D73:D74 D77:D78 D85:D86 D105:D106 D109:D110 D113:D114">
    <cfRule type="cellIs" dxfId="5495" priority="2464" operator="equal">
      <formula>0</formula>
    </cfRule>
    <cfRule type="cellIs" dxfId="5494" priority="2465" operator="notEqual">
      <formula>0</formula>
    </cfRule>
  </conditionalFormatting>
  <conditionalFormatting sqref="D71 D75 D79 D87 D107 D111 D115">
    <cfRule type="cellIs" dxfId="5493" priority="2463" operator="equal">
      <formula>0</formula>
    </cfRule>
  </conditionalFormatting>
  <conditionalFormatting sqref="D91">
    <cfRule type="cellIs" dxfId="5492" priority="2460" operator="equal">
      <formula>0</formula>
    </cfRule>
  </conditionalFormatting>
  <conditionalFormatting sqref="D83">
    <cfRule type="cellIs" dxfId="5491" priority="2457" operator="equal">
      <formula>0</formula>
    </cfRule>
  </conditionalFormatting>
  <conditionalFormatting sqref="D89:D90">
    <cfRule type="cellIs" dxfId="5490" priority="2461" operator="equal">
      <formula>0</formula>
    </cfRule>
    <cfRule type="cellIs" dxfId="5489" priority="2462" operator="notEqual">
      <formula>0</formula>
    </cfRule>
  </conditionalFormatting>
  <conditionalFormatting sqref="D103">
    <cfRule type="cellIs" dxfId="5488" priority="2454" operator="equal">
      <formula>0</formula>
    </cfRule>
  </conditionalFormatting>
  <conditionalFormatting sqref="D81:D82">
    <cfRule type="cellIs" dxfId="5487" priority="2458" operator="equal">
      <formula>0</formula>
    </cfRule>
    <cfRule type="cellIs" dxfId="5486" priority="2459" operator="notEqual">
      <formula>0</formula>
    </cfRule>
  </conditionalFormatting>
  <conditionalFormatting sqref="D95">
    <cfRule type="cellIs" dxfId="5485" priority="2451" operator="equal">
      <formula>0</formula>
    </cfRule>
  </conditionalFormatting>
  <conditionalFormatting sqref="D101:D102">
    <cfRule type="cellIs" dxfId="5484" priority="2455" operator="equal">
      <formula>0</formula>
    </cfRule>
    <cfRule type="cellIs" dxfId="5483" priority="2456" operator="notEqual">
      <formula>0</formula>
    </cfRule>
  </conditionalFormatting>
  <conditionalFormatting sqref="D93:D94">
    <cfRule type="cellIs" dxfId="5482" priority="2452" operator="equal">
      <formula>0</formula>
    </cfRule>
    <cfRule type="cellIs" dxfId="5481" priority="2453" operator="notEqual">
      <formula>0</formula>
    </cfRule>
  </conditionalFormatting>
  <conditionalFormatting sqref="D99">
    <cfRule type="cellIs" dxfId="5480" priority="2448" operator="equal">
      <formula>0</formula>
    </cfRule>
  </conditionalFormatting>
  <conditionalFormatting sqref="D97:D98">
    <cfRule type="cellIs" dxfId="5479" priority="2449" operator="equal">
      <formula>0</formula>
    </cfRule>
    <cfRule type="cellIs" dxfId="5478" priority="2450" operator="notEqual">
      <formula>0</formula>
    </cfRule>
  </conditionalFormatting>
  <conditionalFormatting sqref="E69:E70">
    <cfRule type="cellIs" dxfId="5477" priority="2446" operator="equal">
      <formula>0</formula>
    </cfRule>
    <cfRule type="cellIs" dxfId="5476" priority="2447" operator="notEqual">
      <formula>0</formula>
    </cfRule>
  </conditionalFormatting>
  <conditionalFormatting sqref="E73:E74 E77:E78 E85:E86 E105:E106 E109:E110 E113:E114">
    <cfRule type="cellIs" dxfId="5475" priority="2444" operator="equal">
      <formula>0</formula>
    </cfRule>
    <cfRule type="cellIs" dxfId="5474" priority="2445" operator="notEqual">
      <formula>0</formula>
    </cfRule>
  </conditionalFormatting>
  <conditionalFormatting sqref="E71 E75 E79 E87 E107 E111 E115">
    <cfRule type="cellIs" dxfId="5473" priority="2443" operator="equal">
      <formula>0</formula>
    </cfRule>
  </conditionalFormatting>
  <conditionalFormatting sqref="E91">
    <cfRule type="cellIs" dxfId="5472" priority="2440" operator="equal">
      <formula>0</formula>
    </cfRule>
  </conditionalFormatting>
  <conditionalFormatting sqref="E83">
    <cfRule type="cellIs" dxfId="5471" priority="2437" operator="equal">
      <formula>0</formula>
    </cfRule>
  </conditionalFormatting>
  <conditionalFormatting sqref="E89:E90">
    <cfRule type="cellIs" dxfId="5470" priority="2441" operator="equal">
      <formula>0</formula>
    </cfRule>
    <cfRule type="cellIs" dxfId="5469" priority="2442" operator="notEqual">
      <formula>0</formula>
    </cfRule>
  </conditionalFormatting>
  <conditionalFormatting sqref="E103">
    <cfRule type="cellIs" dxfId="5468" priority="2434" operator="equal">
      <formula>0</formula>
    </cfRule>
  </conditionalFormatting>
  <conditionalFormatting sqref="E81:E82">
    <cfRule type="cellIs" dxfId="5467" priority="2438" operator="equal">
      <formula>0</formula>
    </cfRule>
    <cfRule type="cellIs" dxfId="5466" priority="2439" operator="notEqual">
      <formula>0</formula>
    </cfRule>
  </conditionalFormatting>
  <conditionalFormatting sqref="E95">
    <cfRule type="cellIs" dxfId="5465" priority="2431" operator="equal">
      <formula>0</formula>
    </cfRule>
  </conditionalFormatting>
  <conditionalFormatting sqref="E101:E102">
    <cfRule type="cellIs" dxfId="5464" priority="2435" operator="equal">
      <formula>0</formula>
    </cfRule>
    <cfRule type="cellIs" dxfId="5463" priority="2436" operator="notEqual">
      <formula>0</formula>
    </cfRule>
  </conditionalFormatting>
  <conditionalFormatting sqref="E93:E94">
    <cfRule type="cellIs" dxfId="5462" priority="2432" operator="equal">
      <formula>0</formula>
    </cfRule>
    <cfRule type="cellIs" dxfId="5461" priority="2433" operator="notEqual">
      <formula>0</formula>
    </cfRule>
  </conditionalFormatting>
  <conditionalFormatting sqref="E99">
    <cfRule type="cellIs" dxfId="5460" priority="2428" operator="equal">
      <formula>0</formula>
    </cfRule>
  </conditionalFormatting>
  <conditionalFormatting sqref="E97:E98">
    <cfRule type="cellIs" dxfId="5459" priority="2429" operator="equal">
      <formula>0</formula>
    </cfRule>
    <cfRule type="cellIs" dxfId="5458" priority="2430" operator="notEqual">
      <formula>0</formula>
    </cfRule>
  </conditionalFormatting>
  <conditionalFormatting sqref="F69:F70">
    <cfRule type="cellIs" dxfId="5457" priority="2426" operator="equal">
      <formula>0</formula>
    </cfRule>
    <cfRule type="cellIs" dxfId="5456" priority="2427" operator="notEqual">
      <formula>0</formula>
    </cfRule>
  </conditionalFormatting>
  <conditionalFormatting sqref="F73:F74 F77:F78 F85:F86 F105:F106 F109:F110 F113:F114">
    <cfRule type="cellIs" dxfId="5455" priority="2424" operator="equal">
      <formula>0</formula>
    </cfRule>
    <cfRule type="cellIs" dxfId="5454" priority="2425" operator="notEqual">
      <formula>0</formula>
    </cfRule>
  </conditionalFormatting>
  <conditionalFormatting sqref="F71 F75 F79 F87 F107 F111 F115">
    <cfRule type="cellIs" dxfId="5453" priority="2423" operator="equal">
      <formula>0</formula>
    </cfRule>
  </conditionalFormatting>
  <conditionalFormatting sqref="F91">
    <cfRule type="cellIs" dxfId="5452" priority="2420" operator="equal">
      <formula>0</formula>
    </cfRule>
  </conditionalFormatting>
  <conditionalFormatting sqref="F83">
    <cfRule type="cellIs" dxfId="5451" priority="2417" operator="equal">
      <formula>0</formula>
    </cfRule>
  </conditionalFormatting>
  <conditionalFormatting sqref="F89:F90">
    <cfRule type="cellIs" dxfId="5450" priority="2421" operator="equal">
      <formula>0</formula>
    </cfRule>
    <cfRule type="cellIs" dxfId="5449" priority="2422" operator="notEqual">
      <formula>0</formula>
    </cfRule>
  </conditionalFormatting>
  <conditionalFormatting sqref="F103">
    <cfRule type="cellIs" dxfId="5448" priority="2414" operator="equal">
      <formula>0</formula>
    </cfRule>
  </conditionalFormatting>
  <conditionalFormatting sqref="F81:F82">
    <cfRule type="cellIs" dxfId="5447" priority="2418" operator="equal">
      <formula>0</formula>
    </cfRule>
    <cfRule type="cellIs" dxfId="5446" priority="2419" operator="notEqual">
      <formula>0</formula>
    </cfRule>
  </conditionalFormatting>
  <conditionalFormatting sqref="F95">
    <cfRule type="cellIs" dxfId="5445" priority="2411" operator="equal">
      <formula>0</formula>
    </cfRule>
  </conditionalFormatting>
  <conditionalFormatting sqref="F101:F102">
    <cfRule type="cellIs" dxfId="5444" priority="2415" operator="equal">
      <formula>0</formula>
    </cfRule>
    <cfRule type="cellIs" dxfId="5443" priority="2416" operator="notEqual">
      <formula>0</formula>
    </cfRule>
  </conditionalFormatting>
  <conditionalFormatting sqref="F93:F94">
    <cfRule type="cellIs" dxfId="5442" priority="2412" operator="equal">
      <formula>0</formula>
    </cfRule>
    <cfRule type="cellIs" dxfId="5441" priority="2413" operator="notEqual">
      <formula>0</formula>
    </cfRule>
  </conditionalFormatting>
  <conditionalFormatting sqref="F99">
    <cfRule type="cellIs" dxfId="5440" priority="2408" operator="equal">
      <formula>0</formula>
    </cfRule>
  </conditionalFormatting>
  <conditionalFormatting sqref="F97:F98">
    <cfRule type="cellIs" dxfId="5439" priority="2409" operator="equal">
      <formula>0</formula>
    </cfRule>
    <cfRule type="cellIs" dxfId="5438" priority="2410" operator="notEqual">
      <formula>0</formula>
    </cfRule>
  </conditionalFormatting>
  <conditionalFormatting sqref="G69:G70">
    <cfRule type="cellIs" dxfId="5437" priority="2406" operator="equal">
      <formula>0</formula>
    </cfRule>
    <cfRule type="cellIs" dxfId="5436" priority="2407" operator="notEqual">
      <formula>0</formula>
    </cfRule>
  </conditionalFormatting>
  <conditionalFormatting sqref="G73:G74 G77:G78 G85:G86 G105:G106 G109:G110 G113:G114">
    <cfRule type="cellIs" dxfId="5435" priority="2404" operator="equal">
      <formula>0</formula>
    </cfRule>
    <cfRule type="cellIs" dxfId="5434" priority="2405" operator="notEqual">
      <formula>0</formula>
    </cfRule>
  </conditionalFormatting>
  <conditionalFormatting sqref="G71 G75 G79 G87 G107 G111 G115">
    <cfRule type="cellIs" dxfId="5433" priority="2403" operator="equal">
      <formula>0</formula>
    </cfRule>
  </conditionalFormatting>
  <conditionalFormatting sqref="G91">
    <cfRule type="cellIs" dxfId="5432" priority="2400" operator="equal">
      <formula>0</formula>
    </cfRule>
  </conditionalFormatting>
  <conditionalFormatting sqref="G83">
    <cfRule type="cellIs" dxfId="5431" priority="2397" operator="equal">
      <formula>0</formula>
    </cfRule>
  </conditionalFormatting>
  <conditionalFormatting sqref="G89:G90">
    <cfRule type="cellIs" dxfId="5430" priority="2401" operator="equal">
      <formula>0</formula>
    </cfRule>
    <cfRule type="cellIs" dxfId="5429" priority="2402" operator="notEqual">
      <formula>0</formula>
    </cfRule>
  </conditionalFormatting>
  <conditionalFormatting sqref="G103">
    <cfRule type="cellIs" dxfId="5428" priority="2394" operator="equal">
      <formula>0</formula>
    </cfRule>
  </conditionalFormatting>
  <conditionalFormatting sqref="G81:G82">
    <cfRule type="cellIs" dxfId="5427" priority="2398" operator="equal">
      <formula>0</formula>
    </cfRule>
    <cfRule type="cellIs" dxfId="5426" priority="2399" operator="notEqual">
      <formula>0</formula>
    </cfRule>
  </conditionalFormatting>
  <conditionalFormatting sqref="G95">
    <cfRule type="cellIs" dxfId="5425" priority="2391" operator="equal">
      <formula>0</formula>
    </cfRule>
  </conditionalFormatting>
  <conditionalFormatting sqref="G101:G102">
    <cfRule type="cellIs" dxfId="5424" priority="2395" operator="equal">
      <formula>0</formula>
    </cfRule>
    <cfRule type="cellIs" dxfId="5423" priority="2396" operator="notEqual">
      <formula>0</formula>
    </cfRule>
  </conditionalFormatting>
  <conditionalFormatting sqref="G93:G94">
    <cfRule type="cellIs" dxfId="5422" priority="2392" operator="equal">
      <formula>0</formula>
    </cfRule>
    <cfRule type="cellIs" dxfId="5421" priority="2393" operator="notEqual">
      <formula>0</formula>
    </cfRule>
  </conditionalFormatting>
  <conditionalFormatting sqref="G99">
    <cfRule type="cellIs" dxfId="5420" priority="2388" operator="equal">
      <formula>0</formula>
    </cfRule>
  </conditionalFormatting>
  <conditionalFormatting sqref="G97:G98">
    <cfRule type="cellIs" dxfId="5419" priority="2389" operator="equal">
      <formula>0</formula>
    </cfRule>
    <cfRule type="cellIs" dxfId="5418" priority="2390" operator="notEqual">
      <formula>0</formula>
    </cfRule>
  </conditionalFormatting>
  <conditionalFormatting sqref="H69:H70">
    <cfRule type="cellIs" dxfId="5417" priority="2386" operator="equal">
      <formula>0</formula>
    </cfRule>
    <cfRule type="cellIs" dxfId="5416" priority="2387" operator="notEqual">
      <formula>0</formula>
    </cfRule>
  </conditionalFormatting>
  <conditionalFormatting sqref="H73:H74 H77:H78 H85:H86 H105:H106 H109:H110 H113:H114">
    <cfRule type="cellIs" dxfId="5415" priority="2384" operator="equal">
      <formula>0</formula>
    </cfRule>
    <cfRule type="cellIs" dxfId="5414" priority="2385" operator="notEqual">
      <formula>0</formula>
    </cfRule>
  </conditionalFormatting>
  <conditionalFormatting sqref="H71 H75 H79 H87 H107 H111 H115">
    <cfRule type="cellIs" dxfId="5413" priority="2383" operator="equal">
      <formula>0</formula>
    </cfRule>
  </conditionalFormatting>
  <conditionalFormatting sqref="H91">
    <cfRule type="cellIs" dxfId="5412" priority="2380" operator="equal">
      <formula>0</formula>
    </cfRule>
  </conditionalFormatting>
  <conditionalFormatting sqref="H83">
    <cfRule type="cellIs" dxfId="5411" priority="2377" operator="equal">
      <formula>0</formula>
    </cfRule>
  </conditionalFormatting>
  <conditionalFormatting sqref="H89:H90">
    <cfRule type="cellIs" dxfId="5410" priority="2381" operator="equal">
      <formula>0</formula>
    </cfRule>
    <cfRule type="cellIs" dxfId="5409" priority="2382" operator="notEqual">
      <formula>0</formula>
    </cfRule>
  </conditionalFormatting>
  <conditionalFormatting sqref="H103">
    <cfRule type="cellIs" dxfId="5408" priority="2374" operator="equal">
      <formula>0</formula>
    </cfRule>
  </conditionalFormatting>
  <conditionalFormatting sqref="H81:H82">
    <cfRule type="cellIs" dxfId="5407" priority="2378" operator="equal">
      <formula>0</formula>
    </cfRule>
    <cfRule type="cellIs" dxfId="5406" priority="2379" operator="notEqual">
      <formula>0</formula>
    </cfRule>
  </conditionalFormatting>
  <conditionalFormatting sqref="H95">
    <cfRule type="cellIs" dxfId="5405" priority="2371" operator="equal">
      <formula>0</formula>
    </cfRule>
  </conditionalFormatting>
  <conditionalFormatting sqref="H101:H102">
    <cfRule type="cellIs" dxfId="5404" priority="2375" operator="equal">
      <formula>0</formula>
    </cfRule>
    <cfRule type="cellIs" dxfId="5403" priority="2376" operator="notEqual">
      <formula>0</formula>
    </cfRule>
  </conditionalFormatting>
  <conditionalFormatting sqref="H93:H94">
    <cfRule type="cellIs" dxfId="5402" priority="2372" operator="equal">
      <formula>0</formula>
    </cfRule>
    <cfRule type="cellIs" dxfId="5401" priority="2373" operator="notEqual">
      <formula>0</formula>
    </cfRule>
  </conditionalFormatting>
  <conditionalFormatting sqref="H99">
    <cfRule type="cellIs" dxfId="5400" priority="2368" operator="equal">
      <formula>0</formula>
    </cfRule>
  </conditionalFormatting>
  <conditionalFormatting sqref="H97:H98">
    <cfRule type="cellIs" dxfId="5399" priority="2369" operator="equal">
      <formula>0</formula>
    </cfRule>
    <cfRule type="cellIs" dxfId="5398" priority="2370" operator="notEqual">
      <formula>0</formula>
    </cfRule>
  </conditionalFormatting>
  <conditionalFormatting sqref="I69:I70">
    <cfRule type="cellIs" dxfId="5397" priority="2366" operator="equal">
      <formula>0</formula>
    </cfRule>
    <cfRule type="cellIs" dxfId="5396" priority="2367" operator="notEqual">
      <formula>0</formula>
    </cfRule>
  </conditionalFormatting>
  <conditionalFormatting sqref="I73:I74 I77:I78 I85:I86 I105:I106 I109:I110 I113:I114">
    <cfRule type="cellIs" dxfId="5395" priority="2364" operator="equal">
      <formula>0</formula>
    </cfRule>
    <cfRule type="cellIs" dxfId="5394" priority="2365" operator="notEqual">
      <formula>0</formula>
    </cfRule>
  </conditionalFormatting>
  <conditionalFormatting sqref="I71 I75 I79 I87 I107 I111 I115">
    <cfRule type="cellIs" dxfId="5393" priority="2363" operator="equal">
      <formula>0</formula>
    </cfRule>
  </conditionalFormatting>
  <conditionalFormatting sqref="I91">
    <cfRule type="cellIs" dxfId="5392" priority="2360" operator="equal">
      <formula>0</formula>
    </cfRule>
  </conditionalFormatting>
  <conditionalFormatting sqref="I83">
    <cfRule type="cellIs" dxfId="5391" priority="2357" operator="equal">
      <formula>0</formula>
    </cfRule>
  </conditionalFormatting>
  <conditionalFormatting sqref="I89:I90">
    <cfRule type="cellIs" dxfId="5390" priority="2361" operator="equal">
      <formula>0</formula>
    </cfRule>
    <cfRule type="cellIs" dxfId="5389" priority="2362" operator="notEqual">
      <formula>0</formula>
    </cfRule>
  </conditionalFormatting>
  <conditionalFormatting sqref="I103">
    <cfRule type="cellIs" dxfId="5388" priority="2354" operator="equal">
      <formula>0</formula>
    </cfRule>
  </conditionalFormatting>
  <conditionalFormatting sqref="I81:I82">
    <cfRule type="cellIs" dxfId="5387" priority="2358" operator="equal">
      <formula>0</formula>
    </cfRule>
    <cfRule type="cellIs" dxfId="5386" priority="2359" operator="notEqual">
      <formula>0</formula>
    </cfRule>
  </conditionalFormatting>
  <conditionalFormatting sqref="I95">
    <cfRule type="cellIs" dxfId="5385" priority="2351" operator="equal">
      <formula>0</formula>
    </cfRule>
  </conditionalFormatting>
  <conditionalFormatting sqref="I101:I102">
    <cfRule type="cellIs" dxfId="5384" priority="2355" operator="equal">
      <formula>0</formula>
    </cfRule>
    <cfRule type="cellIs" dxfId="5383" priority="2356" operator="notEqual">
      <formula>0</formula>
    </cfRule>
  </conditionalFormatting>
  <conditionalFormatting sqref="I93:I94">
    <cfRule type="cellIs" dxfId="5382" priority="2352" operator="equal">
      <formula>0</formula>
    </cfRule>
    <cfRule type="cellIs" dxfId="5381" priority="2353" operator="notEqual">
      <formula>0</formula>
    </cfRule>
  </conditionalFormatting>
  <conditionalFormatting sqref="I99">
    <cfRule type="cellIs" dxfId="5380" priority="2348" operator="equal">
      <formula>0</formula>
    </cfRule>
  </conditionalFormatting>
  <conditionalFormatting sqref="I97:I98">
    <cfRule type="cellIs" dxfId="5379" priority="2349" operator="equal">
      <formula>0</formula>
    </cfRule>
    <cfRule type="cellIs" dxfId="5378" priority="2350" operator="notEqual">
      <formula>0</formula>
    </cfRule>
  </conditionalFormatting>
  <conditionalFormatting sqref="J69:J70">
    <cfRule type="cellIs" dxfId="5377" priority="2346" operator="equal">
      <formula>0</formula>
    </cfRule>
    <cfRule type="cellIs" dxfId="5376" priority="2347" operator="notEqual">
      <formula>0</formula>
    </cfRule>
  </conditionalFormatting>
  <conditionalFormatting sqref="J73:J74 J77:J78 J85:J86 J105:J106 J109:J110 J113:J114">
    <cfRule type="cellIs" dxfId="5375" priority="2344" operator="equal">
      <formula>0</formula>
    </cfRule>
    <cfRule type="cellIs" dxfId="5374" priority="2345" operator="notEqual">
      <formula>0</formula>
    </cfRule>
  </conditionalFormatting>
  <conditionalFormatting sqref="J71 J75 J79 J87 J107 J111 J115">
    <cfRule type="cellIs" dxfId="5373" priority="2343" operator="equal">
      <formula>0</formula>
    </cfRule>
  </conditionalFormatting>
  <conditionalFormatting sqref="J91">
    <cfRule type="cellIs" dxfId="5372" priority="2340" operator="equal">
      <formula>0</formula>
    </cfRule>
  </conditionalFormatting>
  <conditionalFormatting sqref="J83">
    <cfRule type="cellIs" dxfId="5371" priority="2337" operator="equal">
      <formula>0</formula>
    </cfRule>
  </conditionalFormatting>
  <conditionalFormatting sqref="J89:J90">
    <cfRule type="cellIs" dxfId="5370" priority="2341" operator="equal">
      <formula>0</formula>
    </cfRule>
    <cfRule type="cellIs" dxfId="5369" priority="2342" operator="notEqual">
      <formula>0</formula>
    </cfRule>
  </conditionalFormatting>
  <conditionalFormatting sqref="J103">
    <cfRule type="cellIs" dxfId="5368" priority="2334" operator="equal">
      <formula>0</formula>
    </cfRule>
  </conditionalFormatting>
  <conditionalFormatting sqref="J81:J82">
    <cfRule type="cellIs" dxfId="5367" priority="2338" operator="equal">
      <formula>0</formula>
    </cfRule>
    <cfRule type="cellIs" dxfId="5366" priority="2339" operator="notEqual">
      <formula>0</formula>
    </cfRule>
  </conditionalFormatting>
  <conditionalFormatting sqref="J95">
    <cfRule type="cellIs" dxfId="5365" priority="2331" operator="equal">
      <formula>0</formula>
    </cfRule>
  </conditionalFormatting>
  <conditionalFormatting sqref="J101:J102">
    <cfRule type="cellIs" dxfId="5364" priority="2335" operator="equal">
      <formula>0</formula>
    </cfRule>
    <cfRule type="cellIs" dxfId="5363" priority="2336" operator="notEqual">
      <formula>0</formula>
    </cfRule>
  </conditionalFormatting>
  <conditionalFormatting sqref="J93:J94">
    <cfRule type="cellIs" dxfId="5362" priority="2332" operator="equal">
      <formula>0</formula>
    </cfRule>
    <cfRule type="cellIs" dxfId="5361" priority="2333" operator="notEqual">
      <formula>0</formula>
    </cfRule>
  </conditionalFormatting>
  <conditionalFormatting sqref="J99">
    <cfRule type="cellIs" dxfId="5360" priority="2328" operator="equal">
      <formula>0</formula>
    </cfRule>
  </conditionalFormatting>
  <conditionalFormatting sqref="J97:J98">
    <cfRule type="cellIs" dxfId="5359" priority="2329" operator="equal">
      <formula>0</formula>
    </cfRule>
    <cfRule type="cellIs" dxfId="5358" priority="2330" operator="notEqual">
      <formula>0</formula>
    </cfRule>
  </conditionalFormatting>
  <conditionalFormatting sqref="K69:K70">
    <cfRule type="cellIs" dxfId="5357" priority="2326" operator="equal">
      <formula>0</formula>
    </cfRule>
    <cfRule type="cellIs" dxfId="5356" priority="2327" operator="notEqual">
      <formula>0</formula>
    </cfRule>
  </conditionalFormatting>
  <conditionalFormatting sqref="K73:K74 K77:K78 K85:K86 K105:K106 K109:K110 K113:K114">
    <cfRule type="cellIs" dxfId="5355" priority="2324" operator="equal">
      <formula>0</formula>
    </cfRule>
    <cfRule type="cellIs" dxfId="5354" priority="2325" operator="notEqual">
      <formula>0</formula>
    </cfRule>
  </conditionalFormatting>
  <conditionalFormatting sqref="K71 K75 K79 K87 K107 K111 K115">
    <cfRule type="cellIs" dxfId="5353" priority="2323" operator="equal">
      <formula>0</formula>
    </cfRule>
  </conditionalFormatting>
  <conditionalFormatting sqref="K91">
    <cfRule type="cellIs" dxfId="5352" priority="2320" operator="equal">
      <formula>0</formula>
    </cfRule>
  </conditionalFormatting>
  <conditionalFormatting sqref="K83">
    <cfRule type="cellIs" dxfId="5351" priority="2317" operator="equal">
      <formula>0</formula>
    </cfRule>
  </conditionalFormatting>
  <conditionalFormatting sqref="K89:K90">
    <cfRule type="cellIs" dxfId="5350" priority="2321" operator="equal">
      <formula>0</formula>
    </cfRule>
    <cfRule type="cellIs" dxfId="5349" priority="2322" operator="notEqual">
      <formula>0</formula>
    </cfRule>
  </conditionalFormatting>
  <conditionalFormatting sqref="K103">
    <cfRule type="cellIs" dxfId="5348" priority="2314" operator="equal">
      <formula>0</formula>
    </cfRule>
  </conditionalFormatting>
  <conditionalFormatting sqref="K81:K82">
    <cfRule type="cellIs" dxfId="5347" priority="2318" operator="equal">
      <formula>0</formula>
    </cfRule>
    <cfRule type="cellIs" dxfId="5346" priority="2319" operator="notEqual">
      <formula>0</formula>
    </cfRule>
  </conditionalFormatting>
  <conditionalFormatting sqref="K95">
    <cfRule type="cellIs" dxfId="5345" priority="2311" operator="equal">
      <formula>0</formula>
    </cfRule>
  </conditionalFormatting>
  <conditionalFormatting sqref="K101:K102">
    <cfRule type="cellIs" dxfId="5344" priority="2315" operator="equal">
      <formula>0</formula>
    </cfRule>
    <cfRule type="cellIs" dxfId="5343" priority="2316" operator="notEqual">
      <formula>0</formula>
    </cfRule>
  </conditionalFormatting>
  <conditionalFormatting sqref="K93:K94">
    <cfRule type="cellIs" dxfId="5342" priority="2312" operator="equal">
      <formula>0</formula>
    </cfRule>
    <cfRule type="cellIs" dxfId="5341" priority="2313" operator="notEqual">
      <formula>0</formula>
    </cfRule>
  </conditionalFormatting>
  <conditionalFormatting sqref="K99">
    <cfRule type="cellIs" dxfId="5340" priority="2308" operator="equal">
      <formula>0</formula>
    </cfRule>
  </conditionalFormatting>
  <conditionalFormatting sqref="K97:K98">
    <cfRule type="cellIs" dxfId="5339" priority="2309" operator="equal">
      <formula>0</formula>
    </cfRule>
    <cfRule type="cellIs" dxfId="5338" priority="2310" operator="notEqual">
      <formula>0</formula>
    </cfRule>
  </conditionalFormatting>
  <conditionalFormatting sqref="L71 L75 L79 L87 L107 L111 L115">
    <cfRule type="cellIs" dxfId="5337" priority="2307" operator="equal">
      <formula>0</formula>
    </cfRule>
  </conditionalFormatting>
  <conditionalFormatting sqref="L91">
    <cfRule type="cellIs" dxfId="5336" priority="2306" operator="equal">
      <formula>0</formula>
    </cfRule>
  </conditionalFormatting>
  <conditionalFormatting sqref="L83">
    <cfRule type="cellIs" dxfId="5335" priority="2305" operator="equal">
      <formula>0</formula>
    </cfRule>
  </conditionalFormatting>
  <conditionalFormatting sqref="L103">
    <cfRule type="cellIs" dxfId="5334" priority="2304" operator="equal">
      <formula>0</formula>
    </cfRule>
  </conditionalFormatting>
  <conditionalFormatting sqref="L95">
    <cfRule type="cellIs" dxfId="5333" priority="2303" operator="equal">
      <formula>0</formula>
    </cfRule>
  </conditionalFormatting>
  <conditionalFormatting sqref="L99">
    <cfRule type="cellIs" dxfId="5332" priority="2302" operator="equal">
      <formula>0</formula>
    </cfRule>
  </conditionalFormatting>
  <conditionalFormatting sqref="M71 M75 M79 M87 M107 M111 M115">
    <cfRule type="cellIs" dxfId="5331" priority="2301" operator="equal">
      <formula>0</formula>
    </cfRule>
  </conditionalFormatting>
  <conditionalFormatting sqref="M91">
    <cfRule type="cellIs" dxfId="5330" priority="2300" operator="equal">
      <formula>0</formula>
    </cfRule>
  </conditionalFormatting>
  <conditionalFormatting sqref="M83">
    <cfRule type="cellIs" dxfId="5329" priority="2299" operator="equal">
      <formula>0</formula>
    </cfRule>
  </conditionalFormatting>
  <conditionalFormatting sqref="M103">
    <cfRule type="cellIs" dxfId="5328" priority="2298" operator="equal">
      <formula>0</formula>
    </cfRule>
  </conditionalFormatting>
  <conditionalFormatting sqref="M95">
    <cfRule type="cellIs" dxfId="5327" priority="2297" operator="equal">
      <formula>0</formula>
    </cfRule>
  </conditionalFormatting>
  <conditionalFormatting sqref="M99">
    <cfRule type="cellIs" dxfId="5326" priority="2296" operator="equal">
      <formula>0</formula>
    </cfRule>
  </conditionalFormatting>
  <conditionalFormatting sqref="N71 N75 N79 N87 N107 N111 N115">
    <cfRule type="cellIs" dxfId="5325" priority="2295" operator="equal">
      <formula>0</formula>
    </cfRule>
  </conditionalFormatting>
  <conditionalFormatting sqref="N91">
    <cfRule type="cellIs" dxfId="5324" priority="2294" operator="equal">
      <formula>0</formula>
    </cfRule>
  </conditionalFormatting>
  <conditionalFormatting sqref="N83">
    <cfRule type="cellIs" dxfId="5323" priority="2293" operator="equal">
      <formula>0</formula>
    </cfRule>
  </conditionalFormatting>
  <conditionalFormatting sqref="N103">
    <cfRule type="cellIs" dxfId="5322" priority="2292" operator="equal">
      <formula>0</formula>
    </cfRule>
  </conditionalFormatting>
  <conditionalFormatting sqref="N95">
    <cfRule type="cellIs" dxfId="5321" priority="2291" operator="equal">
      <formula>0</formula>
    </cfRule>
  </conditionalFormatting>
  <conditionalFormatting sqref="N99">
    <cfRule type="cellIs" dxfId="5320" priority="2290" operator="equal">
      <formula>0</formula>
    </cfRule>
  </conditionalFormatting>
  <conditionalFormatting sqref="O71 O75 O79 O87 O107 O111 O115">
    <cfRule type="cellIs" dxfId="5319" priority="2289" operator="equal">
      <formula>0</formula>
    </cfRule>
  </conditionalFormatting>
  <conditionalFormatting sqref="O91">
    <cfRule type="cellIs" dxfId="5318" priority="2288" operator="equal">
      <formula>0</formula>
    </cfRule>
  </conditionalFormatting>
  <conditionalFormatting sqref="O83">
    <cfRule type="cellIs" dxfId="5317" priority="2287" operator="equal">
      <formula>0</formula>
    </cfRule>
  </conditionalFormatting>
  <conditionalFormatting sqref="O103">
    <cfRule type="cellIs" dxfId="5316" priority="2286" operator="equal">
      <formula>0</formula>
    </cfRule>
  </conditionalFormatting>
  <conditionalFormatting sqref="O95">
    <cfRule type="cellIs" dxfId="5315" priority="2285" operator="equal">
      <formula>0</formula>
    </cfRule>
  </conditionalFormatting>
  <conditionalFormatting sqref="O99">
    <cfRule type="cellIs" dxfId="5314" priority="2284" operator="equal">
      <formula>0</formula>
    </cfRule>
  </conditionalFormatting>
  <conditionalFormatting sqref="Y16:Y17 Y32:Y33 Y36:Y37 Y44:Y45 Y48:Y49 Y52:Y53 Y56:Y57 Y60:Y61">
    <cfRule type="cellIs" dxfId="5313" priority="2283" operator="greaterThan">
      <formula>0</formula>
    </cfRule>
  </conditionalFormatting>
  <conditionalFormatting sqref="Y16:Y17 Y32:Y33 Y36:Y37 Y44:Y45 Y48:Y49 Y52:Y53 Y56:Y57 Y60:Y61">
    <cfRule type="cellIs" dxfId="5312" priority="2282" operator="equal">
      <formula>0</formula>
    </cfRule>
  </conditionalFormatting>
  <conditionalFormatting sqref="Y18 Y34 Y46 Y50 Y54 Y62 Y38:Y42">
    <cfRule type="cellIs" dxfId="5311" priority="2281" operator="equal">
      <formula>0</formula>
    </cfRule>
  </conditionalFormatting>
  <conditionalFormatting sqref="Y12:Y13">
    <cfRule type="cellIs" dxfId="5310" priority="2280" operator="greaterThan">
      <formula>0</formula>
    </cfRule>
  </conditionalFormatting>
  <conditionalFormatting sqref="Y12:Y13">
    <cfRule type="cellIs" dxfId="5309" priority="2279" operator="equal">
      <formula>0</formula>
    </cfRule>
  </conditionalFormatting>
  <conditionalFormatting sqref="Y14">
    <cfRule type="cellIs" dxfId="5308" priority="2278" operator="equal">
      <formula>0</formula>
    </cfRule>
  </conditionalFormatting>
  <conditionalFormatting sqref="Y20:Y21">
    <cfRule type="cellIs" dxfId="5307" priority="2277" operator="greaterThan">
      <formula>0</formula>
    </cfRule>
  </conditionalFormatting>
  <conditionalFormatting sqref="Y20:Y21">
    <cfRule type="cellIs" dxfId="5306" priority="2276" operator="equal">
      <formula>0</formula>
    </cfRule>
  </conditionalFormatting>
  <conditionalFormatting sqref="Y22">
    <cfRule type="cellIs" dxfId="5305" priority="2275" operator="equal">
      <formula>0</formula>
    </cfRule>
  </conditionalFormatting>
  <conditionalFormatting sqref="Y24:Y25">
    <cfRule type="cellIs" dxfId="5304" priority="2274" operator="greaterThan">
      <formula>0</formula>
    </cfRule>
  </conditionalFormatting>
  <conditionalFormatting sqref="Y24:Y25">
    <cfRule type="cellIs" dxfId="5303" priority="2273" operator="equal">
      <formula>0</formula>
    </cfRule>
  </conditionalFormatting>
  <conditionalFormatting sqref="Y26">
    <cfRule type="cellIs" dxfId="5302" priority="2272" operator="equal">
      <formula>0</formula>
    </cfRule>
  </conditionalFormatting>
  <conditionalFormatting sqref="Y28:Y29">
    <cfRule type="cellIs" dxfId="5301" priority="2271" operator="greaterThan">
      <formula>0</formula>
    </cfRule>
  </conditionalFormatting>
  <conditionalFormatting sqref="Y28:Y29">
    <cfRule type="cellIs" dxfId="5300" priority="2270" operator="equal">
      <formula>0</formula>
    </cfRule>
  </conditionalFormatting>
  <conditionalFormatting sqref="Y30">
    <cfRule type="cellIs" dxfId="5299" priority="2269" operator="equal">
      <formula>0</formula>
    </cfRule>
  </conditionalFormatting>
  <conditionalFormatting sqref="Z16:Z17 Z32:Z33 Z36:Z37 Z44:Z45 Z48:Z49 Z52:Z53 Z56:Z57 Z60:Z61">
    <cfRule type="cellIs" dxfId="5298" priority="2268" operator="greaterThan">
      <formula>0</formula>
    </cfRule>
  </conditionalFormatting>
  <conditionalFormatting sqref="Z16:Z17 Z32:Z33 Z36:Z37 Z44:Z45 Z48:Z49 Z52:Z53 Z56:Z57 Z60:Z61">
    <cfRule type="cellIs" dxfId="5297" priority="2267" operator="equal">
      <formula>0</formula>
    </cfRule>
  </conditionalFormatting>
  <conditionalFormatting sqref="Z18 Z34 Z46 Z50 Z54 Z58 Z62 Z38:Z42">
    <cfRule type="cellIs" dxfId="5296" priority="2266" operator="equal">
      <formula>0</formula>
    </cfRule>
  </conditionalFormatting>
  <conditionalFormatting sqref="Z12:Z13">
    <cfRule type="cellIs" dxfId="5295" priority="2265" operator="greaterThan">
      <formula>0</formula>
    </cfRule>
  </conditionalFormatting>
  <conditionalFormatting sqref="Z12:Z13">
    <cfRule type="cellIs" dxfId="5294" priority="2264" operator="equal">
      <formula>0</formula>
    </cfRule>
  </conditionalFormatting>
  <conditionalFormatting sqref="Z14">
    <cfRule type="cellIs" dxfId="5293" priority="2263" operator="equal">
      <formula>0</formula>
    </cfRule>
  </conditionalFormatting>
  <conditionalFormatting sqref="Z20:Z21">
    <cfRule type="cellIs" dxfId="5292" priority="2262" operator="greaterThan">
      <formula>0</formula>
    </cfRule>
  </conditionalFormatting>
  <conditionalFormatting sqref="Z20:Z21">
    <cfRule type="cellIs" dxfId="5291" priority="2261" operator="equal">
      <formula>0</formula>
    </cfRule>
  </conditionalFormatting>
  <conditionalFormatting sqref="Z22">
    <cfRule type="cellIs" dxfId="5290" priority="2260" operator="equal">
      <formula>0</formula>
    </cfRule>
  </conditionalFormatting>
  <conditionalFormatting sqref="Z24:Z25">
    <cfRule type="cellIs" dxfId="5289" priority="2259" operator="greaterThan">
      <formula>0</formula>
    </cfRule>
  </conditionalFormatting>
  <conditionalFormatting sqref="Z24:Z25">
    <cfRule type="cellIs" dxfId="5288" priority="2258" operator="equal">
      <formula>0</formula>
    </cfRule>
  </conditionalFormatting>
  <conditionalFormatting sqref="Z26">
    <cfRule type="cellIs" dxfId="5287" priority="2257" operator="equal">
      <formula>0</formula>
    </cfRule>
  </conditionalFormatting>
  <conditionalFormatting sqref="Z28:Z29">
    <cfRule type="cellIs" dxfId="5286" priority="2256" operator="greaterThan">
      <formula>0</formula>
    </cfRule>
  </conditionalFormatting>
  <conditionalFormatting sqref="Z28:Z29">
    <cfRule type="cellIs" dxfId="5285" priority="2255" operator="equal">
      <formula>0</formula>
    </cfRule>
  </conditionalFormatting>
  <conditionalFormatting sqref="Z30">
    <cfRule type="cellIs" dxfId="5284" priority="2254" operator="equal">
      <formula>0</formula>
    </cfRule>
  </conditionalFormatting>
  <conditionalFormatting sqref="AA16:AA17 AA32:AA33 AA36:AA37 AA44:AA45 AA48:AA49 AA52:AA53 AA56:AA57 AA60:AA61">
    <cfRule type="cellIs" dxfId="5283" priority="2253" operator="greaterThan">
      <formula>0</formula>
    </cfRule>
  </conditionalFormatting>
  <conditionalFormatting sqref="AA16:AA17 AA32:AA33 AA36:AA37 AA44:AA45 AA48:AA49 AA52:AA53 AA56:AA57 AA60:AA61">
    <cfRule type="cellIs" dxfId="5282" priority="2252" operator="equal">
      <formula>0</formula>
    </cfRule>
  </conditionalFormatting>
  <conditionalFormatting sqref="AA18 AA34 AA46 AA50 AA54 AA58 AA62 AA38:AA42">
    <cfRule type="cellIs" dxfId="5281" priority="2251" operator="equal">
      <formula>0</formula>
    </cfRule>
  </conditionalFormatting>
  <conditionalFormatting sqref="AA12:AA13">
    <cfRule type="cellIs" dxfId="5280" priority="2250" operator="greaterThan">
      <formula>0</formula>
    </cfRule>
  </conditionalFormatting>
  <conditionalFormatting sqref="AA12:AA13">
    <cfRule type="cellIs" dxfId="5279" priority="2249" operator="equal">
      <formula>0</formula>
    </cfRule>
  </conditionalFormatting>
  <conditionalFormatting sqref="AA14">
    <cfRule type="cellIs" dxfId="5278" priority="2248" operator="equal">
      <formula>0</formula>
    </cfRule>
  </conditionalFormatting>
  <conditionalFormatting sqref="AA20:AA21">
    <cfRule type="cellIs" dxfId="5277" priority="2247" operator="greaterThan">
      <formula>0</formula>
    </cfRule>
  </conditionalFormatting>
  <conditionalFormatting sqref="AA20:AA21">
    <cfRule type="cellIs" dxfId="5276" priority="2246" operator="equal">
      <formula>0</formula>
    </cfRule>
  </conditionalFormatting>
  <conditionalFormatting sqref="AA22">
    <cfRule type="cellIs" dxfId="5275" priority="2245" operator="equal">
      <formula>0</formula>
    </cfRule>
  </conditionalFormatting>
  <conditionalFormatting sqref="AA24:AA25">
    <cfRule type="cellIs" dxfId="5274" priority="2244" operator="greaterThan">
      <formula>0</formula>
    </cfRule>
  </conditionalFormatting>
  <conditionalFormatting sqref="AA24:AA25">
    <cfRule type="cellIs" dxfId="5273" priority="2243" operator="equal">
      <formula>0</formula>
    </cfRule>
  </conditionalFormatting>
  <conditionalFormatting sqref="AA26">
    <cfRule type="cellIs" dxfId="5272" priority="2242" operator="equal">
      <formula>0</formula>
    </cfRule>
  </conditionalFormatting>
  <conditionalFormatting sqref="AA28:AA29">
    <cfRule type="cellIs" dxfId="5271" priority="2241" operator="greaterThan">
      <formula>0</formula>
    </cfRule>
  </conditionalFormatting>
  <conditionalFormatting sqref="AA28:AA29">
    <cfRule type="cellIs" dxfId="5270" priority="2240" operator="equal">
      <formula>0</formula>
    </cfRule>
  </conditionalFormatting>
  <conditionalFormatting sqref="AA30">
    <cfRule type="cellIs" dxfId="5269" priority="2239" operator="equal">
      <formula>0</formula>
    </cfRule>
  </conditionalFormatting>
  <conditionalFormatting sqref="AB16:AB17 AB32:AB33 AB36:AB37 AB44:AB45 AB48:AB49 AB52:AB53 AB56:AB57 AB60:AB61">
    <cfRule type="cellIs" dxfId="5268" priority="2238" operator="greaterThan">
      <formula>0</formula>
    </cfRule>
  </conditionalFormatting>
  <conditionalFormatting sqref="AB16:AB17 AB32:AB33 AB36:AB37 AB44:AB45 AB48:AB49 AB52:AB53 AB56:AB57 AB60:AB61">
    <cfRule type="cellIs" dxfId="5267" priority="2237" operator="equal">
      <formula>0</formula>
    </cfRule>
  </conditionalFormatting>
  <conditionalFormatting sqref="AB18 AB34 AB46 AB50 AB54 AB58 AB62 AB38:AB42">
    <cfRule type="cellIs" dxfId="5266" priority="2236" operator="equal">
      <formula>0</formula>
    </cfRule>
  </conditionalFormatting>
  <conditionalFormatting sqref="AB12:AB13">
    <cfRule type="cellIs" dxfId="5265" priority="2235" operator="greaterThan">
      <formula>0</formula>
    </cfRule>
  </conditionalFormatting>
  <conditionalFormatting sqref="AB12:AB13">
    <cfRule type="cellIs" dxfId="5264" priority="2234" operator="equal">
      <formula>0</formula>
    </cfRule>
  </conditionalFormatting>
  <conditionalFormatting sqref="AB14">
    <cfRule type="cellIs" dxfId="5263" priority="2233" operator="equal">
      <formula>0</formula>
    </cfRule>
  </conditionalFormatting>
  <conditionalFormatting sqref="AB20:AB21">
    <cfRule type="cellIs" dxfId="5262" priority="2232" operator="greaterThan">
      <formula>0</formula>
    </cfRule>
  </conditionalFormatting>
  <conditionalFormatting sqref="AB20:AB21">
    <cfRule type="cellIs" dxfId="5261" priority="2231" operator="equal">
      <formula>0</formula>
    </cfRule>
  </conditionalFormatting>
  <conditionalFormatting sqref="AB22">
    <cfRule type="cellIs" dxfId="5260" priority="2230" operator="equal">
      <formula>0</formula>
    </cfRule>
  </conditionalFormatting>
  <conditionalFormatting sqref="AB24:AB25">
    <cfRule type="cellIs" dxfId="5259" priority="2229" operator="greaterThan">
      <formula>0</formula>
    </cfRule>
  </conditionalFormatting>
  <conditionalFormatting sqref="AB24:AB25">
    <cfRule type="cellIs" dxfId="5258" priority="2228" operator="equal">
      <formula>0</formula>
    </cfRule>
  </conditionalFormatting>
  <conditionalFormatting sqref="AB26">
    <cfRule type="cellIs" dxfId="5257" priority="2227" operator="equal">
      <formula>0</formula>
    </cfRule>
  </conditionalFormatting>
  <conditionalFormatting sqref="AB28:AB29">
    <cfRule type="cellIs" dxfId="5256" priority="2226" operator="greaterThan">
      <formula>0</formula>
    </cfRule>
  </conditionalFormatting>
  <conditionalFormatting sqref="AB28:AB29">
    <cfRule type="cellIs" dxfId="5255" priority="2225" operator="equal">
      <formula>0</formula>
    </cfRule>
  </conditionalFormatting>
  <conditionalFormatting sqref="AB30">
    <cfRule type="cellIs" dxfId="5254" priority="2224" operator="equal">
      <formula>0</formula>
    </cfRule>
  </conditionalFormatting>
  <conditionalFormatting sqref="AC16:AC17 AC32:AC33 AC36:AC37 AC44:AC45 AC48:AC49 AC52:AC53 AC56:AC57 AC60:AC61">
    <cfRule type="cellIs" dxfId="5253" priority="2223" operator="greaterThan">
      <formula>0</formula>
    </cfRule>
  </conditionalFormatting>
  <conditionalFormatting sqref="AC16:AC17 AC32:AC33 AC36:AC37 AC44:AC45 AC48:AC49 AC52:AC53 AC56:AC57 AC60:AC61">
    <cfRule type="cellIs" dxfId="5252" priority="2222" operator="equal">
      <formula>0</formula>
    </cfRule>
  </conditionalFormatting>
  <conditionalFormatting sqref="AC18 AC34 AC46 AC50 AC54 AC58 AC62 AC38:AC42">
    <cfRule type="cellIs" dxfId="5251" priority="2221" operator="equal">
      <formula>0</formula>
    </cfRule>
  </conditionalFormatting>
  <conditionalFormatting sqref="AC12:AC13">
    <cfRule type="cellIs" dxfId="5250" priority="2220" operator="greaterThan">
      <formula>0</formula>
    </cfRule>
  </conditionalFormatting>
  <conditionalFormatting sqref="AC12:AC13">
    <cfRule type="cellIs" dxfId="5249" priority="2219" operator="equal">
      <formula>0</formula>
    </cfRule>
  </conditionalFormatting>
  <conditionalFormatting sqref="AC14">
    <cfRule type="cellIs" dxfId="5248" priority="2218" operator="equal">
      <formula>0</formula>
    </cfRule>
  </conditionalFormatting>
  <conditionalFormatting sqref="AC20:AC21">
    <cfRule type="cellIs" dxfId="5247" priority="2217" operator="greaterThan">
      <formula>0</formula>
    </cfRule>
  </conditionalFormatting>
  <conditionalFormatting sqref="AC20:AC21">
    <cfRule type="cellIs" dxfId="5246" priority="2216" operator="equal">
      <formula>0</formula>
    </cfRule>
  </conditionalFormatting>
  <conditionalFormatting sqref="AC22">
    <cfRule type="cellIs" dxfId="5245" priority="2215" operator="equal">
      <formula>0</formula>
    </cfRule>
  </conditionalFormatting>
  <conditionalFormatting sqref="AC24:AC25">
    <cfRule type="cellIs" dxfId="5244" priority="2214" operator="greaterThan">
      <formula>0</formula>
    </cfRule>
  </conditionalFormatting>
  <conditionalFormatting sqref="AC24:AC25">
    <cfRule type="cellIs" dxfId="5243" priority="2213" operator="equal">
      <formula>0</formula>
    </cfRule>
  </conditionalFormatting>
  <conditionalFormatting sqref="AC26">
    <cfRule type="cellIs" dxfId="5242" priority="2212" operator="equal">
      <formula>0</formula>
    </cfRule>
  </conditionalFormatting>
  <conditionalFormatting sqref="AC28:AC29">
    <cfRule type="cellIs" dxfId="5241" priority="2211" operator="greaterThan">
      <formula>0</formula>
    </cfRule>
  </conditionalFormatting>
  <conditionalFormatting sqref="AC28:AC29">
    <cfRule type="cellIs" dxfId="5240" priority="2210" operator="equal">
      <formula>0</formula>
    </cfRule>
  </conditionalFormatting>
  <conditionalFormatting sqref="AC30">
    <cfRule type="cellIs" dxfId="5239" priority="2209" operator="equal">
      <formula>0</formula>
    </cfRule>
  </conditionalFormatting>
  <conditionalFormatting sqref="AD16:AD17 AD32:AD33 AD36:AD37 AD44:AD45 AD48:AD49 AD52:AD53 AD56:AD57 AD60:AD61">
    <cfRule type="cellIs" dxfId="5238" priority="2208" operator="greaterThan">
      <formula>0</formula>
    </cfRule>
  </conditionalFormatting>
  <conditionalFormatting sqref="AD16:AD17 AD32:AD33 AD36:AD37 AD44:AD45 AD48:AD49 AD52:AD53 AD56:AD57 AD60:AD61">
    <cfRule type="cellIs" dxfId="5237" priority="2207" operator="equal">
      <formula>0</formula>
    </cfRule>
  </conditionalFormatting>
  <conditionalFormatting sqref="AD18 AD34 AD46 AD50 AD54 AD58 AD62 AD38:AD42">
    <cfRule type="cellIs" dxfId="5236" priority="2206" operator="equal">
      <formula>0</formula>
    </cfRule>
  </conditionalFormatting>
  <conditionalFormatting sqref="AD12:AD13">
    <cfRule type="cellIs" dxfId="5235" priority="2205" operator="greaterThan">
      <formula>0</formula>
    </cfRule>
  </conditionalFormatting>
  <conditionalFormatting sqref="AD12:AD13">
    <cfRule type="cellIs" dxfId="5234" priority="2204" operator="equal">
      <formula>0</formula>
    </cfRule>
  </conditionalFormatting>
  <conditionalFormatting sqref="AD14">
    <cfRule type="cellIs" dxfId="5233" priority="2203" operator="equal">
      <formula>0</formula>
    </cfRule>
  </conditionalFormatting>
  <conditionalFormatting sqref="AD20:AD21">
    <cfRule type="cellIs" dxfId="5232" priority="2202" operator="greaterThan">
      <formula>0</formula>
    </cfRule>
  </conditionalFormatting>
  <conditionalFormatting sqref="AD20:AD21">
    <cfRule type="cellIs" dxfId="5231" priority="2201" operator="equal">
      <formula>0</formula>
    </cfRule>
  </conditionalFormatting>
  <conditionalFormatting sqref="AD22">
    <cfRule type="cellIs" dxfId="5230" priority="2200" operator="equal">
      <formula>0</formula>
    </cfRule>
  </conditionalFormatting>
  <conditionalFormatting sqref="AD24:AD25">
    <cfRule type="cellIs" dxfId="5229" priority="2199" operator="greaterThan">
      <formula>0</formula>
    </cfRule>
  </conditionalFormatting>
  <conditionalFormatting sqref="AD24:AD25">
    <cfRule type="cellIs" dxfId="5228" priority="2198" operator="equal">
      <formula>0</formula>
    </cfRule>
  </conditionalFormatting>
  <conditionalFormatting sqref="AD26">
    <cfRule type="cellIs" dxfId="5227" priority="2197" operator="equal">
      <formula>0</formula>
    </cfRule>
  </conditionalFormatting>
  <conditionalFormatting sqref="AD28:AD29">
    <cfRule type="cellIs" dxfId="5226" priority="2196" operator="greaterThan">
      <formula>0</formula>
    </cfRule>
  </conditionalFormatting>
  <conditionalFormatting sqref="AD28:AD29">
    <cfRule type="cellIs" dxfId="5225" priority="2195" operator="equal">
      <formula>0</formula>
    </cfRule>
  </conditionalFormatting>
  <conditionalFormatting sqref="AD30">
    <cfRule type="cellIs" dxfId="5224" priority="2194" operator="equal">
      <formula>0</formula>
    </cfRule>
  </conditionalFormatting>
  <conditionalFormatting sqref="AE16:AE17 AE32:AE33 AE36:AE37 AE44:AE45 AE48:AE49 AE52:AE53 AE56:AE57 AE60:AE61">
    <cfRule type="cellIs" dxfId="5223" priority="2193" operator="greaterThan">
      <formula>0</formula>
    </cfRule>
  </conditionalFormatting>
  <conditionalFormatting sqref="AE16:AE17 AE32:AE33 AE36:AE37 AE44:AE45 AE48:AE49 AE52:AE53 AE56:AE57 AE60:AE61">
    <cfRule type="cellIs" dxfId="5222" priority="2192" operator="equal">
      <formula>0</formula>
    </cfRule>
  </conditionalFormatting>
  <conditionalFormatting sqref="AE18 AE34 AE46 AE50 AE54 AE58 AE62 AE38:AE42">
    <cfRule type="cellIs" dxfId="5221" priority="2191" operator="equal">
      <formula>0</formula>
    </cfRule>
  </conditionalFormatting>
  <conditionalFormatting sqref="AE12:AE13">
    <cfRule type="cellIs" dxfId="5220" priority="2190" operator="greaterThan">
      <formula>0</formula>
    </cfRule>
  </conditionalFormatting>
  <conditionalFormatting sqref="AE12:AE13">
    <cfRule type="cellIs" dxfId="5219" priority="2189" operator="equal">
      <formula>0</formula>
    </cfRule>
  </conditionalFormatting>
  <conditionalFormatting sqref="AE14">
    <cfRule type="cellIs" dxfId="5218" priority="2188" operator="equal">
      <formula>0</formula>
    </cfRule>
  </conditionalFormatting>
  <conditionalFormatting sqref="AE20:AE21">
    <cfRule type="cellIs" dxfId="5217" priority="2187" operator="greaterThan">
      <formula>0</formula>
    </cfRule>
  </conditionalFormatting>
  <conditionalFormatting sqref="AE20:AE21">
    <cfRule type="cellIs" dxfId="5216" priority="2186" operator="equal">
      <formula>0</formula>
    </cfRule>
  </conditionalFormatting>
  <conditionalFormatting sqref="AE22">
    <cfRule type="cellIs" dxfId="5215" priority="2185" operator="equal">
      <formula>0</formula>
    </cfRule>
  </conditionalFormatting>
  <conditionalFormatting sqref="AE24:AE25">
    <cfRule type="cellIs" dxfId="5214" priority="2184" operator="greaterThan">
      <formula>0</formula>
    </cfRule>
  </conditionalFormatting>
  <conditionalFormatting sqref="AE24:AE25">
    <cfRule type="cellIs" dxfId="5213" priority="2183" operator="equal">
      <formula>0</formula>
    </cfRule>
  </conditionalFormatting>
  <conditionalFormatting sqref="AE26">
    <cfRule type="cellIs" dxfId="5212" priority="2182" operator="equal">
      <formula>0</formula>
    </cfRule>
  </conditionalFormatting>
  <conditionalFormatting sqref="AE28:AE29">
    <cfRule type="cellIs" dxfId="5211" priority="2181" operator="greaterThan">
      <formula>0</formula>
    </cfRule>
  </conditionalFormatting>
  <conditionalFormatting sqref="AE28:AE29">
    <cfRule type="cellIs" dxfId="5210" priority="2180" operator="equal">
      <formula>0</formula>
    </cfRule>
  </conditionalFormatting>
  <conditionalFormatting sqref="AE30">
    <cfRule type="cellIs" dxfId="5209" priority="2179" operator="equal">
      <formula>0</formula>
    </cfRule>
  </conditionalFormatting>
  <conditionalFormatting sqref="AF16:AF17 AF32:AF33 AF36:AF37 AF44:AF45 AF48:AF49 AF52:AF53 AF56:AF57 AF60:AF61">
    <cfRule type="cellIs" dxfId="5208" priority="2178" operator="greaterThan">
      <formula>0</formula>
    </cfRule>
  </conditionalFormatting>
  <conditionalFormatting sqref="AF16:AF17 AF32:AF33 AF36:AF37 AF44:AF45 AF48:AF49 AF52:AF53 AF56:AF57 AF60:AF61">
    <cfRule type="cellIs" dxfId="5207" priority="2177" operator="equal">
      <formula>0</formula>
    </cfRule>
  </conditionalFormatting>
  <conditionalFormatting sqref="AF18 AF34 AF46 AF50 AF54 AF58 AF62 AF38:AF42">
    <cfRule type="cellIs" dxfId="5206" priority="2176" operator="equal">
      <formula>0</formula>
    </cfRule>
  </conditionalFormatting>
  <conditionalFormatting sqref="AF12:AF13">
    <cfRule type="cellIs" dxfId="5205" priority="2175" operator="greaterThan">
      <formula>0</formula>
    </cfRule>
  </conditionalFormatting>
  <conditionalFormatting sqref="AF12:AF13">
    <cfRule type="cellIs" dxfId="5204" priority="2174" operator="equal">
      <formula>0</formula>
    </cfRule>
  </conditionalFormatting>
  <conditionalFormatting sqref="AF14">
    <cfRule type="cellIs" dxfId="5203" priority="2173" operator="equal">
      <formula>0</formula>
    </cfRule>
  </conditionalFormatting>
  <conditionalFormatting sqref="AF20:AF21">
    <cfRule type="cellIs" dxfId="5202" priority="2172" operator="greaterThan">
      <formula>0</formula>
    </cfRule>
  </conditionalFormatting>
  <conditionalFormatting sqref="AF20:AF21">
    <cfRule type="cellIs" dxfId="5201" priority="2171" operator="equal">
      <formula>0</formula>
    </cfRule>
  </conditionalFormatting>
  <conditionalFormatting sqref="AF22">
    <cfRule type="cellIs" dxfId="5200" priority="2170" operator="equal">
      <formula>0</formula>
    </cfRule>
  </conditionalFormatting>
  <conditionalFormatting sqref="AF24:AF25">
    <cfRule type="cellIs" dxfId="5199" priority="2169" operator="greaterThan">
      <formula>0</formula>
    </cfRule>
  </conditionalFormatting>
  <conditionalFormatting sqref="AF24:AF25">
    <cfRule type="cellIs" dxfId="5198" priority="2168" operator="equal">
      <formula>0</formula>
    </cfRule>
  </conditionalFormatting>
  <conditionalFormatting sqref="AF26">
    <cfRule type="cellIs" dxfId="5197" priority="2167" operator="equal">
      <formula>0</formula>
    </cfRule>
  </conditionalFormatting>
  <conditionalFormatting sqref="AF28:AF29">
    <cfRule type="cellIs" dxfId="5196" priority="2166" operator="greaterThan">
      <formula>0</formula>
    </cfRule>
  </conditionalFormatting>
  <conditionalFormatting sqref="AF28:AF29">
    <cfRule type="cellIs" dxfId="5195" priority="2165" operator="equal">
      <formula>0</formula>
    </cfRule>
  </conditionalFormatting>
  <conditionalFormatting sqref="AF30">
    <cfRule type="cellIs" dxfId="5194" priority="2164" operator="equal">
      <formula>0</formula>
    </cfRule>
  </conditionalFormatting>
  <conditionalFormatting sqref="AG18 AG34 AG46 AG50 AG54 AG58 AG62 AG38:AG42">
    <cfRule type="cellIs" dxfId="5193" priority="2163" operator="equal">
      <formula>0</formula>
    </cfRule>
  </conditionalFormatting>
  <conditionalFormatting sqref="AG14">
    <cfRule type="cellIs" dxfId="5192" priority="2162" operator="equal">
      <formula>0</formula>
    </cfRule>
  </conditionalFormatting>
  <conditionalFormatting sqref="AG22">
    <cfRule type="cellIs" dxfId="5191" priority="2161" operator="equal">
      <formula>0</formula>
    </cfRule>
  </conditionalFormatting>
  <conditionalFormatting sqref="AG26">
    <cfRule type="cellIs" dxfId="5190" priority="2160" operator="equal">
      <formula>0</formula>
    </cfRule>
  </conditionalFormatting>
  <conditionalFormatting sqref="AG30">
    <cfRule type="cellIs" dxfId="5189" priority="2159" operator="equal">
      <formula>0</formula>
    </cfRule>
  </conditionalFormatting>
  <conditionalFormatting sqref="AH18 AH34 AH46 AH50 AH54 AH58 AH62 AH38:AH42">
    <cfRule type="cellIs" dxfId="5188" priority="2158" operator="equal">
      <formula>0</formula>
    </cfRule>
  </conditionalFormatting>
  <conditionalFormatting sqref="AH14">
    <cfRule type="cellIs" dxfId="5187" priority="2157" operator="equal">
      <formula>0</formula>
    </cfRule>
  </conditionalFormatting>
  <conditionalFormatting sqref="AH22">
    <cfRule type="cellIs" dxfId="5186" priority="2156" operator="equal">
      <formula>0</formula>
    </cfRule>
  </conditionalFormatting>
  <conditionalFormatting sqref="AH26">
    <cfRule type="cellIs" dxfId="5185" priority="2155" operator="equal">
      <formula>0</formula>
    </cfRule>
  </conditionalFormatting>
  <conditionalFormatting sqref="AH30">
    <cfRule type="cellIs" dxfId="5184" priority="2154" operator="equal">
      <formula>0</formula>
    </cfRule>
  </conditionalFormatting>
  <conditionalFormatting sqref="AI18 AI34 AI46 AI50 AI54 AI58 AI62 AI38:AI42">
    <cfRule type="cellIs" dxfId="5183" priority="2153" operator="equal">
      <formula>0</formula>
    </cfRule>
  </conditionalFormatting>
  <conditionalFormatting sqref="AI14">
    <cfRule type="cellIs" dxfId="5182" priority="2152" operator="equal">
      <formula>0</formula>
    </cfRule>
  </conditionalFormatting>
  <conditionalFormatting sqref="AI22">
    <cfRule type="cellIs" dxfId="5181" priority="2151" operator="equal">
      <formula>0</formula>
    </cfRule>
  </conditionalFormatting>
  <conditionalFormatting sqref="AI26">
    <cfRule type="cellIs" dxfId="5180" priority="2150" operator="equal">
      <formula>0</formula>
    </cfRule>
  </conditionalFormatting>
  <conditionalFormatting sqref="AI30">
    <cfRule type="cellIs" dxfId="5179" priority="2149" operator="equal">
      <formula>0</formula>
    </cfRule>
  </conditionalFormatting>
  <conditionalFormatting sqref="AJ18 AJ34 AJ46 AJ50 AJ54 AJ58 AJ62 AJ38:AJ42">
    <cfRule type="cellIs" dxfId="5178" priority="2148" operator="equal">
      <formula>0</formula>
    </cfRule>
  </conditionalFormatting>
  <conditionalFormatting sqref="AJ14">
    <cfRule type="cellIs" dxfId="5177" priority="2147" operator="equal">
      <formula>0</formula>
    </cfRule>
  </conditionalFormatting>
  <conditionalFormatting sqref="AJ22">
    <cfRule type="cellIs" dxfId="5176" priority="2146" operator="equal">
      <formula>0</formula>
    </cfRule>
  </conditionalFormatting>
  <conditionalFormatting sqref="AJ26">
    <cfRule type="cellIs" dxfId="5175" priority="2145" operator="equal">
      <formula>0</formula>
    </cfRule>
  </conditionalFormatting>
  <conditionalFormatting sqref="AJ30">
    <cfRule type="cellIs" dxfId="5174" priority="2144" operator="equal">
      <formula>0</formula>
    </cfRule>
  </conditionalFormatting>
  <conditionalFormatting sqref="AK15">
    <cfRule type="cellIs" dxfId="5173" priority="2142" operator="equal">
      <formula>0</formula>
    </cfRule>
    <cfRule type="cellIs" dxfId="5172" priority="2143" operator="notEqual">
      <formula>0</formula>
    </cfRule>
  </conditionalFormatting>
  <conditionalFormatting sqref="AK31 AK35 AK43 AK47 AK51 AK55 AK59">
    <cfRule type="cellIs" dxfId="5171" priority="2141" operator="greaterThan">
      <formula>0</formula>
    </cfRule>
  </conditionalFormatting>
  <conditionalFormatting sqref="AK18 AK34 AK46 AK50 AK54 AK58 AK62 AK38:AK42">
    <cfRule type="cellIs" dxfId="5170" priority="2140" operator="equal">
      <formula>0</formula>
    </cfRule>
  </conditionalFormatting>
  <conditionalFormatting sqref="AK11">
    <cfRule type="cellIs" dxfId="5169" priority="2138" operator="equal">
      <formula>0</formula>
    </cfRule>
    <cfRule type="cellIs" dxfId="5168" priority="2139" operator="notEqual">
      <formula>0</formula>
    </cfRule>
  </conditionalFormatting>
  <conditionalFormatting sqref="AK14">
    <cfRule type="cellIs" dxfId="5167" priority="2137" operator="equal">
      <formula>0</formula>
    </cfRule>
  </conditionalFormatting>
  <conditionalFormatting sqref="AK19">
    <cfRule type="cellIs" dxfId="5166" priority="2135" operator="equal">
      <formula>0</formula>
    </cfRule>
    <cfRule type="cellIs" dxfId="5165" priority="2136" operator="notEqual">
      <formula>0</formula>
    </cfRule>
  </conditionalFormatting>
  <conditionalFormatting sqref="AK22">
    <cfRule type="cellIs" dxfId="5164" priority="2134" operator="equal">
      <formula>0</formula>
    </cfRule>
  </conditionalFormatting>
  <conditionalFormatting sqref="AK23">
    <cfRule type="cellIs" dxfId="5163" priority="2132" operator="equal">
      <formula>0</formula>
    </cfRule>
    <cfRule type="cellIs" dxfId="5162" priority="2133" operator="notEqual">
      <formula>0</formula>
    </cfRule>
  </conditionalFormatting>
  <conditionalFormatting sqref="AK26">
    <cfRule type="cellIs" dxfId="5161" priority="2131" operator="equal">
      <formula>0</formula>
    </cfRule>
  </conditionalFormatting>
  <conditionalFormatting sqref="AK27">
    <cfRule type="cellIs" dxfId="5160" priority="2129" operator="equal">
      <formula>0</formula>
    </cfRule>
    <cfRule type="cellIs" dxfId="5159" priority="2130" operator="notEqual">
      <formula>0</formula>
    </cfRule>
  </conditionalFormatting>
  <conditionalFormatting sqref="AK30">
    <cfRule type="cellIs" dxfId="5158" priority="2128" operator="equal">
      <formula>0</formula>
    </cfRule>
  </conditionalFormatting>
  <conditionalFormatting sqref="AL15">
    <cfRule type="cellIs" dxfId="5157" priority="2126" operator="equal">
      <formula>0</formula>
    </cfRule>
    <cfRule type="cellIs" dxfId="5156" priority="2127" operator="notEqual">
      <formula>0</formula>
    </cfRule>
  </conditionalFormatting>
  <conditionalFormatting sqref="AL31 AL35 AL43 AL47 AL51 AL55 AL59">
    <cfRule type="cellIs" dxfId="5155" priority="2125" operator="greaterThan">
      <formula>0</formula>
    </cfRule>
  </conditionalFormatting>
  <conditionalFormatting sqref="AL18 AL34 AL46 AL50 AL54 AL58 AL62 AL38:AL42">
    <cfRule type="cellIs" dxfId="5154" priority="2124" operator="equal">
      <formula>0</formula>
    </cfRule>
  </conditionalFormatting>
  <conditionalFormatting sqref="AL11">
    <cfRule type="cellIs" dxfId="5153" priority="2122" operator="equal">
      <formula>0</formula>
    </cfRule>
    <cfRule type="cellIs" dxfId="5152" priority="2123" operator="notEqual">
      <formula>0</formula>
    </cfRule>
  </conditionalFormatting>
  <conditionalFormatting sqref="AL14">
    <cfRule type="cellIs" dxfId="5151" priority="2121" operator="equal">
      <formula>0</formula>
    </cfRule>
  </conditionalFormatting>
  <conditionalFormatting sqref="AL19">
    <cfRule type="cellIs" dxfId="5150" priority="2119" operator="equal">
      <formula>0</formula>
    </cfRule>
    <cfRule type="cellIs" dxfId="5149" priority="2120" operator="notEqual">
      <formula>0</formula>
    </cfRule>
  </conditionalFormatting>
  <conditionalFormatting sqref="AL22">
    <cfRule type="cellIs" dxfId="5148" priority="2118" operator="equal">
      <formula>0</formula>
    </cfRule>
  </conditionalFormatting>
  <conditionalFormatting sqref="AL23">
    <cfRule type="cellIs" dxfId="5147" priority="2116" operator="equal">
      <formula>0</formula>
    </cfRule>
    <cfRule type="cellIs" dxfId="5146" priority="2117" operator="notEqual">
      <formula>0</formula>
    </cfRule>
  </conditionalFormatting>
  <conditionalFormatting sqref="AL26">
    <cfRule type="cellIs" dxfId="5145" priority="2115" operator="equal">
      <formula>0</formula>
    </cfRule>
  </conditionalFormatting>
  <conditionalFormatting sqref="AL27">
    <cfRule type="cellIs" dxfId="5144" priority="2113" operator="equal">
      <formula>0</formula>
    </cfRule>
    <cfRule type="cellIs" dxfId="5143" priority="2114" operator="notEqual">
      <formula>0</formula>
    </cfRule>
  </conditionalFormatting>
  <conditionalFormatting sqref="AL30">
    <cfRule type="cellIs" dxfId="5142" priority="2112" operator="equal">
      <formula>0</formula>
    </cfRule>
  </conditionalFormatting>
  <conditionalFormatting sqref="AM15">
    <cfRule type="cellIs" dxfId="5141" priority="2110" operator="equal">
      <formula>0</formula>
    </cfRule>
    <cfRule type="cellIs" dxfId="5140" priority="2111" operator="notEqual">
      <formula>0</formula>
    </cfRule>
  </conditionalFormatting>
  <conditionalFormatting sqref="AM31 AM35 AM43 AM47 AM51 AM55 AM59">
    <cfRule type="cellIs" dxfId="5139" priority="2109" operator="greaterThan">
      <formula>0</formula>
    </cfRule>
  </conditionalFormatting>
  <conditionalFormatting sqref="AM18 AM34 AM46 AM50 AM54 AM58 AM62 AM38:AM42">
    <cfRule type="cellIs" dxfId="5138" priority="2108" operator="equal">
      <formula>0</formula>
    </cfRule>
  </conditionalFormatting>
  <conditionalFormatting sqref="AM11">
    <cfRule type="cellIs" dxfId="5137" priority="2106" operator="equal">
      <formula>0</formula>
    </cfRule>
    <cfRule type="cellIs" dxfId="5136" priority="2107" operator="notEqual">
      <formula>0</formula>
    </cfRule>
  </conditionalFormatting>
  <conditionalFormatting sqref="AM14">
    <cfRule type="cellIs" dxfId="5135" priority="2105" operator="equal">
      <formula>0</formula>
    </cfRule>
  </conditionalFormatting>
  <conditionalFormatting sqref="AM19">
    <cfRule type="cellIs" dxfId="5134" priority="2103" operator="equal">
      <formula>0</formula>
    </cfRule>
    <cfRule type="cellIs" dxfId="5133" priority="2104" operator="notEqual">
      <formula>0</formula>
    </cfRule>
  </conditionalFormatting>
  <conditionalFormatting sqref="AM22">
    <cfRule type="cellIs" dxfId="5132" priority="2102" operator="equal">
      <formula>0</formula>
    </cfRule>
  </conditionalFormatting>
  <conditionalFormatting sqref="AM23">
    <cfRule type="cellIs" dxfId="5131" priority="2100" operator="equal">
      <formula>0</formula>
    </cfRule>
    <cfRule type="cellIs" dxfId="5130" priority="2101" operator="notEqual">
      <formula>0</formula>
    </cfRule>
  </conditionalFormatting>
  <conditionalFormatting sqref="AM26">
    <cfRule type="cellIs" dxfId="5129" priority="2099" operator="equal">
      <formula>0</formula>
    </cfRule>
  </conditionalFormatting>
  <conditionalFormatting sqref="AM27">
    <cfRule type="cellIs" dxfId="5128" priority="2097" operator="equal">
      <formula>0</formula>
    </cfRule>
    <cfRule type="cellIs" dxfId="5127" priority="2098" operator="notEqual">
      <formula>0</formula>
    </cfRule>
  </conditionalFormatting>
  <conditionalFormatting sqref="AM30">
    <cfRule type="cellIs" dxfId="5126" priority="2096" operator="equal">
      <formula>0</formula>
    </cfRule>
  </conditionalFormatting>
  <conditionalFormatting sqref="AN15">
    <cfRule type="cellIs" dxfId="5125" priority="2094" operator="equal">
      <formula>0</formula>
    </cfRule>
    <cfRule type="cellIs" dxfId="5124" priority="2095" operator="notEqual">
      <formula>0</formula>
    </cfRule>
  </conditionalFormatting>
  <conditionalFormatting sqref="AN31 AN35 AN43 AN47 AN51 AN55 AN59">
    <cfRule type="cellIs" dxfId="5123" priority="2093" operator="greaterThan">
      <formula>0</formula>
    </cfRule>
  </conditionalFormatting>
  <conditionalFormatting sqref="AN18 AN34 AN46 AN50 AN54 AN58 AN62 AN38:AN42">
    <cfRule type="cellIs" dxfId="5122" priority="2092" operator="equal">
      <formula>0</formula>
    </cfRule>
  </conditionalFormatting>
  <conditionalFormatting sqref="AN11">
    <cfRule type="cellIs" dxfId="5121" priority="2090" operator="equal">
      <formula>0</formula>
    </cfRule>
    <cfRule type="cellIs" dxfId="5120" priority="2091" operator="notEqual">
      <formula>0</formula>
    </cfRule>
  </conditionalFormatting>
  <conditionalFormatting sqref="AN14">
    <cfRule type="cellIs" dxfId="5119" priority="2089" operator="equal">
      <formula>0</formula>
    </cfRule>
  </conditionalFormatting>
  <conditionalFormatting sqref="AN19">
    <cfRule type="cellIs" dxfId="5118" priority="2087" operator="equal">
      <formula>0</formula>
    </cfRule>
    <cfRule type="cellIs" dxfId="5117" priority="2088" operator="notEqual">
      <formula>0</formula>
    </cfRule>
  </conditionalFormatting>
  <conditionalFormatting sqref="AN22">
    <cfRule type="cellIs" dxfId="5116" priority="2086" operator="equal">
      <formula>0</formula>
    </cfRule>
  </conditionalFormatting>
  <conditionalFormatting sqref="AN23">
    <cfRule type="cellIs" dxfId="5115" priority="2084" operator="equal">
      <formula>0</formula>
    </cfRule>
    <cfRule type="cellIs" dxfId="5114" priority="2085" operator="notEqual">
      <formula>0</formula>
    </cfRule>
  </conditionalFormatting>
  <conditionalFormatting sqref="AN26">
    <cfRule type="cellIs" dxfId="5113" priority="2083" operator="equal">
      <formula>0</formula>
    </cfRule>
  </conditionalFormatting>
  <conditionalFormatting sqref="AN27">
    <cfRule type="cellIs" dxfId="5112" priority="2081" operator="equal">
      <formula>0</formula>
    </cfRule>
    <cfRule type="cellIs" dxfId="5111" priority="2082" operator="notEqual">
      <formula>0</formula>
    </cfRule>
  </conditionalFormatting>
  <conditionalFormatting sqref="AN30">
    <cfRule type="cellIs" dxfId="5110" priority="2080" operator="equal">
      <formula>0</formula>
    </cfRule>
  </conditionalFormatting>
  <conditionalFormatting sqref="Y73:Y74 Y89:Y90 Y93:Y94 Y101:Y102 Y105:Y106 Y109:Y110 Y113:Y114 Y117:Y118">
    <cfRule type="cellIs" dxfId="5109" priority="2079" operator="greaterThan">
      <formula>0</formula>
    </cfRule>
  </conditionalFormatting>
  <conditionalFormatting sqref="Y73:Y74 Y89:Y90 Y93:Y94 Y101:Y102 Y105:Y106 Y109:Y110 Y113:Y114 Y117:Y118">
    <cfRule type="cellIs" dxfId="5108" priority="2078" operator="equal">
      <formula>0</formula>
    </cfRule>
  </conditionalFormatting>
  <conditionalFormatting sqref="Y75 Y91 Y103 Y107 Y111 Y119 Y95:Y99">
    <cfRule type="cellIs" dxfId="5107" priority="2077" operator="equal">
      <formula>0</formula>
    </cfRule>
  </conditionalFormatting>
  <conditionalFormatting sqref="Y69:Y70">
    <cfRule type="cellIs" dxfId="5106" priority="2076" operator="greaterThan">
      <formula>0</formula>
    </cfRule>
  </conditionalFormatting>
  <conditionalFormatting sqref="Y69:Y70">
    <cfRule type="cellIs" dxfId="5105" priority="2075" operator="equal">
      <formula>0</formula>
    </cfRule>
  </conditionalFormatting>
  <conditionalFormatting sqref="Y71">
    <cfRule type="cellIs" dxfId="5104" priority="2074" operator="equal">
      <formula>0</formula>
    </cfRule>
  </conditionalFormatting>
  <conditionalFormatting sqref="Y77:Y78">
    <cfRule type="cellIs" dxfId="5103" priority="2073" operator="greaterThan">
      <formula>0</formula>
    </cfRule>
  </conditionalFormatting>
  <conditionalFormatting sqref="Y77:Y78">
    <cfRule type="cellIs" dxfId="5102" priority="2072" operator="equal">
      <formula>0</formula>
    </cfRule>
  </conditionalFormatting>
  <conditionalFormatting sqref="Y79">
    <cfRule type="cellIs" dxfId="5101" priority="2071" operator="equal">
      <formula>0</formula>
    </cfRule>
  </conditionalFormatting>
  <conditionalFormatting sqref="Y81:Y82">
    <cfRule type="cellIs" dxfId="5100" priority="2070" operator="greaterThan">
      <formula>0</formula>
    </cfRule>
  </conditionalFormatting>
  <conditionalFormatting sqref="Y81:Y82">
    <cfRule type="cellIs" dxfId="5099" priority="2069" operator="equal">
      <formula>0</formula>
    </cfRule>
  </conditionalFormatting>
  <conditionalFormatting sqref="Y83">
    <cfRule type="cellIs" dxfId="5098" priority="2068" operator="equal">
      <formula>0</formula>
    </cfRule>
  </conditionalFormatting>
  <conditionalFormatting sqref="Y85:Y86">
    <cfRule type="cellIs" dxfId="5097" priority="2067" operator="greaterThan">
      <formula>0</formula>
    </cfRule>
  </conditionalFormatting>
  <conditionalFormatting sqref="Y85:Y86">
    <cfRule type="cellIs" dxfId="5096" priority="2066" operator="equal">
      <formula>0</formula>
    </cfRule>
  </conditionalFormatting>
  <conditionalFormatting sqref="Y87">
    <cfRule type="cellIs" dxfId="5095" priority="2065" operator="equal">
      <formula>0</formula>
    </cfRule>
  </conditionalFormatting>
  <conditionalFormatting sqref="Z73:Z74 Z89:Z90 Z93:Z94 Z101:Z102 Z105:Z106 Z109:Z110 Z113:Z114 Z117:Z118">
    <cfRule type="cellIs" dxfId="5094" priority="2064" operator="greaterThan">
      <formula>0</formula>
    </cfRule>
  </conditionalFormatting>
  <conditionalFormatting sqref="Z73:Z74 Z89:Z90 Z93:Z94 Z101:Z102 Z105:Z106 Z109:Z110 Z113:Z114 Z117:Z118">
    <cfRule type="cellIs" dxfId="5093" priority="2063" operator="equal">
      <formula>0</formula>
    </cfRule>
  </conditionalFormatting>
  <conditionalFormatting sqref="Z75 Z91 Z103 Z107 Z111 Z115 Z119 Z95:Z99">
    <cfRule type="cellIs" dxfId="5092" priority="2062" operator="equal">
      <formula>0</formula>
    </cfRule>
  </conditionalFormatting>
  <conditionalFormatting sqref="Z69:Z70">
    <cfRule type="cellIs" dxfId="5091" priority="2061" operator="greaterThan">
      <formula>0</formula>
    </cfRule>
  </conditionalFormatting>
  <conditionalFormatting sqref="Z69:Z70">
    <cfRule type="cellIs" dxfId="5090" priority="2060" operator="equal">
      <formula>0</formula>
    </cfRule>
  </conditionalFormatting>
  <conditionalFormatting sqref="Z71">
    <cfRule type="cellIs" dxfId="5089" priority="2059" operator="equal">
      <formula>0</formula>
    </cfRule>
  </conditionalFormatting>
  <conditionalFormatting sqref="Z77:Z78">
    <cfRule type="cellIs" dxfId="5088" priority="2058" operator="greaterThan">
      <formula>0</formula>
    </cfRule>
  </conditionalFormatting>
  <conditionalFormatting sqref="Z77:Z78">
    <cfRule type="cellIs" dxfId="5087" priority="2057" operator="equal">
      <formula>0</formula>
    </cfRule>
  </conditionalFormatting>
  <conditionalFormatting sqref="Z79">
    <cfRule type="cellIs" dxfId="5086" priority="2056" operator="equal">
      <formula>0</formula>
    </cfRule>
  </conditionalFormatting>
  <conditionalFormatting sqref="Z81:Z82">
    <cfRule type="cellIs" dxfId="5085" priority="2055" operator="greaterThan">
      <formula>0</formula>
    </cfRule>
  </conditionalFormatting>
  <conditionalFormatting sqref="Z81:Z82">
    <cfRule type="cellIs" dxfId="5084" priority="2054" operator="equal">
      <formula>0</formula>
    </cfRule>
  </conditionalFormatting>
  <conditionalFormatting sqref="Z83">
    <cfRule type="cellIs" dxfId="5083" priority="2053" operator="equal">
      <formula>0</formula>
    </cfRule>
  </conditionalFormatting>
  <conditionalFormatting sqref="Z85:Z86">
    <cfRule type="cellIs" dxfId="5082" priority="2052" operator="greaterThan">
      <formula>0</formula>
    </cfRule>
  </conditionalFormatting>
  <conditionalFormatting sqref="Z85:Z86">
    <cfRule type="cellIs" dxfId="5081" priority="2051" operator="equal">
      <formula>0</formula>
    </cfRule>
  </conditionalFormatting>
  <conditionalFormatting sqref="Z87">
    <cfRule type="cellIs" dxfId="5080" priority="2050" operator="equal">
      <formula>0</formula>
    </cfRule>
  </conditionalFormatting>
  <conditionalFormatting sqref="AA73:AA74 AA89:AA90 AA93:AA94 AA101:AA102 AA105:AA106 AA109:AA110 AA113:AA114 AA117:AA118">
    <cfRule type="cellIs" dxfId="5079" priority="2049" operator="greaterThan">
      <formula>0</formula>
    </cfRule>
  </conditionalFormatting>
  <conditionalFormatting sqref="AA73:AA74 AA89:AA90 AA93:AA94 AA101:AA102 AA105:AA106 AA109:AA110 AA113:AA114 AA117:AA118">
    <cfRule type="cellIs" dxfId="5078" priority="2048" operator="equal">
      <formula>0</formula>
    </cfRule>
  </conditionalFormatting>
  <conditionalFormatting sqref="AA75 AA91 AA103 AA107 AA111 AA115 AA119 AA95:AA99">
    <cfRule type="cellIs" dxfId="5077" priority="2047" operator="equal">
      <formula>0</formula>
    </cfRule>
  </conditionalFormatting>
  <conditionalFormatting sqref="AA69:AA70">
    <cfRule type="cellIs" dxfId="5076" priority="2046" operator="greaterThan">
      <formula>0</formula>
    </cfRule>
  </conditionalFormatting>
  <conditionalFormatting sqref="AA69:AA70">
    <cfRule type="cellIs" dxfId="5075" priority="2045" operator="equal">
      <formula>0</formula>
    </cfRule>
  </conditionalFormatting>
  <conditionalFormatting sqref="AA71">
    <cfRule type="cellIs" dxfId="5074" priority="2044" operator="equal">
      <formula>0</formula>
    </cfRule>
  </conditionalFormatting>
  <conditionalFormatting sqref="AA77:AA78">
    <cfRule type="cellIs" dxfId="5073" priority="2043" operator="greaterThan">
      <formula>0</formula>
    </cfRule>
  </conditionalFormatting>
  <conditionalFormatting sqref="AA77:AA78">
    <cfRule type="cellIs" dxfId="5072" priority="2042" operator="equal">
      <formula>0</formula>
    </cfRule>
  </conditionalFormatting>
  <conditionalFormatting sqref="AA79">
    <cfRule type="cellIs" dxfId="5071" priority="2041" operator="equal">
      <formula>0</formula>
    </cfRule>
  </conditionalFormatting>
  <conditionalFormatting sqref="AA81:AA82">
    <cfRule type="cellIs" dxfId="5070" priority="2040" operator="greaterThan">
      <formula>0</formula>
    </cfRule>
  </conditionalFormatting>
  <conditionalFormatting sqref="AA81:AA82">
    <cfRule type="cellIs" dxfId="5069" priority="2039" operator="equal">
      <formula>0</formula>
    </cfRule>
  </conditionalFormatting>
  <conditionalFormatting sqref="AA83">
    <cfRule type="cellIs" dxfId="5068" priority="2038" operator="equal">
      <formula>0</formula>
    </cfRule>
  </conditionalFormatting>
  <conditionalFormatting sqref="AA85:AA86">
    <cfRule type="cellIs" dxfId="5067" priority="2037" operator="greaterThan">
      <formula>0</formula>
    </cfRule>
  </conditionalFormatting>
  <conditionalFormatting sqref="AA85:AA86">
    <cfRule type="cellIs" dxfId="5066" priority="2036" operator="equal">
      <formula>0</formula>
    </cfRule>
  </conditionalFormatting>
  <conditionalFormatting sqref="AA87">
    <cfRule type="cellIs" dxfId="5065" priority="2035" operator="equal">
      <formula>0</formula>
    </cfRule>
  </conditionalFormatting>
  <conditionalFormatting sqref="AB73:AB74 AB89:AB90 AB93:AB94 AB101:AB102 AB105:AB106 AB109:AB110 AB113:AB114 AB117:AB118">
    <cfRule type="cellIs" dxfId="5064" priority="2034" operator="greaterThan">
      <formula>0</formula>
    </cfRule>
  </conditionalFormatting>
  <conditionalFormatting sqref="AB73:AB74 AB89:AB90 AB93:AB94 AB101:AB102 AB105:AB106 AB109:AB110 AB113:AB114 AB117:AB118">
    <cfRule type="cellIs" dxfId="5063" priority="2033" operator="equal">
      <formula>0</formula>
    </cfRule>
  </conditionalFormatting>
  <conditionalFormatting sqref="AB75 AB91 AB103 AB107 AB111 AB115 AB119 AB95:AB99">
    <cfRule type="cellIs" dxfId="5062" priority="2032" operator="equal">
      <formula>0</formula>
    </cfRule>
  </conditionalFormatting>
  <conditionalFormatting sqref="AB69:AB70">
    <cfRule type="cellIs" dxfId="5061" priority="2031" operator="greaterThan">
      <formula>0</formula>
    </cfRule>
  </conditionalFormatting>
  <conditionalFormatting sqref="AB69:AB70">
    <cfRule type="cellIs" dxfId="5060" priority="2030" operator="equal">
      <formula>0</formula>
    </cfRule>
  </conditionalFormatting>
  <conditionalFormatting sqref="AB71">
    <cfRule type="cellIs" dxfId="5059" priority="2029" operator="equal">
      <formula>0</formula>
    </cfRule>
  </conditionalFormatting>
  <conditionalFormatting sqref="AB77:AB78">
    <cfRule type="cellIs" dxfId="5058" priority="2028" operator="greaterThan">
      <formula>0</formula>
    </cfRule>
  </conditionalFormatting>
  <conditionalFormatting sqref="AB77:AB78">
    <cfRule type="cellIs" dxfId="5057" priority="2027" operator="equal">
      <formula>0</formula>
    </cfRule>
  </conditionalFormatting>
  <conditionalFormatting sqref="AB79">
    <cfRule type="cellIs" dxfId="5056" priority="2026" operator="equal">
      <formula>0</formula>
    </cfRule>
  </conditionalFormatting>
  <conditionalFormatting sqref="AB81:AB82">
    <cfRule type="cellIs" dxfId="5055" priority="2025" operator="greaterThan">
      <formula>0</formula>
    </cfRule>
  </conditionalFormatting>
  <conditionalFormatting sqref="AB81:AB82">
    <cfRule type="cellIs" dxfId="5054" priority="2024" operator="equal">
      <formula>0</formula>
    </cfRule>
  </conditionalFormatting>
  <conditionalFormatting sqref="AB83">
    <cfRule type="cellIs" dxfId="5053" priority="2023" operator="equal">
      <formula>0</formula>
    </cfRule>
  </conditionalFormatting>
  <conditionalFormatting sqref="AB85:AB86">
    <cfRule type="cellIs" dxfId="5052" priority="2022" operator="greaterThan">
      <formula>0</formula>
    </cfRule>
  </conditionalFormatting>
  <conditionalFormatting sqref="AB85:AB86">
    <cfRule type="cellIs" dxfId="5051" priority="2021" operator="equal">
      <formula>0</formula>
    </cfRule>
  </conditionalFormatting>
  <conditionalFormatting sqref="AB87">
    <cfRule type="cellIs" dxfId="5050" priority="2020" operator="equal">
      <formula>0</formula>
    </cfRule>
  </conditionalFormatting>
  <conditionalFormatting sqref="AC73:AC74 AC89:AC90 AC93:AC94 AC101:AC102 AC105:AC106 AC109:AC110 AC113:AC114 AC117:AC118">
    <cfRule type="cellIs" dxfId="5049" priority="2019" operator="greaterThan">
      <formula>0</formula>
    </cfRule>
  </conditionalFormatting>
  <conditionalFormatting sqref="AC73:AC74 AC89:AC90 AC93:AC94 AC101:AC102 AC105:AC106 AC109:AC110 AC113:AC114 AC117:AC118">
    <cfRule type="cellIs" dxfId="5048" priority="2018" operator="equal">
      <formula>0</formula>
    </cfRule>
  </conditionalFormatting>
  <conditionalFormatting sqref="AC75 AC91 AC103 AC107 AC111 AC115 AC119 AC95:AC99">
    <cfRule type="cellIs" dxfId="5047" priority="2017" operator="equal">
      <formula>0</formula>
    </cfRule>
  </conditionalFormatting>
  <conditionalFormatting sqref="AC69:AC70">
    <cfRule type="cellIs" dxfId="5046" priority="2016" operator="greaterThan">
      <formula>0</formula>
    </cfRule>
  </conditionalFormatting>
  <conditionalFormatting sqref="AC69:AC70">
    <cfRule type="cellIs" dxfId="5045" priority="2015" operator="equal">
      <formula>0</formula>
    </cfRule>
  </conditionalFormatting>
  <conditionalFormatting sqref="AC71">
    <cfRule type="cellIs" dxfId="5044" priority="2014" operator="equal">
      <formula>0</formula>
    </cfRule>
  </conditionalFormatting>
  <conditionalFormatting sqref="AC77:AC78">
    <cfRule type="cellIs" dxfId="5043" priority="2013" operator="greaterThan">
      <formula>0</formula>
    </cfRule>
  </conditionalFormatting>
  <conditionalFormatting sqref="AC77:AC78">
    <cfRule type="cellIs" dxfId="5042" priority="2012" operator="equal">
      <formula>0</formula>
    </cfRule>
  </conditionalFormatting>
  <conditionalFormatting sqref="AC79">
    <cfRule type="cellIs" dxfId="5041" priority="2011" operator="equal">
      <formula>0</formula>
    </cfRule>
  </conditionalFormatting>
  <conditionalFormatting sqref="AC81:AC82">
    <cfRule type="cellIs" dxfId="5040" priority="2010" operator="greaterThan">
      <formula>0</formula>
    </cfRule>
  </conditionalFormatting>
  <conditionalFormatting sqref="AC81:AC82">
    <cfRule type="cellIs" dxfId="5039" priority="2009" operator="equal">
      <formula>0</formula>
    </cfRule>
  </conditionalFormatting>
  <conditionalFormatting sqref="AC83">
    <cfRule type="cellIs" dxfId="5038" priority="2008" operator="equal">
      <formula>0</formula>
    </cfRule>
  </conditionalFormatting>
  <conditionalFormatting sqref="AC85:AC86">
    <cfRule type="cellIs" dxfId="5037" priority="2007" operator="greaterThan">
      <formula>0</formula>
    </cfRule>
  </conditionalFormatting>
  <conditionalFormatting sqref="AC85:AC86">
    <cfRule type="cellIs" dxfId="5036" priority="2006" operator="equal">
      <formula>0</formula>
    </cfRule>
  </conditionalFormatting>
  <conditionalFormatting sqref="AC87">
    <cfRule type="cellIs" dxfId="5035" priority="2005" operator="equal">
      <formula>0</formula>
    </cfRule>
  </conditionalFormatting>
  <conditionalFormatting sqref="AD73:AD74 AD89:AD90 AD93:AD94 AD101:AD102 AD105:AD106 AD109:AD110 AD113:AD114 AD117:AD118">
    <cfRule type="cellIs" dxfId="5034" priority="2004" operator="greaterThan">
      <formula>0</formula>
    </cfRule>
  </conditionalFormatting>
  <conditionalFormatting sqref="AD73:AD74 AD89:AD90 AD93:AD94 AD101:AD102 AD105:AD106 AD109:AD110 AD113:AD114 AD117:AD118">
    <cfRule type="cellIs" dxfId="5033" priority="2003" operator="equal">
      <formula>0</formula>
    </cfRule>
  </conditionalFormatting>
  <conditionalFormatting sqref="AD75 AD91 AD103 AD107 AD111 AD115 AD119 AD95:AD99">
    <cfRule type="cellIs" dxfId="5032" priority="2002" operator="equal">
      <formula>0</formula>
    </cfRule>
  </conditionalFormatting>
  <conditionalFormatting sqref="AD69:AD70">
    <cfRule type="cellIs" dxfId="5031" priority="2001" operator="greaterThan">
      <formula>0</formula>
    </cfRule>
  </conditionalFormatting>
  <conditionalFormatting sqref="AD69:AD70">
    <cfRule type="cellIs" dxfId="5030" priority="2000" operator="equal">
      <formula>0</formula>
    </cfRule>
  </conditionalFormatting>
  <conditionalFormatting sqref="AD71">
    <cfRule type="cellIs" dxfId="5029" priority="1999" operator="equal">
      <formula>0</formula>
    </cfRule>
  </conditionalFormatting>
  <conditionalFormatting sqref="AD77:AD78">
    <cfRule type="cellIs" dxfId="5028" priority="1998" operator="greaterThan">
      <formula>0</formula>
    </cfRule>
  </conditionalFormatting>
  <conditionalFormatting sqref="AD77:AD78">
    <cfRule type="cellIs" dxfId="5027" priority="1997" operator="equal">
      <formula>0</formula>
    </cfRule>
  </conditionalFormatting>
  <conditionalFormatting sqref="AD79">
    <cfRule type="cellIs" dxfId="5026" priority="1996" operator="equal">
      <formula>0</formula>
    </cfRule>
  </conditionalFormatting>
  <conditionalFormatting sqref="AD81:AD82">
    <cfRule type="cellIs" dxfId="5025" priority="1995" operator="greaterThan">
      <formula>0</formula>
    </cfRule>
  </conditionalFormatting>
  <conditionalFormatting sqref="AD81:AD82">
    <cfRule type="cellIs" dxfId="5024" priority="1994" operator="equal">
      <formula>0</formula>
    </cfRule>
  </conditionalFormatting>
  <conditionalFormatting sqref="AD83">
    <cfRule type="cellIs" dxfId="5023" priority="1993" operator="equal">
      <formula>0</formula>
    </cfRule>
  </conditionalFormatting>
  <conditionalFormatting sqref="AD85:AD86">
    <cfRule type="cellIs" dxfId="5022" priority="1992" operator="greaterThan">
      <formula>0</formula>
    </cfRule>
  </conditionalFormatting>
  <conditionalFormatting sqref="AD85:AD86">
    <cfRule type="cellIs" dxfId="5021" priority="1991" operator="equal">
      <formula>0</formula>
    </cfRule>
  </conditionalFormatting>
  <conditionalFormatting sqref="AD87">
    <cfRule type="cellIs" dxfId="5020" priority="1990" operator="equal">
      <formula>0</formula>
    </cfRule>
  </conditionalFormatting>
  <conditionalFormatting sqref="AE73:AE74 AE89:AE90 AE93:AE94 AE101:AE102 AE105:AE106 AE109:AE110 AE113:AE114 AE117:AE118">
    <cfRule type="cellIs" dxfId="5019" priority="1989" operator="greaterThan">
      <formula>0</formula>
    </cfRule>
  </conditionalFormatting>
  <conditionalFormatting sqref="AE73:AE74 AE89:AE90 AE93:AE94 AE101:AE102 AE105:AE106 AE109:AE110 AE113:AE114 AE117:AE118">
    <cfRule type="cellIs" dxfId="5018" priority="1988" operator="equal">
      <formula>0</formula>
    </cfRule>
  </conditionalFormatting>
  <conditionalFormatting sqref="AE75 AE91 AE103 AE107 AE111 AE115 AE119 AE95:AE99">
    <cfRule type="cellIs" dxfId="5017" priority="1987" operator="equal">
      <formula>0</formula>
    </cfRule>
  </conditionalFormatting>
  <conditionalFormatting sqref="AE69:AE70">
    <cfRule type="cellIs" dxfId="5016" priority="1986" operator="greaterThan">
      <formula>0</formula>
    </cfRule>
  </conditionalFormatting>
  <conditionalFormatting sqref="AE69:AE70">
    <cfRule type="cellIs" dxfId="5015" priority="1985" operator="equal">
      <formula>0</formula>
    </cfRule>
  </conditionalFormatting>
  <conditionalFormatting sqref="AE71">
    <cfRule type="cellIs" dxfId="5014" priority="1984" operator="equal">
      <formula>0</formula>
    </cfRule>
  </conditionalFormatting>
  <conditionalFormatting sqref="AE77:AE78">
    <cfRule type="cellIs" dxfId="5013" priority="1983" operator="greaterThan">
      <formula>0</formula>
    </cfRule>
  </conditionalFormatting>
  <conditionalFormatting sqref="AE77:AE78">
    <cfRule type="cellIs" dxfId="5012" priority="1982" operator="equal">
      <formula>0</formula>
    </cfRule>
  </conditionalFormatting>
  <conditionalFormatting sqref="AE79">
    <cfRule type="cellIs" dxfId="5011" priority="1981" operator="equal">
      <formula>0</formula>
    </cfRule>
  </conditionalFormatting>
  <conditionalFormatting sqref="AE81:AE82">
    <cfRule type="cellIs" dxfId="5010" priority="1980" operator="greaterThan">
      <formula>0</formula>
    </cfRule>
  </conditionalFormatting>
  <conditionalFormatting sqref="AE81:AE82">
    <cfRule type="cellIs" dxfId="5009" priority="1979" operator="equal">
      <formula>0</formula>
    </cfRule>
  </conditionalFormatting>
  <conditionalFormatting sqref="AE83">
    <cfRule type="cellIs" dxfId="5008" priority="1978" operator="equal">
      <formula>0</formula>
    </cfRule>
  </conditionalFormatting>
  <conditionalFormatting sqref="AE85:AE86">
    <cfRule type="cellIs" dxfId="5007" priority="1977" operator="greaterThan">
      <formula>0</formula>
    </cfRule>
  </conditionalFormatting>
  <conditionalFormatting sqref="AE85:AE86">
    <cfRule type="cellIs" dxfId="5006" priority="1976" operator="equal">
      <formula>0</formula>
    </cfRule>
  </conditionalFormatting>
  <conditionalFormatting sqref="AE87">
    <cfRule type="cellIs" dxfId="5005" priority="1975" operator="equal">
      <formula>0</formula>
    </cfRule>
  </conditionalFormatting>
  <conditionalFormatting sqref="AF73:AF74 AF89:AF90 AF93:AF94 AF101:AF102 AF105:AF106 AF109:AF110 AF113:AF114 AF117:AF118">
    <cfRule type="cellIs" dxfId="5004" priority="1974" operator="greaterThan">
      <formula>0</formula>
    </cfRule>
  </conditionalFormatting>
  <conditionalFormatting sqref="AF73:AF74 AF89:AF90 AF93:AF94 AF101:AF102 AF105:AF106 AF109:AF110 AF113:AF114 AF117:AF118">
    <cfRule type="cellIs" dxfId="5003" priority="1973" operator="equal">
      <formula>0</formula>
    </cfRule>
  </conditionalFormatting>
  <conditionalFormatting sqref="AF75 AF91 AF103 AF107 AF111 AF115 AF119 AF95:AF99">
    <cfRule type="cellIs" dxfId="5002" priority="1972" operator="equal">
      <formula>0</formula>
    </cfRule>
  </conditionalFormatting>
  <conditionalFormatting sqref="AF69:AF70">
    <cfRule type="cellIs" dxfId="5001" priority="1971" operator="greaterThan">
      <formula>0</formula>
    </cfRule>
  </conditionalFormatting>
  <conditionalFormatting sqref="AF69:AF70">
    <cfRule type="cellIs" dxfId="5000" priority="1970" operator="equal">
      <formula>0</formula>
    </cfRule>
  </conditionalFormatting>
  <conditionalFormatting sqref="AF71">
    <cfRule type="cellIs" dxfId="4999" priority="1969" operator="equal">
      <formula>0</formula>
    </cfRule>
  </conditionalFormatting>
  <conditionalFormatting sqref="AF77:AF78">
    <cfRule type="cellIs" dxfId="4998" priority="1968" operator="greaterThan">
      <formula>0</formula>
    </cfRule>
  </conditionalFormatting>
  <conditionalFormatting sqref="AF77:AF78">
    <cfRule type="cellIs" dxfId="4997" priority="1967" operator="equal">
      <formula>0</formula>
    </cfRule>
  </conditionalFormatting>
  <conditionalFormatting sqref="AF79">
    <cfRule type="cellIs" dxfId="4996" priority="1966" operator="equal">
      <formula>0</formula>
    </cfRule>
  </conditionalFormatting>
  <conditionalFormatting sqref="AF81:AF82">
    <cfRule type="cellIs" dxfId="4995" priority="1965" operator="greaterThan">
      <formula>0</formula>
    </cfRule>
  </conditionalFormatting>
  <conditionalFormatting sqref="AF81:AF82">
    <cfRule type="cellIs" dxfId="4994" priority="1964" operator="equal">
      <formula>0</formula>
    </cfRule>
  </conditionalFormatting>
  <conditionalFormatting sqref="AF83">
    <cfRule type="cellIs" dxfId="4993" priority="1963" operator="equal">
      <formula>0</formula>
    </cfRule>
  </conditionalFormatting>
  <conditionalFormatting sqref="AF85:AF86">
    <cfRule type="cellIs" dxfId="4992" priority="1962" operator="greaterThan">
      <formula>0</formula>
    </cfRule>
  </conditionalFormatting>
  <conditionalFormatting sqref="AF85:AF86">
    <cfRule type="cellIs" dxfId="4991" priority="1961" operator="equal">
      <formula>0</formula>
    </cfRule>
  </conditionalFormatting>
  <conditionalFormatting sqref="AF87">
    <cfRule type="cellIs" dxfId="4990" priority="1960" operator="equal">
      <formula>0</formula>
    </cfRule>
  </conditionalFormatting>
  <conditionalFormatting sqref="AG75 AG91 AG103 AG107 AG111 AG115 AG119 AG95:AG99">
    <cfRule type="cellIs" dxfId="4989" priority="1959" operator="equal">
      <formula>0</formula>
    </cfRule>
  </conditionalFormatting>
  <conditionalFormatting sqref="AG71">
    <cfRule type="cellIs" dxfId="4988" priority="1958" operator="equal">
      <formula>0</formula>
    </cfRule>
  </conditionalFormatting>
  <conditionalFormatting sqref="AG79">
    <cfRule type="cellIs" dxfId="4987" priority="1957" operator="equal">
      <formula>0</formula>
    </cfRule>
  </conditionalFormatting>
  <conditionalFormatting sqref="AG83">
    <cfRule type="cellIs" dxfId="4986" priority="1956" operator="equal">
      <formula>0</formula>
    </cfRule>
  </conditionalFormatting>
  <conditionalFormatting sqref="AG87">
    <cfRule type="cellIs" dxfId="4985" priority="1955" operator="equal">
      <formula>0</formula>
    </cfRule>
  </conditionalFormatting>
  <conditionalFormatting sqref="AH75 AH91 AH103 AH107 AH111 AH115 AH119 AH95:AH99">
    <cfRule type="cellIs" dxfId="4984" priority="1954" operator="equal">
      <formula>0</formula>
    </cfRule>
  </conditionalFormatting>
  <conditionalFormatting sqref="AH71">
    <cfRule type="cellIs" dxfId="4983" priority="1953" operator="equal">
      <formula>0</formula>
    </cfRule>
  </conditionalFormatting>
  <conditionalFormatting sqref="AH79">
    <cfRule type="cellIs" dxfId="4982" priority="1952" operator="equal">
      <formula>0</formula>
    </cfRule>
  </conditionalFormatting>
  <conditionalFormatting sqref="AH83">
    <cfRule type="cellIs" dxfId="4981" priority="1951" operator="equal">
      <formula>0</formula>
    </cfRule>
  </conditionalFormatting>
  <conditionalFormatting sqref="AH87">
    <cfRule type="cellIs" dxfId="4980" priority="1950" operator="equal">
      <formula>0</formula>
    </cfRule>
  </conditionalFormatting>
  <conditionalFormatting sqref="AI75 AI91 AI103 AI107 AI111 AI115 AI119 AI95:AI99">
    <cfRule type="cellIs" dxfId="4979" priority="1949" operator="equal">
      <formula>0</formula>
    </cfRule>
  </conditionalFormatting>
  <conditionalFormatting sqref="AI71">
    <cfRule type="cellIs" dxfId="4978" priority="1948" operator="equal">
      <formula>0</formula>
    </cfRule>
  </conditionalFormatting>
  <conditionalFormatting sqref="AI79">
    <cfRule type="cellIs" dxfId="4977" priority="1947" operator="equal">
      <formula>0</formula>
    </cfRule>
  </conditionalFormatting>
  <conditionalFormatting sqref="AI83">
    <cfRule type="cellIs" dxfId="4976" priority="1946" operator="equal">
      <formula>0</formula>
    </cfRule>
  </conditionalFormatting>
  <conditionalFormatting sqref="AI87">
    <cfRule type="cellIs" dxfId="4975" priority="1945" operator="equal">
      <formula>0</formula>
    </cfRule>
  </conditionalFormatting>
  <conditionalFormatting sqref="AJ75 AJ91 AJ103 AJ107 AJ111 AJ115 AJ119 AJ95:AJ99">
    <cfRule type="cellIs" dxfId="4974" priority="1944" operator="equal">
      <formula>0</formula>
    </cfRule>
  </conditionalFormatting>
  <conditionalFormatting sqref="AJ71">
    <cfRule type="cellIs" dxfId="4973" priority="1943" operator="equal">
      <formula>0</formula>
    </cfRule>
  </conditionalFormatting>
  <conditionalFormatting sqref="AJ79">
    <cfRule type="cellIs" dxfId="4972" priority="1942" operator="equal">
      <formula>0</formula>
    </cfRule>
  </conditionalFormatting>
  <conditionalFormatting sqref="AJ83">
    <cfRule type="cellIs" dxfId="4971" priority="1941" operator="equal">
      <formula>0</formula>
    </cfRule>
  </conditionalFormatting>
  <conditionalFormatting sqref="AJ87">
    <cfRule type="cellIs" dxfId="4970" priority="1940" operator="equal">
      <formula>0</formula>
    </cfRule>
  </conditionalFormatting>
  <conditionalFormatting sqref="AK72">
    <cfRule type="cellIs" dxfId="4969" priority="1938" operator="equal">
      <formula>0</formula>
    </cfRule>
    <cfRule type="cellIs" dxfId="4968" priority="1939" operator="notEqual">
      <formula>0</formula>
    </cfRule>
  </conditionalFormatting>
  <conditionalFormatting sqref="AK88 AK92 AK100 AK104 AK108 AK112 AK116">
    <cfRule type="cellIs" dxfId="4967" priority="1937" operator="greaterThan">
      <formula>0</formula>
    </cfRule>
  </conditionalFormatting>
  <conditionalFormatting sqref="AK75 AK91 AK103 AK107 AK111 AK115 AK119 AK95:AK99">
    <cfRule type="cellIs" dxfId="4966" priority="1936" operator="equal">
      <formula>0</formula>
    </cfRule>
  </conditionalFormatting>
  <conditionalFormatting sqref="AK68">
    <cfRule type="cellIs" dxfId="4965" priority="1934" operator="equal">
      <formula>0</formula>
    </cfRule>
    <cfRule type="cellIs" dxfId="4964" priority="1935" operator="notEqual">
      <formula>0</formula>
    </cfRule>
  </conditionalFormatting>
  <conditionalFormatting sqref="AK71">
    <cfRule type="cellIs" dxfId="4963" priority="1933" operator="equal">
      <formula>0</formula>
    </cfRule>
  </conditionalFormatting>
  <conditionalFormatting sqref="AK76">
    <cfRule type="cellIs" dxfId="4962" priority="1931" operator="equal">
      <formula>0</formula>
    </cfRule>
    <cfRule type="cellIs" dxfId="4961" priority="1932" operator="notEqual">
      <formula>0</formula>
    </cfRule>
  </conditionalFormatting>
  <conditionalFormatting sqref="AK79">
    <cfRule type="cellIs" dxfId="4960" priority="1930" operator="equal">
      <formula>0</formula>
    </cfRule>
  </conditionalFormatting>
  <conditionalFormatting sqref="AK80">
    <cfRule type="cellIs" dxfId="4959" priority="1928" operator="equal">
      <formula>0</formula>
    </cfRule>
    <cfRule type="cellIs" dxfId="4958" priority="1929" operator="notEqual">
      <formula>0</formula>
    </cfRule>
  </conditionalFormatting>
  <conditionalFormatting sqref="AK83">
    <cfRule type="cellIs" dxfId="4957" priority="1927" operator="equal">
      <formula>0</formula>
    </cfRule>
  </conditionalFormatting>
  <conditionalFormatting sqref="AK84">
    <cfRule type="cellIs" dxfId="4956" priority="1925" operator="equal">
      <formula>0</formula>
    </cfRule>
    <cfRule type="cellIs" dxfId="4955" priority="1926" operator="notEqual">
      <formula>0</formula>
    </cfRule>
  </conditionalFormatting>
  <conditionalFormatting sqref="AK87">
    <cfRule type="cellIs" dxfId="4954" priority="1924" operator="equal">
      <formula>0</formula>
    </cfRule>
  </conditionalFormatting>
  <conditionalFormatting sqref="AL72">
    <cfRule type="cellIs" dxfId="4953" priority="1922" operator="equal">
      <formula>0</formula>
    </cfRule>
    <cfRule type="cellIs" dxfId="4952" priority="1923" operator="notEqual">
      <formula>0</formula>
    </cfRule>
  </conditionalFormatting>
  <conditionalFormatting sqref="AL88 AL92 AL100 AL104 AL108 AL112 AL116">
    <cfRule type="cellIs" dxfId="4951" priority="1921" operator="greaterThan">
      <formula>0</formula>
    </cfRule>
  </conditionalFormatting>
  <conditionalFormatting sqref="AL75 AL91 AL103 AL107 AL111 AL115 AL119 AL95:AL99">
    <cfRule type="cellIs" dxfId="4950" priority="1920" operator="equal">
      <formula>0</formula>
    </cfRule>
  </conditionalFormatting>
  <conditionalFormatting sqref="AL68">
    <cfRule type="cellIs" dxfId="4949" priority="1918" operator="equal">
      <formula>0</formula>
    </cfRule>
    <cfRule type="cellIs" dxfId="4948" priority="1919" operator="notEqual">
      <formula>0</formula>
    </cfRule>
  </conditionalFormatting>
  <conditionalFormatting sqref="AL71">
    <cfRule type="cellIs" dxfId="4947" priority="1917" operator="equal">
      <formula>0</formula>
    </cfRule>
  </conditionalFormatting>
  <conditionalFormatting sqref="AL76">
    <cfRule type="cellIs" dxfId="4946" priority="1915" operator="equal">
      <formula>0</formula>
    </cfRule>
    <cfRule type="cellIs" dxfId="4945" priority="1916" operator="notEqual">
      <formula>0</formula>
    </cfRule>
  </conditionalFormatting>
  <conditionalFormatting sqref="AL79">
    <cfRule type="cellIs" dxfId="4944" priority="1914" operator="equal">
      <formula>0</formula>
    </cfRule>
  </conditionalFormatting>
  <conditionalFormatting sqref="AL80">
    <cfRule type="cellIs" dxfId="4943" priority="1912" operator="equal">
      <formula>0</formula>
    </cfRule>
    <cfRule type="cellIs" dxfId="4942" priority="1913" operator="notEqual">
      <formula>0</formula>
    </cfRule>
  </conditionalFormatting>
  <conditionalFormatting sqref="AL83">
    <cfRule type="cellIs" dxfId="4941" priority="1911" operator="equal">
      <formula>0</formula>
    </cfRule>
  </conditionalFormatting>
  <conditionalFormatting sqref="AL84">
    <cfRule type="cellIs" dxfId="4940" priority="1909" operator="equal">
      <formula>0</formula>
    </cfRule>
    <cfRule type="cellIs" dxfId="4939" priority="1910" operator="notEqual">
      <formula>0</formula>
    </cfRule>
  </conditionalFormatting>
  <conditionalFormatting sqref="AL87">
    <cfRule type="cellIs" dxfId="4938" priority="1908" operator="equal">
      <formula>0</formula>
    </cfRule>
  </conditionalFormatting>
  <conditionalFormatting sqref="AM72">
    <cfRule type="cellIs" dxfId="4937" priority="1906" operator="equal">
      <formula>0</formula>
    </cfRule>
    <cfRule type="cellIs" dxfId="4936" priority="1907" operator="notEqual">
      <formula>0</formula>
    </cfRule>
  </conditionalFormatting>
  <conditionalFormatting sqref="AM88 AM92 AM100 AM104 AM108 AM112 AM116">
    <cfRule type="cellIs" dxfId="4935" priority="1905" operator="greaterThan">
      <formula>0</formula>
    </cfRule>
  </conditionalFormatting>
  <conditionalFormatting sqref="AM75 AM91 AM103 AM107 AM111 AM115 AM119 AM95:AM99">
    <cfRule type="cellIs" dxfId="4934" priority="1904" operator="equal">
      <formula>0</formula>
    </cfRule>
  </conditionalFormatting>
  <conditionalFormatting sqref="AM68">
    <cfRule type="cellIs" dxfId="4933" priority="1902" operator="equal">
      <formula>0</formula>
    </cfRule>
    <cfRule type="cellIs" dxfId="4932" priority="1903" operator="notEqual">
      <formula>0</formula>
    </cfRule>
  </conditionalFormatting>
  <conditionalFormatting sqref="AM71">
    <cfRule type="cellIs" dxfId="4931" priority="1901" operator="equal">
      <formula>0</formula>
    </cfRule>
  </conditionalFormatting>
  <conditionalFormatting sqref="AM76">
    <cfRule type="cellIs" dxfId="4930" priority="1899" operator="equal">
      <formula>0</formula>
    </cfRule>
    <cfRule type="cellIs" dxfId="4929" priority="1900" operator="notEqual">
      <formula>0</formula>
    </cfRule>
  </conditionalFormatting>
  <conditionalFormatting sqref="AM79">
    <cfRule type="cellIs" dxfId="4928" priority="1898" operator="equal">
      <formula>0</formula>
    </cfRule>
  </conditionalFormatting>
  <conditionalFormatting sqref="AM80">
    <cfRule type="cellIs" dxfId="4927" priority="1896" operator="equal">
      <formula>0</formula>
    </cfRule>
    <cfRule type="cellIs" dxfId="4926" priority="1897" operator="notEqual">
      <formula>0</formula>
    </cfRule>
  </conditionalFormatting>
  <conditionalFormatting sqref="AM83">
    <cfRule type="cellIs" dxfId="4925" priority="1895" operator="equal">
      <formula>0</formula>
    </cfRule>
  </conditionalFormatting>
  <conditionalFormatting sqref="AM84">
    <cfRule type="cellIs" dxfId="4924" priority="1893" operator="equal">
      <formula>0</formula>
    </cfRule>
    <cfRule type="cellIs" dxfId="4923" priority="1894" operator="notEqual">
      <formula>0</formula>
    </cfRule>
  </conditionalFormatting>
  <conditionalFormatting sqref="AM87">
    <cfRule type="cellIs" dxfId="4922" priority="1892" operator="equal">
      <formula>0</formula>
    </cfRule>
  </conditionalFormatting>
  <conditionalFormatting sqref="AN72">
    <cfRule type="cellIs" dxfId="4921" priority="1890" operator="equal">
      <formula>0</formula>
    </cfRule>
    <cfRule type="cellIs" dxfId="4920" priority="1891" operator="notEqual">
      <formula>0</formula>
    </cfRule>
  </conditionalFormatting>
  <conditionalFormatting sqref="AN88 AN92 AN100 AN104 AN108 AN112 AN116">
    <cfRule type="cellIs" dxfId="4919" priority="1889" operator="greaterThan">
      <formula>0</formula>
    </cfRule>
  </conditionalFormatting>
  <conditionalFormatting sqref="AN75 AN91 AN103 AN107 AN111 AN115 AN119 AN95:AN99">
    <cfRule type="cellIs" dxfId="4918" priority="1888" operator="equal">
      <formula>0</formula>
    </cfRule>
  </conditionalFormatting>
  <conditionalFormatting sqref="AN68">
    <cfRule type="cellIs" dxfId="4917" priority="1886" operator="equal">
      <formula>0</formula>
    </cfRule>
    <cfRule type="cellIs" dxfId="4916" priority="1887" operator="notEqual">
      <formula>0</formula>
    </cfRule>
  </conditionalFormatting>
  <conditionalFormatting sqref="AN71">
    <cfRule type="cellIs" dxfId="4915" priority="1885" operator="equal">
      <formula>0</formula>
    </cfRule>
  </conditionalFormatting>
  <conditionalFormatting sqref="AN76">
    <cfRule type="cellIs" dxfId="4914" priority="1883" operator="equal">
      <formula>0</formula>
    </cfRule>
    <cfRule type="cellIs" dxfId="4913" priority="1884" operator="notEqual">
      <formula>0</formula>
    </cfRule>
  </conditionalFormatting>
  <conditionalFormatting sqref="AN79">
    <cfRule type="cellIs" dxfId="4912" priority="1882" operator="equal">
      <formula>0</formula>
    </cfRule>
  </conditionalFormatting>
  <conditionalFormatting sqref="AN80">
    <cfRule type="cellIs" dxfId="4911" priority="1880" operator="equal">
      <formula>0</formula>
    </cfRule>
    <cfRule type="cellIs" dxfId="4910" priority="1881" operator="notEqual">
      <formula>0</formula>
    </cfRule>
  </conditionalFormatting>
  <conditionalFormatting sqref="AN83">
    <cfRule type="cellIs" dxfId="4909" priority="1879" operator="equal">
      <formula>0</formula>
    </cfRule>
  </conditionalFormatting>
  <conditionalFormatting sqref="AN84">
    <cfRule type="cellIs" dxfId="4908" priority="1877" operator="equal">
      <formula>0</formula>
    </cfRule>
    <cfRule type="cellIs" dxfId="4907" priority="1878" operator="notEqual">
      <formula>0</formula>
    </cfRule>
  </conditionalFormatting>
  <conditionalFormatting sqref="AN87">
    <cfRule type="cellIs" dxfId="4906" priority="1876" operator="equal">
      <formula>0</formula>
    </cfRule>
  </conditionalFormatting>
  <conditionalFormatting sqref="Y130:Y131 Y146:Y147 Y150:Y151 Y158:Y159 Y162:Y163 Y166:Y167 Y170:Y171 Y174:Y175">
    <cfRule type="cellIs" dxfId="4905" priority="1875" operator="greaterThan">
      <formula>0</formula>
    </cfRule>
  </conditionalFormatting>
  <conditionalFormatting sqref="Y130:Y131 Y146:Y147 Y150:Y151 Y158:Y159 Y162:Y163 Y166:Y167 Y170:Y171 Y174:Y175">
    <cfRule type="cellIs" dxfId="4904" priority="1874" operator="equal">
      <formula>0</formula>
    </cfRule>
  </conditionalFormatting>
  <conditionalFormatting sqref="Y132 Y148 Y160 Y164 Y168 Y176 Y152:Y156 Y172">
    <cfRule type="cellIs" dxfId="4903" priority="1873" operator="equal">
      <formula>0</formula>
    </cfRule>
  </conditionalFormatting>
  <conditionalFormatting sqref="Y126:Y127">
    <cfRule type="cellIs" dxfId="4902" priority="1872" operator="greaterThan">
      <formula>0</formula>
    </cfRule>
  </conditionalFormatting>
  <conditionalFormatting sqref="Y126:Y127">
    <cfRule type="cellIs" dxfId="4901" priority="1871" operator="equal">
      <formula>0</formula>
    </cfRule>
  </conditionalFormatting>
  <conditionalFormatting sqref="Y128">
    <cfRule type="cellIs" dxfId="4900" priority="1870" operator="equal">
      <formula>0</formula>
    </cfRule>
  </conditionalFormatting>
  <conditionalFormatting sqref="Y134:Y135">
    <cfRule type="cellIs" dxfId="4899" priority="1869" operator="greaterThan">
      <formula>0</formula>
    </cfRule>
  </conditionalFormatting>
  <conditionalFormatting sqref="Y134:Y135">
    <cfRule type="cellIs" dxfId="4898" priority="1868" operator="equal">
      <formula>0</formula>
    </cfRule>
  </conditionalFormatting>
  <conditionalFormatting sqref="Y136">
    <cfRule type="cellIs" dxfId="4897" priority="1867" operator="equal">
      <formula>0</formula>
    </cfRule>
  </conditionalFormatting>
  <conditionalFormatting sqref="Y138:Y139">
    <cfRule type="cellIs" dxfId="4896" priority="1866" operator="greaterThan">
      <formula>0</formula>
    </cfRule>
  </conditionalFormatting>
  <conditionalFormatting sqref="Y138:Y139">
    <cfRule type="cellIs" dxfId="4895" priority="1865" operator="equal">
      <formula>0</formula>
    </cfRule>
  </conditionalFormatting>
  <conditionalFormatting sqref="Y140">
    <cfRule type="cellIs" dxfId="4894" priority="1864" operator="equal">
      <formula>0</formula>
    </cfRule>
  </conditionalFormatting>
  <conditionalFormatting sqref="Y142:Y143">
    <cfRule type="cellIs" dxfId="4893" priority="1863" operator="greaterThan">
      <formula>0</formula>
    </cfRule>
  </conditionalFormatting>
  <conditionalFormatting sqref="Y142:Y143">
    <cfRule type="cellIs" dxfId="4892" priority="1862" operator="equal">
      <formula>0</formula>
    </cfRule>
  </conditionalFormatting>
  <conditionalFormatting sqref="Y144">
    <cfRule type="cellIs" dxfId="4891" priority="1861" operator="equal">
      <formula>0</formula>
    </cfRule>
  </conditionalFormatting>
  <conditionalFormatting sqref="Z130:Z131 Z146:Z147 Z150:Z151 Z158:Z159 Z162:Z163 Z166:Z167 Z170:Z171 Z174:Z175">
    <cfRule type="cellIs" dxfId="4890" priority="1860" operator="greaterThan">
      <formula>0</formula>
    </cfRule>
  </conditionalFormatting>
  <conditionalFormatting sqref="Z130:Z131 Z146:Z147 Z150:Z151 Z158:Z159 Z162:Z163 Z166:Z167 Z170:Z171 Z174:Z175">
    <cfRule type="cellIs" dxfId="4889" priority="1859" operator="equal">
      <formula>0</formula>
    </cfRule>
  </conditionalFormatting>
  <conditionalFormatting sqref="Z132 Z148 Z160 Z164 Z168 Z172 Z176 Z152:Z156">
    <cfRule type="cellIs" dxfId="4888" priority="1858" operator="equal">
      <formula>0</formula>
    </cfRule>
  </conditionalFormatting>
  <conditionalFormatting sqref="Z126:Z127">
    <cfRule type="cellIs" dxfId="4887" priority="1857" operator="greaterThan">
      <formula>0</formula>
    </cfRule>
  </conditionalFormatting>
  <conditionalFormatting sqref="Z126:Z127">
    <cfRule type="cellIs" dxfId="4886" priority="1856" operator="equal">
      <formula>0</formula>
    </cfRule>
  </conditionalFormatting>
  <conditionalFormatting sqref="Z128">
    <cfRule type="cellIs" dxfId="4885" priority="1855" operator="equal">
      <formula>0</formula>
    </cfRule>
  </conditionalFormatting>
  <conditionalFormatting sqref="Z134:Z135">
    <cfRule type="cellIs" dxfId="4884" priority="1854" operator="greaterThan">
      <formula>0</formula>
    </cfRule>
  </conditionalFormatting>
  <conditionalFormatting sqref="Z134:Z135">
    <cfRule type="cellIs" dxfId="4883" priority="1853" operator="equal">
      <formula>0</formula>
    </cfRule>
  </conditionalFormatting>
  <conditionalFormatting sqref="Z136">
    <cfRule type="cellIs" dxfId="4882" priority="1852" operator="equal">
      <formula>0</formula>
    </cfRule>
  </conditionalFormatting>
  <conditionalFormatting sqref="Z138:Z139">
    <cfRule type="cellIs" dxfId="4881" priority="1851" operator="greaterThan">
      <formula>0</formula>
    </cfRule>
  </conditionalFormatting>
  <conditionalFormatting sqref="Z138:Z139">
    <cfRule type="cellIs" dxfId="4880" priority="1850" operator="equal">
      <formula>0</formula>
    </cfRule>
  </conditionalFormatting>
  <conditionalFormatting sqref="Z140">
    <cfRule type="cellIs" dxfId="4879" priority="1849" operator="equal">
      <formula>0</formula>
    </cfRule>
  </conditionalFormatting>
  <conditionalFormatting sqref="Z142:Z143">
    <cfRule type="cellIs" dxfId="4878" priority="1848" operator="greaterThan">
      <formula>0</formula>
    </cfRule>
  </conditionalFormatting>
  <conditionalFormatting sqref="Z142:Z143">
    <cfRule type="cellIs" dxfId="4877" priority="1847" operator="equal">
      <formula>0</formula>
    </cfRule>
  </conditionalFormatting>
  <conditionalFormatting sqref="Z144">
    <cfRule type="cellIs" dxfId="4876" priority="1846" operator="equal">
      <formula>0</formula>
    </cfRule>
  </conditionalFormatting>
  <conditionalFormatting sqref="AA130:AA131 AA146:AA147 AA150:AA151 AA158:AA159 AA162:AA163 AA166:AA167 AA170:AA171 AA174:AA175">
    <cfRule type="cellIs" dxfId="4875" priority="1845" operator="greaterThan">
      <formula>0</formula>
    </cfRule>
  </conditionalFormatting>
  <conditionalFormatting sqref="AA130:AA131 AA146:AA147 AA150:AA151 AA158:AA159 AA162:AA163 AA166:AA167 AA170:AA171 AA174:AA175">
    <cfRule type="cellIs" dxfId="4874" priority="1844" operator="equal">
      <formula>0</formula>
    </cfRule>
  </conditionalFormatting>
  <conditionalFormatting sqref="AA132 AA148 AA160 AA164 AA168 AA172 AA176 AA152:AA156">
    <cfRule type="cellIs" dxfId="4873" priority="1843" operator="equal">
      <formula>0</formula>
    </cfRule>
  </conditionalFormatting>
  <conditionalFormatting sqref="AA126:AA127">
    <cfRule type="cellIs" dxfId="4872" priority="1842" operator="greaterThan">
      <formula>0</formula>
    </cfRule>
  </conditionalFormatting>
  <conditionalFormatting sqref="AA126:AA127">
    <cfRule type="cellIs" dxfId="4871" priority="1841" operator="equal">
      <formula>0</formula>
    </cfRule>
  </conditionalFormatting>
  <conditionalFormatting sqref="AA128">
    <cfRule type="cellIs" dxfId="4870" priority="1840" operator="equal">
      <formula>0</formula>
    </cfRule>
  </conditionalFormatting>
  <conditionalFormatting sqref="AA134:AA135">
    <cfRule type="cellIs" dxfId="4869" priority="1839" operator="greaterThan">
      <formula>0</formula>
    </cfRule>
  </conditionalFormatting>
  <conditionalFormatting sqref="AA134:AA135">
    <cfRule type="cellIs" dxfId="4868" priority="1838" operator="equal">
      <formula>0</formula>
    </cfRule>
  </conditionalFormatting>
  <conditionalFormatting sqref="AA136">
    <cfRule type="cellIs" dxfId="4867" priority="1837" operator="equal">
      <formula>0</formula>
    </cfRule>
  </conditionalFormatting>
  <conditionalFormatting sqref="AA138:AA139">
    <cfRule type="cellIs" dxfId="4866" priority="1836" operator="greaterThan">
      <formula>0</formula>
    </cfRule>
  </conditionalFormatting>
  <conditionalFormatting sqref="AA138:AA139">
    <cfRule type="cellIs" dxfId="4865" priority="1835" operator="equal">
      <formula>0</formula>
    </cfRule>
  </conditionalFormatting>
  <conditionalFormatting sqref="AA140">
    <cfRule type="cellIs" dxfId="4864" priority="1834" operator="equal">
      <formula>0</formula>
    </cfRule>
  </conditionalFormatting>
  <conditionalFormatting sqref="AA142:AA143">
    <cfRule type="cellIs" dxfId="4863" priority="1833" operator="greaterThan">
      <formula>0</formula>
    </cfRule>
  </conditionalFormatting>
  <conditionalFormatting sqref="AA142:AA143">
    <cfRule type="cellIs" dxfId="4862" priority="1832" operator="equal">
      <formula>0</formula>
    </cfRule>
  </conditionalFormatting>
  <conditionalFormatting sqref="AA144">
    <cfRule type="cellIs" dxfId="4861" priority="1831" operator="equal">
      <formula>0</formula>
    </cfRule>
  </conditionalFormatting>
  <conditionalFormatting sqref="AB130:AB131 AB146:AB147 AB150:AB151 AB158:AB159 AB162:AB163 AB166:AB167 AB170:AB171 AB174:AB175">
    <cfRule type="cellIs" dxfId="4860" priority="1830" operator="greaterThan">
      <formula>0</formula>
    </cfRule>
  </conditionalFormatting>
  <conditionalFormatting sqref="AB130:AB131 AB146:AB147 AB150:AB151 AB158:AB159 AB162:AB163 AB166:AB167 AB170:AB171 AB174:AB175">
    <cfRule type="cellIs" dxfId="4859" priority="1829" operator="equal">
      <formula>0</formula>
    </cfRule>
  </conditionalFormatting>
  <conditionalFormatting sqref="AB132 AB148 AB160 AB164 AB168 AB172 AB176 AB152:AB156">
    <cfRule type="cellIs" dxfId="4858" priority="1828" operator="equal">
      <formula>0</formula>
    </cfRule>
  </conditionalFormatting>
  <conditionalFormatting sqref="AB126:AB127">
    <cfRule type="cellIs" dxfId="4857" priority="1827" operator="greaterThan">
      <formula>0</formula>
    </cfRule>
  </conditionalFormatting>
  <conditionalFormatting sqref="AB126:AB127">
    <cfRule type="cellIs" dxfId="4856" priority="1826" operator="equal">
      <formula>0</formula>
    </cfRule>
  </conditionalFormatting>
  <conditionalFormatting sqref="AB128">
    <cfRule type="cellIs" dxfId="4855" priority="1825" operator="equal">
      <formula>0</formula>
    </cfRule>
  </conditionalFormatting>
  <conditionalFormatting sqref="AB134:AB135">
    <cfRule type="cellIs" dxfId="4854" priority="1824" operator="greaterThan">
      <formula>0</formula>
    </cfRule>
  </conditionalFormatting>
  <conditionalFormatting sqref="AB134:AB135">
    <cfRule type="cellIs" dxfId="4853" priority="1823" operator="equal">
      <formula>0</formula>
    </cfRule>
  </conditionalFormatting>
  <conditionalFormatting sqref="AB136">
    <cfRule type="cellIs" dxfId="4852" priority="1822" operator="equal">
      <formula>0</formula>
    </cfRule>
  </conditionalFormatting>
  <conditionalFormatting sqref="AB138:AB139">
    <cfRule type="cellIs" dxfId="4851" priority="1821" operator="greaterThan">
      <formula>0</formula>
    </cfRule>
  </conditionalFormatting>
  <conditionalFormatting sqref="AB138:AB139">
    <cfRule type="cellIs" dxfId="4850" priority="1820" operator="equal">
      <formula>0</formula>
    </cfRule>
  </conditionalFormatting>
  <conditionalFormatting sqref="AB140">
    <cfRule type="cellIs" dxfId="4849" priority="1819" operator="equal">
      <formula>0</formula>
    </cfRule>
  </conditionalFormatting>
  <conditionalFormatting sqref="AB142:AB143">
    <cfRule type="cellIs" dxfId="4848" priority="1818" operator="greaterThan">
      <formula>0</formula>
    </cfRule>
  </conditionalFormatting>
  <conditionalFormatting sqref="AB142:AB143">
    <cfRule type="cellIs" dxfId="4847" priority="1817" operator="equal">
      <formula>0</formula>
    </cfRule>
  </conditionalFormatting>
  <conditionalFormatting sqref="AB144">
    <cfRule type="cellIs" dxfId="4846" priority="1816" operator="equal">
      <formula>0</formula>
    </cfRule>
  </conditionalFormatting>
  <conditionalFormatting sqref="AC130:AC131 AC146:AC147 AC150:AC151 AC158:AC159 AC162:AC163 AC166:AC167 AC170:AC171 AC174:AC175">
    <cfRule type="cellIs" dxfId="4845" priority="1815" operator="greaterThan">
      <formula>0</formula>
    </cfRule>
  </conditionalFormatting>
  <conditionalFormatting sqref="AC130:AC131 AC146:AC147 AC150:AC151 AC158:AC159 AC162:AC163 AC166:AC167 AC170:AC171 AC174:AC175">
    <cfRule type="cellIs" dxfId="4844" priority="1814" operator="equal">
      <formula>0</formula>
    </cfRule>
  </conditionalFormatting>
  <conditionalFormatting sqref="AC132 AC148 AC160 AC164 AC168 AC172 AC176 AC152:AC156">
    <cfRule type="cellIs" dxfId="4843" priority="1813" operator="equal">
      <formula>0</formula>
    </cfRule>
  </conditionalFormatting>
  <conditionalFormatting sqref="AC126:AC127">
    <cfRule type="cellIs" dxfId="4842" priority="1812" operator="greaterThan">
      <formula>0</formula>
    </cfRule>
  </conditionalFormatting>
  <conditionalFormatting sqref="AC126:AC127">
    <cfRule type="cellIs" dxfId="4841" priority="1811" operator="equal">
      <formula>0</formula>
    </cfRule>
  </conditionalFormatting>
  <conditionalFormatting sqref="AC128">
    <cfRule type="cellIs" dxfId="4840" priority="1810" operator="equal">
      <formula>0</formula>
    </cfRule>
  </conditionalFormatting>
  <conditionalFormatting sqref="AC134:AC135">
    <cfRule type="cellIs" dxfId="4839" priority="1809" operator="greaterThan">
      <formula>0</formula>
    </cfRule>
  </conditionalFormatting>
  <conditionalFormatting sqref="AC134:AC135">
    <cfRule type="cellIs" dxfId="4838" priority="1808" operator="equal">
      <formula>0</formula>
    </cfRule>
  </conditionalFormatting>
  <conditionalFormatting sqref="AC136">
    <cfRule type="cellIs" dxfId="4837" priority="1807" operator="equal">
      <formula>0</formula>
    </cfRule>
  </conditionalFormatting>
  <conditionalFormatting sqref="AC138:AC139">
    <cfRule type="cellIs" dxfId="4836" priority="1806" operator="greaterThan">
      <formula>0</formula>
    </cfRule>
  </conditionalFormatting>
  <conditionalFormatting sqref="AC138:AC139">
    <cfRule type="cellIs" dxfId="4835" priority="1805" operator="equal">
      <formula>0</formula>
    </cfRule>
  </conditionalFormatting>
  <conditionalFormatting sqref="AC140">
    <cfRule type="cellIs" dxfId="4834" priority="1804" operator="equal">
      <formula>0</formula>
    </cfRule>
  </conditionalFormatting>
  <conditionalFormatting sqref="AC142:AC143">
    <cfRule type="cellIs" dxfId="4833" priority="1803" operator="greaterThan">
      <formula>0</formula>
    </cfRule>
  </conditionalFormatting>
  <conditionalFormatting sqref="AC142:AC143">
    <cfRule type="cellIs" dxfId="4832" priority="1802" operator="equal">
      <formula>0</formula>
    </cfRule>
  </conditionalFormatting>
  <conditionalFormatting sqref="AC144">
    <cfRule type="cellIs" dxfId="4831" priority="1801" operator="equal">
      <formula>0</formula>
    </cfRule>
  </conditionalFormatting>
  <conditionalFormatting sqref="AD130:AD131 AD146:AD147 AD150:AD151 AD158:AD159 AD162:AD163 AD166:AD167 AD170:AD171 AD174:AD175">
    <cfRule type="cellIs" dxfId="4830" priority="1800" operator="greaterThan">
      <formula>0</formula>
    </cfRule>
  </conditionalFormatting>
  <conditionalFormatting sqref="AD130:AD131 AD146:AD147 AD150:AD151 AD158:AD159 AD162:AD163 AD166:AD167 AD170:AD171 AD174:AD175">
    <cfRule type="cellIs" dxfId="4829" priority="1799" operator="equal">
      <formula>0</formula>
    </cfRule>
  </conditionalFormatting>
  <conditionalFormatting sqref="AD132 AD148 AD160 AD164 AD168 AD172 AD176 AD152:AD156">
    <cfRule type="cellIs" dxfId="4828" priority="1798" operator="equal">
      <formula>0</formula>
    </cfRule>
  </conditionalFormatting>
  <conditionalFormatting sqref="AD126:AD127">
    <cfRule type="cellIs" dxfId="4827" priority="1797" operator="greaterThan">
      <formula>0</formula>
    </cfRule>
  </conditionalFormatting>
  <conditionalFormatting sqref="AD126:AD127">
    <cfRule type="cellIs" dxfId="4826" priority="1796" operator="equal">
      <formula>0</formula>
    </cfRule>
  </conditionalFormatting>
  <conditionalFormatting sqref="AD128">
    <cfRule type="cellIs" dxfId="4825" priority="1795" operator="equal">
      <formula>0</formula>
    </cfRule>
  </conditionalFormatting>
  <conditionalFormatting sqref="AD134:AD135">
    <cfRule type="cellIs" dxfId="4824" priority="1794" operator="greaterThan">
      <formula>0</formula>
    </cfRule>
  </conditionalFormatting>
  <conditionalFormatting sqref="AD134:AD135">
    <cfRule type="cellIs" dxfId="4823" priority="1793" operator="equal">
      <formula>0</formula>
    </cfRule>
  </conditionalFormatting>
  <conditionalFormatting sqref="AD136">
    <cfRule type="cellIs" dxfId="4822" priority="1792" operator="equal">
      <formula>0</formula>
    </cfRule>
  </conditionalFormatting>
  <conditionalFormatting sqref="AD138:AD139">
    <cfRule type="cellIs" dxfId="4821" priority="1791" operator="greaterThan">
      <formula>0</formula>
    </cfRule>
  </conditionalFormatting>
  <conditionalFormatting sqref="AD138:AD139">
    <cfRule type="cellIs" dxfId="4820" priority="1790" operator="equal">
      <formula>0</formula>
    </cfRule>
  </conditionalFormatting>
  <conditionalFormatting sqref="AD140">
    <cfRule type="cellIs" dxfId="4819" priority="1789" operator="equal">
      <formula>0</formula>
    </cfRule>
  </conditionalFormatting>
  <conditionalFormatting sqref="AD142:AD143">
    <cfRule type="cellIs" dxfId="4818" priority="1788" operator="greaterThan">
      <formula>0</formula>
    </cfRule>
  </conditionalFormatting>
  <conditionalFormatting sqref="AD142:AD143">
    <cfRule type="cellIs" dxfId="4817" priority="1787" operator="equal">
      <formula>0</formula>
    </cfRule>
  </conditionalFormatting>
  <conditionalFormatting sqref="AD144">
    <cfRule type="cellIs" dxfId="4816" priority="1786" operator="equal">
      <formula>0</formula>
    </cfRule>
  </conditionalFormatting>
  <conditionalFormatting sqref="AE130:AE131 AE146:AE147 AE150:AE151 AE158:AE159 AE162:AE163 AE166:AE167 AE170:AE171 AE174:AE175">
    <cfRule type="cellIs" dxfId="4815" priority="1785" operator="greaterThan">
      <formula>0</formula>
    </cfRule>
  </conditionalFormatting>
  <conditionalFormatting sqref="AE130:AE131 AE146:AE147 AE150:AE151 AE158:AE159 AE162:AE163 AE166:AE167 AE170:AE171 AE174:AE175">
    <cfRule type="cellIs" dxfId="4814" priority="1784" operator="equal">
      <formula>0</formula>
    </cfRule>
  </conditionalFormatting>
  <conditionalFormatting sqref="AE132 AE148 AE160 AE164 AE168 AE172 AE176 AE152:AE156">
    <cfRule type="cellIs" dxfId="4813" priority="1783" operator="equal">
      <formula>0</formula>
    </cfRule>
  </conditionalFormatting>
  <conditionalFormatting sqref="AE126:AE127">
    <cfRule type="cellIs" dxfId="4812" priority="1782" operator="greaterThan">
      <formula>0</formula>
    </cfRule>
  </conditionalFormatting>
  <conditionalFormatting sqref="AE126:AE127">
    <cfRule type="cellIs" dxfId="4811" priority="1781" operator="equal">
      <formula>0</formula>
    </cfRule>
  </conditionalFormatting>
  <conditionalFormatting sqref="AE128">
    <cfRule type="cellIs" dxfId="4810" priority="1780" operator="equal">
      <formula>0</formula>
    </cfRule>
  </conditionalFormatting>
  <conditionalFormatting sqref="AE134:AE135">
    <cfRule type="cellIs" dxfId="4809" priority="1779" operator="greaterThan">
      <formula>0</formula>
    </cfRule>
  </conditionalFormatting>
  <conditionalFormatting sqref="AE134:AE135">
    <cfRule type="cellIs" dxfId="4808" priority="1778" operator="equal">
      <formula>0</formula>
    </cfRule>
  </conditionalFormatting>
  <conditionalFormatting sqref="AE136">
    <cfRule type="cellIs" dxfId="4807" priority="1777" operator="equal">
      <formula>0</formula>
    </cfRule>
  </conditionalFormatting>
  <conditionalFormatting sqref="AE138:AE139">
    <cfRule type="cellIs" dxfId="4806" priority="1776" operator="greaterThan">
      <formula>0</formula>
    </cfRule>
  </conditionalFormatting>
  <conditionalFormatting sqref="AE138:AE139">
    <cfRule type="cellIs" dxfId="4805" priority="1775" operator="equal">
      <formula>0</formula>
    </cfRule>
  </conditionalFormatting>
  <conditionalFormatting sqref="AE140">
    <cfRule type="cellIs" dxfId="4804" priority="1774" operator="equal">
      <formula>0</formula>
    </cfRule>
  </conditionalFormatting>
  <conditionalFormatting sqref="AE142:AE143">
    <cfRule type="cellIs" dxfId="4803" priority="1773" operator="greaterThan">
      <formula>0</formula>
    </cfRule>
  </conditionalFormatting>
  <conditionalFormatting sqref="AE142:AE143">
    <cfRule type="cellIs" dxfId="4802" priority="1772" operator="equal">
      <formula>0</formula>
    </cfRule>
  </conditionalFormatting>
  <conditionalFormatting sqref="AE144">
    <cfRule type="cellIs" dxfId="4801" priority="1771" operator="equal">
      <formula>0</formula>
    </cfRule>
  </conditionalFormatting>
  <conditionalFormatting sqref="AF130:AF131 AF146:AF147 AF150:AF151 AF158:AF159 AF162:AF163 AF166:AF167 AF170:AF171 AF174:AF175">
    <cfRule type="cellIs" dxfId="4800" priority="1770" operator="greaterThan">
      <formula>0</formula>
    </cfRule>
  </conditionalFormatting>
  <conditionalFormatting sqref="AF130:AF131 AF146:AF147 AF150:AF151 AF158:AF159 AF162:AF163 AF166:AF167 AF170:AF171 AF174:AF175">
    <cfRule type="cellIs" dxfId="4799" priority="1769" operator="equal">
      <formula>0</formula>
    </cfRule>
  </conditionalFormatting>
  <conditionalFormatting sqref="AF132 AF148 AF160 AF164 AF168 AF172 AF176 AF152:AF156">
    <cfRule type="cellIs" dxfId="4798" priority="1768" operator="equal">
      <formula>0</formula>
    </cfRule>
  </conditionalFormatting>
  <conditionalFormatting sqref="AF126:AF127">
    <cfRule type="cellIs" dxfId="4797" priority="1767" operator="greaterThan">
      <formula>0</formula>
    </cfRule>
  </conditionalFormatting>
  <conditionalFormatting sqref="AF126:AF127">
    <cfRule type="cellIs" dxfId="4796" priority="1766" operator="equal">
      <formula>0</formula>
    </cfRule>
  </conditionalFormatting>
  <conditionalFormatting sqref="AF128">
    <cfRule type="cellIs" dxfId="4795" priority="1765" operator="equal">
      <formula>0</formula>
    </cfRule>
  </conditionalFormatting>
  <conditionalFormatting sqref="AF134:AF135">
    <cfRule type="cellIs" dxfId="4794" priority="1764" operator="greaterThan">
      <formula>0</formula>
    </cfRule>
  </conditionalFormatting>
  <conditionalFormatting sqref="AF134:AF135">
    <cfRule type="cellIs" dxfId="4793" priority="1763" operator="equal">
      <formula>0</formula>
    </cfRule>
  </conditionalFormatting>
  <conditionalFormatting sqref="AF136">
    <cfRule type="cellIs" dxfId="4792" priority="1762" operator="equal">
      <formula>0</formula>
    </cfRule>
  </conditionalFormatting>
  <conditionalFormatting sqref="AF138:AF139">
    <cfRule type="cellIs" dxfId="4791" priority="1761" operator="greaterThan">
      <formula>0</formula>
    </cfRule>
  </conditionalFormatting>
  <conditionalFormatting sqref="AF138:AF139">
    <cfRule type="cellIs" dxfId="4790" priority="1760" operator="equal">
      <formula>0</formula>
    </cfRule>
  </conditionalFormatting>
  <conditionalFormatting sqref="AF140">
    <cfRule type="cellIs" dxfId="4789" priority="1759" operator="equal">
      <formula>0</formula>
    </cfRule>
  </conditionalFormatting>
  <conditionalFormatting sqref="AF142:AF143">
    <cfRule type="cellIs" dxfId="4788" priority="1758" operator="greaterThan">
      <formula>0</formula>
    </cfRule>
  </conditionalFormatting>
  <conditionalFormatting sqref="AF142:AF143">
    <cfRule type="cellIs" dxfId="4787" priority="1757" operator="equal">
      <formula>0</formula>
    </cfRule>
  </conditionalFormatting>
  <conditionalFormatting sqref="AF144">
    <cfRule type="cellIs" dxfId="4786" priority="1756" operator="equal">
      <formula>0</formula>
    </cfRule>
  </conditionalFormatting>
  <conditionalFormatting sqref="AG132 AG148 AG160 AG164 AG168 AG172 AG176 AG152:AG156">
    <cfRule type="cellIs" dxfId="4785" priority="1755" operator="equal">
      <formula>0</formula>
    </cfRule>
  </conditionalFormatting>
  <conditionalFormatting sqref="AG128">
    <cfRule type="cellIs" dxfId="4784" priority="1754" operator="equal">
      <formula>0</formula>
    </cfRule>
  </conditionalFormatting>
  <conditionalFormatting sqref="AG136">
    <cfRule type="cellIs" dxfId="4783" priority="1753" operator="equal">
      <formula>0</formula>
    </cfRule>
  </conditionalFormatting>
  <conditionalFormatting sqref="AG140">
    <cfRule type="cellIs" dxfId="4782" priority="1752" operator="equal">
      <formula>0</formula>
    </cfRule>
  </conditionalFormatting>
  <conditionalFormatting sqref="AG144">
    <cfRule type="cellIs" dxfId="4781" priority="1751" operator="equal">
      <formula>0</formula>
    </cfRule>
  </conditionalFormatting>
  <conditionalFormatting sqref="AH132 AH148 AH160 AH164 AH168 AH172 AH176 AH152:AH156">
    <cfRule type="cellIs" dxfId="4780" priority="1750" operator="equal">
      <formula>0</formula>
    </cfRule>
  </conditionalFormatting>
  <conditionalFormatting sqref="AH128">
    <cfRule type="cellIs" dxfId="4779" priority="1749" operator="equal">
      <formula>0</formula>
    </cfRule>
  </conditionalFormatting>
  <conditionalFormatting sqref="AH136">
    <cfRule type="cellIs" dxfId="4778" priority="1748" operator="equal">
      <formula>0</formula>
    </cfRule>
  </conditionalFormatting>
  <conditionalFormatting sqref="AH140">
    <cfRule type="cellIs" dxfId="4777" priority="1747" operator="equal">
      <formula>0</formula>
    </cfRule>
  </conditionalFormatting>
  <conditionalFormatting sqref="AH144">
    <cfRule type="cellIs" dxfId="4776" priority="1746" operator="equal">
      <formula>0</formula>
    </cfRule>
  </conditionalFormatting>
  <conditionalFormatting sqref="AI132 AI148 AI160 AI164 AI168 AI172 AI176 AI152:AI156">
    <cfRule type="cellIs" dxfId="4775" priority="1745" operator="equal">
      <formula>0</formula>
    </cfRule>
  </conditionalFormatting>
  <conditionalFormatting sqref="AI128">
    <cfRule type="cellIs" dxfId="4774" priority="1744" operator="equal">
      <formula>0</formula>
    </cfRule>
  </conditionalFormatting>
  <conditionalFormatting sqref="AI136">
    <cfRule type="cellIs" dxfId="4773" priority="1743" operator="equal">
      <formula>0</formula>
    </cfRule>
  </conditionalFormatting>
  <conditionalFormatting sqref="AI140">
    <cfRule type="cellIs" dxfId="4772" priority="1742" operator="equal">
      <formula>0</formula>
    </cfRule>
  </conditionalFormatting>
  <conditionalFormatting sqref="AI144">
    <cfRule type="cellIs" dxfId="4771" priority="1741" operator="equal">
      <formula>0</formula>
    </cfRule>
  </conditionalFormatting>
  <conditionalFormatting sqref="AJ132 AJ148 AJ160 AJ164 AJ168 AJ172 AJ176 AJ152:AJ156">
    <cfRule type="cellIs" dxfId="4770" priority="1740" operator="equal">
      <formula>0</formula>
    </cfRule>
  </conditionalFormatting>
  <conditionalFormatting sqref="AJ128">
    <cfRule type="cellIs" dxfId="4769" priority="1739" operator="equal">
      <formula>0</formula>
    </cfRule>
  </conditionalFormatting>
  <conditionalFormatting sqref="AJ136">
    <cfRule type="cellIs" dxfId="4768" priority="1738" operator="equal">
      <formula>0</formula>
    </cfRule>
  </conditionalFormatting>
  <conditionalFormatting sqref="AJ140">
    <cfRule type="cellIs" dxfId="4767" priority="1737" operator="equal">
      <formula>0</formula>
    </cfRule>
  </conditionalFormatting>
  <conditionalFormatting sqref="AJ144">
    <cfRule type="cellIs" dxfId="4766" priority="1736" operator="equal">
      <formula>0</formula>
    </cfRule>
  </conditionalFormatting>
  <conditionalFormatting sqref="AK129">
    <cfRule type="cellIs" dxfId="4765" priority="1734" operator="equal">
      <formula>0</formula>
    </cfRule>
    <cfRule type="cellIs" dxfId="4764" priority="1735" operator="notEqual">
      <formula>0</formula>
    </cfRule>
  </conditionalFormatting>
  <conditionalFormatting sqref="AK145 AK149 AK157 AK161 AK165 AK169 AK173">
    <cfRule type="cellIs" dxfId="4763" priority="1733" operator="greaterThan">
      <formula>0</formula>
    </cfRule>
  </conditionalFormatting>
  <conditionalFormatting sqref="AK132 AK148 AK160 AK164 AK168 AK172 AK176 AK152:AK156">
    <cfRule type="cellIs" dxfId="4762" priority="1732" operator="equal">
      <formula>0</formula>
    </cfRule>
  </conditionalFormatting>
  <conditionalFormatting sqref="AK125">
    <cfRule type="cellIs" dxfId="4761" priority="1730" operator="equal">
      <formula>0</formula>
    </cfRule>
    <cfRule type="cellIs" dxfId="4760" priority="1731" operator="notEqual">
      <formula>0</formula>
    </cfRule>
  </conditionalFormatting>
  <conditionalFormatting sqref="AK128">
    <cfRule type="cellIs" dxfId="4759" priority="1729" operator="equal">
      <formula>0</formula>
    </cfRule>
  </conditionalFormatting>
  <conditionalFormatting sqref="AK133">
    <cfRule type="cellIs" dxfId="4758" priority="1727" operator="equal">
      <formula>0</formula>
    </cfRule>
    <cfRule type="cellIs" dxfId="4757" priority="1728" operator="notEqual">
      <formula>0</formula>
    </cfRule>
  </conditionalFormatting>
  <conditionalFormatting sqref="AK136">
    <cfRule type="cellIs" dxfId="4756" priority="1726" operator="equal">
      <formula>0</formula>
    </cfRule>
  </conditionalFormatting>
  <conditionalFormatting sqref="AK137">
    <cfRule type="cellIs" dxfId="4755" priority="1724" operator="equal">
      <formula>0</formula>
    </cfRule>
    <cfRule type="cellIs" dxfId="4754" priority="1725" operator="notEqual">
      <formula>0</formula>
    </cfRule>
  </conditionalFormatting>
  <conditionalFormatting sqref="AK140">
    <cfRule type="cellIs" dxfId="4753" priority="1723" operator="equal">
      <formula>0</formula>
    </cfRule>
  </conditionalFormatting>
  <conditionalFormatting sqref="AK141">
    <cfRule type="cellIs" dxfId="4752" priority="1721" operator="equal">
      <formula>0</formula>
    </cfRule>
    <cfRule type="cellIs" dxfId="4751" priority="1722" operator="notEqual">
      <formula>0</formula>
    </cfRule>
  </conditionalFormatting>
  <conditionalFormatting sqref="AK144">
    <cfRule type="cellIs" dxfId="4750" priority="1720" operator="equal">
      <formula>0</formula>
    </cfRule>
  </conditionalFormatting>
  <conditionalFormatting sqref="AL129">
    <cfRule type="cellIs" dxfId="4749" priority="1718" operator="equal">
      <formula>0</formula>
    </cfRule>
    <cfRule type="cellIs" dxfId="4748" priority="1719" operator="notEqual">
      <formula>0</formula>
    </cfRule>
  </conditionalFormatting>
  <conditionalFormatting sqref="AL145 AL149 AL157 AL161 AL165 AL169 AL173">
    <cfRule type="cellIs" dxfId="4747" priority="1717" operator="greaterThan">
      <formula>0</formula>
    </cfRule>
  </conditionalFormatting>
  <conditionalFormatting sqref="AL132 AL148 AL160 AL164 AL168 AL172 AL176 AL152:AL156">
    <cfRule type="cellIs" dxfId="4746" priority="1716" operator="equal">
      <formula>0</formula>
    </cfRule>
  </conditionalFormatting>
  <conditionalFormatting sqref="AL125">
    <cfRule type="cellIs" dxfId="4745" priority="1714" operator="equal">
      <formula>0</formula>
    </cfRule>
    <cfRule type="cellIs" dxfId="4744" priority="1715" operator="notEqual">
      <formula>0</formula>
    </cfRule>
  </conditionalFormatting>
  <conditionalFormatting sqref="AL128">
    <cfRule type="cellIs" dxfId="4743" priority="1713" operator="equal">
      <formula>0</formula>
    </cfRule>
  </conditionalFormatting>
  <conditionalFormatting sqref="AL133">
    <cfRule type="cellIs" dxfId="4742" priority="1711" operator="equal">
      <formula>0</formula>
    </cfRule>
    <cfRule type="cellIs" dxfId="4741" priority="1712" operator="notEqual">
      <formula>0</formula>
    </cfRule>
  </conditionalFormatting>
  <conditionalFormatting sqref="AL136">
    <cfRule type="cellIs" dxfId="4740" priority="1710" operator="equal">
      <formula>0</formula>
    </cfRule>
  </conditionalFormatting>
  <conditionalFormatting sqref="AL137">
    <cfRule type="cellIs" dxfId="4739" priority="1708" operator="equal">
      <formula>0</formula>
    </cfRule>
    <cfRule type="cellIs" dxfId="4738" priority="1709" operator="notEqual">
      <formula>0</formula>
    </cfRule>
  </conditionalFormatting>
  <conditionalFormatting sqref="AL140">
    <cfRule type="cellIs" dxfId="4737" priority="1707" operator="equal">
      <formula>0</formula>
    </cfRule>
  </conditionalFormatting>
  <conditionalFormatting sqref="AL141">
    <cfRule type="cellIs" dxfId="4736" priority="1705" operator="equal">
      <formula>0</formula>
    </cfRule>
    <cfRule type="cellIs" dxfId="4735" priority="1706" operator="notEqual">
      <formula>0</formula>
    </cfRule>
  </conditionalFormatting>
  <conditionalFormatting sqref="AL144">
    <cfRule type="cellIs" dxfId="4734" priority="1704" operator="equal">
      <formula>0</formula>
    </cfRule>
  </conditionalFormatting>
  <conditionalFormatting sqref="AM129">
    <cfRule type="cellIs" dxfId="4733" priority="1702" operator="equal">
      <formula>0</formula>
    </cfRule>
    <cfRule type="cellIs" dxfId="4732" priority="1703" operator="notEqual">
      <formula>0</formula>
    </cfRule>
  </conditionalFormatting>
  <conditionalFormatting sqref="AM145 AM149 AM157 AM161 AM165 AM169 AM173">
    <cfRule type="cellIs" dxfId="4731" priority="1701" operator="greaterThan">
      <formula>0</formula>
    </cfRule>
  </conditionalFormatting>
  <conditionalFormatting sqref="AM132 AM148 AM160 AM164 AM168 AM172 AM176 AM152:AM156">
    <cfRule type="cellIs" dxfId="4730" priority="1700" operator="equal">
      <formula>0</formula>
    </cfRule>
  </conditionalFormatting>
  <conditionalFormatting sqref="AM125">
    <cfRule type="cellIs" dxfId="4729" priority="1698" operator="equal">
      <formula>0</formula>
    </cfRule>
    <cfRule type="cellIs" dxfId="4728" priority="1699" operator="notEqual">
      <formula>0</formula>
    </cfRule>
  </conditionalFormatting>
  <conditionalFormatting sqref="AM128">
    <cfRule type="cellIs" dxfId="4727" priority="1697" operator="equal">
      <formula>0</formula>
    </cfRule>
  </conditionalFormatting>
  <conditionalFormatting sqref="AM133">
    <cfRule type="cellIs" dxfId="4726" priority="1695" operator="equal">
      <formula>0</formula>
    </cfRule>
    <cfRule type="cellIs" dxfId="4725" priority="1696" operator="notEqual">
      <formula>0</formula>
    </cfRule>
  </conditionalFormatting>
  <conditionalFormatting sqref="AM136">
    <cfRule type="cellIs" dxfId="4724" priority="1694" operator="equal">
      <formula>0</formula>
    </cfRule>
  </conditionalFormatting>
  <conditionalFormatting sqref="AM137">
    <cfRule type="cellIs" dxfId="4723" priority="1692" operator="equal">
      <formula>0</formula>
    </cfRule>
    <cfRule type="cellIs" dxfId="4722" priority="1693" operator="notEqual">
      <formula>0</formula>
    </cfRule>
  </conditionalFormatting>
  <conditionalFormatting sqref="AM140">
    <cfRule type="cellIs" dxfId="4721" priority="1691" operator="equal">
      <formula>0</formula>
    </cfRule>
  </conditionalFormatting>
  <conditionalFormatting sqref="AM141">
    <cfRule type="cellIs" dxfId="4720" priority="1689" operator="equal">
      <formula>0</formula>
    </cfRule>
    <cfRule type="cellIs" dxfId="4719" priority="1690" operator="notEqual">
      <formula>0</formula>
    </cfRule>
  </conditionalFormatting>
  <conditionalFormatting sqref="AM144">
    <cfRule type="cellIs" dxfId="4718" priority="1688" operator="equal">
      <formula>0</formula>
    </cfRule>
  </conditionalFormatting>
  <conditionalFormatting sqref="AN129">
    <cfRule type="cellIs" dxfId="4717" priority="1686" operator="equal">
      <formula>0</formula>
    </cfRule>
    <cfRule type="cellIs" dxfId="4716" priority="1687" operator="notEqual">
      <formula>0</formula>
    </cfRule>
  </conditionalFormatting>
  <conditionalFormatting sqref="AN145 AN149 AN157 AN161 AN165 AN169 AN173">
    <cfRule type="cellIs" dxfId="4715" priority="1685" operator="greaterThan">
      <formula>0</formula>
    </cfRule>
  </conditionalFormatting>
  <conditionalFormatting sqref="AN132 AN148 AN160 AN164 AN168 AN172 AN176 AN152:AN156">
    <cfRule type="cellIs" dxfId="4714" priority="1684" operator="equal">
      <formula>0</formula>
    </cfRule>
  </conditionalFormatting>
  <conditionalFormatting sqref="AN125">
    <cfRule type="cellIs" dxfId="4713" priority="1682" operator="equal">
      <formula>0</formula>
    </cfRule>
    <cfRule type="cellIs" dxfId="4712" priority="1683" operator="notEqual">
      <formula>0</formula>
    </cfRule>
  </conditionalFormatting>
  <conditionalFormatting sqref="AN128">
    <cfRule type="cellIs" dxfId="4711" priority="1681" operator="equal">
      <formula>0</formula>
    </cfRule>
  </conditionalFormatting>
  <conditionalFormatting sqref="AN133">
    <cfRule type="cellIs" dxfId="4710" priority="1679" operator="equal">
      <formula>0</formula>
    </cfRule>
    <cfRule type="cellIs" dxfId="4709" priority="1680" operator="notEqual">
      <formula>0</formula>
    </cfRule>
  </conditionalFormatting>
  <conditionalFormatting sqref="AN136">
    <cfRule type="cellIs" dxfId="4708" priority="1678" operator="equal">
      <formula>0</formula>
    </cfRule>
  </conditionalFormatting>
  <conditionalFormatting sqref="AN137">
    <cfRule type="cellIs" dxfId="4707" priority="1676" operator="equal">
      <formula>0</formula>
    </cfRule>
    <cfRule type="cellIs" dxfId="4706" priority="1677" operator="notEqual">
      <formula>0</formula>
    </cfRule>
  </conditionalFormatting>
  <conditionalFormatting sqref="AN140">
    <cfRule type="cellIs" dxfId="4705" priority="1675" operator="equal">
      <formula>0</formula>
    </cfRule>
  </conditionalFormatting>
  <conditionalFormatting sqref="AN141">
    <cfRule type="cellIs" dxfId="4704" priority="1673" operator="equal">
      <formula>0</formula>
    </cfRule>
    <cfRule type="cellIs" dxfId="4703" priority="1674" operator="notEqual">
      <formula>0</formula>
    </cfRule>
  </conditionalFormatting>
  <conditionalFormatting sqref="AN144">
    <cfRule type="cellIs" dxfId="4702" priority="1672" operator="equal">
      <formula>0</formula>
    </cfRule>
  </conditionalFormatting>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8"/>
  <dimension ref="A1:AN68"/>
  <sheetViews>
    <sheetView zoomScale="85" zoomScaleNormal="85" workbookViewId="0">
      <selection activeCell="T54" sqref="T54"/>
    </sheetView>
  </sheetViews>
  <sheetFormatPr baseColWidth="10" defaultColWidth="8.83203125" defaultRowHeight="14" x14ac:dyDescent="0.15"/>
  <cols>
    <col min="2" max="2" width="35" bestFit="1" customWidth="1"/>
    <col min="3" max="18" width="8.83203125" style="3"/>
    <col min="19" max="19" width="12.83203125" style="3" customWidth="1"/>
    <col min="20" max="20" width="8.83203125" style="3"/>
    <col min="21" max="21" width="35" style="3" bestFit="1" customWidth="1"/>
    <col min="22" max="22" width="11.5" style="3" bestFit="1" customWidth="1"/>
    <col min="23" max="28" width="10.1640625" style="3" bestFit="1" customWidth="1"/>
    <col min="29" max="38" width="8.83203125" style="3"/>
  </cols>
  <sheetData>
    <row r="1" spans="1:40" ht="65.25" customHeight="1" x14ac:dyDescent="0.15">
      <c r="A1" s="364" t="s">
        <v>1119</v>
      </c>
      <c r="B1" s="364"/>
      <c r="C1" s="364"/>
      <c r="D1" s="364"/>
      <c r="E1" s="364"/>
      <c r="F1" s="364"/>
      <c r="G1" s="364"/>
      <c r="H1" s="364"/>
      <c r="I1" s="364"/>
      <c r="J1" s="364"/>
      <c r="K1" s="364"/>
      <c r="L1" s="364"/>
      <c r="M1" s="364"/>
      <c r="N1" s="364"/>
      <c r="O1" s="364"/>
      <c r="P1" s="364"/>
      <c r="Q1" s="364"/>
      <c r="R1" s="364"/>
      <c r="S1" s="364"/>
      <c r="T1" s="364"/>
      <c r="U1" s="364"/>
      <c r="V1" s="364"/>
      <c r="W1" s="364"/>
      <c r="X1" s="364"/>
      <c r="Y1" s="364"/>
      <c r="Z1" s="364"/>
      <c r="AA1" s="364"/>
      <c r="AB1" s="364"/>
      <c r="AC1" s="364"/>
      <c r="AD1" s="364"/>
      <c r="AE1" s="364"/>
      <c r="AF1" s="364"/>
      <c r="AG1" s="364"/>
      <c r="AH1" s="364"/>
      <c r="AI1" s="364"/>
      <c r="AJ1" s="364"/>
      <c r="AK1" s="364"/>
      <c r="AL1" s="364"/>
      <c r="AM1" s="364"/>
      <c r="AN1" s="364"/>
    </row>
    <row r="2" spans="1:40" ht="42.75" customHeight="1" x14ac:dyDescent="0.15">
      <c r="A2" s="351"/>
      <c r="B2" s="351"/>
      <c r="C2" s="351"/>
      <c r="D2" s="351"/>
      <c r="E2" s="351"/>
      <c r="F2" s="351"/>
      <c r="G2" s="351"/>
      <c r="H2" s="351"/>
      <c r="I2" s="351"/>
      <c r="J2" s="351"/>
      <c r="K2" s="351"/>
      <c r="L2" s="351"/>
      <c r="M2" s="351"/>
      <c r="N2" s="351"/>
      <c r="O2" s="351"/>
      <c r="P2" s="351"/>
      <c r="Q2" s="351"/>
      <c r="R2" s="351"/>
      <c r="S2" s="351"/>
      <c r="T2" s="351"/>
      <c r="U2" s="351"/>
      <c r="V2" s="351"/>
      <c r="W2" s="351"/>
      <c r="X2" s="351"/>
      <c r="Y2" s="351"/>
      <c r="Z2" s="351"/>
      <c r="AA2" s="351"/>
      <c r="AB2" s="351"/>
      <c r="AC2" s="351"/>
      <c r="AD2" s="351"/>
      <c r="AE2" s="351"/>
      <c r="AF2" s="351"/>
      <c r="AG2" s="351"/>
      <c r="AH2" s="351"/>
      <c r="AI2" s="351"/>
      <c r="AJ2" s="351"/>
      <c r="AK2" s="351"/>
      <c r="AL2" s="351"/>
      <c r="AM2" s="351"/>
      <c r="AN2" s="351"/>
    </row>
    <row r="3" spans="1:40" s="54" customFormat="1" ht="39.75" customHeight="1" x14ac:dyDescent="0.15">
      <c r="A3" s="70"/>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row>
    <row r="4" spans="1:40" ht="16" x14ac:dyDescent="0.2">
      <c r="C4" s="319" t="s">
        <v>1120</v>
      </c>
      <c r="D4" s="323"/>
      <c r="E4" s="323"/>
      <c r="F4" s="323"/>
      <c r="G4" s="323"/>
      <c r="H4" s="323"/>
      <c r="I4" s="323"/>
      <c r="J4" s="323"/>
      <c r="K4" s="323"/>
      <c r="L4" s="323"/>
      <c r="M4" s="323"/>
      <c r="N4" s="323"/>
      <c r="O4" s="323"/>
      <c r="P4" s="323"/>
      <c r="Q4" s="323"/>
      <c r="R4" s="323"/>
      <c r="S4" s="365"/>
      <c r="T4" s="1"/>
      <c r="U4" s="1"/>
      <c r="V4" s="366" t="s">
        <v>1121</v>
      </c>
      <c r="W4" s="366"/>
      <c r="X4" s="366"/>
      <c r="Y4" s="366"/>
      <c r="Z4" s="366"/>
      <c r="AA4" s="366"/>
      <c r="AB4" s="366"/>
    </row>
    <row r="5" spans="1:40" x14ac:dyDescent="0.15">
      <c r="B5" s="153"/>
      <c r="C5" s="41" t="s">
        <v>922</v>
      </c>
      <c r="D5" s="41" t="s">
        <v>923</v>
      </c>
      <c r="E5" s="41" t="s">
        <v>924</v>
      </c>
      <c r="F5" s="41" t="s">
        <v>925</v>
      </c>
      <c r="G5" s="41" t="s">
        <v>926</v>
      </c>
      <c r="H5" s="41" t="s">
        <v>927</v>
      </c>
      <c r="I5" s="41" t="s">
        <v>928</v>
      </c>
      <c r="J5" s="41" t="s">
        <v>929</v>
      </c>
      <c r="K5" s="41" t="s">
        <v>930</v>
      </c>
      <c r="L5" s="41" t="s">
        <v>931</v>
      </c>
      <c r="M5" s="41" t="s">
        <v>932</v>
      </c>
      <c r="N5" s="41" t="s">
        <v>933</v>
      </c>
      <c r="O5" s="41" t="s">
        <v>934</v>
      </c>
      <c r="P5" s="41" t="s">
        <v>935</v>
      </c>
      <c r="Q5" s="41" t="s">
        <v>936</v>
      </c>
      <c r="R5" s="41" t="s">
        <v>937</v>
      </c>
      <c r="S5" s="42" t="s">
        <v>939</v>
      </c>
      <c r="T5" s="101"/>
      <c r="U5" s="256"/>
      <c r="V5" s="41" t="s">
        <v>922</v>
      </c>
      <c r="W5" s="41" t="s">
        <v>923</v>
      </c>
      <c r="X5" s="41" t="s">
        <v>924</v>
      </c>
      <c r="Y5" s="41" t="s">
        <v>925</v>
      </c>
      <c r="Z5" s="41" t="s">
        <v>926</v>
      </c>
      <c r="AA5" s="41" t="s">
        <v>927</v>
      </c>
      <c r="AB5" s="41" t="s">
        <v>928</v>
      </c>
      <c r="AC5" s="41" t="s">
        <v>929</v>
      </c>
      <c r="AD5" s="41" t="s">
        <v>930</v>
      </c>
      <c r="AE5" s="41" t="s">
        <v>931</v>
      </c>
      <c r="AF5" s="41" t="s">
        <v>932</v>
      </c>
      <c r="AG5" s="41" t="s">
        <v>933</v>
      </c>
      <c r="AH5" s="41" t="s">
        <v>934</v>
      </c>
      <c r="AI5" s="41" t="s">
        <v>935</v>
      </c>
      <c r="AJ5" s="41" t="s">
        <v>936</v>
      </c>
      <c r="AK5" s="41" t="s">
        <v>937</v>
      </c>
    </row>
    <row r="6" spans="1:40" x14ac:dyDescent="0.15">
      <c r="B6" s="155" t="s">
        <v>20</v>
      </c>
      <c r="C6" s="84">
        <f>SUMIF('caseload data'!$A:$A,"East Midlands Region",'caseload data'!E:E)</f>
        <v>0</v>
      </c>
      <c r="D6" s="84">
        <f>SUMIF('caseload data'!$A:$A,"East Midlands Region",'caseload data'!F:F)</f>
        <v>0</v>
      </c>
      <c r="E6" s="84">
        <f>SUMIF('caseload data'!$A:$A,"East Midlands Region",'caseload data'!G:G)</f>
        <v>0</v>
      </c>
      <c r="F6" s="84">
        <f>SUMIF('caseload data'!$A:$A,"East Midlands Region",'caseload data'!H:H)</f>
        <v>0</v>
      </c>
      <c r="G6" s="84">
        <f>SUMIF('caseload data'!$A:$A,"East Midlands Region",'caseload data'!I:I)</f>
        <v>0</v>
      </c>
      <c r="H6" s="84">
        <f>SUMIF('caseload data'!$A:$A,"East Midlands Region",'caseload data'!J:J)</f>
        <v>0</v>
      </c>
      <c r="I6" s="84">
        <f>SUMIF('caseload data'!$A:$A,"East Midlands Region",'caseload data'!K:K)</f>
        <v>0</v>
      </c>
      <c r="J6" s="84">
        <f>SUMIF('caseload data'!$A:$A,"East Midlands Region",'caseload data'!L:L)</f>
        <v>0</v>
      </c>
      <c r="K6" s="84">
        <f>SUMIF('caseload data'!$A:$A,"East Midlands Region",'caseload data'!M:M)</f>
        <v>0</v>
      </c>
      <c r="L6" s="84">
        <f>SUMIF('caseload data'!$A:$A,"East Midlands Region",'caseload data'!N:N)</f>
        <v>0</v>
      </c>
      <c r="M6" s="84">
        <f>SUMIF('caseload data'!$A:$A,"East Midlands Region",'caseload data'!O:O)</f>
        <v>0</v>
      </c>
      <c r="N6" s="84">
        <f>SUMIF('caseload data'!$A:$A,"East Midlands Region",'caseload data'!P:P)</f>
        <v>0</v>
      </c>
      <c r="O6" s="84">
        <f>SUMIF('caseload data'!$A:$A,"East Midlands Region",'caseload data'!Q:Q)</f>
        <v>0</v>
      </c>
      <c r="P6" s="84">
        <f>SUMIF('caseload data'!$A:$A,"East Midlands Region",'caseload data'!R:R)</f>
        <v>0</v>
      </c>
      <c r="Q6" s="84">
        <f>SUMIF('caseload data'!$A:$A,"East Midlands Region",'caseload data'!S:S)</f>
        <v>0</v>
      </c>
      <c r="R6" s="84">
        <f>SUMIF('caseload data'!$A:$A,"East Midlands Region",'caseload data'!T:T)</f>
        <v>0</v>
      </c>
      <c r="S6" s="84">
        <f>SUMIF('caseload data'!A:A,"East Midlands Region",'caseload data'!V:V)</f>
        <v>0</v>
      </c>
      <c r="T6" s="101"/>
      <c r="U6" s="155" t="s">
        <v>20</v>
      </c>
      <c r="V6" s="75" t="e">
        <f>C6/$S$6</f>
        <v>#DIV/0!</v>
      </c>
      <c r="W6" s="75" t="e">
        <f t="shared" ref="W6:AK6" si="0">D6/$S$6</f>
        <v>#DIV/0!</v>
      </c>
      <c r="X6" s="75" t="e">
        <f t="shared" si="0"/>
        <v>#DIV/0!</v>
      </c>
      <c r="Y6" s="75" t="e">
        <f t="shared" si="0"/>
        <v>#DIV/0!</v>
      </c>
      <c r="Z6" s="75" t="e">
        <f t="shared" si="0"/>
        <v>#DIV/0!</v>
      </c>
      <c r="AA6" s="75" t="e">
        <f t="shared" si="0"/>
        <v>#DIV/0!</v>
      </c>
      <c r="AB6" s="75" t="e">
        <f t="shared" si="0"/>
        <v>#DIV/0!</v>
      </c>
      <c r="AC6" s="75" t="e">
        <f t="shared" si="0"/>
        <v>#DIV/0!</v>
      </c>
      <c r="AD6" s="75" t="e">
        <f t="shared" si="0"/>
        <v>#DIV/0!</v>
      </c>
      <c r="AE6" s="75" t="e">
        <f t="shared" si="0"/>
        <v>#DIV/0!</v>
      </c>
      <c r="AF6" s="75" t="e">
        <f t="shared" si="0"/>
        <v>#DIV/0!</v>
      </c>
      <c r="AG6" s="75" t="e">
        <f t="shared" si="0"/>
        <v>#DIV/0!</v>
      </c>
      <c r="AH6" s="75" t="e">
        <f t="shared" si="0"/>
        <v>#DIV/0!</v>
      </c>
      <c r="AI6" s="75" t="e">
        <f t="shared" si="0"/>
        <v>#DIV/0!</v>
      </c>
      <c r="AJ6" s="75" t="e">
        <f t="shared" si="0"/>
        <v>#DIV/0!</v>
      </c>
      <c r="AK6" s="75" t="e">
        <f t="shared" si="0"/>
        <v>#DIV/0!</v>
      </c>
    </row>
    <row r="7" spans="1:40" x14ac:dyDescent="0.15">
      <c r="B7" s="155" t="s">
        <v>21</v>
      </c>
      <c r="C7" s="84">
        <f>SUMIF('caseload data'!$A:$A,"East of England",'caseload data'!E:E)</f>
        <v>0</v>
      </c>
      <c r="D7" s="84">
        <f>SUMIF('caseload data'!$A:$A,"East of England",'caseload data'!F:F)</f>
        <v>0</v>
      </c>
      <c r="E7" s="84">
        <f>SUMIF('caseload data'!$A:$A,"East of England",'caseload data'!G:G)</f>
        <v>0</v>
      </c>
      <c r="F7" s="84">
        <f>SUMIF('caseload data'!$A:$A,"East of England",'caseload data'!H:H)</f>
        <v>0</v>
      </c>
      <c r="G7" s="84">
        <f>SUMIF('caseload data'!$A:$A,"East of England",'caseload data'!I:I)</f>
        <v>0</v>
      </c>
      <c r="H7" s="84">
        <f>SUMIF('caseload data'!$A:$A,"East of England",'caseload data'!J:J)</f>
        <v>0</v>
      </c>
      <c r="I7" s="84">
        <f>SUMIF('caseload data'!$A:$A,"East of England",'caseload data'!K:K)</f>
        <v>0</v>
      </c>
      <c r="J7" s="84">
        <f>SUMIF('caseload data'!$A:$A,"East of England",'caseload data'!L:L)</f>
        <v>0</v>
      </c>
      <c r="K7" s="84">
        <f>SUMIF('caseload data'!$A:$A,"East of England",'caseload data'!M:M)</f>
        <v>0</v>
      </c>
      <c r="L7" s="84">
        <f>SUMIF('caseload data'!$A:$A,"East of England",'caseload data'!N:N)</f>
        <v>0</v>
      </c>
      <c r="M7" s="84">
        <f>SUMIF('caseload data'!$A:$A,"East of England",'caseload data'!O:O)</f>
        <v>0</v>
      </c>
      <c r="N7" s="84">
        <f>SUMIF('caseload data'!$A:$A,"East of England",'caseload data'!P:P)</f>
        <v>0</v>
      </c>
      <c r="O7" s="84">
        <f>SUMIF('caseload data'!$A:$A,"East of England",'caseload data'!Q:Q)</f>
        <v>0</v>
      </c>
      <c r="P7" s="84">
        <f>SUMIF('caseload data'!$A:$A,"East of England",'caseload data'!R:R)</f>
        <v>0</v>
      </c>
      <c r="Q7" s="84">
        <f>SUMIF('caseload data'!$A:$A,"East of England",'caseload data'!S:S)</f>
        <v>0</v>
      </c>
      <c r="R7" s="84">
        <f>SUMIF('caseload data'!$A:$A,"East of England",'caseload data'!T:T)</f>
        <v>0</v>
      </c>
      <c r="S7" s="84">
        <f>SUMIF('caseload data'!A:A,"East of England",'caseload data'!V:V)</f>
        <v>0</v>
      </c>
      <c r="T7" s="101"/>
      <c r="U7" s="155" t="s">
        <v>21</v>
      </c>
      <c r="V7" s="75" t="e">
        <f>C7/$S$7</f>
        <v>#DIV/0!</v>
      </c>
      <c r="W7" s="75" t="e">
        <f>D7/$S$7</f>
        <v>#DIV/0!</v>
      </c>
      <c r="X7" s="75" t="e">
        <f t="shared" ref="X7:AA7" si="1">E7/$S$7</f>
        <v>#DIV/0!</v>
      </c>
      <c r="Y7" s="75" t="e">
        <f t="shared" si="1"/>
        <v>#DIV/0!</v>
      </c>
      <c r="Z7" s="75" t="e">
        <f t="shared" si="1"/>
        <v>#DIV/0!</v>
      </c>
      <c r="AA7" s="75" t="e">
        <f t="shared" si="1"/>
        <v>#DIV/0!</v>
      </c>
      <c r="AB7" s="75" t="e">
        <f>I7/$S$7</f>
        <v>#DIV/0!</v>
      </c>
      <c r="AC7" s="75" t="e">
        <f t="shared" ref="AC7:AD7" si="2">J7/$S$7</f>
        <v>#DIV/0!</v>
      </c>
      <c r="AD7" s="75" t="e">
        <f t="shared" si="2"/>
        <v>#DIV/0!</v>
      </c>
      <c r="AE7" s="75" t="e">
        <f t="shared" ref="AE7" si="3">L7/$S$7</f>
        <v>#DIV/0!</v>
      </c>
      <c r="AF7" s="75" t="e">
        <f t="shared" ref="AF7" si="4">M7/$S$7</f>
        <v>#DIV/0!</v>
      </c>
      <c r="AG7" s="75" t="e">
        <f t="shared" ref="AG7" si="5">N7/$S$7</f>
        <v>#DIV/0!</v>
      </c>
      <c r="AH7" s="75" t="e">
        <f t="shared" ref="AH7:AK7" si="6">O7/$S$7</f>
        <v>#DIV/0!</v>
      </c>
      <c r="AI7" s="75" t="e">
        <f t="shared" si="6"/>
        <v>#DIV/0!</v>
      </c>
      <c r="AJ7" s="75" t="e">
        <f t="shared" si="6"/>
        <v>#DIV/0!</v>
      </c>
      <c r="AK7" s="75" t="e">
        <f t="shared" si="6"/>
        <v>#DIV/0!</v>
      </c>
    </row>
    <row r="8" spans="1:40" x14ac:dyDescent="0.15">
      <c r="B8" s="155" t="s">
        <v>22</v>
      </c>
      <c r="C8" s="84">
        <f>SUMIF('caseload data'!$A:$A,"Greater Manchester",'caseload data'!E:E)</f>
        <v>0</v>
      </c>
      <c r="D8" s="84">
        <f>SUMIF('caseload data'!$A:$A,"Greater Manchester",'caseload data'!F:F)</f>
        <v>0</v>
      </c>
      <c r="E8" s="84">
        <f>SUMIF('caseload data'!$A:$A,"Greater Manchester",'caseload data'!G:G)</f>
        <v>0</v>
      </c>
      <c r="F8" s="84">
        <f>SUMIF('caseload data'!$A:$A,"Greater Manchester",'caseload data'!H:H)</f>
        <v>0</v>
      </c>
      <c r="G8" s="84">
        <f>SUMIF('caseload data'!$A:$A,"Greater Manchester",'caseload data'!I:I)</f>
        <v>0</v>
      </c>
      <c r="H8" s="84">
        <f>SUMIF('caseload data'!$A:$A,"Greater Manchester",'caseload data'!J:J)</f>
        <v>0</v>
      </c>
      <c r="I8" s="84">
        <f>SUMIF('caseload data'!$A:$A,"Greater Manchester",'caseload data'!K:K)</f>
        <v>0</v>
      </c>
      <c r="J8" s="84">
        <f>SUMIF('caseload data'!$A:$A,"Greater Manchester",'caseload data'!L:L)</f>
        <v>0</v>
      </c>
      <c r="K8" s="84">
        <f>SUMIF('caseload data'!$A:$A,"Greater Manchester",'caseload data'!M:M)</f>
        <v>0</v>
      </c>
      <c r="L8" s="84">
        <f>SUMIF('caseload data'!$A:$A,"Greater Manchester",'caseload data'!N:N)</f>
        <v>0</v>
      </c>
      <c r="M8" s="84">
        <f>SUMIF('caseload data'!$A:$A,"Greater Manchester",'caseload data'!O:O)</f>
        <v>0</v>
      </c>
      <c r="N8" s="84">
        <f>SUMIF('caseload data'!$A:$A,"Greater Manchester",'caseload data'!P:P)</f>
        <v>0</v>
      </c>
      <c r="O8" s="84">
        <f>SUMIF('caseload data'!$A:$A,"Greater Manchester",'caseload data'!Q:Q)</f>
        <v>0</v>
      </c>
      <c r="P8" s="84">
        <f>SUMIF('caseload data'!$A:$A,"Greater Manchester",'caseload data'!R:R)</f>
        <v>0</v>
      </c>
      <c r="Q8" s="84">
        <f>SUMIF('caseload data'!$A:$A,"Greater Manchester",'caseload data'!S:S)</f>
        <v>0</v>
      </c>
      <c r="R8" s="84">
        <f>SUMIF('caseload data'!$A:$A,"Greater Manchester",'caseload data'!T:T)</f>
        <v>0</v>
      </c>
      <c r="S8" s="84">
        <f>SUMIF('caseload data'!A:A,"Greater Manchester",'caseload data'!V:V)</f>
        <v>0</v>
      </c>
      <c r="T8" s="101"/>
      <c r="U8" s="155" t="s">
        <v>22</v>
      </c>
      <c r="V8" s="75" t="e">
        <f>C8/$S$8</f>
        <v>#DIV/0!</v>
      </c>
      <c r="W8" s="75" t="e">
        <f t="shared" ref="W8:AC8" si="7">D8/$S$8</f>
        <v>#DIV/0!</v>
      </c>
      <c r="X8" s="75" t="e">
        <f t="shared" si="7"/>
        <v>#DIV/0!</v>
      </c>
      <c r="Y8" s="75" t="e">
        <f t="shared" si="7"/>
        <v>#DIV/0!</v>
      </c>
      <c r="Z8" s="75" t="e">
        <f t="shared" si="7"/>
        <v>#DIV/0!</v>
      </c>
      <c r="AA8" s="75" t="e">
        <f t="shared" si="7"/>
        <v>#DIV/0!</v>
      </c>
      <c r="AB8" s="75" t="e">
        <f t="shared" si="7"/>
        <v>#DIV/0!</v>
      </c>
      <c r="AC8" s="75" t="e">
        <f t="shared" si="7"/>
        <v>#DIV/0!</v>
      </c>
      <c r="AD8" s="75" t="e">
        <f t="shared" ref="AD8" si="8">K8/$S$8</f>
        <v>#DIV/0!</v>
      </c>
      <c r="AE8" s="75" t="e">
        <f t="shared" ref="AE8" si="9">L8/$S$8</f>
        <v>#DIV/0!</v>
      </c>
      <c r="AF8" s="75" t="e">
        <f t="shared" ref="AF8" si="10">M8/$S$8</f>
        <v>#DIV/0!</v>
      </c>
      <c r="AG8" s="75" t="e">
        <f t="shared" ref="AG8" si="11">N8/$S$8</f>
        <v>#DIV/0!</v>
      </c>
      <c r="AH8" s="75" t="e">
        <f t="shared" ref="AH8" si="12">O8/$S$8</f>
        <v>#DIV/0!</v>
      </c>
      <c r="AI8" s="75" t="e">
        <f t="shared" ref="AI8:AJ8" si="13">P8/$S$8</f>
        <v>#DIV/0!</v>
      </c>
      <c r="AJ8" s="75" t="e">
        <f t="shared" si="13"/>
        <v>#DIV/0!</v>
      </c>
      <c r="AK8" s="75" t="e">
        <f t="shared" ref="AK8" si="14">R8/$S$8</f>
        <v>#DIV/0!</v>
      </c>
    </row>
    <row r="9" spans="1:40" x14ac:dyDescent="0.15">
      <c r="B9" s="155" t="s">
        <v>23</v>
      </c>
      <c r="C9" s="84">
        <f>SUMIF('caseload data'!$A:$A,"Kent Surrey Sussex Region",'caseload data'!E:E)</f>
        <v>0</v>
      </c>
      <c r="D9" s="84">
        <f>SUMIF('caseload data'!$A:$A,"Kent Surrey Sussex Region",'caseload data'!F:F)</f>
        <v>0</v>
      </c>
      <c r="E9" s="84">
        <f>SUMIF('caseload data'!$A:$A,"Kent Surrey Sussex Region",'caseload data'!G:G)</f>
        <v>0</v>
      </c>
      <c r="F9" s="84">
        <f>SUMIF('caseload data'!$A:$A,"Kent Surrey Sussex Region",'caseload data'!H:H)</f>
        <v>0</v>
      </c>
      <c r="G9" s="84">
        <f>SUMIF('caseload data'!$A:$A,"Kent Surrey Sussex Region",'caseload data'!I:I)</f>
        <v>0</v>
      </c>
      <c r="H9" s="84">
        <f>SUMIF('caseload data'!$A:$A,"Kent Surrey Sussex Region",'caseload data'!J:J)</f>
        <v>0</v>
      </c>
      <c r="I9" s="84">
        <f>SUMIF('caseload data'!$A:$A,"Kent Surrey Sussex Region",'caseload data'!K:K)</f>
        <v>0</v>
      </c>
      <c r="J9" s="84">
        <f>SUMIF('caseload data'!$A:$A,"Kent Surrey Sussex Region",'caseload data'!L:L)</f>
        <v>0</v>
      </c>
      <c r="K9" s="84">
        <f>SUMIF('caseload data'!$A:$A,"Kent Surrey Sussex Region",'caseload data'!M:M)</f>
        <v>0</v>
      </c>
      <c r="L9" s="84">
        <f>SUMIF('caseload data'!$A:$A,"Kent Surrey Sussex Region",'caseload data'!N:N)</f>
        <v>0</v>
      </c>
      <c r="M9" s="84">
        <f>SUMIF('caseload data'!$A:$A,"Kent Surrey Sussex Region",'caseload data'!O:O)</f>
        <v>0</v>
      </c>
      <c r="N9" s="84">
        <f>SUMIF('caseload data'!$A:$A,"Kent Surrey Sussex Region",'caseload data'!P:P)</f>
        <v>0</v>
      </c>
      <c r="O9" s="84">
        <f>SUMIF('caseload data'!$A:$A,"Kent Surrey Sussex Region",'caseload data'!Q:Q)</f>
        <v>0</v>
      </c>
      <c r="P9" s="84">
        <f>SUMIF('caseload data'!$A:$A,"Kent Surrey Sussex Region",'caseload data'!R:R)</f>
        <v>0</v>
      </c>
      <c r="Q9" s="84">
        <f>SUMIF('caseload data'!$A:$A,"Kent Surrey Sussex Region",'caseload data'!S:S)</f>
        <v>0</v>
      </c>
      <c r="R9" s="84">
        <f>SUMIF('caseload data'!$A:$A,"Kent Surrey Sussex Region",'caseload data'!T:T)</f>
        <v>0</v>
      </c>
      <c r="S9" s="84">
        <f>SUMIF('caseload data'!A:A,"Kent Surrey Sussex Region",'caseload data'!V:V)</f>
        <v>0</v>
      </c>
      <c r="T9" s="101"/>
      <c r="U9" s="155" t="s">
        <v>23</v>
      </c>
      <c r="V9" s="75" t="e">
        <f>C9/$S$9</f>
        <v>#DIV/0!</v>
      </c>
      <c r="W9" s="75" t="e">
        <f t="shared" ref="W9:AC9" si="15">D9/$S$9</f>
        <v>#DIV/0!</v>
      </c>
      <c r="X9" s="75" t="e">
        <f t="shared" si="15"/>
        <v>#DIV/0!</v>
      </c>
      <c r="Y9" s="75" t="e">
        <f t="shared" si="15"/>
        <v>#DIV/0!</v>
      </c>
      <c r="Z9" s="75" t="e">
        <f t="shared" si="15"/>
        <v>#DIV/0!</v>
      </c>
      <c r="AA9" s="75" t="e">
        <f t="shared" si="15"/>
        <v>#DIV/0!</v>
      </c>
      <c r="AB9" s="75" t="e">
        <f t="shared" si="15"/>
        <v>#DIV/0!</v>
      </c>
      <c r="AC9" s="75" t="e">
        <f t="shared" si="15"/>
        <v>#DIV/0!</v>
      </c>
      <c r="AD9" s="75" t="e">
        <f t="shared" ref="AD9" si="16">K9/$S$9</f>
        <v>#DIV/0!</v>
      </c>
      <c r="AE9" s="75" t="e">
        <f t="shared" ref="AE9" si="17">L9/$S$9</f>
        <v>#DIV/0!</v>
      </c>
      <c r="AF9" s="75" t="e">
        <f t="shared" ref="AF9" si="18">M9/$S$9</f>
        <v>#DIV/0!</v>
      </c>
      <c r="AG9" s="75" t="e">
        <f t="shared" ref="AG9" si="19">N9/$S$9</f>
        <v>#DIV/0!</v>
      </c>
      <c r="AH9" s="75" t="e">
        <f t="shared" ref="AH9" si="20">O9/$S$9</f>
        <v>#DIV/0!</v>
      </c>
      <c r="AI9" s="75" t="e">
        <f t="shared" ref="AI9:AJ9" si="21">P9/$S$9</f>
        <v>#DIV/0!</v>
      </c>
      <c r="AJ9" s="75" t="e">
        <f t="shared" si="21"/>
        <v>#DIV/0!</v>
      </c>
      <c r="AK9" s="75" t="e">
        <f t="shared" ref="AK9" si="22">R9/$S$9</f>
        <v>#DIV/0!</v>
      </c>
    </row>
    <row r="10" spans="1:40" x14ac:dyDescent="0.15">
      <c r="B10" s="155" t="s">
        <v>24</v>
      </c>
      <c r="C10" s="84">
        <f>SUMIF('caseload data'!$A:$A,"London",'caseload data'!E:E)</f>
        <v>0</v>
      </c>
      <c r="D10" s="84">
        <f>SUMIF('caseload data'!$A:$A,"London",'caseload data'!F:F)</f>
        <v>0</v>
      </c>
      <c r="E10" s="84">
        <f>SUMIF('caseload data'!$A:$A,"London",'caseload data'!G:G)</f>
        <v>0</v>
      </c>
      <c r="F10" s="84">
        <f>SUMIF('caseload data'!$A:$A,"London",'caseload data'!H:H)</f>
        <v>0</v>
      </c>
      <c r="G10" s="84">
        <f>SUMIF('caseload data'!$A:$A,"London",'caseload data'!I:I)</f>
        <v>0</v>
      </c>
      <c r="H10" s="84">
        <f>SUMIF('caseload data'!$A:$A,"London",'caseload data'!J:J)</f>
        <v>0</v>
      </c>
      <c r="I10" s="84">
        <f>SUMIF('caseload data'!$A:$A,"London",'caseload data'!K:K)</f>
        <v>0</v>
      </c>
      <c r="J10" s="84">
        <f>SUMIF('caseload data'!$A:$A,"London",'caseload data'!L:L)</f>
        <v>0</v>
      </c>
      <c r="K10" s="84">
        <f>SUMIF('caseload data'!$A:$A,"London",'caseload data'!M:M)</f>
        <v>0</v>
      </c>
      <c r="L10" s="84">
        <f>SUMIF('caseload data'!$A:$A,"London",'caseload data'!N:N)</f>
        <v>0</v>
      </c>
      <c r="M10" s="84">
        <f>SUMIF('caseload data'!$A:$A,"London",'caseload data'!O:O)</f>
        <v>0</v>
      </c>
      <c r="N10" s="84">
        <f>SUMIF('caseload data'!$A:$A,"London",'caseload data'!P:P)</f>
        <v>0</v>
      </c>
      <c r="O10" s="84">
        <f>SUMIF('caseload data'!$A:$A,"London",'caseload data'!Q:Q)</f>
        <v>0</v>
      </c>
      <c r="P10" s="84">
        <f>SUMIF('caseload data'!$A:$A,"London",'caseload data'!R:R)</f>
        <v>0</v>
      </c>
      <c r="Q10" s="84">
        <f>SUMIF('caseload data'!$A:$A,"London",'caseload data'!S:S)</f>
        <v>0</v>
      </c>
      <c r="R10" s="84">
        <f>SUMIF('caseload data'!$A:$A,"London",'caseload data'!T:T)</f>
        <v>0</v>
      </c>
      <c r="S10" s="84">
        <f>SUMIF('caseload data'!A:A,"London",'caseload data'!V:V)</f>
        <v>0</v>
      </c>
      <c r="T10" s="101"/>
      <c r="U10" s="155" t="s">
        <v>24</v>
      </c>
      <c r="V10" s="75" t="e">
        <f>C10/$S$10</f>
        <v>#DIV/0!</v>
      </c>
      <c r="W10" s="75" t="e">
        <f t="shared" ref="W10:AC10" si="23">D10/$S$10</f>
        <v>#DIV/0!</v>
      </c>
      <c r="X10" s="75" t="e">
        <f t="shared" si="23"/>
        <v>#DIV/0!</v>
      </c>
      <c r="Y10" s="75" t="e">
        <f t="shared" si="23"/>
        <v>#DIV/0!</v>
      </c>
      <c r="Z10" s="75" t="e">
        <f t="shared" si="23"/>
        <v>#DIV/0!</v>
      </c>
      <c r="AA10" s="75" t="e">
        <f t="shared" si="23"/>
        <v>#DIV/0!</v>
      </c>
      <c r="AB10" s="75" t="e">
        <f t="shared" si="23"/>
        <v>#DIV/0!</v>
      </c>
      <c r="AC10" s="75" t="e">
        <f t="shared" si="23"/>
        <v>#DIV/0!</v>
      </c>
      <c r="AD10" s="75" t="e">
        <f t="shared" ref="AD10" si="24">K10/$S$10</f>
        <v>#DIV/0!</v>
      </c>
      <c r="AE10" s="75" t="e">
        <f t="shared" ref="AE10" si="25">L10/$S$10</f>
        <v>#DIV/0!</v>
      </c>
      <c r="AF10" s="75" t="e">
        <f t="shared" ref="AF10" si="26">M10/$S$10</f>
        <v>#DIV/0!</v>
      </c>
      <c r="AG10" s="75" t="e">
        <f t="shared" ref="AG10" si="27">N10/$S$10</f>
        <v>#DIV/0!</v>
      </c>
      <c r="AH10" s="75" t="e">
        <f t="shared" ref="AH10" si="28">O10/$S$10</f>
        <v>#DIV/0!</v>
      </c>
      <c r="AI10" s="75" t="e">
        <f t="shared" ref="AI10:AJ10" si="29">P10/$S$10</f>
        <v>#DIV/0!</v>
      </c>
      <c r="AJ10" s="75" t="e">
        <f t="shared" si="29"/>
        <v>#DIV/0!</v>
      </c>
      <c r="AK10" s="75" t="e">
        <f t="shared" ref="AK10" si="30">R10/$S$10</f>
        <v>#DIV/0!</v>
      </c>
    </row>
    <row r="11" spans="1:40" x14ac:dyDescent="0.15">
      <c r="B11" s="155" t="s">
        <v>25</v>
      </c>
      <c r="C11" s="84">
        <f>SUMIF('caseload data'!$A:$A,"North East Region",'caseload data'!E:E)</f>
        <v>0</v>
      </c>
      <c r="D11" s="84">
        <f>SUMIF('caseload data'!$A:$A,"North East Region",'caseload data'!F:F)</f>
        <v>0</v>
      </c>
      <c r="E11" s="84">
        <f>SUMIF('caseload data'!$A:$A,"North East Region",'caseload data'!G:G)</f>
        <v>0</v>
      </c>
      <c r="F11" s="84">
        <f>SUMIF('caseload data'!$A:$A,"North East Region",'caseload data'!H:H)</f>
        <v>0</v>
      </c>
      <c r="G11" s="84">
        <f>SUMIF('caseload data'!$A:$A,"North East Region",'caseload data'!I:I)</f>
        <v>0</v>
      </c>
      <c r="H11" s="84">
        <f>SUMIF('caseload data'!$A:$A,"North East Region",'caseload data'!J:J)</f>
        <v>0</v>
      </c>
      <c r="I11" s="84">
        <f>SUMIF('caseload data'!$A:$A,"North East Region",'caseload data'!K:K)</f>
        <v>0</v>
      </c>
      <c r="J11" s="84">
        <f>SUMIF('caseload data'!$A:$A,"North East Region",'caseload data'!L:L)</f>
        <v>0</v>
      </c>
      <c r="K11" s="84">
        <f>SUMIF('caseload data'!$A:$A,"North East Region",'caseload data'!M:M)</f>
        <v>0</v>
      </c>
      <c r="L11" s="84">
        <f>SUMIF('caseload data'!$A:$A,"North East Region",'caseload data'!N:N)</f>
        <v>0</v>
      </c>
      <c r="M11" s="84">
        <f>SUMIF('caseload data'!$A:$A,"North East Region",'caseload data'!O:O)</f>
        <v>0</v>
      </c>
      <c r="N11" s="84">
        <f>SUMIF('caseload data'!$A:$A,"North East Region",'caseload data'!P:P)</f>
        <v>0</v>
      </c>
      <c r="O11" s="84">
        <f>SUMIF('caseload data'!$A:$A,"North East Region",'caseload data'!Q:Q)</f>
        <v>0</v>
      </c>
      <c r="P11" s="84">
        <f>SUMIF('caseload data'!$A:$A,"North East Region",'caseload data'!R:R)</f>
        <v>0</v>
      </c>
      <c r="Q11" s="84">
        <f>SUMIF('caseload data'!$A:$A,"North East Region",'caseload data'!S:S)</f>
        <v>0</v>
      </c>
      <c r="R11" s="84">
        <f>SUMIF('caseload data'!$A:$A,"North East Region",'caseload data'!T:T)</f>
        <v>0</v>
      </c>
      <c r="S11" s="84">
        <f>SUMIF('caseload data'!A:A,"North East Region",'caseload data'!V:V)</f>
        <v>0</v>
      </c>
      <c r="T11" s="101"/>
      <c r="U11" s="155" t="s">
        <v>25</v>
      </c>
      <c r="V11" s="75" t="e">
        <f>C11/$S$11</f>
        <v>#DIV/0!</v>
      </c>
      <c r="W11" s="75" t="e">
        <f t="shared" ref="W11:AC11" si="31">D11/$S$11</f>
        <v>#DIV/0!</v>
      </c>
      <c r="X11" s="75" t="e">
        <f t="shared" si="31"/>
        <v>#DIV/0!</v>
      </c>
      <c r="Y11" s="75" t="e">
        <f t="shared" si="31"/>
        <v>#DIV/0!</v>
      </c>
      <c r="Z11" s="75" t="e">
        <f t="shared" si="31"/>
        <v>#DIV/0!</v>
      </c>
      <c r="AA11" s="75" t="e">
        <f t="shared" si="31"/>
        <v>#DIV/0!</v>
      </c>
      <c r="AB11" s="75" t="e">
        <f t="shared" si="31"/>
        <v>#DIV/0!</v>
      </c>
      <c r="AC11" s="75" t="e">
        <f t="shared" si="31"/>
        <v>#DIV/0!</v>
      </c>
      <c r="AD11" s="75" t="e">
        <f t="shared" ref="AD11" si="32">K11/$S$11</f>
        <v>#DIV/0!</v>
      </c>
      <c r="AE11" s="75" t="e">
        <f t="shared" ref="AE11" si="33">L11/$S$11</f>
        <v>#DIV/0!</v>
      </c>
      <c r="AF11" s="75" t="e">
        <f t="shared" ref="AF11" si="34">M11/$S$11</f>
        <v>#DIV/0!</v>
      </c>
      <c r="AG11" s="75" t="e">
        <f t="shared" ref="AG11" si="35">N11/$S$11</f>
        <v>#DIV/0!</v>
      </c>
      <c r="AH11" s="75" t="e">
        <f t="shared" ref="AH11" si="36">O11/$S$11</f>
        <v>#DIV/0!</v>
      </c>
      <c r="AI11" s="75" t="e">
        <f t="shared" ref="AI11:AJ11" si="37">P11/$S$11</f>
        <v>#DIV/0!</v>
      </c>
      <c r="AJ11" s="75" t="e">
        <f t="shared" si="37"/>
        <v>#DIV/0!</v>
      </c>
      <c r="AK11" s="75" t="e">
        <f t="shared" ref="AK11" si="38">R11/$S$11</f>
        <v>#DIV/0!</v>
      </c>
    </row>
    <row r="12" spans="1:40" x14ac:dyDescent="0.15">
      <c r="B12" s="155" t="s">
        <v>26</v>
      </c>
      <c r="C12" s="84">
        <f>SUMIF('caseload data'!$A:$A,"North West Region",'caseload data'!E:E)</f>
        <v>0</v>
      </c>
      <c r="D12" s="84">
        <f>SUMIF('caseload data'!$A:$A,"North West Region",'caseload data'!F:F)</f>
        <v>0</v>
      </c>
      <c r="E12" s="84">
        <f>SUMIF('caseload data'!$A:$A,"North West Region",'caseload data'!G:G)</f>
        <v>0</v>
      </c>
      <c r="F12" s="84">
        <f>SUMIF('caseload data'!$A:$A,"North West Region",'caseload data'!H:H)</f>
        <v>0</v>
      </c>
      <c r="G12" s="84">
        <f>SUMIF('caseload data'!$A:$A,"North West Region",'caseload data'!I:I)</f>
        <v>0</v>
      </c>
      <c r="H12" s="84">
        <f>SUMIF('caseload data'!$A:$A,"North West Region",'caseload data'!J:J)</f>
        <v>0</v>
      </c>
      <c r="I12" s="84">
        <f>SUMIF('caseload data'!$A:$A,"North West Region",'caseload data'!K:K)</f>
        <v>0</v>
      </c>
      <c r="J12" s="84">
        <f>SUMIF('caseload data'!$A:$A,"North West Region",'caseload data'!L:L)</f>
        <v>0</v>
      </c>
      <c r="K12" s="84">
        <f>SUMIF('caseload data'!$A:$A,"North West Region",'caseload data'!M:M)</f>
        <v>0</v>
      </c>
      <c r="L12" s="84">
        <f>SUMIF('caseload data'!$A:$A,"North West Region",'caseload data'!N:N)</f>
        <v>0</v>
      </c>
      <c r="M12" s="84">
        <f>SUMIF('caseload data'!$A:$A,"North West Region",'caseload data'!O:O)</f>
        <v>0</v>
      </c>
      <c r="N12" s="84">
        <f>SUMIF('caseload data'!$A:$A,"North West Region",'caseload data'!P:P)</f>
        <v>0</v>
      </c>
      <c r="O12" s="84">
        <f>SUMIF('caseload data'!$A:$A,"North West Region",'caseload data'!Q:Q)</f>
        <v>0</v>
      </c>
      <c r="P12" s="84">
        <f>SUMIF('caseload data'!$A:$A,"North West Region",'caseload data'!R:R)</f>
        <v>0</v>
      </c>
      <c r="Q12" s="84">
        <f>SUMIF('caseload data'!$A:$A,"North West Region",'caseload data'!S:S)</f>
        <v>0</v>
      </c>
      <c r="R12" s="84">
        <f>SUMIF('caseload data'!$A:$A,"North West Region",'caseload data'!T:T)</f>
        <v>0</v>
      </c>
      <c r="S12" s="84">
        <f>SUMIF('caseload data'!A:A,"North West Region",'caseload data'!V:V)</f>
        <v>0</v>
      </c>
      <c r="T12" s="101"/>
      <c r="U12" s="155" t="s">
        <v>26</v>
      </c>
      <c r="V12" s="75" t="e">
        <f>C12/$S$12</f>
        <v>#DIV/0!</v>
      </c>
      <c r="W12" s="75" t="e">
        <f t="shared" ref="W12:AC12" si="39">D12/$S$12</f>
        <v>#DIV/0!</v>
      </c>
      <c r="X12" s="75" t="e">
        <f t="shared" si="39"/>
        <v>#DIV/0!</v>
      </c>
      <c r="Y12" s="75" t="e">
        <f t="shared" si="39"/>
        <v>#DIV/0!</v>
      </c>
      <c r="Z12" s="75" t="e">
        <f t="shared" si="39"/>
        <v>#DIV/0!</v>
      </c>
      <c r="AA12" s="75" t="e">
        <f t="shared" si="39"/>
        <v>#DIV/0!</v>
      </c>
      <c r="AB12" s="75" t="e">
        <f t="shared" si="39"/>
        <v>#DIV/0!</v>
      </c>
      <c r="AC12" s="75" t="e">
        <f t="shared" si="39"/>
        <v>#DIV/0!</v>
      </c>
      <c r="AD12" s="75" t="e">
        <f t="shared" ref="AD12" si="40">K12/$S$12</f>
        <v>#DIV/0!</v>
      </c>
      <c r="AE12" s="75" t="e">
        <f t="shared" ref="AE12" si="41">L12/$S$12</f>
        <v>#DIV/0!</v>
      </c>
      <c r="AF12" s="75" t="e">
        <f t="shared" ref="AF12" si="42">M12/$S$12</f>
        <v>#DIV/0!</v>
      </c>
      <c r="AG12" s="75" t="e">
        <f t="shared" ref="AG12" si="43">N12/$S$12</f>
        <v>#DIV/0!</v>
      </c>
      <c r="AH12" s="75" t="e">
        <f t="shared" ref="AH12" si="44">O12/$S$12</f>
        <v>#DIV/0!</v>
      </c>
      <c r="AI12" s="75" t="e">
        <f t="shared" ref="AI12:AJ12" si="45">P12/$S$12</f>
        <v>#DIV/0!</v>
      </c>
      <c r="AJ12" s="75" t="e">
        <f t="shared" si="45"/>
        <v>#DIV/0!</v>
      </c>
      <c r="AK12" s="75" t="e">
        <f t="shared" ref="AK12" si="46">R12/$S$12</f>
        <v>#DIV/0!</v>
      </c>
    </row>
    <row r="13" spans="1:40" x14ac:dyDescent="0.15">
      <c r="B13" s="155" t="s">
        <v>27</v>
      </c>
      <c r="C13" s="84">
        <f>SUMIF('caseload data'!$A:$A,"South Central",'caseload data'!E:E)</f>
        <v>0</v>
      </c>
      <c r="D13" s="84">
        <f>SUMIF('caseload data'!$A:$A,"South Central",'caseload data'!F:F)</f>
        <v>0</v>
      </c>
      <c r="E13" s="84">
        <f>SUMIF('caseload data'!$A:$A,"South Central",'caseload data'!G:G)</f>
        <v>0</v>
      </c>
      <c r="F13" s="84">
        <f>SUMIF('caseload data'!$A:$A,"South Central",'caseload data'!H:H)</f>
        <v>0</v>
      </c>
      <c r="G13" s="84">
        <f>SUMIF('caseload data'!$A:$A,"South Central",'caseload data'!I:I)</f>
        <v>0</v>
      </c>
      <c r="H13" s="84">
        <f>SUMIF('caseload data'!$A:$A,"South Central",'caseload data'!J:J)</f>
        <v>0</v>
      </c>
      <c r="I13" s="84">
        <f>SUMIF('caseload data'!$A:$A,"South Central",'caseload data'!K:K)</f>
        <v>0</v>
      </c>
      <c r="J13" s="84">
        <f>SUMIF('caseload data'!$A:$A,"South Central",'caseload data'!L:L)</f>
        <v>0</v>
      </c>
      <c r="K13" s="84">
        <f>SUMIF('caseload data'!$A:$A,"South Central",'caseload data'!M:M)</f>
        <v>0</v>
      </c>
      <c r="L13" s="84">
        <f>SUMIF('caseload data'!$A:$A,"South Central",'caseload data'!N:N)</f>
        <v>0</v>
      </c>
      <c r="M13" s="84">
        <f>SUMIF('caseload data'!$A:$A,"South Central",'caseload data'!O:O)</f>
        <v>0</v>
      </c>
      <c r="N13" s="84">
        <f>SUMIF('caseload data'!$A:$A,"South Central",'caseload data'!P:P)</f>
        <v>0</v>
      </c>
      <c r="O13" s="84">
        <f>SUMIF('caseload data'!$A:$A,"South Central",'caseload data'!Q:Q)</f>
        <v>0</v>
      </c>
      <c r="P13" s="84">
        <f>SUMIF('caseload data'!$A:$A,"South Central",'caseload data'!R:R)</f>
        <v>0</v>
      </c>
      <c r="Q13" s="84">
        <f>SUMIF('caseload data'!$A:$A,"South Central",'caseload data'!S:S)</f>
        <v>0</v>
      </c>
      <c r="R13" s="84">
        <f>SUMIF('caseload data'!$A:$A,"South Central",'caseload data'!T:T)</f>
        <v>0</v>
      </c>
      <c r="S13" s="84">
        <f>SUMIF('caseload data'!A:A,"South Central",'caseload data'!V:V)</f>
        <v>0</v>
      </c>
      <c r="T13" s="101"/>
      <c r="U13" s="155" t="s">
        <v>27</v>
      </c>
      <c r="V13" s="75" t="e">
        <f t="shared" ref="V13:AK13" si="47">C13/$S$13</f>
        <v>#DIV/0!</v>
      </c>
      <c r="W13" s="75" t="e">
        <f t="shared" si="47"/>
        <v>#DIV/0!</v>
      </c>
      <c r="X13" s="75" t="e">
        <f t="shared" si="47"/>
        <v>#DIV/0!</v>
      </c>
      <c r="Y13" s="75" t="e">
        <f t="shared" si="47"/>
        <v>#DIV/0!</v>
      </c>
      <c r="Z13" s="75" t="e">
        <f t="shared" si="47"/>
        <v>#DIV/0!</v>
      </c>
      <c r="AA13" s="75" t="e">
        <f t="shared" si="47"/>
        <v>#DIV/0!</v>
      </c>
      <c r="AB13" s="75" t="e">
        <f t="shared" si="47"/>
        <v>#DIV/0!</v>
      </c>
      <c r="AC13" s="75" t="e">
        <f t="shared" si="47"/>
        <v>#DIV/0!</v>
      </c>
      <c r="AD13" s="75" t="e">
        <f t="shared" si="47"/>
        <v>#DIV/0!</v>
      </c>
      <c r="AE13" s="75" t="e">
        <f t="shared" si="47"/>
        <v>#DIV/0!</v>
      </c>
      <c r="AF13" s="75" t="e">
        <f t="shared" si="47"/>
        <v>#DIV/0!</v>
      </c>
      <c r="AG13" s="75" t="e">
        <f t="shared" si="47"/>
        <v>#DIV/0!</v>
      </c>
      <c r="AH13" s="75" t="e">
        <f t="shared" si="47"/>
        <v>#DIV/0!</v>
      </c>
      <c r="AI13" s="75" t="e">
        <f t="shared" si="47"/>
        <v>#DIV/0!</v>
      </c>
      <c r="AJ13" s="75" t="e">
        <f t="shared" si="47"/>
        <v>#DIV/0!</v>
      </c>
      <c r="AK13" s="75" t="e">
        <f t="shared" si="47"/>
        <v>#DIV/0!</v>
      </c>
    </row>
    <row r="14" spans="1:40" x14ac:dyDescent="0.15">
      <c r="B14" s="155" t="s">
        <v>28</v>
      </c>
      <c r="C14" s="84">
        <f>SUMIF('caseload data'!$A:$A,"South West",'caseload data'!E:E)</f>
        <v>0</v>
      </c>
      <c r="D14" s="84">
        <f>SUMIF('caseload data'!$A:$A,"South West",'caseload data'!F:F)</f>
        <v>0</v>
      </c>
      <c r="E14" s="84">
        <f>SUMIF('caseload data'!$A:$A,"South West",'caseload data'!G:G)</f>
        <v>0</v>
      </c>
      <c r="F14" s="84">
        <f>SUMIF('caseload data'!$A:$A,"South West",'caseload data'!H:H)</f>
        <v>0</v>
      </c>
      <c r="G14" s="84">
        <f>SUMIF('caseload data'!$A:$A,"South West",'caseload data'!I:I)</f>
        <v>0</v>
      </c>
      <c r="H14" s="84">
        <f>SUMIF('caseload data'!$A:$A,"South West",'caseload data'!J:J)</f>
        <v>0</v>
      </c>
      <c r="I14" s="84">
        <f>SUMIF('caseload data'!$A:$A,"South West",'caseload data'!K:K)</f>
        <v>0</v>
      </c>
      <c r="J14" s="84">
        <f>SUMIF('caseload data'!$A:$A,"South West",'caseload data'!L:L)</f>
        <v>0</v>
      </c>
      <c r="K14" s="84">
        <f>SUMIF('caseload data'!$A:$A,"South West",'caseload data'!M:M)</f>
        <v>0</v>
      </c>
      <c r="L14" s="84">
        <f>SUMIF('caseload data'!$A:$A,"South West",'caseload data'!N:N)</f>
        <v>0</v>
      </c>
      <c r="M14" s="84">
        <f>SUMIF('caseload data'!$A:$A,"South West",'caseload data'!O:O)</f>
        <v>0</v>
      </c>
      <c r="N14" s="84">
        <f>SUMIF('caseload data'!$A:$A,"South West",'caseload data'!P:P)</f>
        <v>0</v>
      </c>
      <c r="O14" s="84">
        <f>SUMIF('caseload data'!$A:$A,"South West",'caseload data'!Q:Q)</f>
        <v>0</v>
      </c>
      <c r="P14" s="84">
        <f>SUMIF('caseload data'!$A:$A,"South West",'caseload data'!R:R)</f>
        <v>0</v>
      </c>
      <c r="Q14" s="84">
        <f>SUMIF('caseload data'!$A:$A,"South West",'caseload data'!S:S)</f>
        <v>0</v>
      </c>
      <c r="R14" s="84">
        <f>SUMIF('caseload data'!$A:$A,"South West",'caseload data'!T:T)</f>
        <v>0</v>
      </c>
      <c r="S14" s="84">
        <f>SUMIF('caseload data'!A:A,"South West",'caseload data'!V:V)</f>
        <v>0</v>
      </c>
      <c r="T14" s="101"/>
      <c r="U14" s="155" t="s">
        <v>28</v>
      </c>
      <c r="V14" s="75" t="e">
        <f>C14/$S$14</f>
        <v>#DIV/0!</v>
      </c>
      <c r="W14" s="75" t="e">
        <f t="shared" ref="W14:AC14" si="48">D14/$S$14</f>
        <v>#DIV/0!</v>
      </c>
      <c r="X14" s="75" t="e">
        <f t="shared" si="48"/>
        <v>#DIV/0!</v>
      </c>
      <c r="Y14" s="75" t="e">
        <f t="shared" si="48"/>
        <v>#DIV/0!</v>
      </c>
      <c r="Z14" s="75" t="e">
        <f t="shared" si="48"/>
        <v>#DIV/0!</v>
      </c>
      <c r="AA14" s="75" t="e">
        <f t="shared" si="48"/>
        <v>#DIV/0!</v>
      </c>
      <c r="AB14" s="75" t="e">
        <f t="shared" si="48"/>
        <v>#DIV/0!</v>
      </c>
      <c r="AC14" s="75" t="e">
        <f t="shared" si="48"/>
        <v>#DIV/0!</v>
      </c>
      <c r="AD14" s="75" t="e">
        <f t="shared" ref="AD14" si="49">K14/$S$14</f>
        <v>#DIV/0!</v>
      </c>
      <c r="AE14" s="75" t="e">
        <f t="shared" ref="AE14" si="50">L14/$S$14</f>
        <v>#DIV/0!</v>
      </c>
      <c r="AF14" s="75" t="e">
        <f t="shared" ref="AF14" si="51">M14/$S$14</f>
        <v>#DIV/0!</v>
      </c>
      <c r="AG14" s="75" t="e">
        <f t="shared" ref="AG14" si="52">N14/$S$14</f>
        <v>#DIV/0!</v>
      </c>
      <c r="AH14" s="75" t="e">
        <f t="shared" ref="AH14" si="53">O14/$S$14</f>
        <v>#DIV/0!</v>
      </c>
      <c r="AI14" s="75" t="e">
        <f t="shared" ref="AI14:AJ14" si="54">P14/$S$14</f>
        <v>#DIV/0!</v>
      </c>
      <c r="AJ14" s="75" t="e">
        <f t="shared" si="54"/>
        <v>#DIV/0!</v>
      </c>
      <c r="AK14" s="75" t="e">
        <f t="shared" ref="AK14" si="55">R14/$S$14</f>
        <v>#DIV/0!</v>
      </c>
    </row>
    <row r="15" spans="1:40" x14ac:dyDescent="0.15">
      <c r="B15" s="155" t="s">
        <v>29</v>
      </c>
      <c r="C15" s="84">
        <f>SUMIF('caseload data'!$A:$A,"Wales",'caseload data'!E:E)</f>
        <v>0</v>
      </c>
      <c r="D15" s="84">
        <f>SUMIF('caseload data'!$A:$A,"Wales",'caseload data'!F:F)</f>
        <v>0</v>
      </c>
      <c r="E15" s="84">
        <f>SUMIF('caseload data'!$A:$A,"Wales",'caseload data'!G:G)</f>
        <v>0</v>
      </c>
      <c r="F15" s="84">
        <f>SUMIF('caseload data'!$A:$A,"Wales",'caseload data'!H:H)</f>
        <v>0</v>
      </c>
      <c r="G15" s="84">
        <f>SUMIF('caseload data'!$A:$A,"Wales",'caseload data'!I:I)</f>
        <v>0</v>
      </c>
      <c r="H15" s="84">
        <f>SUMIF('caseload data'!$A:$A,"Wales",'caseload data'!J:J)</f>
        <v>0</v>
      </c>
      <c r="I15" s="84">
        <f>SUMIF('caseload data'!$A:$A,"Wales",'caseload data'!K:K)</f>
        <v>0</v>
      </c>
      <c r="J15" s="84">
        <f>SUMIF('caseload data'!$A:$A,"Wales",'caseload data'!L:L)</f>
        <v>0</v>
      </c>
      <c r="K15" s="84">
        <f>SUMIF('caseload data'!$A:$A,"Wales",'caseload data'!M:M)</f>
        <v>0</v>
      </c>
      <c r="L15" s="84">
        <f>SUMIF('caseload data'!$A:$A,"Wales",'caseload data'!N:N)</f>
        <v>0</v>
      </c>
      <c r="M15" s="84">
        <f>SUMIF('caseload data'!$A:$A,"Wales",'caseload data'!O:O)</f>
        <v>0</v>
      </c>
      <c r="N15" s="84">
        <f>SUMIF('caseload data'!$A:$A,"Wales",'caseload data'!P:P)</f>
        <v>0</v>
      </c>
      <c r="O15" s="84">
        <f>SUMIF('caseload data'!$A:$A,"Wales",'caseload data'!Q:Q)</f>
        <v>0</v>
      </c>
      <c r="P15" s="84">
        <f>SUMIF('caseload data'!$A:$A,"Wales",'caseload data'!R:R)</f>
        <v>0</v>
      </c>
      <c r="Q15" s="84">
        <f>SUMIF('caseload data'!$A:$A,"Wales",'caseload data'!S:S)</f>
        <v>0</v>
      </c>
      <c r="R15" s="84">
        <f>SUMIF('caseload data'!$A:$A,"Wales",'caseload data'!T:T)</f>
        <v>0</v>
      </c>
      <c r="S15" s="84">
        <f>SUMIF('caseload data'!A:A,"Wales",'caseload data'!V:V)</f>
        <v>0</v>
      </c>
      <c r="T15" s="101"/>
      <c r="U15" s="155" t="s">
        <v>29</v>
      </c>
      <c r="V15" s="75" t="e">
        <f>C15/$S$15</f>
        <v>#DIV/0!</v>
      </c>
      <c r="W15" s="75" t="e">
        <f t="shared" ref="W15:AC15" si="56">D15/$S$15</f>
        <v>#DIV/0!</v>
      </c>
      <c r="X15" s="75" t="e">
        <f t="shared" si="56"/>
        <v>#DIV/0!</v>
      </c>
      <c r="Y15" s="75" t="e">
        <f t="shared" si="56"/>
        <v>#DIV/0!</v>
      </c>
      <c r="Z15" s="75" t="e">
        <f t="shared" si="56"/>
        <v>#DIV/0!</v>
      </c>
      <c r="AA15" s="75" t="e">
        <f t="shared" si="56"/>
        <v>#DIV/0!</v>
      </c>
      <c r="AB15" s="75" t="e">
        <f t="shared" si="56"/>
        <v>#DIV/0!</v>
      </c>
      <c r="AC15" s="75" t="e">
        <f t="shared" si="56"/>
        <v>#DIV/0!</v>
      </c>
      <c r="AD15" s="75" t="e">
        <f t="shared" ref="AD15" si="57">K15/$S$15</f>
        <v>#DIV/0!</v>
      </c>
      <c r="AE15" s="75" t="e">
        <f t="shared" ref="AE15" si="58">L15/$S$15</f>
        <v>#DIV/0!</v>
      </c>
      <c r="AF15" s="75" t="e">
        <f t="shared" ref="AF15" si="59">M15/$S$15</f>
        <v>#DIV/0!</v>
      </c>
      <c r="AG15" s="75" t="e">
        <f t="shared" ref="AG15" si="60">N15/$S$15</f>
        <v>#DIV/0!</v>
      </c>
      <c r="AH15" s="75" t="e">
        <f t="shared" ref="AH15" si="61">O15/$S$15</f>
        <v>#DIV/0!</v>
      </c>
      <c r="AI15" s="75" t="e">
        <f t="shared" ref="AI15:AJ15" si="62">P15/$S$15</f>
        <v>#DIV/0!</v>
      </c>
      <c r="AJ15" s="75" t="e">
        <f t="shared" si="62"/>
        <v>#DIV/0!</v>
      </c>
      <c r="AK15" s="75" t="e">
        <f t="shared" ref="AK15" si="63">R15/$S$15</f>
        <v>#DIV/0!</v>
      </c>
    </row>
    <row r="16" spans="1:40" x14ac:dyDescent="0.15">
      <c r="B16" s="155" t="s">
        <v>30</v>
      </c>
      <c r="C16" s="84">
        <f>SUMIF('caseload data'!$A:$A,"West Midlands Region",'caseload data'!E:E)</f>
        <v>0</v>
      </c>
      <c r="D16" s="84">
        <f>SUMIF('caseload data'!$A:$A,"West Midlands Region",'caseload data'!F:F)</f>
        <v>0</v>
      </c>
      <c r="E16" s="84">
        <f>SUMIF('caseload data'!$A:$A,"West Midlands Region",'caseload data'!G:G)</f>
        <v>0</v>
      </c>
      <c r="F16" s="84">
        <f>SUMIF('caseload data'!$A:$A,"West Midlands Region",'caseload data'!H:H)</f>
        <v>0</v>
      </c>
      <c r="G16" s="84">
        <f>SUMIF('caseload data'!$A:$A,"West Midlands Region",'caseload data'!I:I)</f>
        <v>0</v>
      </c>
      <c r="H16" s="84">
        <f>SUMIF('caseload data'!$A:$A,"West Midlands Region",'caseload data'!J:J)</f>
        <v>0</v>
      </c>
      <c r="I16" s="84">
        <f>SUMIF('caseload data'!$A:$A,"West Midlands Region",'caseload data'!K:K)</f>
        <v>0</v>
      </c>
      <c r="J16" s="84">
        <f>SUMIF('caseload data'!$A:$A,"West Midlands Region",'caseload data'!L:L)</f>
        <v>0</v>
      </c>
      <c r="K16" s="84">
        <f>SUMIF('caseload data'!$A:$A,"West Midlands Region",'caseload data'!M:M)</f>
        <v>0</v>
      </c>
      <c r="L16" s="84">
        <f>SUMIF('caseload data'!$A:$A,"West Midlands Region",'caseload data'!N:N)</f>
        <v>0</v>
      </c>
      <c r="M16" s="84">
        <f>SUMIF('caseload data'!$A:$A,"West Midlands Region",'caseload data'!O:O)</f>
        <v>0</v>
      </c>
      <c r="N16" s="84">
        <f>SUMIF('caseload data'!$A:$A,"West Midlands Region",'caseload data'!P:P)</f>
        <v>0</v>
      </c>
      <c r="O16" s="84">
        <f>SUMIF('caseload data'!$A:$A,"West Midlands Region",'caseload data'!Q:Q)</f>
        <v>0</v>
      </c>
      <c r="P16" s="84">
        <f>SUMIF('caseload data'!$A:$A,"West Midlands Region",'caseload data'!R:R)</f>
        <v>0</v>
      </c>
      <c r="Q16" s="84">
        <f>SUMIF('caseload data'!$A:$A,"West Midlands Region",'caseload data'!S:S)</f>
        <v>0</v>
      </c>
      <c r="R16" s="84">
        <f>SUMIF('caseload data'!$A:$A,"West Midlands Region",'caseload data'!T:T)</f>
        <v>0</v>
      </c>
      <c r="S16" s="84">
        <f>SUMIF('caseload data'!A:A,"West Midlands Region",'caseload data'!V:V)</f>
        <v>0</v>
      </c>
      <c r="T16" s="101"/>
      <c r="U16" s="155" t="s">
        <v>30</v>
      </c>
      <c r="V16" s="75" t="e">
        <f>C16/$S$16</f>
        <v>#DIV/0!</v>
      </c>
      <c r="W16" s="75" t="e">
        <f t="shared" ref="W16:AC16" si="64">D16/$S$16</f>
        <v>#DIV/0!</v>
      </c>
      <c r="X16" s="75" t="e">
        <f t="shared" si="64"/>
        <v>#DIV/0!</v>
      </c>
      <c r="Y16" s="75" t="e">
        <f t="shared" si="64"/>
        <v>#DIV/0!</v>
      </c>
      <c r="Z16" s="75" t="e">
        <f t="shared" si="64"/>
        <v>#DIV/0!</v>
      </c>
      <c r="AA16" s="75" t="e">
        <f t="shared" si="64"/>
        <v>#DIV/0!</v>
      </c>
      <c r="AB16" s="75" t="e">
        <f t="shared" si="64"/>
        <v>#DIV/0!</v>
      </c>
      <c r="AC16" s="75" t="e">
        <f t="shared" si="64"/>
        <v>#DIV/0!</v>
      </c>
      <c r="AD16" s="75" t="e">
        <f t="shared" ref="AD16" si="65">K16/$S$16</f>
        <v>#DIV/0!</v>
      </c>
      <c r="AE16" s="75" t="e">
        <f t="shared" ref="AE16" si="66">L16/$S$16</f>
        <v>#DIV/0!</v>
      </c>
      <c r="AF16" s="75" t="e">
        <f t="shared" ref="AF16" si="67">M16/$S$16</f>
        <v>#DIV/0!</v>
      </c>
      <c r="AG16" s="75" t="e">
        <f t="shared" ref="AG16" si="68">N16/$S$16</f>
        <v>#DIV/0!</v>
      </c>
      <c r="AH16" s="75" t="e">
        <f t="shared" ref="AH16" si="69">O16/$S$16</f>
        <v>#DIV/0!</v>
      </c>
      <c r="AI16" s="75" t="e">
        <f t="shared" ref="AI16:AJ16" si="70">P16/$S$16</f>
        <v>#DIV/0!</v>
      </c>
      <c r="AJ16" s="75" t="e">
        <f t="shared" si="70"/>
        <v>#DIV/0!</v>
      </c>
      <c r="AK16" s="75" t="e">
        <f t="shared" ref="AK16" si="71">R16/$S$16</f>
        <v>#DIV/0!</v>
      </c>
    </row>
    <row r="17" spans="2:37" x14ac:dyDescent="0.15">
      <c r="B17" s="155" t="s">
        <v>31</v>
      </c>
      <c r="C17" s="84">
        <f>SUMIF('caseload data'!$A:$A,"Yorkshire and The Humber",'caseload data'!E:E)</f>
        <v>0</v>
      </c>
      <c r="D17" s="84">
        <f>SUMIF('caseload data'!$A:$A,"Yorkshire and The Humber",'caseload data'!F:F)</f>
        <v>0</v>
      </c>
      <c r="E17" s="84">
        <f>SUMIF('caseload data'!$A:$A,"Yorkshire and The Humber",'caseload data'!G:G)</f>
        <v>0</v>
      </c>
      <c r="F17" s="84">
        <f>SUMIF('caseload data'!$A:$A,"Yorkshire and The Humber",'caseload data'!H:H)</f>
        <v>0</v>
      </c>
      <c r="G17" s="84">
        <f>SUMIF('caseload data'!$A:$A,"Yorkshire and The Humber",'caseload data'!I:I)</f>
        <v>0</v>
      </c>
      <c r="H17" s="84">
        <f>SUMIF('caseload data'!$A:$A,"Yorkshire and The Humber",'caseload data'!J:J)</f>
        <v>0</v>
      </c>
      <c r="I17" s="84">
        <f>SUMIF('caseload data'!$A:$A,"Yorkshire and The Humber",'caseload data'!K:K)</f>
        <v>0</v>
      </c>
      <c r="J17" s="84">
        <f>SUMIF('caseload data'!$A:$A,"Yorkshire and The Humber",'caseload data'!L:L)</f>
        <v>0</v>
      </c>
      <c r="K17" s="84">
        <f>SUMIF('caseload data'!$A:$A,"Yorkshire and The Humber",'caseload data'!M:M)</f>
        <v>0</v>
      </c>
      <c r="L17" s="84">
        <f>SUMIF('caseload data'!$A:$A,"Yorkshire and The Humber",'caseload data'!N:N)</f>
        <v>0</v>
      </c>
      <c r="M17" s="84">
        <f>SUMIF('caseload data'!$A:$A,"Yorkshire and The Humber",'caseload data'!O:O)</f>
        <v>0</v>
      </c>
      <c r="N17" s="84">
        <f>SUMIF('caseload data'!$A:$A,"Yorkshire and The Humber",'caseload data'!P:P)</f>
        <v>0</v>
      </c>
      <c r="O17" s="84">
        <f>SUMIF('caseload data'!$A:$A,"Yorkshire and The Humber",'caseload data'!Q:Q)</f>
        <v>0</v>
      </c>
      <c r="P17" s="84">
        <f>SUMIF('caseload data'!$A:$A,"Yorkshire and The Humber",'caseload data'!R:R)</f>
        <v>0</v>
      </c>
      <c r="Q17" s="84">
        <f>SUMIF('caseload data'!$A:$A,"Yorkshire and The Humber",'caseload data'!S:S)</f>
        <v>0</v>
      </c>
      <c r="R17" s="84">
        <f>SUMIF('caseload data'!$A:$A,"Yorkshire and The Humber",'caseload data'!T:T)</f>
        <v>0</v>
      </c>
      <c r="S17" s="84">
        <f>SUMIF('caseload data'!A:A,"Yorkshire and The Humber",'caseload data'!V:V)</f>
        <v>0</v>
      </c>
      <c r="T17" s="101"/>
      <c r="U17" s="155" t="s">
        <v>31</v>
      </c>
      <c r="V17" s="75" t="e">
        <f>C17/$S$17</f>
        <v>#DIV/0!</v>
      </c>
      <c r="W17" s="75" t="e">
        <f t="shared" ref="W17:AC17" si="72">D17/$S$17</f>
        <v>#DIV/0!</v>
      </c>
      <c r="X17" s="75" t="e">
        <f t="shared" si="72"/>
        <v>#DIV/0!</v>
      </c>
      <c r="Y17" s="75" t="e">
        <f t="shared" si="72"/>
        <v>#DIV/0!</v>
      </c>
      <c r="Z17" s="75" t="e">
        <f t="shared" si="72"/>
        <v>#DIV/0!</v>
      </c>
      <c r="AA17" s="75" t="e">
        <f t="shared" si="72"/>
        <v>#DIV/0!</v>
      </c>
      <c r="AB17" s="75" t="e">
        <f t="shared" si="72"/>
        <v>#DIV/0!</v>
      </c>
      <c r="AC17" s="75" t="e">
        <f t="shared" si="72"/>
        <v>#DIV/0!</v>
      </c>
      <c r="AD17" s="75" t="e">
        <f t="shared" ref="AD17" si="73">K17/$S$17</f>
        <v>#DIV/0!</v>
      </c>
      <c r="AE17" s="75" t="e">
        <f t="shared" ref="AE17" si="74">L17/$S$17</f>
        <v>#DIV/0!</v>
      </c>
      <c r="AF17" s="75" t="e">
        <f t="shared" ref="AF17" si="75">M17/$S$17</f>
        <v>#DIV/0!</v>
      </c>
      <c r="AG17" s="75" t="e">
        <f t="shared" ref="AG17" si="76">N17/$S$17</f>
        <v>#DIV/0!</v>
      </c>
      <c r="AH17" s="75" t="e">
        <f t="shared" ref="AH17" si="77">O17/$S$17</f>
        <v>#DIV/0!</v>
      </c>
      <c r="AI17" s="75" t="e">
        <f t="shared" ref="AI17:AJ17" si="78">P17/$S$17</f>
        <v>#DIV/0!</v>
      </c>
      <c r="AJ17" s="75" t="e">
        <f t="shared" si="78"/>
        <v>#DIV/0!</v>
      </c>
      <c r="AK17" s="75" t="e">
        <f t="shared" ref="AK17" si="79">R17/$S$17</f>
        <v>#DIV/0!</v>
      </c>
    </row>
    <row r="18" spans="2:37" x14ac:dyDescent="0.15">
      <c r="B18" s="120" t="s">
        <v>939</v>
      </c>
      <c r="C18" s="120">
        <f>SUM('caseload data'!E:E)</f>
        <v>0</v>
      </c>
      <c r="D18" s="120">
        <f>SUM('caseload data'!F:F)</f>
        <v>0</v>
      </c>
      <c r="E18" s="120">
        <f>SUM('caseload data'!G:G)</f>
        <v>0</v>
      </c>
      <c r="F18" s="120">
        <f>SUM('caseload data'!H:H)</f>
        <v>0</v>
      </c>
      <c r="G18" s="120">
        <f>SUM('caseload data'!I:I)</f>
        <v>0</v>
      </c>
      <c r="H18" s="120">
        <f>SUM('caseload data'!J:J)</f>
        <v>0</v>
      </c>
      <c r="I18" s="120">
        <f>SUM('caseload data'!K:K)</f>
        <v>0</v>
      </c>
      <c r="J18" s="120">
        <f>SUM('caseload data'!L:L)</f>
        <v>0</v>
      </c>
      <c r="K18" s="120">
        <f>SUM('caseload data'!M:M)</f>
        <v>0</v>
      </c>
      <c r="L18" s="120">
        <f>SUM('caseload data'!N:N)</f>
        <v>0</v>
      </c>
      <c r="M18" s="120">
        <f>SUM('caseload data'!O:O)</f>
        <v>0</v>
      </c>
      <c r="N18" s="120">
        <f>SUM('caseload data'!P:P)</f>
        <v>0</v>
      </c>
      <c r="O18" s="120">
        <f>SUM('caseload data'!Q:Q)</f>
        <v>0</v>
      </c>
      <c r="P18" s="120">
        <f>SUM('caseload data'!R:R)</f>
        <v>0</v>
      </c>
      <c r="Q18" s="120">
        <f>SUM('caseload data'!S:S)</f>
        <v>0</v>
      </c>
      <c r="R18" s="120">
        <f>SUM('caseload data'!T:T)</f>
        <v>0</v>
      </c>
      <c r="S18" s="120">
        <f>SUM('caseload data'!V:V)</f>
        <v>0</v>
      </c>
      <c r="T18" s="101"/>
      <c r="U18" s="120" t="s">
        <v>939</v>
      </c>
      <c r="V18" s="125" t="e">
        <f>C18/$S$18</f>
        <v>#DIV/0!</v>
      </c>
      <c r="W18" s="125" t="e">
        <f t="shared" ref="W18:AA18" si="80">D18/$S$18</f>
        <v>#DIV/0!</v>
      </c>
      <c r="X18" s="125" t="e">
        <f t="shared" si="80"/>
        <v>#DIV/0!</v>
      </c>
      <c r="Y18" s="125" t="e">
        <f t="shared" si="80"/>
        <v>#DIV/0!</v>
      </c>
      <c r="Z18" s="125" t="e">
        <f t="shared" si="80"/>
        <v>#DIV/0!</v>
      </c>
      <c r="AA18" s="125" t="e">
        <f t="shared" si="80"/>
        <v>#DIV/0!</v>
      </c>
      <c r="AB18" s="125" t="e">
        <f>I18/$S$18</f>
        <v>#DIV/0!</v>
      </c>
      <c r="AC18" s="125" t="e">
        <f t="shared" ref="AC18:AK18" si="81">J18/$S$18</f>
        <v>#DIV/0!</v>
      </c>
      <c r="AD18" s="125" t="e">
        <f t="shared" si="81"/>
        <v>#DIV/0!</v>
      </c>
      <c r="AE18" s="125" t="e">
        <f t="shared" si="81"/>
        <v>#DIV/0!</v>
      </c>
      <c r="AF18" s="125" t="e">
        <f t="shared" si="81"/>
        <v>#DIV/0!</v>
      </c>
      <c r="AG18" s="125" t="e">
        <f t="shared" si="81"/>
        <v>#DIV/0!</v>
      </c>
      <c r="AH18" s="125" t="e">
        <f t="shared" si="81"/>
        <v>#DIV/0!</v>
      </c>
      <c r="AI18" s="125" t="e">
        <f t="shared" si="81"/>
        <v>#DIV/0!</v>
      </c>
      <c r="AJ18" s="125" t="e">
        <f t="shared" si="81"/>
        <v>#DIV/0!</v>
      </c>
      <c r="AK18" s="125" t="e">
        <f t="shared" si="81"/>
        <v>#DIV/0!</v>
      </c>
    </row>
    <row r="21" spans="2:37" ht="16" x14ac:dyDescent="0.2">
      <c r="C21" s="319" t="s">
        <v>1122</v>
      </c>
      <c r="D21" s="323"/>
      <c r="E21" s="323"/>
      <c r="F21" s="323"/>
      <c r="G21" s="323"/>
      <c r="H21" s="323"/>
      <c r="I21" s="323"/>
      <c r="J21" s="323"/>
      <c r="K21" s="323"/>
      <c r="L21" s="323"/>
      <c r="M21" s="323"/>
      <c r="N21" s="323"/>
      <c r="O21" s="323"/>
      <c r="P21" s="323"/>
      <c r="Q21" s="323"/>
      <c r="R21" s="323"/>
      <c r="S21" s="365"/>
      <c r="T21" s="1"/>
      <c r="U21" s="1"/>
      <c r="V21" s="366" t="s">
        <v>1123</v>
      </c>
      <c r="W21" s="366"/>
      <c r="X21" s="366"/>
      <c r="Y21" s="366"/>
      <c r="Z21" s="366"/>
      <c r="AA21" s="366"/>
      <c r="AB21" s="366"/>
    </row>
    <row r="22" spans="2:37" x14ac:dyDescent="0.15">
      <c r="B22" s="154"/>
      <c r="C22" s="41" t="s">
        <v>922</v>
      </c>
      <c r="D22" s="41" t="s">
        <v>923</v>
      </c>
      <c r="E22" s="41" t="s">
        <v>924</v>
      </c>
      <c r="F22" s="41" t="s">
        <v>925</v>
      </c>
      <c r="G22" s="41" t="s">
        <v>926</v>
      </c>
      <c r="H22" s="41" t="s">
        <v>927</v>
      </c>
      <c r="I22" s="41" t="s">
        <v>928</v>
      </c>
      <c r="J22" s="41" t="s">
        <v>929</v>
      </c>
      <c r="K22" s="41" t="s">
        <v>930</v>
      </c>
      <c r="L22" s="41" t="s">
        <v>931</v>
      </c>
      <c r="M22" s="41" t="s">
        <v>932</v>
      </c>
      <c r="N22" s="41" t="s">
        <v>933</v>
      </c>
      <c r="O22" s="41" t="s">
        <v>934</v>
      </c>
      <c r="P22" s="41" t="s">
        <v>935</v>
      </c>
      <c r="Q22" s="41" t="s">
        <v>936</v>
      </c>
      <c r="R22" s="41" t="s">
        <v>937</v>
      </c>
      <c r="S22" s="42" t="s">
        <v>939</v>
      </c>
      <c r="U22" s="257"/>
      <c r="V22" s="41" t="s">
        <v>922</v>
      </c>
      <c r="W22" s="41" t="s">
        <v>923</v>
      </c>
      <c r="X22" s="41" t="s">
        <v>924</v>
      </c>
      <c r="Y22" s="41" t="s">
        <v>925</v>
      </c>
      <c r="Z22" s="41" t="s">
        <v>926</v>
      </c>
      <c r="AA22" s="41" t="s">
        <v>927</v>
      </c>
      <c r="AB22" s="41" t="s">
        <v>928</v>
      </c>
      <c r="AC22" s="41" t="s">
        <v>929</v>
      </c>
      <c r="AD22" s="41" t="s">
        <v>930</v>
      </c>
      <c r="AE22" s="41" t="s">
        <v>931</v>
      </c>
      <c r="AF22" s="41" t="s">
        <v>932</v>
      </c>
      <c r="AG22" s="41" t="s">
        <v>933</v>
      </c>
      <c r="AH22" s="41" t="s">
        <v>934</v>
      </c>
      <c r="AI22" s="41" t="s">
        <v>935</v>
      </c>
      <c r="AJ22" s="41" t="s">
        <v>936</v>
      </c>
      <c r="AK22" s="41" t="s">
        <v>937</v>
      </c>
    </row>
    <row r="23" spans="2:37" x14ac:dyDescent="0.15">
      <c r="B23" s="155" t="s">
        <v>20</v>
      </c>
      <c r="C23" s="84">
        <f>SUMIFS('caseload data'!E:E,'caseload data'!$A:$A,$B23,'caseload data'!$B:$B,"custody")</f>
        <v>0</v>
      </c>
      <c r="D23" s="84">
        <f>SUMIFS('caseload data'!F:F,'caseload data'!$A:$A,$B23,'caseload data'!$B:$B,"custody")</f>
        <v>0</v>
      </c>
      <c r="E23" s="84">
        <f>SUMIFS('caseload data'!G:G,'caseload data'!$A:$A,$B23,'caseload data'!$B:$B,"custody")</f>
        <v>0</v>
      </c>
      <c r="F23" s="84">
        <f>SUMIFS('caseload data'!H:H,'caseload data'!$A:$A,$B23,'caseload data'!$B:$B,"custody")</f>
        <v>0</v>
      </c>
      <c r="G23" s="84">
        <f>SUMIFS('caseload data'!I:I,'caseload data'!$A:$A,$B23,'caseload data'!$B:$B,"custody")</f>
        <v>0</v>
      </c>
      <c r="H23" s="84">
        <f>SUMIFS('caseload data'!J:J,'caseload data'!$A:$A,$B23,'caseload data'!$B:$B,"custody")</f>
        <v>0</v>
      </c>
      <c r="I23" s="84">
        <f>SUMIFS('caseload data'!K:K,'caseload data'!$A:$A,$B23,'caseload data'!$B:$B,"custody")</f>
        <v>0</v>
      </c>
      <c r="J23" s="84">
        <f>SUMIFS('caseload data'!L:L,'caseload data'!$A:$A,$B23,'caseload data'!$B:$B,"custody")</f>
        <v>0</v>
      </c>
      <c r="K23" s="84">
        <f>SUMIFS('caseload data'!M:M,'caseload data'!$A:$A,$B23,'caseload data'!$B:$B,"custody")</f>
        <v>0</v>
      </c>
      <c r="L23" s="84">
        <f>SUMIFS('caseload data'!N:N,'caseload data'!$A:$A,$B23,'caseload data'!$B:$B,"custody")</f>
        <v>0</v>
      </c>
      <c r="M23" s="84">
        <f>SUMIFS('caseload data'!O:O,'caseload data'!$A:$A,$B23,'caseload data'!$B:$B,"custody")</f>
        <v>0</v>
      </c>
      <c r="N23" s="84">
        <f>SUMIFS('caseload data'!P:P,'caseload data'!$A:$A,$B23,'caseload data'!$B:$B,"custody")</f>
        <v>0</v>
      </c>
      <c r="O23" s="84">
        <f>SUMIFS('caseload data'!Q:Q,'caseload data'!$A:$A,$B23,'caseload data'!$B:$B,"custody")</f>
        <v>0</v>
      </c>
      <c r="P23" s="84">
        <f>SUMIFS('caseload data'!R:R,'caseload data'!$A:$A,$B23,'caseload data'!$B:$B,"custody")</f>
        <v>0</v>
      </c>
      <c r="Q23" s="84">
        <f>SUMIFS('caseload data'!S:S,'caseload data'!$A:$A,$B23,'caseload data'!$B:$B,"custody")</f>
        <v>0</v>
      </c>
      <c r="R23" s="84">
        <f>SUMIFS('caseload data'!T:T,'caseload data'!$A:$A,$B23,'caseload data'!$B:$B,"custody")</f>
        <v>0</v>
      </c>
      <c r="S23" s="84">
        <f>SUMIFS('caseload data'!V:V,'caseload data'!$A:$A,B23,'caseload data'!$B:$B,"custody")</f>
        <v>0</v>
      </c>
      <c r="T23" s="101"/>
      <c r="U23" s="155" t="s">
        <v>20</v>
      </c>
      <c r="V23" s="75" t="e">
        <f>C23/$S$23</f>
        <v>#DIV/0!</v>
      </c>
      <c r="W23" s="75" t="e">
        <f t="shared" ref="W23:AB23" si="82">D23/$S$23</f>
        <v>#DIV/0!</v>
      </c>
      <c r="X23" s="75" t="e">
        <f t="shared" si="82"/>
        <v>#DIV/0!</v>
      </c>
      <c r="Y23" s="75" t="e">
        <f t="shared" si="82"/>
        <v>#DIV/0!</v>
      </c>
      <c r="Z23" s="75" t="e">
        <f t="shared" si="82"/>
        <v>#DIV/0!</v>
      </c>
      <c r="AA23" s="75" t="e">
        <f t="shared" si="82"/>
        <v>#DIV/0!</v>
      </c>
      <c r="AB23" s="75" t="e">
        <f t="shared" si="82"/>
        <v>#DIV/0!</v>
      </c>
      <c r="AC23" s="75" t="e">
        <f t="shared" ref="AC23" si="83">J23/$S$23</f>
        <v>#DIV/0!</v>
      </c>
      <c r="AD23" s="75" t="e">
        <f t="shared" ref="AD23" si="84">K23/$S$23</f>
        <v>#DIV/0!</v>
      </c>
      <c r="AE23" s="75" t="e">
        <f t="shared" ref="AE23" si="85">L23/$S$23</f>
        <v>#DIV/0!</v>
      </c>
      <c r="AF23" s="75" t="e">
        <f t="shared" ref="AF23" si="86">M23/$S$23</f>
        <v>#DIV/0!</v>
      </c>
      <c r="AG23" s="75" t="e">
        <f t="shared" ref="AG23:AH23" si="87">N23/$S$23</f>
        <v>#DIV/0!</v>
      </c>
      <c r="AH23" s="75" t="e">
        <f t="shared" si="87"/>
        <v>#DIV/0!</v>
      </c>
      <c r="AI23" s="75" t="e">
        <f t="shared" ref="AI23" si="88">P23/$S$23</f>
        <v>#DIV/0!</v>
      </c>
      <c r="AJ23" s="75" t="e">
        <f t="shared" ref="AJ23" si="89">Q23/$S$23</f>
        <v>#DIV/0!</v>
      </c>
      <c r="AK23" s="75" t="e">
        <f t="shared" ref="AK23" si="90">R23/$S$23</f>
        <v>#DIV/0!</v>
      </c>
    </row>
    <row r="24" spans="2:37" x14ac:dyDescent="0.15">
      <c r="B24" s="155" t="s">
        <v>21</v>
      </c>
      <c r="C24" s="84">
        <f>SUMIFS('caseload data'!E:E,'caseload data'!$A:$A,$B24,'caseload data'!$B:$B,"custody")</f>
        <v>0</v>
      </c>
      <c r="D24" s="84">
        <f>SUMIFS('caseload data'!F:F,'caseload data'!$A:$A,$B24,'caseload data'!$B:$B,"custody")</f>
        <v>0</v>
      </c>
      <c r="E24" s="84">
        <f>SUMIFS('caseload data'!G:G,'caseload data'!$A:$A,$B24,'caseload data'!$B:$B,"custody")</f>
        <v>0</v>
      </c>
      <c r="F24" s="84">
        <f>SUMIFS('caseload data'!H:H,'caseload data'!$A:$A,$B24,'caseload data'!$B:$B,"custody")</f>
        <v>0</v>
      </c>
      <c r="G24" s="84">
        <f>SUMIFS('caseload data'!I:I,'caseload data'!$A:$A,$B24,'caseload data'!$B:$B,"custody")</f>
        <v>0</v>
      </c>
      <c r="H24" s="84">
        <f>SUMIFS('caseload data'!J:J,'caseload data'!$A:$A,$B24,'caseload data'!$B:$B,"custody")</f>
        <v>0</v>
      </c>
      <c r="I24" s="84">
        <f>SUMIFS('caseload data'!K:K,'caseload data'!$A:$A,$B24,'caseload data'!$B:$B,"custody")</f>
        <v>0</v>
      </c>
      <c r="J24" s="84">
        <f>SUMIFS('caseload data'!L:L,'caseload data'!$A:$A,$B24,'caseload data'!$B:$B,"custody")</f>
        <v>0</v>
      </c>
      <c r="K24" s="84">
        <f>SUMIFS('caseload data'!M:M,'caseload data'!$A:$A,$B24,'caseload data'!$B:$B,"custody")</f>
        <v>0</v>
      </c>
      <c r="L24" s="84">
        <f>SUMIFS('caseload data'!N:N,'caseload data'!$A:$A,$B24,'caseload data'!$B:$B,"custody")</f>
        <v>0</v>
      </c>
      <c r="M24" s="84">
        <f>SUMIFS('caseload data'!O:O,'caseload data'!$A:$A,$B24,'caseload data'!$B:$B,"custody")</f>
        <v>0</v>
      </c>
      <c r="N24" s="84">
        <f>SUMIFS('caseload data'!P:P,'caseload data'!$A:$A,$B24,'caseload data'!$B:$B,"custody")</f>
        <v>0</v>
      </c>
      <c r="O24" s="84">
        <f>SUMIFS('caseload data'!Q:Q,'caseload data'!$A:$A,$B24,'caseload data'!$B:$B,"custody")</f>
        <v>0</v>
      </c>
      <c r="P24" s="84">
        <f>SUMIFS('caseload data'!R:R,'caseload data'!$A:$A,$B24,'caseload data'!$B:$B,"custody")</f>
        <v>0</v>
      </c>
      <c r="Q24" s="84">
        <f>SUMIFS('caseload data'!S:S,'caseload data'!$A:$A,$B24,'caseload data'!$B:$B,"custody")</f>
        <v>0</v>
      </c>
      <c r="R24" s="84">
        <f>SUMIFS('caseload data'!T:T,'caseload data'!$A:$A,$B24,'caseload data'!$B:$B,"custody")</f>
        <v>0</v>
      </c>
      <c r="S24" s="84">
        <f>SUMIFS('caseload data'!V:V,'caseload data'!$A:$A,B24,'caseload data'!$B:$B,"custody")</f>
        <v>0</v>
      </c>
      <c r="T24" s="101"/>
      <c r="U24" s="155" t="s">
        <v>21</v>
      </c>
      <c r="V24" s="75" t="e">
        <f>C24/$S$24</f>
        <v>#DIV/0!</v>
      </c>
      <c r="W24" s="75" t="e">
        <f t="shared" ref="W24:AB24" si="91">D24/$S$24</f>
        <v>#DIV/0!</v>
      </c>
      <c r="X24" s="75" t="e">
        <f t="shared" si="91"/>
        <v>#DIV/0!</v>
      </c>
      <c r="Y24" s="75" t="e">
        <f t="shared" si="91"/>
        <v>#DIV/0!</v>
      </c>
      <c r="Z24" s="75" t="e">
        <f t="shared" si="91"/>
        <v>#DIV/0!</v>
      </c>
      <c r="AA24" s="75" t="e">
        <f t="shared" si="91"/>
        <v>#DIV/0!</v>
      </c>
      <c r="AB24" s="75" t="e">
        <f t="shared" si="91"/>
        <v>#DIV/0!</v>
      </c>
      <c r="AC24" s="75" t="e">
        <f t="shared" ref="AC24" si="92">J24/$S$24</f>
        <v>#DIV/0!</v>
      </c>
      <c r="AD24" s="75" t="e">
        <f t="shared" ref="AD24" si="93">K24/$S$24</f>
        <v>#DIV/0!</v>
      </c>
      <c r="AE24" s="75" t="e">
        <f t="shared" ref="AE24" si="94">L24/$S$24</f>
        <v>#DIV/0!</v>
      </c>
      <c r="AF24" s="75" t="e">
        <f t="shared" ref="AF24" si="95">M24/$S$24</f>
        <v>#DIV/0!</v>
      </c>
      <c r="AG24" s="75" t="e">
        <f t="shared" ref="AG24:AH24" si="96">N24/$S$24</f>
        <v>#DIV/0!</v>
      </c>
      <c r="AH24" s="75" t="e">
        <f t="shared" si="96"/>
        <v>#DIV/0!</v>
      </c>
      <c r="AI24" s="75" t="e">
        <f t="shared" ref="AI24" si="97">P24/$S$24</f>
        <v>#DIV/0!</v>
      </c>
      <c r="AJ24" s="75" t="e">
        <f t="shared" ref="AJ24" si="98">Q24/$S$24</f>
        <v>#DIV/0!</v>
      </c>
      <c r="AK24" s="75" t="e">
        <f t="shared" ref="AK24" si="99">R24/$S$24</f>
        <v>#DIV/0!</v>
      </c>
    </row>
    <row r="25" spans="2:37" x14ac:dyDescent="0.15">
      <c r="B25" s="155" t="s">
        <v>22</v>
      </c>
      <c r="C25" s="84">
        <f>SUMIFS('caseload data'!E:E,'caseload data'!$A:$A,$B25,'caseload data'!$B:$B,"custody")</f>
        <v>0</v>
      </c>
      <c r="D25" s="84">
        <f>SUMIFS('caseload data'!F:F,'caseload data'!$A:$A,$B25,'caseload data'!$B:$B,"custody")</f>
        <v>0</v>
      </c>
      <c r="E25" s="84">
        <f>SUMIFS('caseload data'!G:G,'caseload data'!$A:$A,$B25,'caseload data'!$B:$B,"custody")</f>
        <v>0</v>
      </c>
      <c r="F25" s="84">
        <f>SUMIFS('caseload data'!H:H,'caseload data'!$A:$A,$B25,'caseload data'!$B:$B,"custody")</f>
        <v>0</v>
      </c>
      <c r="G25" s="84">
        <f>SUMIFS('caseload data'!I:I,'caseload data'!$A:$A,$B25,'caseload data'!$B:$B,"custody")</f>
        <v>0</v>
      </c>
      <c r="H25" s="84">
        <f>SUMIFS('caseload data'!J:J,'caseload data'!$A:$A,$B25,'caseload data'!$B:$B,"custody")</f>
        <v>0</v>
      </c>
      <c r="I25" s="84">
        <f>SUMIFS('caseload data'!K:K,'caseload data'!$A:$A,$B25,'caseload data'!$B:$B,"custody")</f>
        <v>0</v>
      </c>
      <c r="J25" s="84">
        <f>SUMIFS('caseload data'!L:L,'caseload data'!$A:$A,$B25,'caseload data'!$B:$B,"custody")</f>
        <v>0</v>
      </c>
      <c r="K25" s="84">
        <f>SUMIFS('caseload data'!M:M,'caseload data'!$A:$A,$B25,'caseload data'!$B:$B,"custody")</f>
        <v>0</v>
      </c>
      <c r="L25" s="84">
        <f>SUMIFS('caseload data'!N:N,'caseload data'!$A:$A,$B25,'caseload data'!$B:$B,"custody")</f>
        <v>0</v>
      </c>
      <c r="M25" s="84">
        <f>SUMIFS('caseload data'!O:O,'caseload data'!$A:$A,$B25,'caseload data'!$B:$B,"custody")</f>
        <v>0</v>
      </c>
      <c r="N25" s="84">
        <f>SUMIFS('caseload data'!P:P,'caseload data'!$A:$A,$B25,'caseload data'!$B:$B,"custody")</f>
        <v>0</v>
      </c>
      <c r="O25" s="84">
        <f>SUMIFS('caseload data'!Q:Q,'caseload data'!$A:$A,$B25,'caseload data'!$B:$B,"custody")</f>
        <v>0</v>
      </c>
      <c r="P25" s="84">
        <f>SUMIFS('caseload data'!R:R,'caseload data'!$A:$A,$B25,'caseload data'!$B:$B,"custody")</f>
        <v>0</v>
      </c>
      <c r="Q25" s="84">
        <f>SUMIFS('caseload data'!S:S,'caseload data'!$A:$A,$B25,'caseload data'!$B:$B,"custody")</f>
        <v>0</v>
      </c>
      <c r="R25" s="84">
        <f>SUMIFS('caseload data'!T:T,'caseload data'!$A:$A,$B25,'caseload data'!$B:$B,"custody")</f>
        <v>0</v>
      </c>
      <c r="S25" s="84">
        <f>SUMIFS('caseload data'!V:V,'caseload data'!$A:$A,B25,'caseload data'!$B:$B,"custody")</f>
        <v>0</v>
      </c>
      <c r="T25" s="101"/>
      <c r="U25" s="155" t="s">
        <v>22</v>
      </c>
      <c r="V25" s="75" t="e">
        <f>C25/$S$25</f>
        <v>#DIV/0!</v>
      </c>
      <c r="W25" s="75" t="e">
        <f t="shared" ref="W25:AB25" si="100">D25/$S$25</f>
        <v>#DIV/0!</v>
      </c>
      <c r="X25" s="75" t="e">
        <f t="shared" si="100"/>
        <v>#DIV/0!</v>
      </c>
      <c r="Y25" s="75" t="e">
        <f t="shared" si="100"/>
        <v>#DIV/0!</v>
      </c>
      <c r="Z25" s="75" t="e">
        <f t="shared" si="100"/>
        <v>#DIV/0!</v>
      </c>
      <c r="AA25" s="75" t="e">
        <f t="shared" si="100"/>
        <v>#DIV/0!</v>
      </c>
      <c r="AB25" s="75" t="e">
        <f t="shared" si="100"/>
        <v>#DIV/0!</v>
      </c>
      <c r="AC25" s="75" t="e">
        <f t="shared" ref="AC25" si="101">J25/$S$25</f>
        <v>#DIV/0!</v>
      </c>
      <c r="AD25" s="75" t="e">
        <f t="shared" ref="AD25" si="102">K25/$S$25</f>
        <v>#DIV/0!</v>
      </c>
      <c r="AE25" s="75" t="e">
        <f t="shared" ref="AE25" si="103">L25/$S$25</f>
        <v>#DIV/0!</v>
      </c>
      <c r="AF25" s="75" t="e">
        <f t="shared" ref="AF25" si="104">M25/$S$25</f>
        <v>#DIV/0!</v>
      </c>
      <c r="AG25" s="75" t="e">
        <f t="shared" ref="AG25:AH25" si="105">N25/$S$25</f>
        <v>#DIV/0!</v>
      </c>
      <c r="AH25" s="75" t="e">
        <f t="shared" si="105"/>
        <v>#DIV/0!</v>
      </c>
      <c r="AI25" s="75" t="e">
        <f t="shared" ref="AI25" si="106">P25/$S$25</f>
        <v>#DIV/0!</v>
      </c>
      <c r="AJ25" s="75" t="e">
        <f t="shared" ref="AJ25" si="107">Q25/$S$25</f>
        <v>#DIV/0!</v>
      </c>
      <c r="AK25" s="75" t="e">
        <f t="shared" ref="AK25" si="108">R25/$S$25</f>
        <v>#DIV/0!</v>
      </c>
    </row>
    <row r="26" spans="2:37" x14ac:dyDescent="0.15">
      <c r="B26" s="155" t="s">
        <v>23</v>
      </c>
      <c r="C26" s="84">
        <f>SUMIFS('caseload data'!E:E,'caseload data'!$A:$A,$B26,'caseload data'!$B:$B,"custody")</f>
        <v>0</v>
      </c>
      <c r="D26" s="84">
        <f>SUMIFS('caseload data'!F:F,'caseload data'!$A:$A,$B26,'caseload data'!$B:$B,"custody")</f>
        <v>0</v>
      </c>
      <c r="E26" s="84">
        <f>SUMIFS('caseload data'!G:G,'caseload data'!$A:$A,$B26,'caseload data'!$B:$B,"custody")</f>
        <v>0</v>
      </c>
      <c r="F26" s="84">
        <f>SUMIFS('caseload data'!H:H,'caseload data'!$A:$A,$B26,'caseload data'!$B:$B,"custody")</f>
        <v>0</v>
      </c>
      <c r="G26" s="84">
        <f>SUMIFS('caseload data'!I:I,'caseload data'!$A:$A,$B26,'caseload data'!$B:$B,"custody")</f>
        <v>0</v>
      </c>
      <c r="H26" s="84">
        <f>SUMIFS('caseload data'!J:J,'caseload data'!$A:$A,$B26,'caseload data'!$B:$B,"custody")</f>
        <v>0</v>
      </c>
      <c r="I26" s="84">
        <f>SUMIFS('caseload data'!K:K,'caseload data'!$A:$A,$B26,'caseload data'!$B:$B,"custody")</f>
        <v>0</v>
      </c>
      <c r="J26" s="84">
        <f>SUMIFS('caseload data'!L:L,'caseload data'!$A:$A,$B26,'caseload data'!$B:$B,"custody")</f>
        <v>0</v>
      </c>
      <c r="K26" s="84">
        <f>SUMIFS('caseload data'!M:M,'caseload data'!$A:$A,$B26,'caseload data'!$B:$B,"custody")</f>
        <v>0</v>
      </c>
      <c r="L26" s="84">
        <f>SUMIFS('caseload data'!N:N,'caseload data'!$A:$A,$B26,'caseload data'!$B:$B,"custody")</f>
        <v>0</v>
      </c>
      <c r="M26" s="84">
        <f>SUMIFS('caseload data'!O:O,'caseload data'!$A:$A,$B26,'caseload data'!$B:$B,"custody")</f>
        <v>0</v>
      </c>
      <c r="N26" s="84">
        <f>SUMIFS('caseload data'!P:P,'caseload data'!$A:$A,$B26,'caseload data'!$B:$B,"custody")</f>
        <v>0</v>
      </c>
      <c r="O26" s="84">
        <f>SUMIFS('caseload data'!Q:Q,'caseload data'!$A:$A,$B26,'caseload data'!$B:$B,"custody")</f>
        <v>0</v>
      </c>
      <c r="P26" s="84">
        <f>SUMIFS('caseload data'!R:R,'caseload data'!$A:$A,$B26,'caseload data'!$B:$B,"custody")</f>
        <v>0</v>
      </c>
      <c r="Q26" s="84">
        <f>SUMIFS('caseload data'!S:S,'caseload data'!$A:$A,$B26,'caseload data'!$B:$B,"custody")</f>
        <v>0</v>
      </c>
      <c r="R26" s="84">
        <f>SUMIFS('caseload data'!T:T,'caseload data'!$A:$A,$B26,'caseload data'!$B:$B,"custody")</f>
        <v>0</v>
      </c>
      <c r="S26" s="84">
        <f>SUMIFS('caseload data'!V:V,'caseload data'!$A:$A,B26,'caseload data'!$B:$B,"custody")</f>
        <v>0</v>
      </c>
      <c r="T26" s="101"/>
      <c r="U26" s="155" t="s">
        <v>23</v>
      </c>
      <c r="V26" s="75" t="e">
        <f>C26/$S$26</f>
        <v>#DIV/0!</v>
      </c>
      <c r="W26" s="75" t="e">
        <f t="shared" ref="W26:AB26" si="109">D26/$S$26</f>
        <v>#DIV/0!</v>
      </c>
      <c r="X26" s="75" t="e">
        <f t="shared" si="109"/>
        <v>#DIV/0!</v>
      </c>
      <c r="Y26" s="75" t="e">
        <f t="shared" si="109"/>
        <v>#DIV/0!</v>
      </c>
      <c r="Z26" s="75" t="e">
        <f t="shared" si="109"/>
        <v>#DIV/0!</v>
      </c>
      <c r="AA26" s="75" t="e">
        <f t="shared" si="109"/>
        <v>#DIV/0!</v>
      </c>
      <c r="AB26" s="75" t="e">
        <f t="shared" si="109"/>
        <v>#DIV/0!</v>
      </c>
      <c r="AC26" s="75" t="e">
        <f t="shared" ref="AC26" si="110">J26/$S$26</f>
        <v>#DIV/0!</v>
      </c>
      <c r="AD26" s="75" t="e">
        <f t="shared" ref="AD26" si="111">K26/$S$26</f>
        <v>#DIV/0!</v>
      </c>
      <c r="AE26" s="75" t="e">
        <f t="shared" ref="AE26" si="112">L26/$S$26</f>
        <v>#DIV/0!</v>
      </c>
      <c r="AF26" s="75" t="e">
        <f t="shared" ref="AF26" si="113">M26/$S$26</f>
        <v>#DIV/0!</v>
      </c>
      <c r="AG26" s="75" t="e">
        <f t="shared" ref="AG26:AH26" si="114">N26/$S$26</f>
        <v>#DIV/0!</v>
      </c>
      <c r="AH26" s="75" t="e">
        <f t="shared" si="114"/>
        <v>#DIV/0!</v>
      </c>
      <c r="AI26" s="75" t="e">
        <f t="shared" ref="AI26" si="115">P26/$S$26</f>
        <v>#DIV/0!</v>
      </c>
      <c r="AJ26" s="75" t="e">
        <f t="shared" ref="AJ26" si="116">Q26/$S$26</f>
        <v>#DIV/0!</v>
      </c>
      <c r="AK26" s="75" t="e">
        <f t="shared" ref="AK26" si="117">R26/$S$26</f>
        <v>#DIV/0!</v>
      </c>
    </row>
    <row r="27" spans="2:37" x14ac:dyDescent="0.15">
      <c r="B27" s="155" t="s">
        <v>24</v>
      </c>
      <c r="C27" s="84">
        <f>SUMIFS('caseload data'!E:E,'caseload data'!$A:$A,$B27,'caseload data'!$B:$B,"custody")</f>
        <v>0</v>
      </c>
      <c r="D27" s="84">
        <f>SUMIFS('caseload data'!F:F,'caseload data'!$A:$A,$B27,'caseload data'!$B:$B,"custody")</f>
        <v>0</v>
      </c>
      <c r="E27" s="84">
        <f>SUMIFS('caseload data'!G:G,'caseload data'!$A:$A,$B27,'caseload data'!$B:$B,"custody")</f>
        <v>0</v>
      </c>
      <c r="F27" s="84">
        <f>SUMIFS('caseload data'!H:H,'caseload data'!$A:$A,$B27,'caseload data'!$B:$B,"custody")</f>
        <v>0</v>
      </c>
      <c r="G27" s="84">
        <f>SUMIFS('caseload data'!I:I,'caseload data'!$A:$A,$B27,'caseload data'!$B:$B,"custody")</f>
        <v>0</v>
      </c>
      <c r="H27" s="84">
        <f>SUMIFS('caseload data'!J:J,'caseload data'!$A:$A,$B27,'caseload data'!$B:$B,"custody")</f>
        <v>0</v>
      </c>
      <c r="I27" s="84">
        <f>SUMIFS('caseload data'!K:K,'caseload data'!$A:$A,$B27,'caseload data'!$B:$B,"custody")</f>
        <v>0</v>
      </c>
      <c r="J27" s="84">
        <f>SUMIFS('caseload data'!L:L,'caseload data'!$A:$A,$B27,'caseload data'!$B:$B,"custody")</f>
        <v>0</v>
      </c>
      <c r="K27" s="84">
        <f>SUMIFS('caseload data'!M:M,'caseload data'!$A:$A,$B27,'caseload data'!$B:$B,"custody")</f>
        <v>0</v>
      </c>
      <c r="L27" s="84">
        <f>SUMIFS('caseload data'!N:N,'caseload data'!$A:$A,$B27,'caseload data'!$B:$B,"custody")</f>
        <v>0</v>
      </c>
      <c r="M27" s="84">
        <f>SUMIFS('caseload data'!O:O,'caseload data'!$A:$A,$B27,'caseload data'!$B:$B,"custody")</f>
        <v>0</v>
      </c>
      <c r="N27" s="84">
        <f>SUMIFS('caseload data'!P:P,'caseload data'!$A:$A,$B27,'caseload data'!$B:$B,"custody")</f>
        <v>0</v>
      </c>
      <c r="O27" s="84">
        <f>SUMIFS('caseload data'!Q:Q,'caseload data'!$A:$A,$B27,'caseload data'!$B:$B,"custody")</f>
        <v>0</v>
      </c>
      <c r="P27" s="84">
        <f>SUMIFS('caseload data'!R:R,'caseload data'!$A:$A,$B27,'caseload data'!$B:$B,"custody")</f>
        <v>0</v>
      </c>
      <c r="Q27" s="84">
        <f>SUMIFS('caseload data'!S:S,'caseload data'!$A:$A,$B27,'caseload data'!$B:$B,"custody")</f>
        <v>0</v>
      </c>
      <c r="R27" s="84">
        <f>SUMIFS('caseload data'!T:T,'caseload data'!$A:$A,$B27,'caseload data'!$B:$B,"custody")</f>
        <v>0</v>
      </c>
      <c r="S27" s="84">
        <f>SUMIFS('caseload data'!V:V,'caseload data'!$A:$A,B27,'caseload data'!$B:$B,"custody")</f>
        <v>0</v>
      </c>
      <c r="T27" s="101"/>
      <c r="U27" s="155" t="s">
        <v>24</v>
      </c>
      <c r="V27" s="75" t="e">
        <f>C27/$S$27</f>
        <v>#DIV/0!</v>
      </c>
      <c r="W27" s="75" t="e">
        <f t="shared" ref="W27:AB27" si="118">D27/$S$27</f>
        <v>#DIV/0!</v>
      </c>
      <c r="X27" s="75" t="e">
        <f t="shared" si="118"/>
        <v>#DIV/0!</v>
      </c>
      <c r="Y27" s="75" t="e">
        <f t="shared" si="118"/>
        <v>#DIV/0!</v>
      </c>
      <c r="Z27" s="75" t="e">
        <f t="shared" si="118"/>
        <v>#DIV/0!</v>
      </c>
      <c r="AA27" s="75" t="e">
        <f t="shared" si="118"/>
        <v>#DIV/0!</v>
      </c>
      <c r="AB27" s="75" t="e">
        <f t="shared" si="118"/>
        <v>#DIV/0!</v>
      </c>
      <c r="AC27" s="75" t="e">
        <f t="shared" ref="AC27" si="119">J27/$S$27</f>
        <v>#DIV/0!</v>
      </c>
      <c r="AD27" s="75" t="e">
        <f t="shared" ref="AD27" si="120">K27/$S$27</f>
        <v>#DIV/0!</v>
      </c>
      <c r="AE27" s="75" t="e">
        <f t="shared" ref="AE27" si="121">L27/$S$27</f>
        <v>#DIV/0!</v>
      </c>
      <c r="AF27" s="75" t="e">
        <f t="shared" ref="AF27" si="122">M27/$S$27</f>
        <v>#DIV/0!</v>
      </c>
      <c r="AG27" s="75" t="e">
        <f t="shared" ref="AG27:AH27" si="123">N27/$S$27</f>
        <v>#DIV/0!</v>
      </c>
      <c r="AH27" s="75" t="e">
        <f t="shared" si="123"/>
        <v>#DIV/0!</v>
      </c>
      <c r="AI27" s="75" t="e">
        <f t="shared" ref="AI27" si="124">P27/$S$27</f>
        <v>#DIV/0!</v>
      </c>
      <c r="AJ27" s="75" t="e">
        <f t="shared" ref="AJ27" si="125">Q27/$S$27</f>
        <v>#DIV/0!</v>
      </c>
      <c r="AK27" s="75" t="e">
        <f t="shared" ref="AK27" si="126">R27/$S$27</f>
        <v>#DIV/0!</v>
      </c>
    </row>
    <row r="28" spans="2:37" x14ac:dyDescent="0.15">
      <c r="B28" s="155" t="s">
        <v>25</v>
      </c>
      <c r="C28" s="84">
        <f>SUMIFS('caseload data'!E:E,'caseload data'!$A:$A,$B28,'caseload data'!$B:$B,"custody")</f>
        <v>0</v>
      </c>
      <c r="D28" s="84">
        <f>SUMIFS('caseload data'!F:F,'caseload data'!$A:$A,$B28,'caseload data'!$B:$B,"custody")</f>
        <v>0</v>
      </c>
      <c r="E28" s="84">
        <f>SUMIFS('caseload data'!G:G,'caseload data'!$A:$A,$B28,'caseload data'!$B:$B,"custody")</f>
        <v>0</v>
      </c>
      <c r="F28" s="84">
        <f>SUMIFS('caseload data'!H:H,'caseload data'!$A:$A,$B28,'caseload data'!$B:$B,"custody")</f>
        <v>0</v>
      </c>
      <c r="G28" s="84">
        <f>SUMIFS('caseload data'!I:I,'caseload data'!$A:$A,$B28,'caseload data'!$B:$B,"custody")</f>
        <v>0</v>
      </c>
      <c r="H28" s="84">
        <f>SUMIFS('caseload data'!J:J,'caseload data'!$A:$A,$B28,'caseload data'!$B:$B,"custody")</f>
        <v>0</v>
      </c>
      <c r="I28" s="84">
        <f>SUMIFS('caseload data'!K:K,'caseload data'!$A:$A,$B28,'caseload data'!$B:$B,"custody")</f>
        <v>0</v>
      </c>
      <c r="J28" s="84">
        <f>SUMIFS('caseload data'!L:L,'caseload data'!$A:$A,$B28,'caseload data'!$B:$B,"custody")</f>
        <v>0</v>
      </c>
      <c r="K28" s="84">
        <f>SUMIFS('caseload data'!M:M,'caseload data'!$A:$A,$B28,'caseload data'!$B:$B,"custody")</f>
        <v>0</v>
      </c>
      <c r="L28" s="84">
        <f>SUMIFS('caseload data'!N:N,'caseload data'!$A:$A,$B28,'caseload data'!$B:$B,"custody")</f>
        <v>0</v>
      </c>
      <c r="M28" s="84">
        <f>SUMIFS('caseload data'!O:O,'caseload data'!$A:$A,$B28,'caseload data'!$B:$B,"custody")</f>
        <v>0</v>
      </c>
      <c r="N28" s="84">
        <f>SUMIFS('caseload data'!P:P,'caseload data'!$A:$A,$B28,'caseload data'!$B:$B,"custody")</f>
        <v>0</v>
      </c>
      <c r="O28" s="84">
        <f>SUMIFS('caseload data'!Q:Q,'caseload data'!$A:$A,$B28,'caseload data'!$B:$B,"custody")</f>
        <v>0</v>
      </c>
      <c r="P28" s="84">
        <f>SUMIFS('caseload data'!R:R,'caseload data'!$A:$A,$B28,'caseload data'!$B:$B,"custody")</f>
        <v>0</v>
      </c>
      <c r="Q28" s="84">
        <f>SUMIFS('caseload data'!S:S,'caseload data'!$A:$A,$B28,'caseload data'!$B:$B,"custody")</f>
        <v>0</v>
      </c>
      <c r="R28" s="84">
        <f>SUMIFS('caseload data'!T:T,'caseload data'!$A:$A,$B28,'caseload data'!$B:$B,"custody")</f>
        <v>0</v>
      </c>
      <c r="S28" s="84">
        <f>SUMIFS('caseload data'!V:V,'caseload data'!$A:$A,B28,'caseload data'!$B:$B,"custody")</f>
        <v>0</v>
      </c>
      <c r="T28" s="101"/>
      <c r="U28" s="155" t="s">
        <v>25</v>
      </c>
      <c r="V28" s="75" t="e">
        <f>C28/$S$28</f>
        <v>#DIV/0!</v>
      </c>
      <c r="W28" s="75" t="e">
        <f t="shared" ref="W28:AB28" si="127">D28/$S$28</f>
        <v>#DIV/0!</v>
      </c>
      <c r="X28" s="75" t="e">
        <f t="shared" si="127"/>
        <v>#DIV/0!</v>
      </c>
      <c r="Y28" s="75" t="e">
        <f t="shared" si="127"/>
        <v>#DIV/0!</v>
      </c>
      <c r="Z28" s="75" t="e">
        <f t="shared" si="127"/>
        <v>#DIV/0!</v>
      </c>
      <c r="AA28" s="75" t="e">
        <f t="shared" si="127"/>
        <v>#DIV/0!</v>
      </c>
      <c r="AB28" s="75" t="e">
        <f t="shared" si="127"/>
        <v>#DIV/0!</v>
      </c>
      <c r="AC28" s="75" t="e">
        <f t="shared" ref="AC28" si="128">J28/$S$28</f>
        <v>#DIV/0!</v>
      </c>
      <c r="AD28" s="75" t="e">
        <f t="shared" ref="AD28" si="129">K28/$S$28</f>
        <v>#DIV/0!</v>
      </c>
      <c r="AE28" s="75" t="e">
        <f t="shared" ref="AE28" si="130">L28/$S$28</f>
        <v>#DIV/0!</v>
      </c>
      <c r="AF28" s="75" t="e">
        <f t="shared" ref="AF28" si="131">M28/$S$28</f>
        <v>#DIV/0!</v>
      </c>
      <c r="AG28" s="75" t="e">
        <f t="shared" ref="AG28:AH28" si="132">N28/$S$28</f>
        <v>#DIV/0!</v>
      </c>
      <c r="AH28" s="75" t="e">
        <f t="shared" si="132"/>
        <v>#DIV/0!</v>
      </c>
      <c r="AI28" s="75" t="e">
        <f t="shared" ref="AI28" si="133">P28/$S$28</f>
        <v>#DIV/0!</v>
      </c>
      <c r="AJ28" s="75" t="e">
        <f t="shared" ref="AJ28" si="134">Q28/$S$28</f>
        <v>#DIV/0!</v>
      </c>
      <c r="AK28" s="75" t="e">
        <f t="shared" ref="AK28" si="135">R28/$S$28</f>
        <v>#DIV/0!</v>
      </c>
    </row>
    <row r="29" spans="2:37" x14ac:dyDescent="0.15">
      <c r="B29" s="155" t="s">
        <v>26</v>
      </c>
      <c r="C29" s="84">
        <f>SUMIFS('caseload data'!E:E,'caseload data'!$A:$A,$B29,'caseload data'!$B:$B,"custody")</f>
        <v>0</v>
      </c>
      <c r="D29" s="84">
        <f>SUMIFS('caseload data'!F:F,'caseload data'!$A:$A,$B29,'caseload data'!$B:$B,"custody")</f>
        <v>0</v>
      </c>
      <c r="E29" s="84">
        <f>SUMIFS('caseload data'!G:G,'caseload data'!$A:$A,$B29,'caseload data'!$B:$B,"custody")</f>
        <v>0</v>
      </c>
      <c r="F29" s="84">
        <f>SUMIFS('caseload data'!H:H,'caseload data'!$A:$A,$B29,'caseload data'!$B:$B,"custody")</f>
        <v>0</v>
      </c>
      <c r="G29" s="84">
        <f>SUMIFS('caseload data'!I:I,'caseload data'!$A:$A,$B29,'caseload data'!$B:$B,"custody")</f>
        <v>0</v>
      </c>
      <c r="H29" s="84">
        <f>SUMIFS('caseload data'!J:J,'caseload data'!$A:$A,$B29,'caseload data'!$B:$B,"custody")</f>
        <v>0</v>
      </c>
      <c r="I29" s="84">
        <f>SUMIFS('caseload data'!K:K,'caseload data'!$A:$A,$B29,'caseload data'!$B:$B,"custody")</f>
        <v>0</v>
      </c>
      <c r="J29" s="84">
        <f>SUMIFS('caseload data'!L:L,'caseload data'!$A:$A,$B29,'caseload data'!$B:$B,"custody")</f>
        <v>0</v>
      </c>
      <c r="K29" s="84">
        <f>SUMIFS('caseload data'!M:M,'caseload data'!$A:$A,$B29,'caseload data'!$B:$B,"custody")</f>
        <v>0</v>
      </c>
      <c r="L29" s="84">
        <f>SUMIFS('caseload data'!N:N,'caseload data'!$A:$A,$B29,'caseload data'!$B:$B,"custody")</f>
        <v>0</v>
      </c>
      <c r="M29" s="84">
        <f>SUMIFS('caseload data'!O:O,'caseload data'!$A:$A,$B29,'caseload data'!$B:$B,"custody")</f>
        <v>0</v>
      </c>
      <c r="N29" s="84">
        <f>SUMIFS('caseload data'!P:P,'caseload data'!$A:$A,$B29,'caseload data'!$B:$B,"custody")</f>
        <v>0</v>
      </c>
      <c r="O29" s="84">
        <f>SUMIFS('caseload data'!Q:Q,'caseload data'!$A:$A,$B29,'caseload data'!$B:$B,"custody")</f>
        <v>0</v>
      </c>
      <c r="P29" s="84">
        <f>SUMIFS('caseload data'!R:R,'caseload data'!$A:$A,$B29,'caseload data'!$B:$B,"custody")</f>
        <v>0</v>
      </c>
      <c r="Q29" s="84">
        <f>SUMIFS('caseload data'!S:S,'caseload data'!$A:$A,$B29,'caseload data'!$B:$B,"custody")</f>
        <v>0</v>
      </c>
      <c r="R29" s="84">
        <f>SUMIFS('caseload data'!T:T,'caseload data'!$A:$A,$B29,'caseload data'!$B:$B,"custody")</f>
        <v>0</v>
      </c>
      <c r="S29" s="84">
        <f>SUMIFS('caseload data'!V:V,'caseload data'!$A:$A,B29,'caseload data'!$B:$B,"custody")</f>
        <v>0</v>
      </c>
      <c r="T29" s="101"/>
      <c r="U29" s="155" t="s">
        <v>26</v>
      </c>
      <c r="V29" s="75" t="e">
        <f>C29/$S$29</f>
        <v>#DIV/0!</v>
      </c>
      <c r="W29" s="75" t="e">
        <f t="shared" ref="W29:AA29" si="136">D29/$S$29</f>
        <v>#DIV/0!</v>
      </c>
      <c r="X29" s="75" t="e">
        <f t="shared" si="136"/>
        <v>#DIV/0!</v>
      </c>
      <c r="Y29" s="75" t="e">
        <f t="shared" si="136"/>
        <v>#DIV/0!</v>
      </c>
      <c r="Z29" s="75" t="e">
        <f t="shared" si="136"/>
        <v>#DIV/0!</v>
      </c>
      <c r="AA29" s="75" t="e">
        <f t="shared" si="136"/>
        <v>#DIV/0!</v>
      </c>
      <c r="AB29" s="75" t="e">
        <f t="shared" ref="AB29" si="137">I29/$S$29</f>
        <v>#DIV/0!</v>
      </c>
      <c r="AC29" s="75" t="e">
        <f t="shared" ref="AC29" si="138">J29/$S$29</f>
        <v>#DIV/0!</v>
      </c>
      <c r="AD29" s="75" t="e">
        <f t="shared" ref="AD29" si="139">K29/$S$29</f>
        <v>#DIV/0!</v>
      </c>
      <c r="AE29" s="75" t="e">
        <f t="shared" ref="AE29" si="140">L29/$S$29</f>
        <v>#DIV/0!</v>
      </c>
      <c r="AF29" s="75" t="e">
        <f t="shared" ref="AF29" si="141">M29/$S$29</f>
        <v>#DIV/0!</v>
      </c>
      <c r="AG29" s="75" t="e">
        <f t="shared" ref="AG29" si="142">N29/$S$29</f>
        <v>#DIV/0!</v>
      </c>
      <c r="AH29" s="75" t="e">
        <f t="shared" ref="AH29" si="143">O29/$S$29</f>
        <v>#DIV/0!</v>
      </c>
      <c r="AI29" s="75" t="e">
        <f t="shared" ref="AI29" si="144">P29/$S$29</f>
        <v>#DIV/0!</v>
      </c>
      <c r="AJ29" s="75" t="e">
        <f t="shared" ref="AJ29" si="145">Q29/$S$29</f>
        <v>#DIV/0!</v>
      </c>
      <c r="AK29" s="75" t="e">
        <f t="shared" ref="AK29" si="146">R29/$S$29</f>
        <v>#DIV/0!</v>
      </c>
    </row>
    <row r="30" spans="2:37" x14ac:dyDescent="0.15">
      <c r="B30" s="155" t="s">
        <v>27</v>
      </c>
      <c r="C30" s="84">
        <f>SUMIFS('caseload data'!E:E,'caseload data'!$A:$A,$B30,'caseload data'!$B:$B,"custody")</f>
        <v>0</v>
      </c>
      <c r="D30" s="84">
        <f>SUMIFS('caseload data'!F:F,'caseload data'!$A:$A,$B30,'caseload data'!$B:$B,"custody")</f>
        <v>0</v>
      </c>
      <c r="E30" s="84">
        <f>SUMIFS('caseload data'!G:G,'caseload data'!$A:$A,$B30,'caseload data'!$B:$B,"custody")</f>
        <v>0</v>
      </c>
      <c r="F30" s="84">
        <f>SUMIFS('caseload data'!H:H,'caseload data'!$A:$A,$B30,'caseload data'!$B:$B,"custody")</f>
        <v>0</v>
      </c>
      <c r="G30" s="84">
        <f>SUMIFS('caseload data'!I:I,'caseload data'!$A:$A,$B30,'caseload data'!$B:$B,"custody")</f>
        <v>0</v>
      </c>
      <c r="H30" s="84">
        <f>SUMIFS('caseload data'!J:J,'caseload data'!$A:$A,$B30,'caseload data'!$B:$B,"custody")</f>
        <v>0</v>
      </c>
      <c r="I30" s="84">
        <f>SUMIFS('caseload data'!K:K,'caseload data'!$A:$A,$B30,'caseload data'!$B:$B,"custody")</f>
        <v>0</v>
      </c>
      <c r="J30" s="84">
        <f>SUMIFS('caseload data'!L:L,'caseload data'!$A:$A,$B30,'caseload data'!$B:$B,"custody")</f>
        <v>0</v>
      </c>
      <c r="K30" s="84">
        <f>SUMIFS('caseload data'!M:M,'caseload data'!$A:$A,$B30,'caseload data'!$B:$B,"custody")</f>
        <v>0</v>
      </c>
      <c r="L30" s="84">
        <f>SUMIFS('caseload data'!N:N,'caseload data'!$A:$A,$B30,'caseload data'!$B:$B,"custody")</f>
        <v>0</v>
      </c>
      <c r="M30" s="84">
        <f>SUMIFS('caseload data'!O:O,'caseload data'!$A:$A,$B30,'caseload data'!$B:$B,"custody")</f>
        <v>0</v>
      </c>
      <c r="N30" s="84">
        <f>SUMIFS('caseload data'!P:P,'caseload data'!$A:$A,$B30,'caseload data'!$B:$B,"custody")</f>
        <v>0</v>
      </c>
      <c r="O30" s="84">
        <f>SUMIFS('caseload data'!Q:Q,'caseload data'!$A:$A,$B30,'caseload data'!$B:$B,"custody")</f>
        <v>0</v>
      </c>
      <c r="P30" s="84">
        <f>SUMIFS('caseload data'!R:R,'caseload data'!$A:$A,$B30,'caseload data'!$B:$B,"custody")</f>
        <v>0</v>
      </c>
      <c r="Q30" s="84">
        <f>SUMIFS('caseload data'!S:S,'caseload data'!$A:$A,$B30,'caseload data'!$B:$B,"custody")</f>
        <v>0</v>
      </c>
      <c r="R30" s="84">
        <f>SUMIFS('caseload data'!T:T,'caseload data'!$A:$A,$B30,'caseload data'!$B:$B,"custody")</f>
        <v>0</v>
      </c>
      <c r="S30" s="84">
        <f>SUMIFS('caseload data'!V:V,'caseload data'!$A:$A,B30,'caseload data'!$B:$B,"custody")</f>
        <v>0</v>
      </c>
      <c r="T30" s="101"/>
      <c r="U30" s="155" t="s">
        <v>27</v>
      </c>
      <c r="V30" s="75" t="e">
        <f t="shared" ref="V30:AK30" si="147">C30/$S$30</f>
        <v>#DIV/0!</v>
      </c>
      <c r="W30" s="75" t="e">
        <f t="shared" si="147"/>
        <v>#DIV/0!</v>
      </c>
      <c r="X30" s="75" t="e">
        <f t="shared" si="147"/>
        <v>#DIV/0!</v>
      </c>
      <c r="Y30" s="75" t="e">
        <f t="shared" si="147"/>
        <v>#DIV/0!</v>
      </c>
      <c r="Z30" s="75" t="e">
        <f t="shared" si="147"/>
        <v>#DIV/0!</v>
      </c>
      <c r="AA30" s="75" t="e">
        <f t="shared" si="147"/>
        <v>#DIV/0!</v>
      </c>
      <c r="AB30" s="75" t="e">
        <f t="shared" si="147"/>
        <v>#DIV/0!</v>
      </c>
      <c r="AC30" s="75" t="e">
        <f t="shared" si="147"/>
        <v>#DIV/0!</v>
      </c>
      <c r="AD30" s="75" t="e">
        <f t="shared" si="147"/>
        <v>#DIV/0!</v>
      </c>
      <c r="AE30" s="75" t="e">
        <f t="shared" si="147"/>
        <v>#DIV/0!</v>
      </c>
      <c r="AF30" s="75" t="e">
        <f t="shared" si="147"/>
        <v>#DIV/0!</v>
      </c>
      <c r="AG30" s="75" t="e">
        <f t="shared" si="147"/>
        <v>#DIV/0!</v>
      </c>
      <c r="AH30" s="75" t="e">
        <f t="shared" si="147"/>
        <v>#DIV/0!</v>
      </c>
      <c r="AI30" s="75" t="e">
        <f t="shared" si="147"/>
        <v>#DIV/0!</v>
      </c>
      <c r="AJ30" s="75" t="e">
        <f t="shared" si="147"/>
        <v>#DIV/0!</v>
      </c>
      <c r="AK30" s="75" t="e">
        <f t="shared" si="147"/>
        <v>#DIV/0!</v>
      </c>
    </row>
    <row r="31" spans="2:37" x14ac:dyDescent="0.15">
      <c r="B31" s="155" t="s">
        <v>28</v>
      </c>
      <c r="C31" s="84">
        <f>SUMIFS('caseload data'!E:E,'caseload data'!$A:$A,$B31,'caseload data'!$B:$B,"custody")</f>
        <v>0</v>
      </c>
      <c r="D31" s="84">
        <f>SUMIFS('caseload data'!F:F,'caseload data'!$A:$A,$B31,'caseload data'!$B:$B,"custody")</f>
        <v>0</v>
      </c>
      <c r="E31" s="84">
        <f>SUMIFS('caseload data'!G:G,'caseload data'!$A:$A,$B31,'caseload data'!$B:$B,"custody")</f>
        <v>0</v>
      </c>
      <c r="F31" s="84">
        <f>SUMIFS('caseload data'!H:H,'caseload data'!$A:$A,$B31,'caseload data'!$B:$B,"custody")</f>
        <v>0</v>
      </c>
      <c r="G31" s="84">
        <f>SUMIFS('caseload data'!I:I,'caseload data'!$A:$A,$B31,'caseload data'!$B:$B,"custody")</f>
        <v>0</v>
      </c>
      <c r="H31" s="84">
        <f>SUMIFS('caseload data'!J:J,'caseload data'!$A:$A,$B31,'caseload data'!$B:$B,"custody")</f>
        <v>0</v>
      </c>
      <c r="I31" s="84">
        <f>SUMIFS('caseload data'!K:K,'caseload data'!$A:$A,$B31,'caseload data'!$B:$B,"custody")</f>
        <v>0</v>
      </c>
      <c r="J31" s="84">
        <f>SUMIFS('caseload data'!L:L,'caseload data'!$A:$A,$B31,'caseload data'!$B:$B,"custody")</f>
        <v>0</v>
      </c>
      <c r="K31" s="84">
        <f>SUMIFS('caseload data'!M:M,'caseload data'!$A:$A,$B31,'caseload data'!$B:$B,"custody")</f>
        <v>0</v>
      </c>
      <c r="L31" s="84">
        <f>SUMIFS('caseload data'!N:N,'caseload data'!$A:$A,$B31,'caseload data'!$B:$B,"custody")</f>
        <v>0</v>
      </c>
      <c r="M31" s="84">
        <f>SUMIFS('caseload data'!O:O,'caseload data'!$A:$A,$B31,'caseload data'!$B:$B,"custody")</f>
        <v>0</v>
      </c>
      <c r="N31" s="84">
        <f>SUMIFS('caseload data'!P:P,'caseload data'!$A:$A,$B31,'caseload data'!$B:$B,"custody")</f>
        <v>0</v>
      </c>
      <c r="O31" s="84">
        <f>SUMIFS('caseload data'!Q:Q,'caseload data'!$A:$A,$B31,'caseload data'!$B:$B,"custody")</f>
        <v>0</v>
      </c>
      <c r="P31" s="84">
        <f>SUMIFS('caseload data'!R:R,'caseload data'!$A:$A,$B31,'caseload data'!$B:$B,"custody")</f>
        <v>0</v>
      </c>
      <c r="Q31" s="84">
        <f>SUMIFS('caseload data'!S:S,'caseload data'!$A:$A,$B31,'caseload data'!$B:$B,"custody")</f>
        <v>0</v>
      </c>
      <c r="R31" s="84">
        <f>SUMIFS('caseload data'!T:T,'caseload data'!$A:$A,$B31,'caseload data'!$B:$B,"custody")</f>
        <v>0</v>
      </c>
      <c r="S31" s="84">
        <f>SUMIFS('caseload data'!V:V,'caseload data'!$A:$A,B31,'caseload data'!$B:$B,"custody")</f>
        <v>0</v>
      </c>
      <c r="T31" s="101"/>
      <c r="U31" s="155" t="s">
        <v>28</v>
      </c>
      <c r="V31" s="75" t="e">
        <f>C31/$S$31</f>
        <v>#DIV/0!</v>
      </c>
      <c r="W31" s="75" t="e">
        <f t="shared" ref="W31:AB31" si="148">D31/$S$31</f>
        <v>#DIV/0!</v>
      </c>
      <c r="X31" s="75" t="e">
        <f t="shared" si="148"/>
        <v>#DIV/0!</v>
      </c>
      <c r="Y31" s="75" t="e">
        <f t="shared" si="148"/>
        <v>#DIV/0!</v>
      </c>
      <c r="Z31" s="75" t="e">
        <f t="shared" si="148"/>
        <v>#DIV/0!</v>
      </c>
      <c r="AA31" s="75" t="e">
        <f t="shared" si="148"/>
        <v>#DIV/0!</v>
      </c>
      <c r="AB31" s="75" t="e">
        <f t="shared" si="148"/>
        <v>#DIV/0!</v>
      </c>
      <c r="AC31" s="75" t="e">
        <f t="shared" ref="AC31" si="149">J31/$S$31</f>
        <v>#DIV/0!</v>
      </c>
      <c r="AD31" s="75" t="e">
        <f t="shared" ref="AD31" si="150">K31/$S$31</f>
        <v>#DIV/0!</v>
      </c>
      <c r="AE31" s="75" t="e">
        <f t="shared" ref="AE31" si="151">L31/$S$31</f>
        <v>#DIV/0!</v>
      </c>
      <c r="AF31" s="75" t="e">
        <f t="shared" ref="AF31" si="152">M31/$S$31</f>
        <v>#DIV/0!</v>
      </c>
      <c r="AG31" s="75" t="e">
        <f t="shared" ref="AG31:AH31" si="153">N31/$S$31</f>
        <v>#DIV/0!</v>
      </c>
      <c r="AH31" s="75" t="e">
        <f t="shared" si="153"/>
        <v>#DIV/0!</v>
      </c>
      <c r="AI31" s="75" t="e">
        <f t="shared" ref="AI31" si="154">P31/$S$31</f>
        <v>#DIV/0!</v>
      </c>
      <c r="AJ31" s="75" t="e">
        <f t="shared" ref="AJ31" si="155">Q31/$S$31</f>
        <v>#DIV/0!</v>
      </c>
      <c r="AK31" s="75" t="e">
        <f t="shared" ref="AK31" si="156">R31/$S$31</f>
        <v>#DIV/0!</v>
      </c>
    </row>
    <row r="32" spans="2:37" x14ac:dyDescent="0.15">
      <c r="B32" s="155" t="s">
        <v>29</v>
      </c>
      <c r="C32" s="84">
        <f>SUMIFS('caseload data'!E:E,'caseload data'!$A:$A,$B32,'caseload data'!$B:$B,"custody")</f>
        <v>0</v>
      </c>
      <c r="D32" s="84">
        <f>SUMIFS('caseload data'!F:F,'caseload data'!$A:$A,$B32,'caseload data'!$B:$B,"custody")</f>
        <v>0</v>
      </c>
      <c r="E32" s="84">
        <f>SUMIFS('caseload data'!G:G,'caseload data'!$A:$A,$B32,'caseload data'!$B:$B,"custody")</f>
        <v>0</v>
      </c>
      <c r="F32" s="84">
        <f>SUMIFS('caseload data'!H:H,'caseload data'!$A:$A,$B32,'caseload data'!$B:$B,"custody")</f>
        <v>0</v>
      </c>
      <c r="G32" s="84">
        <f>SUMIFS('caseload data'!I:I,'caseload data'!$A:$A,$B32,'caseload data'!$B:$B,"custody")</f>
        <v>0</v>
      </c>
      <c r="H32" s="84">
        <f>SUMIFS('caseload data'!J:J,'caseload data'!$A:$A,$B32,'caseload data'!$B:$B,"custody")</f>
        <v>0</v>
      </c>
      <c r="I32" s="84">
        <f>SUMIFS('caseload data'!K:K,'caseload data'!$A:$A,$B32,'caseload data'!$B:$B,"custody")</f>
        <v>0</v>
      </c>
      <c r="J32" s="84">
        <f>SUMIFS('caseload data'!L:L,'caseload data'!$A:$A,$B32,'caseload data'!$B:$B,"custody")</f>
        <v>0</v>
      </c>
      <c r="K32" s="84">
        <f>SUMIFS('caseload data'!M:M,'caseload data'!$A:$A,$B32,'caseload data'!$B:$B,"custody")</f>
        <v>0</v>
      </c>
      <c r="L32" s="84">
        <f>SUMIFS('caseload data'!N:N,'caseload data'!$A:$A,$B32,'caseload data'!$B:$B,"custody")</f>
        <v>0</v>
      </c>
      <c r="M32" s="84">
        <f>SUMIFS('caseload data'!O:O,'caseload data'!$A:$A,$B32,'caseload data'!$B:$B,"custody")</f>
        <v>0</v>
      </c>
      <c r="N32" s="84">
        <f>SUMIFS('caseload data'!P:P,'caseload data'!$A:$A,$B32,'caseload data'!$B:$B,"custody")</f>
        <v>0</v>
      </c>
      <c r="O32" s="84">
        <f>SUMIFS('caseload data'!Q:Q,'caseload data'!$A:$A,$B32,'caseload data'!$B:$B,"custody")</f>
        <v>0</v>
      </c>
      <c r="P32" s="84">
        <f>SUMIFS('caseload data'!R:R,'caseload data'!$A:$A,$B32,'caseload data'!$B:$B,"custody")</f>
        <v>0</v>
      </c>
      <c r="Q32" s="84">
        <f>SUMIFS('caseload data'!S:S,'caseload data'!$A:$A,$B32,'caseload data'!$B:$B,"custody")</f>
        <v>0</v>
      </c>
      <c r="R32" s="84">
        <f>SUMIFS('caseload data'!T:T,'caseload data'!$A:$A,$B32,'caseload data'!$B:$B,"custody")</f>
        <v>0</v>
      </c>
      <c r="S32" s="84">
        <f>SUMIFS('caseload data'!V:V,'caseload data'!$A:$A,B32,'caseload data'!$B:$B,"custody")</f>
        <v>0</v>
      </c>
      <c r="T32" s="101"/>
      <c r="U32" s="155" t="s">
        <v>29</v>
      </c>
      <c r="V32" s="75" t="e">
        <f>C32/$S$32</f>
        <v>#DIV/0!</v>
      </c>
      <c r="W32" s="75" t="e">
        <f t="shared" ref="W32:AB32" si="157">D32/$S$32</f>
        <v>#DIV/0!</v>
      </c>
      <c r="X32" s="75" t="e">
        <f t="shared" si="157"/>
        <v>#DIV/0!</v>
      </c>
      <c r="Y32" s="75" t="e">
        <f t="shared" si="157"/>
        <v>#DIV/0!</v>
      </c>
      <c r="Z32" s="75" t="e">
        <f t="shared" si="157"/>
        <v>#DIV/0!</v>
      </c>
      <c r="AA32" s="75" t="e">
        <f t="shared" si="157"/>
        <v>#DIV/0!</v>
      </c>
      <c r="AB32" s="75" t="e">
        <f t="shared" si="157"/>
        <v>#DIV/0!</v>
      </c>
      <c r="AC32" s="75" t="e">
        <f t="shared" ref="AC32" si="158">J32/$S$32</f>
        <v>#DIV/0!</v>
      </c>
      <c r="AD32" s="75" t="e">
        <f t="shared" ref="AD32" si="159">K32/$S$32</f>
        <v>#DIV/0!</v>
      </c>
      <c r="AE32" s="75" t="e">
        <f t="shared" ref="AE32" si="160">L32/$S$32</f>
        <v>#DIV/0!</v>
      </c>
      <c r="AF32" s="75" t="e">
        <f t="shared" ref="AF32" si="161">M32/$S$32</f>
        <v>#DIV/0!</v>
      </c>
      <c r="AG32" s="75" t="e">
        <f t="shared" ref="AG32:AH32" si="162">N32/$S$32</f>
        <v>#DIV/0!</v>
      </c>
      <c r="AH32" s="75" t="e">
        <f t="shared" si="162"/>
        <v>#DIV/0!</v>
      </c>
      <c r="AI32" s="75" t="e">
        <f t="shared" ref="AI32" si="163">P32/$S$32</f>
        <v>#DIV/0!</v>
      </c>
      <c r="AJ32" s="75" t="e">
        <f t="shared" ref="AJ32" si="164">Q32/$S$32</f>
        <v>#DIV/0!</v>
      </c>
      <c r="AK32" s="75" t="e">
        <f t="shared" ref="AK32" si="165">R32/$S$32</f>
        <v>#DIV/0!</v>
      </c>
    </row>
    <row r="33" spans="2:37" x14ac:dyDescent="0.15">
      <c r="B33" s="155" t="s">
        <v>30</v>
      </c>
      <c r="C33" s="84">
        <f>SUMIFS('caseload data'!E:E,'caseload data'!$A:$A,$B33,'caseload data'!$B:$B,"custody")</f>
        <v>0</v>
      </c>
      <c r="D33" s="84">
        <f>SUMIFS('caseload data'!F:F,'caseload data'!$A:$A,$B33,'caseload data'!$B:$B,"custody")</f>
        <v>0</v>
      </c>
      <c r="E33" s="84">
        <f>SUMIFS('caseload data'!G:G,'caseload data'!$A:$A,$B33,'caseload data'!$B:$B,"custody")</f>
        <v>0</v>
      </c>
      <c r="F33" s="84">
        <f>SUMIFS('caseload data'!H:H,'caseload data'!$A:$A,$B33,'caseload data'!$B:$B,"custody")</f>
        <v>0</v>
      </c>
      <c r="G33" s="84">
        <f>SUMIFS('caseload data'!I:I,'caseload data'!$A:$A,$B33,'caseload data'!$B:$B,"custody")</f>
        <v>0</v>
      </c>
      <c r="H33" s="84">
        <f>SUMIFS('caseload data'!J:J,'caseload data'!$A:$A,$B33,'caseload data'!$B:$B,"custody")</f>
        <v>0</v>
      </c>
      <c r="I33" s="84">
        <f>SUMIFS('caseload data'!K:K,'caseload data'!$A:$A,$B33,'caseload data'!$B:$B,"custody")</f>
        <v>0</v>
      </c>
      <c r="J33" s="84">
        <f>SUMIFS('caseload data'!L:L,'caseload data'!$A:$A,$B33,'caseload data'!$B:$B,"custody")</f>
        <v>0</v>
      </c>
      <c r="K33" s="84">
        <f>SUMIFS('caseload data'!M:M,'caseload data'!$A:$A,$B33,'caseload data'!$B:$B,"custody")</f>
        <v>0</v>
      </c>
      <c r="L33" s="84">
        <f>SUMIFS('caseload data'!N:N,'caseload data'!$A:$A,$B33,'caseload data'!$B:$B,"custody")</f>
        <v>0</v>
      </c>
      <c r="M33" s="84">
        <f>SUMIFS('caseload data'!O:O,'caseload data'!$A:$A,$B33,'caseload data'!$B:$B,"custody")</f>
        <v>0</v>
      </c>
      <c r="N33" s="84">
        <f>SUMIFS('caseload data'!P:P,'caseload data'!$A:$A,$B33,'caseload data'!$B:$B,"custody")</f>
        <v>0</v>
      </c>
      <c r="O33" s="84">
        <f>SUMIFS('caseload data'!Q:Q,'caseload data'!$A:$A,$B33,'caseload data'!$B:$B,"custody")</f>
        <v>0</v>
      </c>
      <c r="P33" s="84">
        <f>SUMIFS('caseload data'!R:R,'caseload data'!$A:$A,$B33,'caseload data'!$B:$B,"custody")</f>
        <v>0</v>
      </c>
      <c r="Q33" s="84">
        <f>SUMIFS('caseload data'!S:S,'caseload data'!$A:$A,$B33,'caseload data'!$B:$B,"custody")</f>
        <v>0</v>
      </c>
      <c r="R33" s="84">
        <f>SUMIFS('caseload data'!T:T,'caseload data'!$A:$A,$B33,'caseload data'!$B:$B,"custody")</f>
        <v>0</v>
      </c>
      <c r="S33" s="84">
        <f>SUMIFS('caseload data'!V:V,'caseload data'!$A:$A,B33,'caseload data'!$B:$B,"custody")</f>
        <v>0</v>
      </c>
      <c r="T33" s="101"/>
      <c r="U33" s="155" t="s">
        <v>30</v>
      </c>
      <c r="V33" s="75" t="e">
        <f>C33/$S$33</f>
        <v>#DIV/0!</v>
      </c>
      <c r="W33" s="75" t="e">
        <f t="shared" ref="W33:AB33" si="166">D33/$S$33</f>
        <v>#DIV/0!</v>
      </c>
      <c r="X33" s="75" t="e">
        <f t="shared" si="166"/>
        <v>#DIV/0!</v>
      </c>
      <c r="Y33" s="75" t="e">
        <f t="shared" si="166"/>
        <v>#DIV/0!</v>
      </c>
      <c r="Z33" s="75" t="e">
        <f t="shared" si="166"/>
        <v>#DIV/0!</v>
      </c>
      <c r="AA33" s="75" t="e">
        <f t="shared" si="166"/>
        <v>#DIV/0!</v>
      </c>
      <c r="AB33" s="75" t="e">
        <f t="shared" si="166"/>
        <v>#DIV/0!</v>
      </c>
      <c r="AC33" s="75" t="e">
        <f t="shared" ref="AC33" si="167">J33/$S$33</f>
        <v>#DIV/0!</v>
      </c>
      <c r="AD33" s="75" t="e">
        <f t="shared" ref="AD33" si="168">K33/$S$33</f>
        <v>#DIV/0!</v>
      </c>
      <c r="AE33" s="75" t="e">
        <f t="shared" ref="AE33" si="169">L33/$S$33</f>
        <v>#DIV/0!</v>
      </c>
      <c r="AF33" s="75" t="e">
        <f t="shared" ref="AF33" si="170">M33/$S$33</f>
        <v>#DIV/0!</v>
      </c>
      <c r="AG33" s="75" t="e">
        <f t="shared" ref="AG33:AH33" si="171">N33/$S$33</f>
        <v>#DIV/0!</v>
      </c>
      <c r="AH33" s="75" t="e">
        <f t="shared" si="171"/>
        <v>#DIV/0!</v>
      </c>
      <c r="AI33" s="75" t="e">
        <f t="shared" ref="AI33" si="172">P33/$S$33</f>
        <v>#DIV/0!</v>
      </c>
      <c r="AJ33" s="75" t="e">
        <f t="shared" ref="AJ33" si="173">Q33/$S$33</f>
        <v>#DIV/0!</v>
      </c>
      <c r="AK33" s="75" t="e">
        <f t="shared" ref="AK33" si="174">R33/$S$33</f>
        <v>#DIV/0!</v>
      </c>
    </row>
    <row r="34" spans="2:37" x14ac:dyDescent="0.15">
      <c r="B34" s="155" t="s">
        <v>31</v>
      </c>
      <c r="C34" s="84">
        <f>SUMIFS('caseload data'!E:E,'caseload data'!$A:$A,$B34,'caseload data'!$B:$B,"custody")</f>
        <v>0</v>
      </c>
      <c r="D34" s="84">
        <f>SUMIFS('caseload data'!F:F,'caseload data'!$A:$A,$B34,'caseload data'!$B:$B,"custody")</f>
        <v>0</v>
      </c>
      <c r="E34" s="84">
        <f>SUMIFS('caseload data'!G:G,'caseload data'!$A:$A,$B34,'caseload data'!$B:$B,"custody")</f>
        <v>0</v>
      </c>
      <c r="F34" s="84">
        <f>SUMIFS('caseload data'!H:H,'caseload data'!$A:$A,$B34,'caseload data'!$B:$B,"custody")</f>
        <v>0</v>
      </c>
      <c r="G34" s="84">
        <f>SUMIFS('caseload data'!I:I,'caseload data'!$A:$A,$B34,'caseload data'!$B:$B,"custody")</f>
        <v>0</v>
      </c>
      <c r="H34" s="84">
        <f>SUMIFS('caseload data'!J:J,'caseload data'!$A:$A,$B34,'caseload data'!$B:$B,"custody")</f>
        <v>0</v>
      </c>
      <c r="I34" s="84">
        <f>SUMIFS('caseload data'!K:K,'caseload data'!$A:$A,$B34,'caseload data'!$B:$B,"custody")</f>
        <v>0</v>
      </c>
      <c r="J34" s="84">
        <f>SUMIFS('caseload data'!L:L,'caseload data'!$A:$A,$B34,'caseload data'!$B:$B,"custody")</f>
        <v>0</v>
      </c>
      <c r="K34" s="84">
        <f>SUMIFS('caseload data'!M:M,'caseload data'!$A:$A,$B34,'caseload data'!$B:$B,"custody")</f>
        <v>0</v>
      </c>
      <c r="L34" s="84">
        <f>SUMIFS('caseload data'!N:N,'caseload data'!$A:$A,$B34,'caseload data'!$B:$B,"custody")</f>
        <v>0</v>
      </c>
      <c r="M34" s="84">
        <f>SUMIFS('caseload data'!O:O,'caseload data'!$A:$A,$B34,'caseload data'!$B:$B,"custody")</f>
        <v>0</v>
      </c>
      <c r="N34" s="84">
        <f>SUMIFS('caseload data'!P:P,'caseload data'!$A:$A,$B34,'caseload data'!$B:$B,"custody")</f>
        <v>0</v>
      </c>
      <c r="O34" s="84">
        <f>SUMIFS('caseload data'!Q:Q,'caseload data'!$A:$A,$B34,'caseload data'!$B:$B,"custody")</f>
        <v>0</v>
      </c>
      <c r="P34" s="84">
        <f>SUMIFS('caseload data'!R:R,'caseload data'!$A:$A,$B34,'caseload data'!$B:$B,"custody")</f>
        <v>0</v>
      </c>
      <c r="Q34" s="84">
        <f>SUMIFS('caseload data'!S:S,'caseload data'!$A:$A,$B34,'caseload data'!$B:$B,"custody")</f>
        <v>0</v>
      </c>
      <c r="R34" s="84">
        <f>SUMIFS('caseload data'!T:T,'caseload data'!$A:$A,$B34,'caseload data'!$B:$B,"custody")</f>
        <v>0</v>
      </c>
      <c r="S34" s="84">
        <f>SUMIFS('caseload data'!V:V,'caseload data'!$A:$A,B34,'caseload data'!$B:$B,"custody")</f>
        <v>0</v>
      </c>
      <c r="T34" s="101"/>
      <c r="U34" s="155" t="s">
        <v>31</v>
      </c>
      <c r="V34" s="75" t="e">
        <f>C34/$S$34</f>
        <v>#DIV/0!</v>
      </c>
      <c r="W34" s="75" t="e">
        <f t="shared" ref="W34:AB34" si="175">D34/$S$34</f>
        <v>#DIV/0!</v>
      </c>
      <c r="X34" s="75" t="e">
        <f t="shared" si="175"/>
        <v>#DIV/0!</v>
      </c>
      <c r="Y34" s="75" t="e">
        <f t="shared" si="175"/>
        <v>#DIV/0!</v>
      </c>
      <c r="Z34" s="75" t="e">
        <f t="shared" si="175"/>
        <v>#DIV/0!</v>
      </c>
      <c r="AA34" s="75" t="e">
        <f t="shared" si="175"/>
        <v>#DIV/0!</v>
      </c>
      <c r="AB34" s="75" t="e">
        <f t="shared" si="175"/>
        <v>#DIV/0!</v>
      </c>
      <c r="AC34" s="75" t="e">
        <f t="shared" ref="AC34" si="176">J34/$S$34</f>
        <v>#DIV/0!</v>
      </c>
      <c r="AD34" s="75" t="e">
        <f t="shared" ref="AD34" si="177">K34/$S$34</f>
        <v>#DIV/0!</v>
      </c>
      <c r="AE34" s="75" t="e">
        <f t="shared" ref="AE34" si="178">L34/$S$34</f>
        <v>#DIV/0!</v>
      </c>
      <c r="AF34" s="75" t="e">
        <f t="shared" ref="AF34" si="179">M34/$S$34</f>
        <v>#DIV/0!</v>
      </c>
      <c r="AG34" s="75" t="e">
        <f t="shared" ref="AG34:AH34" si="180">N34/$S$34</f>
        <v>#DIV/0!</v>
      </c>
      <c r="AH34" s="75" t="e">
        <f t="shared" si="180"/>
        <v>#DIV/0!</v>
      </c>
      <c r="AI34" s="75" t="e">
        <f t="shared" ref="AI34" si="181">P34/$S$34</f>
        <v>#DIV/0!</v>
      </c>
      <c r="AJ34" s="75" t="e">
        <f t="shared" ref="AJ34" si="182">Q34/$S$34</f>
        <v>#DIV/0!</v>
      </c>
      <c r="AK34" s="75" t="e">
        <f t="shared" ref="AK34" si="183">R34/$S$34</f>
        <v>#DIV/0!</v>
      </c>
    </row>
    <row r="35" spans="2:37" x14ac:dyDescent="0.15">
      <c r="B35" s="120" t="s">
        <v>939</v>
      </c>
      <c r="C35" s="120">
        <f>SUMIF('caseload data'!$B:$B,"custody",'caseload data'!E:E)</f>
        <v>0</v>
      </c>
      <c r="D35" s="120">
        <f>SUMIF('caseload data'!$B:$B,"custody",'caseload data'!F:F)</f>
        <v>0</v>
      </c>
      <c r="E35" s="120">
        <f>SUMIF('caseload data'!$B:$B,"custody",'caseload data'!G:G)</f>
        <v>0</v>
      </c>
      <c r="F35" s="120">
        <f>SUMIF('caseload data'!$B:$B,"custody",'caseload data'!H:H)</f>
        <v>0</v>
      </c>
      <c r="G35" s="120">
        <f>SUMIF('caseload data'!$B:$B,"custody",'caseload data'!I:I)</f>
        <v>0</v>
      </c>
      <c r="H35" s="120">
        <f>SUMIF('caseload data'!$B:$B,"custody",'caseload data'!J:J)</f>
        <v>0</v>
      </c>
      <c r="I35" s="120">
        <f>SUMIF('caseload data'!$B:$B,"custody",'caseload data'!K:K)</f>
        <v>0</v>
      </c>
      <c r="J35" s="120">
        <f>SUMIF('caseload data'!$B:$B,"custody",'caseload data'!L:L)</f>
        <v>0</v>
      </c>
      <c r="K35" s="120">
        <f>SUMIF('caseload data'!$B:$B,"custody",'caseload data'!M:M)</f>
        <v>0</v>
      </c>
      <c r="L35" s="120">
        <f>SUMIF('caseload data'!$B:$B,"custody",'caseload data'!N:N)</f>
        <v>0</v>
      </c>
      <c r="M35" s="120">
        <f>SUMIF('caseload data'!$B:$B,"custody",'caseload data'!O:O)</f>
        <v>0</v>
      </c>
      <c r="N35" s="120">
        <f>SUMIF('caseload data'!$B:$B,"custody",'caseload data'!P:P)</f>
        <v>0</v>
      </c>
      <c r="O35" s="120">
        <f>SUMIF('caseload data'!$B:$B,"custody",'caseload data'!Q:Q)</f>
        <v>0</v>
      </c>
      <c r="P35" s="120">
        <f>SUMIF('caseload data'!$B:$B,"custody",'caseload data'!R:R)</f>
        <v>0</v>
      </c>
      <c r="Q35" s="120">
        <f>SUMIF('caseload data'!$B:$B,"custody",'caseload data'!S:S)</f>
        <v>0</v>
      </c>
      <c r="R35" s="120">
        <f>SUMIF('caseload data'!$B:$B,"custody",'caseload data'!T:T)</f>
        <v>0</v>
      </c>
      <c r="S35" s="120">
        <f>SUMIF('caseload data'!$B:$B,"custody",'caseload data'!V:V)</f>
        <v>0</v>
      </c>
      <c r="T35" s="101"/>
      <c r="U35" s="120" t="s">
        <v>939</v>
      </c>
      <c r="V35" s="125" t="e">
        <f>C35/$S$35</f>
        <v>#DIV/0!</v>
      </c>
      <c r="W35" s="125" t="e">
        <f t="shared" ref="W35:AB35" si="184">D35/$S$35</f>
        <v>#DIV/0!</v>
      </c>
      <c r="X35" s="125" t="e">
        <f t="shared" si="184"/>
        <v>#DIV/0!</v>
      </c>
      <c r="Y35" s="125" t="e">
        <f t="shared" si="184"/>
        <v>#DIV/0!</v>
      </c>
      <c r="Z35" s="125" t="e">
        <f t="shared" si="184"/>
        <v>#DIV/0!</v>
      </c>
      <c r="AA35" s="125" t="e">
        <f t="shared" si="184"/>
        <v>#DIV/0!</v>
      </c>
      <c r="AB35" s="125" t="e">
        <f t="shared" si="184"/>
        <v>#DIV/0!</v>
      </c>
      <c r="AC35" s="125" t="e">
        <f t="shared" ref="AC35" si="185">J35/$S$35</f>
        <v>#DIV/0!</v>
      </c>
      <c r="AD35" s="125" t="e">
        <f t="shared" ref="AD35" si="186">K35/$S$35</f>
        <v>#DIV/0!</v>
      </c>
      <c r="AE35" s="125" t="e">
        <f t="shared" ref="AE35" si="187">L35/$S$35</f>
        <v>#DIV/0!</v>
      </c>
      <c r="AF35" s="125" t="e">
        <f t="shared" ref="AF35" si="188">M35/$S$35</f>
        <v>#DIV/0!</v>
      </c>
      <c r="AG35" s="125" t="e">
        <f t="shared" ref="AG35:AH35" si="189">N35/$S$35</f>
        <v>#DIV/0!</v>
      </c>
      <c r="AH35" s="125" t="e">
        <f t="shared" si="189"/>
        <v>#DIV/0!</v>
      </c>
      <c r="AI35" s="125" t="e">
        <f t="shared" ref="AI35" si="190">P35/$S$35</f>
        <v>#DIV/0!</v>
      </c>
      <c r="AJ35" s="125" t="e">
        <f t="shared" ref="AJ35" si="191">Q35/$S$35</f>
        <v>#DIV/0!</v>
      </c>
      <c r="AK35" s="125" t="e">
        <f t="shared" ref="AK35" si="192">R35/$S$35</f>
        <v>#DIV/0!</v>
      </c>
    </row>
    <row r="38" spans="2:37" ht="16" x14ac:dyDescent="0.2">
      <c r="C38" s="319" t="s">
        <v>1124</v>
      </c>
      <c r="D38" s="323"/>
      <c r="E38" s="323"/>
      <c r="F38" s="323"/>
      <c r="G38" s="323"/>
      <c r="H38" s="323"/>
      <c r="I38" s="323"/>
      <c r="J38" s="323"/>
      <c r="K38" s="323"/>
      <c r="L38" s="323"/>
      <c r="M38" s="323"/>
      <c r="N38" s="323"/>
      <c r="O38" s="323"/>
      <c r="P38" s="323"/>
      <c r="Q38" s="323"/>
      <c r="R38" s="323"/>
      <c r="S38" s="365"/>
      <c r="T38" s="1"/>
      <c r="U38" s="1"/>
      <c r="V38" s="366" t="s">
        <v>1125</v>
      </c>
      <c r="W38" s="366"/>
      <c r="X38" s="366"/>
      <c r="Y38" s="366"/>
      <c r="Z38" s="366"/>
      <c r="AA38" s="366"/>
      <c r="AB38" s="366"/>
    </row>
    <row r="39" spans="2:37" x14ac:dyDescent="0.15">
      <c r="B39" s="153"/>
      <c r="C39" s="41" t="s">
        <v>922</v>
      </c>
      <c r="D39" s="41" t="s">
        <v>923</v>
      </c>
      <c r="E39" s="41" t="s">
        <v>924</v>
      </c>
      <c r="F39" s="41" t="s">
        <v>925</v>
      </c>
      <c r="G39" s="41" t="s">
        <v>926</v>
      </c>
      <c r="H39" s="41" t="s">
        <v>927</v>
      </c>
      <c r="I39" s="41" t="s">
        <v>928</v>
      </c>
      <c r="J39" s="41" t="s">
        <v>929</v>
      </c>
      <c r="K39" s="41" t="s">
        <v>930</v>
      </c>
      <c r="L39" s="41" t="s">
        <v>931</v>
      </c>
      <c r="M39" s="41" t="s">
        <v>932</v>
      </c>
      <c r="N39" s="41" t="s">
        <v>933</v>
      </c>
      <c r="O39" s="41" t="s">
        <v>934</v>
      </c>
      <c r="P39" s="41" t="s">
        <v>935</v>
      </c>
      <c r="Q39" s="41" t="s">
        <v>936</v>
      </c>
      <c r="R39" s="41" t="s">
        <v>937</v>
      </c>
      <c r="S39" s="42" t="s">
        <v>939</v>
      </c>
      <c r="T39" s="101"/>
      <c r="U39" s="256"/>
      <c r="V39" s="41" t="s">
        <v>922</v>
      </c>
      <c r="W39" s="41" t="s">
        <v>923</v>
      </c>
      <c r="X39" s="41" t="s">
        <v>924</v>
      </c>
      <c r="Y39" s="41" t="s">
        <v>925</v>
      </c>
      <c r="Z39" s="41" t="s">
        <v>926</v>
      </c>
      <c r="AA39" s="41" t="s">
        <v>927</v>
      </c>
      <c r="AB39" s="41" t="s">
        <v>928</v>
      </c>
      <c r="AC39" s="41" t="s">
        <v>929</v>
      </c>
      <c r="AD39" s="41" t="s">
        <v>930</v>
      </c>
      <c r="AE39" s="41" t="s">
        <v>931</v>
      </c>
      <c r="AF39" s="41" t="s">
        <v>932</v>
      </c>
      <c r="AG39" s="41" t="s">
        <v>933</v>
      </c>
      <c r="AH39" s="41" t="s">
        <v>934</v>
      </c>
      <c r="AI39" s="41" t="s">
        <v>935</v>
      </c>
      <c r="AJ39" s="41" t="s">
        <v>936</v>
      </c>
      <c r="AK39" s="41" t="s">
        <v>937</v>
      </c>
    </row>
    <row r="40" spans="2:37" x14ac:dyDescent="0.15">
      <c r="B40" s="155" t="s">
        <v>20</v>
      </c>
      <c r="C40" s="84">
        <f>SUMIFS('caseload data'!E:E,'caseload data'!$A:$A,$B40,'caseload data'!$B:$B,"licence")</f>
        <v>0</v>
      </c>
      <c r="D40" s="84">
        <f>SUMIFS('caseload data'!F:F,'caseload data'!$A:$A,$B40,'caseload data'!$B:$B,"licence")</f>
        <v>0</v>
      </c>
      <c r="E40" s="84">
        <f>SUMIFS('caseload data'!G:G,'caseload data'!$A:$A,$B40,'caseload data'!$B:$B,"licence")</f>
        <v>0</v>
      </c>
      <c r="F40" s="84">
        <f>SUMIFS('caseload data'!H:H,'caseload data'!$A:$A,$B40,'caseload data'!$B:$B,"licence")</f>
        <v>0</v>
      </c>
      <c r="G40" s="84">
        <f>SUMIFS('caseload data'!I:I,'caseload data'!$A:$A,$B40,'caseload data'!$B:$B,"licence")</f>
        <v>0</v>
      </c>
      <c r="H40" s="84">
        <f>SUMIFS('caseload data'!J:J,'caseload data'!$A:$A,$B40,'caseload data'!$B:$B,"licence")</f>
        <v>0</v>
      </c>
      <c r="I40" s="84">
        <f>SUMIFS('caseload data'!K:K,'caseload data'!$A:$A,$B40,'caseload data'!$B:$B,"licence")</f>
        <v>0</v>
      </c>
      <c r="J40" s="84">
        <f>SUMIFS('caseload data'!L:L,'caseload data'!$A:$A,$B40,'caseload data'!$B:$B,"licence")</f>
        <v>0</v>
      </c>
      <c r="K40" s="84">
        <f>SUMIFS('caseload data'!M:M,'caseload data'!$A:$A,$B40,'caseload data'!$B:$B,"licence")</f>
        <v>0</v>
      </c>
      <c r="L40" s="84">
        <f>SUMIFS('caseload data'!N:N,'caseload data'!$A:$A,$B40,'caseload data'!$B:$B,"licence")</f>
        <v>0</v>
      </c>
      <c r="M40" s="84">
        <f>SUMIFS('caseload data'!O:O,'caseload data'!$A:$A,$B40,'caseload data'!$B:$B,"licence")</f>
        <v>0</v>
      </c>
      <c r="N40" s="84">
        <f>SUMIFS('caseload data'!P:P,'caseload data'!$A:$A,$B40,'caseload data'!$B:$B,"licence")</f>
        <v>0</v>
      </c>
      <c r="O40" s="84">
        <f>SUMIFS('caseload data'!Q:Q,'caseload data'!$A:$A,$B40,'caseload data'!$B:$B,"licence")</f>
        <v>0</v>
      </c>
      <c r="P40" s="84">
        <f>SUMIFS('caseload data'!R:R,'caseload data'!$A:$A,$B40,'caseload data'!$B:$B,"licence")</f>
        <v>0</v>
      </c>
      <c r="Q40" s="84">
        <f>SUMIFS('caseload data'!S:S,'caseload data'!$A:$A,$B40,'caseload data'!$B:$B,"licence")</f>
        <v>0</v>
      </c>
      <c r="R40" s="84">
        <f>SUMIFS('caseload data'!T:T,'caseload data'!$A:$A,$B40,'caseload data'!$B:$B,"licence")</f>
        <v>0</v>
      </c>
      <c r="S40" s="84">
        <f>SUMIFS('caseload data'!V:V,'caseload data'!$A:$A,B40,'caseload data'!$B:$B,"licence")</f>
        <v>0</v>
      </c>
      <c r="T40" s="101"/>
      <c r="U40" s="155" t="s">
        <v>20</v>
      </c>
      <c r="V40" s="75" t="e">
        <f>C40/$S$40</f>
        <v>#DIV/0!</v>
      </c>
      <c r="W40" s="75" t="e">
        <f t="shared" ref="W40:AK40" si="193">D40/$S$40</f>
        <v>#DIV/0!</v>
      </c>
      <c r="X40" s="75" t="e">
        <f t="shared" si="193"/>
        <v>#DIV/0!</v>
      </c>
      <c r="Y40" s="75" t="e">
        <f t="shared" si="193"/>
        <v>#DIV/0!</v>
      </c>
      <c r="Z40" s="75" t="e">
        <f t="shared" si="193"/>
        <v>#DIV/0!</v>
      </c>
      <c r="AA40" s="75" t="e">
        <f t="shared" si="193"/>
        <v>#DIV/0!</v>
      </c>
      <c r="AB40" s="75" t="e">
        <f t="shared" si="193"/>
        <v>#DIV/0!</v>
      </c>
      <c r="AC40" s="75" t="e">
        <f t="shared" si="193"/>
        <v>#DIV/0!</v>
      </c>
      <c r="AD40" s="75" t="e">
        <f t="shared" si="193"/>
        <v>#DIV/0!</v>
      </c>
      <c r="AE40" s="75" t="e">
        <f t="shared" si="193"/>
        <v>#DIV/0!</v>
      </c>
      <c r="AF40" s="75" t="e">
        <f t="shared" si="193"/>
        <v>#DIV/0!</v>
      </c>
      <c r="AG40" s="75" t="e">
        <f t="shared" si="193"/>
        <v>#DIV/0!</v>
      </c>
      <c r="AH40" s="75" t="e">
        <f t="shared" si="193"/>
        <v>#DIV/0!</v>
      </c>
      <c r="AI40" s="75" t="e">
        <f t="shared" si="193"/>
        <v>#DIV/0!</v>
      </c>
      <c r="AJ40" s="75" t="e">
        <f t="shared" si="193"/>
        <v>#DIV/0!</v>
      </c>
      <c r="AK40" s="75" t="e">
        <f t="shared" si="193"/>
        <v>#DIV/0!</v>
      </c>
    </row>
    <row r="41" spans="2:37" x14ac:dyDescent="0.15">
      <c r="B41" s="155" t="s">
        <v>21</v>
      </c>
      <c r="C41" s="84">
        <f>SUMIFS('caseload data'!E:E,'caseload data'!$A:$A,$B41,'caseload data'!$B:$B,"licence")</f>
        <v>0</v>
      </c>
      <c r="D41" s="84">
        <f>SUMIFS('caseload data'!F:F,'caseload data'!$A:$A,$B41,'caseload data'!$B:$B,"licence")</f>
        <v>0</v>
      </c>
      <c r="E41" s="84">
        <f>SUMIFS('caseload data'!G:G,'caseload data'!$A:$A,$B41,'caseload data'!$B:$B,"licence")</f>
        <v>0</v>
      </c>
      <c r="F41" s="84">
        <f>SUMIFS('caseload data'!H:H,'caseload data'!$A:$A,$B41,'caseload data'!$B:$B,"licence")</f>
        <v>0</v>
      </c>
      <c r="G41" s="84">
        <f>SUMIFS('caseload data'!I:I,'caseload data'!$A:$A,$B41,'caseload data'!$B:$B,"licence")</f>
        <v>0</v>
      </c>
      <c r="H41" s="84">
        <f>SUMIFS('caseload data'!J:J,'caseload data'!$A:$A,$B41,'caseload data'!$B:$B,"licence")</f>
        <v>0</v>
      </c>
      <c r="I41" s="84">
        <f>SUMIFS('caseload data'!K:K,'caseload data'!$A:$A,$B41,'caseload data'!$B:$B,"licence")</f>
        <v>0</v>
      </c>
      <c r="J41" s="84">
        <f>SUMIFS('caseload data'!L:L,'caseload data'!$A:$A,$B41,'caseload data'!$B:$B,"licence")</f>
        <v>0</v>
      </c>
      <c r="K41" s="84">
        <f>SUMIFS('caseload data'!M:M,'caseload data'!$A:$A,$B41,'caseload data'!$B:$B,"licence")</f>
        <v>0</v>
      </c>
      <c r="L41" s="84">
        <f>SUMIFS('caseload data'!N:N,'caseload data'!$A:$A,$B41,'caseload data'!$B:$B,"licence")</f>
        <v>0</v>
      </c>
      <c r="M41" s="84">
        <f>SUMIFS('caseload data'!O:O,'caseload data'!$A:$A,$B41,'caseload data'!$B:$B,"licence")</f>
        <v>0</v>
      </c>
      <c r="N41" s="84">
        <f>SUMIFS('caseload data'!P:P,'caseload data'!$A:$A,$B41,'caseload data'!$B:$B,"licence")</f>
        <v>0</v>
      </c>
      <c r="O41" s="84">
        <f>SUMIFS('caseload data'!Q:Q,'caseload data'!$A:$A,$B41,'caseload data'!$B:$B,"licence")</f>
        <v>0</v>
      </c>
      <c r="P41" s="84">
        <f>SUMIFS('caseload data'!R:R,'caseload data'!$A:$A,$B41,'caseload data'!$B:$B,"licence")</f>
        <v>0</v>
      </c>
      <c r="Q41" s="84">
        <f>SUMIFS('caseload data'!S:S,'caseload data'!$A:$A,$B41,'caseload data'!$B:$B,"licence")</f>
        <v>0</v>
      </c>
      <c r="R41" s="84">
        <f>SUMIFS('caseload data'!T:T,'caseload data'!$A:$A,$B41,'caseload data'!$B:$B,"licence")</f>
        <v>0</v>
      </c>
      <c r="S41" s="84">
        <f>SUMIFS('caseload data'!V:V,'caseload data'!$A:$A,B41,'caseload data'!$B:$B,"licence")</f>
        <v>0</v>
      </c>
      <c r="T41" s="101"/>
      <c r="U41" s="155" t="s">
        <v>21</v>
      </c>
      <c r="V41" s="75" t="e">
        <f>C41/$S$41</f>
        <v>#DIV/0!</v>
      </c>
      <c r="W41" s="75" t="e">
        <f t="shared" ref="W41:AK41" si="194">D41/$S$41</f>
        <v>#DIV/0!</v>
      </c>
      <c r="X41" s="75" t="e">
        <f t="shared" si="194"/>
        <v>#DIV/0!</v>
      </c>
      <c r="Y41" s="75" t="e">
        <f t="shared" si="194"/>
        <v>#DIV/0!</v>
      </c>
      <c r="Z41" s="75" t="e">
        <f t="shared" si="194"/>
        <v>#DIV/0!</v>
      </c>
      <c r="AA41" s="75" t="e">
        <f t="shared" si="194"/>
        <v>#DIV/0!</v>
      </c>
      <c r="AB41" s="75" t="e">
        <f t="shared" si="194"/>
        <v>#DIV/0!</v>
      </c>
      <c r="AC41" s="75" t="e">
        <f t="shared" si="194"/>
        <v>#DIV/0!</v>
      </c>
      <c r="AD41" s="75" t="e">
        <f t="shared" si="194"/>
        <v>#DIV/0!</v>
      </c>
      <c r="AE41" s="75" t="e">
        <f t="shared" si="194"/>
        <v>#DIV/0!</v>
      </c>
      <c r="AF41" s="75" t="e">
        <f t="shared" si="194"/>
        <v>#DIV/0!</v>
      </c>
      <c r="AG41" s="75" t="e">
        <f t="shared" si="194"/>
        <v>#DIV/0!</v>
      </c>
      <c r="AH41" s="75" t="e">
        <f t="shared" si="194"/>
        <v>#DIV/0!</v>
      </c>
      <c r="AI41" s="75" t="e">
        <f t="shared" si="194"/>
        <v>#DIV/0!</v>
      </c>
      <c r="AJ41" s="75" t="e">
        <f t="shared" si="194"/>
        <v>#DIV/0!</v>
      </c>
      <c r="AK41" s="75" t="e">
        <f t="shared" si="194"/>
        <v>#DIV/0!</v>
      </c>
    </row>
    <row r="42" spans="2:37" x14ac:dyDescent="0.15">
      <c r="B42" s="155" t="s">
        <v>22</v>
      </c>
      <c r="C42" s="84">
        <f>SUMIFS('caseload data'!E:E,'caseload data'!$A:$A,$B42,'caseload data'!$B:$B,"licence")</f>
        <v>0</v>
      </c>
      <c r="D42" s="84">
        <f>SUMIFS('caseload data'!F:F,'caseload data'!$A:$A,$B42,'caseload data'!$B:$B,"licence")</f>
        <v>0</v>
      </c>
      <c r="E42" s="84">
        <f>SUMIFS('caseload data'!G:G,'caseload data'!$A:$A,$B42,'caseload data'!$B:$B,"licence")</f>
        <v>0</v>
      </c>
      <c r="F42" s="84">
        <f>SUMIFS('caseload data'!H:H,'caseload data'!$A:$A,$B42,'caseload data'!$B:$B,"licence")</f>
        <v>0</v>
      </c>
      <c r="G42" s="84">
        <f>SUMIFS('caseload data'!I:I,'caseload data'!$A:$A,$B42,'caseload data'!$B:$B,"licence")</f>
        <v>0</v>
      </c>
      <c r="H42" s="84">
        <f>SUMIFS('caseload data'!J:J,'caseload data'!$A:$A,$B42,'caseload data'!$B:$B,"licence")</f>
        <v>0</v>
      </c>
      <c r="I42" s="84">
        <f>SUMIFS('caseload data'!K:K,'caseload data'!$A:$A,$B42,'caseload data'!$B:$B,"licence")</f>
        <v>0</v>
      </c>
      <c r="J42" s="84">
        <f>SUMIFS('caseload data'!L:L,'caseload data'!$A:$A,$B42,'caseload data'!$B:$B,"licence")</f>
        <v>0</v>
      </c>
      <c r="K42" s="84">
        <f>SUMIFS('caseload data'!M:M,'caseload data'!$A:$A,$B42,'caseload data'!$B:$B,"licence")</f>
        <v>0</v>
      </c>
      <c r="L42" s="84">
        <f>SUMIFS('caseload data'!N:N,'caseload data'!$A:$A,$B42,'caseload data'!$B:$B,"licence")</f>
        <v>0</v>
      </c>
      <c r="M42" s="84">
        <f>SUMIFS('caseload data'!O:O,'caseload data'!$A:$A,$B42,'caseload data'!$B:$B,"licence")</f>
        <v>0</v>
      </c>
      <c r="N42" s="84">
        <f>SUMIFS('caseload data'!P:P,'caseload data'!$A:$A,$B42,'caseload data'!$B:$B,"licence")</f>
        <v>0</v>
      </c>
      <c r="O42" s="84">
        <f>SUMIFS('caseload data'!Q:Q,'caseload data'!$A:$A,$B42,'caseload data'!$B:$B,"licence")</f>
        <v>0</v>
      </c>
      <c r="P42" s="84">
        <f>SUMIFS('caseload data'!R:R,'caseload data'!$A:$A,$B42,'caseload data'!$B:$B,"licence")</f>
        <v>0</v>
      </c>
      <c r="Q42" s="84">
        <f>SUMIFS('caseload data'!S:S,'caseload data'!$A:$A,$B42,'caseload data'!$B:$B,"licence")</f>
        <v>0</v>
      </c>
      <c r="R42" s="84">
        <f>SUMIFS('caseload data'!T:T,'caseload data'!$A:$A,$B42,'caseload data'!$B:$B,"licence")</f>
        <v>0</v>
      </c>
      <c r="S42" s="84">
        <f>SUMIFS('caseload data'!V:V,'caseload data'!$A:$A,B42,'caseload data'!$B:$B,"licence")</f>
        <v>0</v>
      </c>
      <c r="T42" s="101"/>
      <c r="U42" s="155" t="s">
        <v>22</v>
      </c>
      <c r="V42" s="75" t="e">
        <f>C42/$S$42</f>
        <v>#DIV/0!</v>
      </c>
      <c r="W42" s="75" t="e">
        <f t="shared" ref="W42:AK42" si="195">D42/$S$42</f>
        <v>#DIV/0!</v>
      </c>
      <c r="X42" s="75" t="e">
        <f t="shared" si="195"/>
        <v>#DIV/0!</v>
      </c>
      <c r="Y42" s="75" t="e">
        <f t="shared" si="195"/>
        <v>#DIV/0!</v>
      </c>
      <c r="Z42" s="75" t="e">
        <f t="shared" si="195"/>
        <v>#DIV/0!</v>
      </c>
      <c r="AA42" s="75" t="e">
        <f t="shared" si="195"/>
        <v>#DIV/0!</v>
      </c>
      <c r="AB42" s="75" t="e">
        <f t="shared" si="195"/>
        <v>#DIV/0!</v>
      </c>
      <c r="AC42" s="75" t="e">
        <f t="shared" si="195"/>
        <v>#DIV/0!</v>
      </c>
      <c r="AD42" s="75" t="e">
        <f t="shared" si="195"/>
        <v>#DIV/0!</v>
      </c>
      <c r="AE42" s="75" t="e">
        <f t="shared" si="195"/>
        <v>#DIV/0!</v>
      </c>
      <c r="AF42" s="75" t="e">
        <f t="shared" si="195"/>
        <v>#DIV/0!</v>
      </c>
      <c r="AG42" s="75" t="e">
        <f t="shared" si="195"/>
        <v>#DIV/0!</v>
      </c>
      <c r="AH42" s="75" t="e">
        <f t="shared" si="195"/>
        <v>#DIV/0!</v>
      </c>
      <c r="AI42" s="75" t="e">
        <f t="shared" si="195"/>
        <v>#DIV/0!</v>
      </c>
      <c r="AJ42" s="75" t="e">
        <f t="shared" si="195"/>
        <v>#DIV/0!</v>
      </c>
      <c r="AK42" s="75" t="e">
        <f t="shared" si="195"/>
        <v>#DIV/0!</v>
      </c>
    </row>
    <row r="43" spans="2:37" x14ac:dyDescent="0.15">
      <c r="B43" s="155" t="s">
        <v>23</v>
      </c>
      <c r="C43" s="84">
        <f>SUMIFS('caseload data'!E:E,'caseload data'!$A:$A,$B43,'caseload data'!$B:$B,"licence")</f>
        <v>0</v>
      </c>
      <c r="D43" s="84">
        <f>SUMIFS('caseload data'!F:F,'caseload data'!$A:$A,$B43,'caseload data'!$B:$B,"licence")</f>
        <v>0</v>
      </c>
      <c r="E43" s="84">
        <f>SUMIFS('caseload data'!G:G,'caseload data'!$A:$A,$B43,'caseload data'!$B:$B,"licence")</f>
        <v>0</v>
      </c>
      <c r="F43" s="84">
        <f>SUMIFS('caseload data'!H:H,'caseload data'!$A:$A,$B43,'caseload data'!$B:$B,"licence")</f>
        <v>0</v>
      </c>
      <c r="G43" s="84">
        <f>SUMIFS('caseload data'!I:I,'caseload data'!$A:$A,$B43,'caseload data'!$B:$B,"licence")</f>
        <v>0</v>
      </c>
      <c r="H43" s="84">
        <f>SUMIFS('caseload data'!J:J,'caseload data'!$A:$A,$B43,'caseload data'!$B:$B,"licence")</f>
        <v>0</v>
      </c>
      <c r="I43" s="84">
        <f>SUMIFS('caseload data'!K:K,'caseload data'!$A:$A,$B43,'caseload data'!$B:$B,"licence")</f>
        <v>0</v>
      </c>
      <c r="J43" s="84">
        <f>SUMIFS('caseload data'!L:L,'caseload data'!$A:$A,$B43,'caseload data'!$B:$B,"licence")</f>
        <v>0</v>
      </c>
      <c r="K43" s="84">
        <f>SUMIFS('caseload data'!M:M,'caseload data'!$A:$A,$B43,'caseload data'!$B:$B,"licence")</f>
        <v>0</v>
      </c>
      <c r="L43" s="84">
        <f>SUMIFS('caseload data'!N:N,'caseload data'!$A:$A,$B43,'caseload data'!$B:$B,"licence")</f>
        <v>0</v>
      </c>
      <c r="M43" s="84">
        <f>SUMIFS('caseload data'!O:O,'caseload data'!$A:$A,$B43,'caseload data'!$B:$B,"licence")</f>
        <v>0</v>
      </c>
      <c r="N43" s="84">
        <f>SUMIFS('caseload data'!P:P,'caseload data'!$A:$A,$B43,'caseload data'!$B:$B,"licence")</f>
        <v>0</v>
      </c>
      <c r="O43" s="84">
        <f>SUMIFS('caseload data'!Q:Q,'caseload data'!$A:$A,$B43,'caseload data'!$B:$B,"licence")</f>
        <v>0</v>
      </c>
      <c r="P43" s="84">
        <f>SUMIFS('caseload data'!R:R,'caseload data'!$A:$A,$B43,'caseload data'!$B:$B,"licence")</f>
        <v>0</v>
      </c>
      <c r="Q43" s="84">
        <f>SUMIFS('caseload data'!S:S,'caseload data'!$A:$A,$B43,'caseload data'!$B:$B,"licence")</f>
        <v>0</v>
      </c>
      <c r="R43" s="84">
        <f>SUMIFS('caseload data'!T:T,'caseload data'!$A:$A,$B43,'caseload data'!$B:$B,"licence")</f>
        <v>0</v>
      </c>
      <c r="S43" s="84">
        <f>SUMIFS('caseload data'!V:V,'caseload data'!$A:$A,B43,'caseload data'!$B:$B,"licence")</f>
        <v>0</v>
      </c>
      <c r="T43" s="101"/>
      <c r="U43" s="155" t="s">
        <v>23</v>
      </c>
      <c r="V43" s="75" t="e">
        <f>C43/$S$43</f>
        <v>#DIV/0!</v>
      </c>
      <c r="W43" s="75" t="e">
        <f t="shared" ref="W43:AK43" si="196">D43/$S$43</f>
        <v>#DIV/0!</v>
      </c>
      <c r="X43" s="75" t="e">
        <f t="shared" si="196"/>
        <v>#DIV/0!</v>
      </c>
      <c r="Y43" s="75" t="e">
        <f t="shared" si="196"/>
        <v>#DIV/0!</v>
      </c>
      <c r="Z43" s="75" t="e">
        <f t="shared" si="196"/>
        <v>#DIV/0!</v>
      </c>
      <c r="AA43" s="75" t="e">
        <f t="shared" si="196"/>
        <v>#DIV/0!</v>
      </c>
      <c r="AB43" s="75" t="e">
        <f t="shared" si="196"/>
        <v>#DIV/0!</v>
      </c>
      <c r="AC43" s="75" t="e">
        <f t="shared" si="196"/>
        <v>#DIV/0!</v>
      </c>
      <c r="AD43" s="75" t="e">
        <f t="shared" si="196"/>
        <v>#DIV/0!</v>
      </c>
      <c r="AE43" s="75" t="e">
        <f t="shared" si="196"/>
        <v>#DIV/0!</v>
      </c>
      <c r="AF43" s="75" t="e">
        <f t="shared" si="196"/>
        <v>#DIV/0!</v>
      </c>
      <c r="AG43" s="75" t="e">
        <f t="shared" si="196"/>
        <v>#DIV/0!</v>
      </c>
      <c r="AH43" s="75" t="e">
        <f t="shared" si="196"/>
        <v>#DIV/0!</v>
      </c>
      <c r="AI43" s="75" t="e">
        <f t="shared" si="196"/>
        <v>#DIV/0!</v>
      </c>
      <c r="AJ43" s="75" t="e">
        <f t="shared" si="196"/>
        <v>#DIV/0!</v>
      </c>
      <c r="AK43" s="75" t="e">
        <f t="shared" si="196"/>
        <v>#DIV/0!</v>
      </c>
    </row>
    <row r="44" spans="2:37" x14ac:dyDescent="0.15">
      <c r="B44" s="155" t="s">
        <v>24</v>
      </c>
      <c r="C44" s="84">
        <f>SUMIFS('caseload data'!E:E,'caseload data'!$A:$A,$B44,'caseload data'!$B:$B,"licence")</f>
        <v>0</v>
      </c>
      <c r="D44" s="84">
        <f>SUMIFS('caseload data'!F:F,'caseload data'!$A:$A,$B44,'caseload data'!$B:$B,"licence")</f>
        <v>0</v>
      </c>
      <c r="E44" s="84">
        <f>SUMIFS('caseload data'!G:G,'caseload data'!$A:$A,$B44,'caseload data'!$B:$B,"licence")</f>
        <v>0</v>
      </c>
      <c r="F44" s="84">
        <f>SUMIFS('caseload data'!H:H,'caseload data'!$A:$A,$B44,'caseload data'!$B:$B,"licence")</f>
        <v>0</v>
      </c>
      <c r="G44" s="84">
        <f>SUMIFS('caseload data'!I:I,'caseload data'!$A:$A,$B44,'caseload data'!$B:$B,"licence")</f>
        <v>0</v>
      </c>
      <c r="H44" s="84">
        <f>SUMIFS('caseload data'!J:J,'caseload data'!$A:$A,$B44,'caseload data'!$B:$B,"licence")</f>
        <v>0</v>
      </c>
      <c r="I44" s="84">
        <f>SUMIFS('caseload data'!K:K,'caseload data'!$A:$A,$B44,'caseload data'!$B:$B,"licence")</f>
        <v>0</v>
      </c>
      <c r="J44" s="84">
        <f>SUMIFS('caseload data'!L:L,'caseload data'!$A:$A,$B44,'caseload data'!$B:$B,"licence")</f>
        <v>0</v>
      </c>
      <c r="K44" s="84">
        <f>SUMIFS('caseload data'!M:M,'caseload data'!$A:$A,$B44,'caseload data'!$B:$B,"licence")</f>
        <v>0</v>
      </c>
      <c r="L44" s="84">
        <f>SUMIFS('caseload data'!N:N,'caseload data'!$A:$A,$B44,'caseload data'!$B:$B,"licence")</f>
        <v>0</v>
      </c>
      <c r="M44" s="84">
        <f>SUMIFS('caseload data'!O:O,'caseload data'!$A:$A,$B44,'caseload data'!$B:$B,"licence")</f>
        <v>0</v>
      </c>
      <c r="N44" s="84">
        <f>SUMIFS('caseload data'!P:P,'caseload data'!$A:$A,$B44,'caseload data'!$B:$B,"licence")</f>
        <v>0</v>
      </c>
      <c r="O44" s="84">
        <f>SUMIFS('caseload data'!Q:Q,'caseload data'!$A:$A,$B44,'caseload data'!$B:$B,"licence")</f>
        <v>0</v>
      </c>
      <c r="P44" s="84">
        <f>SUMIFS('caseload data'!R:R,'caseload data'!$A:$A,$B44,'caseload data'!$B:$B,"licence")</f>
        <v>0</v>
      </c>
      <c r="Q44" s="84">
        <f>SUMIFS('caseload data'!S:S,'caseload data'!$A:$A,$B44,'caseload data'!$B:$B,"licence")</f>
        <v>0</v>
      </c>
      <c r="R44" s="84">
        <f>SUMIFS('caseload data'!T:T,'caseload data'!$A:$A,$B44,'caseload data'!$B:$B,"licence")</f>
        <v>0</v>
      </c>
      <c r="S44" s="84">
        <f>SUMIFS('caseload data'!V:V,'caseload data'!$A:$A,B44,'caseload data'!$B:$B,"licence")</f>
        <v>0</v>
      </c>
      <c r="T44" s="101"/>
      <c r="U44" s="155" t="s">
        <v>24</v>
      </c>
      <c r="V44" s="75" t="e">
        <f>C44/$S$44</f>
        <v>#DIV/0!</v>
      </c>
      <c r="W44" s="75" t="e">
        <f t="shared" ref="W44:AK44" si="197">D44/$S$44</f>
        <v>#DIV/0!</v>
      </c>
      <c r="X44" s="75" t="e">
        <f t="shared" si="197"/>
        <v>#DIV/0!</v>
      </c>
      <c r="Y44" s="75" t="e">
        <f t="shared" si="197"/>
        <v>#DIV/0!</v>
      </c>
      <c r="Z44" s="75" t="e">
        <f t="shared" si="197"/>
        <v>#DIV/0!</v>
      </c>
      <c r="AA44" s="75" t="e">
        <f t="shared" si="197"/>
        <v>#DIV/0!</v>
      </c>
      <c r="AB44" s="75" t="e">
        <f t="shared" si="197"/>
        <v>#DIV/0!</v>
      </c>
      <c r="AC44" s="75" t="e">
        <f t="shared" si="197"/>
        <v>#DIV/0!</v>
      </c>
      <c r="AD44" s="75" t="e">
        <f t="shared" si="197"/>
        <v>#DIV/0!</v>
      </c>
      <c r="AE44" s="75" t="e">
        <f t="shared" si="197"/>
        <v>#DIV/0!</v>
      </c>
      <c r="AF44" s="75" t="e">
        <f t="shared" si="197"/>
        <v>#DIV/0!</v>
      </c>
      <c r="AG44" s="75" t="e">
        <f t="shared" si="197"/>
        <v>#DIV/0!</v>
      </c>
      <c r="AH44" s="75" t="e">
        <f t="shared" si="197"/>
        <v>#DIV/0!</v>
      </c>
      <c r="AI44" s="75" t="e">
        <f t="shared" si="197"/>
        <v>#DIV/0!</v>
      </c>
      <c r="AJ44" s="75" t="e">
        <f t="shared" si="197"/>
        <v>#DIV/0!</v>
      </c>
      <c r="AK44" s="75" t="e">
        <f t="shared" si="197"/>
        <v>#DIV/0!</v>
      </c>
    </row>
    <row r="45" spans="2:37" x14ac:dyDescent="0.15">
      <c r="B45" s="155" t="s">
        <v>25</v>
      </c>
      <c r="C45" s="84">
        <f>SUMIFS('caseload data'!E:E,'caseload data'!$A:$A,$B45,'caseload data'!$B:$B,"licence")</f>
        <v>0</v>
      </c>
      <c r="D45" s="84">
        <f>SUMIFS('caseload data'!F:F,'caseload data'!$A:$A,$B45,'caseload data'!$B:$B,"licence")</f>
        <v>0</v>
      </c>
      <c r="E45" s="84">
        <f>SUMIFS('caseload data'!G:G,'caseload data'!$A:$A,$B45,'caseload data'!$B:$B,"licence")</f>
        <v>0</v>
      </c>
      <c r="F45" s="84">
        <f>SUMIFS('caseload data'!H:H,'caseload data'!$A:$A,$B45,'caseload data'!$B:$B,"licence")</f>
        <v>0</v>
      </c>
      <c r="G45" s="84">
        <f>SUMIFS('caseload data'!I:I,'caseload data'!$A:$A,$B45,'caseload data'!$B:$B,"licence")</f>
        <v>0</v>
      </c>
      <c r="H45" s="84">
        <f>SUMIFS('caseload data'!J:J,'caseload data'!$A:$A,$B45,'caseload data'!$B:$B,"licence")</f>
        <v>0</v>
      </c>
      <c r="I45" s="84">
        <f>SUMIFS('caseload data'!K:K,'caseload data'!$A:$A,$B45,'caseload data'!$B:$B,"licence")</f>
        <v>0</v>
      </c>
      <c r="J45" s="84">
        <f>SUMIFS('caseload data'!L:L,'caseload data'!$A:$A,$B45,'caseload data'!$B:$B,"licence")</f>
        <v>0</v>
      </c>
      <c r="K45" s="84">
        <f>SUMIFS('caseload data'!M:M,'caseload data'!$A:$A,$B45,'caseload data'!$B:$B,"licence")</f>
        <v>0</v>
      </c>
      <c r="L45" s="84">
        <f>SUMIFS('caseload data'!N:N,'caseload data'!$A:$A,$B45,'caseload data'!$B:$B,"licence")</f>
        <v>0</v>
      </c>
      <c r="M45" s="84">
        <f>SUMIFS('caseload data'!O:O,'caseload data'!$A:$A,$B45,'caseload data'!$B:$B,"licence")</f>
        <v>0</v>
      </c>
      <c r="N45" s="84">
        <f>SUMIFS('caseload data'!P:P,'caseload data'!$A:$A,$B45,'caseload data'!$B:$B,"licence")</f>
        <v>0</v>
      </c>
      <c r="O45" s="84">
        <f>SUMIFS('caseload data'!Q:Q,'caseload data'!$A:$A,$B45,'caseload data'!$B:$B,"licence")</f>
        <v>0</v>
      </c>
      <c r="P45" s="84">
        <f>SUMIFS('caseload data'!R:R,'caseload data'!$A:$A,$B45,'caseload data'!$B:$B,"licence")</f>
        <v>0</v>
      </c>
      <c r="Q45" s="84">
        <f>SUMIFS('caseload data'!S:S,'caseload data'!$A:$A,$B45,'caseload data'!$B:$B,"licence")</f>
        <v>0</v>
      </c>
      <c r="R45" s="84">
        <f>SUMIFS('caseload data'!T:T,'caseload data'!$A:$A,$B45,'caseload data'!$B:$B,"licence")</f>
        <v>0</v>
      </c>
      <c r="S45" s="84">
        <f>SUMIFS('caseload data'!V:V,'caseload data'!$A:$A,B45,'caseload data'!$B:$B,"licence")</f>
        <v>0</v>
      </c>
      <c r="T45" s="101"/>
      <c r="U45" s="155" t="s">
        <v>25</v>
      </c>
      <c r="V45" s="75" t="e">
        <f>C45/$S$45</f>
        <v>#DIV/0!</v>
      </c>
      <c r="W45" s="75" t="e">
        <f t="shared" ref="W45:AK45" si="198">D45/$S$45</f>
        <v>#DIV/0!</v>
      </c>
      <c r="X45" s="75" t="e">
        <f t="shared" si="198"/>
        <v>#DIV/0!</v>
      </c>
      <c r="Y45" s="75" t="e">
        <f t="shared" si="198"/>
        <v>#DIV/0!</v>
      </c>
      <c r="Z45" s="75" t="e">
        <f t="shared" si="198"/>
        <v>#DIV/0!</v>
      </c>
      <c r="AA45" s="75" t="e">
        <f t="shared" si="198"/>
        <v>#DIV/0!</v>
      </c>
      <c r="AB45" s="75" t="e">
        <f t="shared" si="198"/>
        <v>#DIV/0!</v>
      </c>
      <c r="AC45" s="75" t="e">
        <f t="shared" si="198"/>
        <v>#DIV/0!</v>
      </c>
      <c r="AD45" s="75" t="e">
        <f t="shared" si="198"/>
        <v>#DIV/0!</v>
      </c>
      <c r="AE45" s="75" t="e">
        <f t="shared" si="198"/>
        <v>#DIV/0!</v>
      </c>
      <c r="AF45" s="75" t="e">
        <f t="shared" si="198"/>
        <v>#DIV/0!</v>
      </c>
      <c r="AG45" s="75" t="e">
        <f t="shared" si="198"/>
        <v>#DIV/0!</v>
      </c>
      <c r="AH45" s="75" t="e">
        <f t="shared" si="198"/>
        <v>#DIV/0!</v>
      </c>
      <c r="AI45" s="75" t="e">
        <f t="shared" si="198"/>
        <v>#DIV/0!</v>
      </c>
      <c r="AJ45" s="75" t="e">
        <f t="shared" si="198"/>
        <v>#DIV/0!</v>
      </c>
      <c r="AK45" s="75" t="e">
        <f t="shared" si="198"/>
        <v>#DIV/0!</v>
      </c>
    </row>
    <row r="46" spans="2:37" x14ac:dyDescent="0.15">
      <c r="B46" s="155" t="s">
        <v>26</v>
      </c>
      <c r="C46" s="84">
        <f>SUMIFS('caseload data'!E:E,'caseload data'!$A:$A,$B46,'caseload data'!$B:$B,"licence")</f>
        <v>0</v>
      </c>
      <c r="D46" s="84">
        <f>SUMIFS('caseload data'!F:F,'caseload data'!$A:$A,$B46,'caseload data'!$B:$B,"licence")</f>
        <v>0</v>
      </c>
      <c r="E46" s="84">
        <f>SUMIFS('caseload data'!G:G,'caseload data'!$A:$A,$B46,'caseload data'!$B:$B,"licence")</f>
        <v>0</v>
      </c>
      <c r="F46" s="84">
        <f>SUMIFS('caseload data'!H:H,'caseload data'!$A:$A,$B46,'caseload data'!$B:$B,"licence")</f>
        <v>0</v>
      </c>
      <c r="G46" s="84">
        <f>SUMIFS('caseload data'!I:I,'caseload data'!$A:$A,$B46,'caseload data'!$B:$B,"licence")</f>
        <v>0</v>
      </c>
      <c r="H46" s="84">
        <f>SUMIFS('caseload data'!J:J,'caseload data'!$A:$A,$B46,'caseload data'!$B:$B,"licence")</f>
        <v>0</v>
      </c>
      <c r="I46" s="84">
        <f>SUMIFS('caseload data'!K:K,'caseload data'!$A:$A,$B46,'caseload data'!$B:$B,"licence")</f>
        <v>0</v>
      </c>
      <c r="J46" s="84">
        <f>SUMIFS('caseload data'!L:L,'caseload data'!$A:$A,$B46,'caseload data'!$B:$B,"licence")</f>
        <v>0</v>
      </c>
      <c r="K46" s="84">
        <f>SUMIFS('caseload data'!M:M,'caseload data'!$A:$A,$B46,'caseload data'!$B:$B,"licence")</f>
        <v>0</v>
      </c>
      <c r="L46" s="84">
        <f>SUMIFS('caseload data'!N:N,'caseload data'!$A:$A,$B46,'caseload data'!$B:$B,"licence")</f>
        <v>0</v>
      </c>
      <c r="M46" s="84">
        <f>SUMIFS('caseload data'!O:O,'caseload data'!$A:$A,$B46,'caseload data'!$B:$B,"licence")</f>
        <v>0</v>
      </c>
      <c r="N46" s="84">
        <f>SUMIFS('caseload data'!P:P,'caseload data'!$A:$A,$B46,'caseload data'!$B:$B,"licence")</f>
        <v>0</v>
      </c>
      <c r="O46" s="84">
        <f>SUMIFS('caseload data'!Q:Q,'caseload data'!$A:$A,$B46,'caseload data'!$B:$B,"licence")</f>
        <v>0</v>
      </c>
      <c r="P46" s="84">
        <f>SUMIFS('caseload data'!R:R,'caseload data'!$A:$A,$B46,'caseload data'!$B:$B,"licence")</f>
        <v>0</v>
      </c>
      <c r="Q46" s="84">
        <f>SUMIFS('caseload data'!S:S,'caseload data'!$A:$A,$B46,'caseload data'!$B:$B,"licence")</f>
        <v>0</v>
      </c>
      <c r="R46" s="84">
        <f>SUMIFS('caseload data'!T:T,'caseload data'!$A:$A,$B46,'caseload data'!$B:$B,"licence")</f>
        <v>0</v>
      </c>
      <c r="S46" s="84">
        <f>SUMIFS('caseload data'!V:V,'caseload data'!$A:$A,B46,'caseload data'!$B:$B,"licence")</f>
        <v>0</v>
      </c>
      <c r="T46" s="101"/>
      <c r="U46" s="155" t="s">
        <v>26</v>
      </c>
      <c r="V46" s="75" t="e">
        <f>C46/$S$46</f>
        <v>#DIV/0!</v>
      </c>
      <c r="W46" s="75" t="e">
        <f t="shared" ref="W46:AK46" si="199">D46/$S$46</f>
        <v>#DIV/0!</v>
      </c>
      <c r="X46" s="75" t="e">
        <f t="shared" si="199"/>
        <v>#DIV/0!</v>
      </c>
      <c r="Y46" s="75" t="e">
        <f t="shared" si="199"/>
        <v>#DIV/0!</v>
      </c>
      <c r="Z46" s="75" t="e">
        <f t="shared" si="199"/>
        <v>#DIV/0!</v>
      </c>
      <c r="AA46" s="75" t="e">
        <f t="shared" si="199"/>
        <v>#DIV/0!</v>
      </c>
      <c r="AB46" s="75" t="e">
        <f t="shared" si="199"/>
        <v>#DIV/0!</v>
      </c>
      <c r="AC46" s="75" t="e">
        <f t="shared" si="199"/>
        <v>#DIV/0!</v>
      </c>
      <c r="AD46" s="75" t="e">
        <f t="shared" si="199"/>
        <v>#DIV/0!</v>
      </c>
      <c r="AE46" s="75" t="e">
        <f t="shared" si="199"/>
        <v>#DIV/0!</v>
      </c>
      <c r="AF46" s="75" t="e">
        <f t="shared" si="199"/>
        <v>#DIV/0!</v>
      </c>
      <c r="AG46" s="75" t="e">
        <f t="shared" si="199"/>
        <v>#DIV/0!</v>
      </c>
      <c r="AH46" s="75" t="e">
        <f t="shared" si="199"/>
        <v>#DIV/0!</v>
      </c>
      <c r="AI46" s="75" t="e">
        <f t="shared" si="199"/>
        <v>#DIV/0!</v>
      </c>
      <c r="AJ46" s="75" t="e">
        <f t="shared" si="199"/>
        <v>#DIV/0!</v>
      </c>
      <c r="AK46" s="75" t="e">
        <f t="shared" si="199"/>
        <v>#DIV/0!</v>
      </c>
    </row>
    <row r="47" spans="2:37" x14ac:dyDescent="0.15">
      <c r="B47" s="155" t="s">
        <v>27</v>
      </c>
      <c r="C47" s="84">
        <f>SUMIFS('caseload data'!E:E,'caseload data'!$A:$A,$B47,'caseload data'!$B:$B,"licence")</f>
        <v>0</v>
      </c>
      <c r="D47" s="84">
        <f>SUMIFS('caseload data'!F:F,'caseload data'!$A:$A,$B47,'caseload data'!$B:$B,"licence")</f>
        <v>0</v>
      </c>
      <c r="E47" s="84">
        <f>SUMIFS('caseload data'!G:G,'caseload data'!$A:$A,$B47,'caseload data'!$B:$B,"licence")</f>
        <v>0</v>
      </c>
      <c r="F47" s="84">
        <f>SUMIFS('caseload data'!H:H,'caseload data'!$A:$A,$B47,'caseload data'!$B:$B,"licence")</f>
        <v>0</v>
      </c>
      <c r="G47" s="84">
        <f>SUMIFS('caseload data'!I:I,'caseload data'!$A:$A,$B47,'caseload data'!$B:$B,"licence")</f>
        <v>0</v>
      </c>
      <c r="H47" s="84">
        <f>SUMIFS('caseload data'!J:J,'caseload data'!$A:$A,$B47,'caseload data'!$B:$B,"licence")</f>
        <v>0</v>
      </c>
      <c r="I47" s="84">
        <f>SUMIFS('caseload data'!K:K,'caseload data'!$A:$A,$B47,'caseload data'!$B:$B,"licence")</f>
        <v>0</v>
      </c>
      <c r="J47" s="84">
        <f>SUMIFS('caseload data'!L:L,'caseload data'!$A:$A,$B47,'caseload data'!$B:$B,"licence")</f>
        <v>0</v>
      </c>
      <c r="K47" s="84">
        <f>SUMIFS('caseload data'!M:M,'caseload data'!$A:$A,$B47,'caseload data'!$B:$B,"licence")</f>
        <v>0</v>
      </c>
      <c r="L47" s="84">
        <f>SUMIFS('caseload data'!N:N,'caseload data'!$A:$A,$B47,'caseload data'!$B:$B,"licence")</f>
        <v>0</v>
      </c>
      <c r="M47" s="84">
        <f>SUMIFS('caseload data'!O:O,'caseload data'!$A:$A,$B47,'caseload data'!$B:$B,"licence")</f>
        <v>0</v>
      </c>
      <c r="N47" s="84">
        <f>SUMIFS('caseload data'!P:P,'caseload data'!$A:$A,$B47,'caseload data'!$B:$B,"licence")</f>
        <v>0</v>
      </c>
      <c r="O47" s="84">
        <f>SUMIFS('caseload data'!Q:Q,'caseload data'!$A:$A,$B47,'caseload data'!$B:$B,"licence")</f>
        <v>0</v>
      </c>
      <c r="P47" s="84">
        <f>SUMIFS('caseload data'!R:R,'caseload data'!$A:$A,$B47,'caseload data'!$B:$B,"licence")</f>
        <v>0</v>
      </c>
      <c r="Q47" s="84">
        <f>SUMIFS('caseload data'!S:S,'caseload data'!$A:$A,$B47,'caseload data'!$B:$B,"licence")</f>
        <v>0</v>
      </c>
      <c r="R47" s="84">
        <f>SUMIFS('caseload data'!T:T,'caseload data'!$A:$A,$B47,'caseload data'!$B:$B,"licence")</f>
        <v>0</v>
      </c>
      <c r="S47" s="84">
        <f>SUMIFS('caseload data'!V:V,'caseload data'!$A:$A,B47,'caseload data'!$B:$B,"licence")</f>
        <v>0</v>
      </c>
      <c r="T47" s="101"/>
      <c r="U47" s="155" t="s">
        <v>27</v>
      </c>
      <c r="V47" s="75" t="e">
        <f t="shared" ref="V47:AK47" si="200">C47/$S$47</f>
        <v>#DIV/0!</v>
      </c>
      <c r="W47" s="75" t="e">
        <f t="shared" si="200"/>
        <v>#DIV/0!</v>
      </c>
      <c r="X47" s="75" t="e">
        <f t="shared" si="200"/>
        <v>#DIV/0!</v>
      </c>
      <c r="Y47" s="75" t="e">
        <f t="shared" si="200"/>
        <v>#DIV/0!</v>
      </c>
      <c r="Z47" s="75" t="e">
        <f t="shared" si="200"/>
        <v>#DIV/0!</v>
      </c>
      <c r="AA47" s="75" t="e">
        <f t="shared" si="200"/>
        <v>#DIV/0!</v>
      </c>
      <c r="AB47" s="75" t="e">
        <f t="shared" si="200"/>
        <v>#DIV/0!</v>
      </c>
      <c r="AC47" s="75" t="e">
        <f t="shared" si="200"/>
        <v>#DIV/0!</v>
      </c>
      <c r="AD47" s="75" t="e">
        <f t="shared" si="200"/>
        <v>#DIV/0!</v>
      </c>
      <c r="AE47" s="75" t="e">
        <f t="shared" si="200"/>
        <v>#DIV/0!</v>
      </c>
      <c r="AF47" s="75" t="e">
        <f t="shared" si="200"/>
        <v>#DIV/0!</v>
      </c>
      <c r="AG47" s="75" t="e">
        <f t="shared" si="200"/>
        <v>#DIV/0!</v>
      </c>
      <c r="AH47" s="75" t="e">
        <f t="shared" si="200"/>
        <v>#DIV/0!</v>
      </c>
      <c r="AI47" s="75" t="e">
        <f t="shared" si="200"/>
        <v>#DIV/0!</v>
      </c>
      <c r="AJ47" s="75" t="e">
        <f t="shared" si="200"/>
        <v>#DIV/0!</v>
      </c>
      <c r="AK47" s="75" t="e">
        <f t="shared" si="200"/>
        <v>#DIV/0!</v>
      </c>
    </row>
    <row r="48" spans="2:37" x14ac:dyDescent="0.15">
      <c r="B48" s="155" t="s">
        <v>28</v>
      </c>
      <c r="C48" s="84">
        <f>SUMIFS('caseload data'!E:E,'caseload data'!$A:$A,$B48,'caseload data'!$B:$B,"licence")</f>
        <v>0</v>
      </c>
      <c r="D48" s="84">
        <f>SUMIFS('caseload data'!F:F,'caseload data'!$A:$A,$B48,'caseload data'!$B:$B,"licence")</f>
        <v>0</v>
      </c>
      <c r="E48" s="84">
        <f>SUMIFS('caseload data'!G:G,'caseload data'!$A:$A,$B48,'caseload data'!$B:$B,"licence")</f>
        <v>0</v>
      </c>
      <c r="F48" s="84">
        <f>SUMIFS('caseload data'!H:H,'caseload data'!$A:$A,$B48,'caseload data'!$B:$B,"licence")</f>
        <v>0</v>
      </c>
      <c r="G48" s="84">
        <f>SUMIFS('caseload data'!I:I,'caseload data'!$A:$A,$B48,'caseload data'!$B:$B,"licence")</f>
        <v>0</v>
      </c>
      <c r="H48" s="84">
        <f>SUMIFS('caseload data'!J:J,'caseload data'!$A:$A,$B48,'caseload data'!$B:$B,"licence")</f>
        <v>0</v>
      </c>
      <c r="I48" s="84">
        <f>SUMIFS('caseload data'!K:K,'caseload data'!$A:$A,$B48,'caseload data'!$B:$B,"licence")</f>
        <v>0</v>
      </c>
      <c r="J48" s="84">
        <f>SUMIFS('caseload data'!L:L,'caseload data'!$A:$A,$B48,'caseload data'!$B:$B,"licence")</f>
        <v>0</v>
      </c>
      <c r="K48" s="84">
        <f>SUMIFS('caseload data'!M:M,'caseload data'!$A:$A,$B48,'caseload data'!$B:$B,"licence")</f>
        <v>0</v>
      </c>
      <c r="L48" s="84">
        <f>SUMIFS('caseload data'!N:N,'caseload data'!$A:$A,$B48,'caseload data'!$B:$B,"licence")</f>
        <v>0</v>
      </c>
      <c r="M48" s="84">
        <f>SUMIFS('caseload data'!O:O,'caseload data'!$A:$A,$B48,'caseload data'!$B:$B,"licence")</f>
        <v>0</v>
      </c>
      <c r="N48" s="84">
        <f>SUMIFS('caseload data'!P:P,'caseload data'!$A:$A,$B48,'caseload data'!$B:$B,"licence")</f>
        <v>0</v>
      </c>
      <c r="O48" s="84">
        <f>SUMIFS('caseload data'!Q:Q,'caseload data'!$A:$A,$B48,'caseload data'!$B:$B,"licence")</f>
        <v>0</v>
      </c>
      <c r="P48" s="84">
        <f>SUMIFS('caseload data'!R:R,'caseload data'!$A:$A,$B48,'caseload data'!$B:$B,"licence")</f>
        <v>0</v>
      </c>
      <c r="Q48" s="84">
        <f>SUMIFS('caseload data'!S:S,'caseload data'!$A:$A,$B48,'caseload data'!$B:$B,"licence")</f>
        <v>0</v>
      </c>
      <c r="R48" s="84">
        <f>SUMIFS('caseload data'!T:T,'caseload data'!$A:$A,$B48,'caseload data'!$B:$B,"licence")</f>
        <v>0</v>
      </c>
      <c r="S48" s="84">
        <f>SUMIFS('caseload data'!V:V,'caseload data'!$A:$A,B48,'caseload data'!$B:$B,"licence")</f>
        <v>0</v>
      </c>
      <c r="T48" s="101"/>
      <c r="U48" s="155" t="s">
        <v>1126</v>
      </c>
      <c r="V48" s="75" t="e">
        <f t="shared" ref="V48:AK48" si="201">C48/$S$48</f>
        <v>#DIV/0!</v>
      </c>
      <c r="W48" s="75" t="e">
        <f t="shared" si="201"/>
        <v>#DIV/0!</v>
      </c>
      <c r="X48" s="75" t="e">
        <f t="shared" si="201"/>
        <v>#DIV/0!</v>
      </c>
      <c r="Y48" s="75" t="e">
        <f t="shared" si="201"/>
        <v>#DIV/0!</v>
      </c>
      <c r="Z48" s="75" t="e">
        <f t="shared" si="201"/>
        <v>#DIV/0!</v>
      </c>
      <c r="AA48" s="75" t="e">
        <f t="shared" si="201"/>
        <v>#DIV/0!</v>
      </c>
      <c r="AB48" s="75" t="e">
        <f t="shared" si="201"/>
        <v>#DIV/0!</v>
      </c>
      <c r="AC48" s="75" t="e">
        <f t="shared" si="201"/>
        <v>#DIV/0!</v>
      </c>
      <c r="AD48" s="75" t="e">
        <f t="shared" si="201"/>
        <v>#DIV/0!</v>
      </c>
      <c r="AE48" s="75" t="e">
        <f t="shared" si="201"/>
        <v>#DIV/0!</v>
      </c>
      <c r="AF48" s="75" t="e">
        <f t="shared" si="201"/>
        <v>#DIV/0!</v>
      </c>
      <c r="AG48" s="75" t="e">
        <f t="shared" si="201"/>
        <v>#DIV/0!</v>
      </c>
      <c r="AH48" s="75" t="e">
        <f t="shared" si="201"/>
        <v>#DIV/0!</v>
      </c>
      <c r="AI48" s="75" t="e">
        <f t="shared" si="201"/>
        <v>#DIV/0!</v>
      </c>
      <c r="AJ48" s="75" t="e">
        <f t="shared" si="201"/>
        <v>#DIV/0!</v>
      </c>
      <c r="AK48" s="75" t="e">
        <f t="shared" si="201"/>
        <v>#DIV/0!</v>
      </c>
    </row>
    <row r="49" spans="2:37" x14ac:dyDescent="0.15">
      <c r="B49" s="155" t="s">
        <v>29</v>
      </c>
      <c r="C49" s="84">
        <f>SUMIFS('caseload data'!E:E,'caseload data'!$A:$A,$B49,'caseload data'!$B:$B,"licence")</f>
        <v>0</v>
      </c>
      <c r="D49" s="84">
        <f>SUMIFS('caseload data'!F:F,'caseload data'!$A:$A,$B49,'caseload data'!$B:$B,"licence")</f>
        <v>0</v>
      </c>
      <c r="E49" s="84">
        <f>SUMIFS('caseload data'!G:G,'caseload data'!$A:$A,$B49,'caseload data'!$B:$B,"licence")</f>
        <v>0</v>
      </c>
      <c r="F49" s="84">
        <f>SUMIFS('caseload data'!H:H,'caseload data'!$A:$A,$B49,'caseload data'!$B:$B,"licence")</f>
        <v>0</v>
      </c>
      <c r="G49" s="84">
        <f>SUMIFS('caseload data'!I:I,'caseload data'!$A:$A,$B49,'caseload data'!$B:$B,"licence")</f>
        <v>0</v>
      </c>
      <c r="H49" s="84">
        <f>SUMIFS('caseload data'!J:J,'caseload data'!$A:$A,$B49,'caseload data'!$B:$B,"licence")</f>
        <v>0</v>
      </c>
      <c r="I49" s="84">
        <f>SUMIFS('caseload data'!K:K,'caseload data'!$A:$A,$B49,'caseload data'!$B:$B,"licence")</f>
        <v>0</v>
      </c>
      <c r="J49" s="84">
        <f>SUMIFS('caseload data'!L:L,'caseload data'!$A:$A,$B49,'caseload data'!$B:$B,"licence")</f>
        <v>0</v>
      </c>
      <c r="K49" s="84">
        <f>SUMIFS('caseload data'!M:M,'caseload data'!$A:$A,$B49,'caseload data'!$B:$B,"licence")</f>
        <v>0</v>
      </c>
      <c r="L49" s="84">
        <f>SUMIFS('caseload data'!N:N,'caseload data'!$A:$A,$B49,'caseload data'!$B:$B,"licence")</f>
        <v>0</v>
      </c>
      <c r="M49" s="84">
        <f>SUMIFS('caseload data'!O:O,'caseload data'!$A:$A,$B49,'caseload data'!$B:$B,"licence")</f>
        <v>0</v>
      </c>
      <c r="N49" s="84">
        <f>SUMIFS('caseload data'!P:P,'caseload data'!$A:$A,$B49,'caseload data'!$B:$B,"licence")</f>
        <v>0</v>
      </c>
      <c r="O49" s="84">
        <f>SUMIFS('caseload data'!Q:Q,'caseload data'!$A:$A,$B49,'caseload data'!$B:$B,"licence")</f>
        <v>0</v>
      </c>
      <c r="P49" s="84">
        <f>SUMIFS('caseload data'!R:R,'caseload data'!$A:$A,$B49,'caseload data'!$B:$B,"licence")</f>
        <v>0</v>
      </c>
      <c r="Q49" s="84">
        <f>SUMIFS('caseload data'!S:S,'caseload data'!$A:$A,$B49,'caseload data'!$B:$B,"licence")</f>
        <v>0</v>
      </c>
      <c r="R49" s="84">
        <f>SUMIFS('caseload data'!T:T,'caseload data'!$A:$A,$B49,'caseload data'!$B:$B,"licence")</f>
        <v>0</v>
      </c>
      <c r="S49" s="84">
        <f>SUMIFS('caseload data'!V:V,'caseload data'!$A:$A,B49,'caseload data'!$B:$B,"licence")</f>
        <v>0</v>
      </c>
      <c r="T49" s="101"/>
      <c r="U49" s="155" t="s">
        <v>29</v>
      </c>
      <c r="V49" s="75" t="e">
        <f>C49/$S$49</f>
        <v>#DIV/0!</v>
      </c>
      <c r="W49" s="75" t="e">
        <f t="shared" ref="W49:AK49" si="202">D49/$S$49</f>
        <v>#DIV/0!</v>
      </c>
      <c r="X49" s="75" t="e">
        <f t="shared" si="202"/>
        <v>#DIV/0!</v>
      </c>
      <c r="Y49" s="75" t="e">
        <f t="shared" si="202"/>
        <v>#DIV/0!</v>
      </c>
      <c r="Z49" s="75" t="e">
        <f t="shared" si="202"/>
        <v>#DIV/0!</v>
      </c>
      <c r="AA49" s="75" t="e">
        <f t="shared" si="202"/>
        <v>#DIV/0!</v>
      </c>
      <c r="AB49" s="75" t="e">
        <f t="shared" si="202"/>
        <v>#DIV/0!</v>
      </c>
      <c r="AC49" s="75" t="e">
        <f t="shared" si="202"/>
        <v>#DIV/0!</v>
      </c>
      <c r="AD49" s="75" t="e">
        <f t="shared" si="202"/>
        <v>#DIV/0!</v>
      </c>
      <c r="AE49" s="75" t="e">
        <f t="shared" si="202"/>
        <v>#DIV/0!</v>
      </c>
      <c r="AF49" s="75" t="e">
        <f t="shared" si="202"/>
        <v>#DIV/0!</v>
      </c>
      <c r="AG49" s="75" t="e">
        <f t="shared" si="202"/>
        <v>#DIV/0!</v>
      </c>
      <c r="AH49" s="75" t="e">
        <f t="shared" si="202"/>
        <v>#DIV/0!</v>
      </c>
      <c r="AI49" s="75" t="e">
        <f t="shared" si="202"/>
        <v>#DIV/0!</v>
      </c>
      <c r="AJ49" s="75" t="e">
        <f t="shared" si="202"/>
        <v>#DIV/0!</v>
      </c>
      <c r="AK49" s="75" t="e">
        <f t="shared" si="202"/>
        <v>#DIV/0!</v>
      </c>
    </row>
    <row r="50" spans="2:37" x14ac:dyDescent="0.15">
      <c r="B50" s="155" t="s">
        <v>30</v>
      </c>
      <c r="C50" s="84">
        <f>SUMIFS('caseload data'!E:E,'caseload data'!$A:$A,$B50,'caseload data'!$B:$B,"licence")</f>
        <v>0</v>
      </c>
      <c r="D50" s="84">
        <f>SUMIFS('caseload data'!F:F,'caseload data'!$A:$A,$B50,'caseload data'!$B:$B,"licence")</f>
        <v>0</v>
      </c>
      <c r="E50" s="84">
        <f>SUMIFS('caseload data'!G:G,'caseload data'!$A:$A,$B50,'caseload data'!$B:$B,"licence")</f>
        <v>0</v>
      </c>
      <c r="F50" s="84">
        <f>SUMIFS('caseload data'!H:H,'caseload data'!$A:$A,$B50,'caseload data'!$B:$B,"licence")</f>
        <v>0</v>
      </c>
      <c r="G50" s="84">
        <f>SUMIFS('caseload data'!I:I,'caseload data'!$A:$A,$B50,'caseload data'!$B:$B,"licence")</f>
        <v>0</v>
      </c>
      <c r="H50" s="84">
        <f>SUMIFS('caseload data'!J:J,'caseload data'!$A:$A,$B50,'caseload data'!$B:$B,"licence")</f>
        <v>0</v>
      </c>
      <c r="I50" s="84">
        <f>SUMIFS('caseload data'!K:K,'caseload data'!$A:$A,$B50,'caseload data'!$B:$B,"licence")</f>
        <v>0</v>
      </c>
      <c r="J50" s="84">
        <f>SUMIFS('caseload data'!L:L,'caseload data'!$A:$A,$B50,'caseload data'!$B:$B,"licence")</f>
        <v>0</v>
      </c>
      <c r="K50" s="84">
        <f>SUMIFS('caseload data'!M:M,'caseload data'!$A:$A,$B50,'caseload data'!$B:$B,"licence")</f>
        <v>0</v>
      </c>
      <c r="L50" s="84">
        <f>SUMIFS('caseload data'!N:N,'caseload data'!$A:$A,$B50,'caseload data'!$B:$B,"licence")</f>
        <v>0</v>
      </c>
      <c r="M50" s="84">
        <f>SUMIFS('caseload data'!O:O,'caseload data'!$A:$A,$B50,'caseload data'!$B:$B,"licence")</f>
        <v>0</v>
      </c>
      <c r="N50" s="84">
        <f>SUMIFS('caseload data'!P:P,'caseload data'!$A:$A,$B50,'caseload data'!$B:$B,"licence")</f>
        <v>0</v>
      </c>
      <c r="O50" s="84">
        <f>SUMIFS('caseload data'!Q:Q,'caseload data'!$A:$A,$B50,'caseload data'!$B:$B,"licence")</f>
        <v>0</v>
      </c>
      <c r="P50" s="84">
        <f>SUMIFS('caseload data'!R:R,'caseload data'!$A:$A,$B50,'caseload data'!$B:$B,"licence")</f>
        <v>0</v>
      </c>
      <c r="Q50" s="84">
        <f>SUMIFS('caseload data'!S:S,'caseload data'!$A:$A,$B50,'caseload data'!$B:$B,"licence")</f>
        <v>0</v>
      </c>
      <c r="R50" s="84">
        <f>SUMIFS('caseload data'!T:T,'caseload data'!$A:$A,$B50,'caseload data'!$B:$B,"licence")</f>
        <v>0</v>
      </c>
      <c r="S50" s="84">
        <f>SUMIFS('caseload data'!V:V,'caseload data'!$A:$A,B50,'caseload data'!$B:$B,"licence")</f>
        <v>0</v>
      </c>
      <c r="T50" s="101"/>
      <c r="U50" s="155" t="s">
        <v>30</v>
      </c>
      <c r="V50" s="75" t="e">
        <f>C50/$S$50</f>
        <v>#DIV/0!</v>
      </c>
      <c r="W50" s="75" t="e">
        <f t="shared" ref="W50:AK50" si="203">D50/$S$50</f>
        <v>#DIV/0!</v>
      </c>
      <c r="X50" s="75" t="e">
        <f t="shared" si="203"/>
        <v>#DIV/0!</v>
      </c>
      <c r="Y50" s="75" t="e">
        <f t="shared" si="203"/>
        <v>#DIV/0!</v>
      </c>
      <c r="Z50" s="75" t="e">
        <f t="shared" si="203"/>
        <v>#DIV/0!</v>
      </c>
      <c r="AA50" s="75" t="e">
        <f t="shared" si="203"/>
        <v>#DIV/0!</v>
      </c>
      <c r="AB50" s="75" t="e">
        <f t="shared" si="203"/>
        <v>#DIV/0!</v>
      </c>
      <c r="AC50" s="75" t="e">
        <f t="shared" si="203"/>
        <v>#DIV/0!</v>
      </c>
      <c r="AD50" s="75" t="e">
        <f t="shared" si="203"/>
        <v>#DIV/0!</v>
      </c>
      <c r="AE50" s="75" t="e">
        <f t="shared" si="203"/>
        <v>#DIV/0!</v>
      </c>
      <c r="AF50" s="75" t="e">
        <f t="shared" si="203"/>
        <v>#DIV/0!</v>
      </c>
      <c r="AG50" s="75" t="e">
        <f t="shared" si="203"/>
        <v>#DIV/0!</v>
      </c>
      <c r="AH50" s="75" t="e">
        <f t="shared" si="203"/>
        <v>#DIV/0!</v>
      </c>
      <c r="AI50" s="75" t="e">
        <f t="shared" si="203"/>
        <v>#DIV/0!</v>
      </c>
      <c r="AJ50" s="75" t="e">
        <f t="shared" si="203"/>
        <v>#DIV/0!</v>
      </c>
      <c r="AK50" s="75" t="e">
        <f t="shared" si="203"/>
        <v>#DIV/0!</v>
      </c>
    </row>
    <row r="51" spans="2:37" x14ac:dyDescent="0.15">
      <c r="B51" s="155" t="s">
        <v>31</v>
      </c>
      <c r="C51" s="84">
        <f>SUMIFS('caseload data'!E:E,'caseload data'!$A:$A,$B51,'caseload data'!$B:$B,"licence")</f>
        <v>0</v>
      </c>
      <c r="D51" s="84">
        <f>SUMIFS('caseload data'!F:F,'caseload data'!$A:$A,$B51,'caseload data'!$B:$B,"licence")</f>
        <v>0</v>
      </c>
      <c r="E51" s="84">
        <f>SUMIFS('caseload data'!G:G,'caseload data'!$A:$A,$B51,'caseload data'!$B:$B,"licence")</f>
        <v>0</v>
      </c>
      <c r="F51" s="84">
        <f>SUMIFS('caseload data'!H:H,'caseload data'!$A:$A,$B51,'caseload data'!$B:$B,"licence")</f>
        <v>0</v>
      </c>
      <c r="G51" s="84">
        <f>SUMIFS('caseload data'!I:I,'caseload data'!$A:$A,$B51,'caseload data'!$B:$B,"licence")</f>
        <v>0</v>
      </c>
      <c r="H51" s="84">
        <f>SUMIFS('caseload data'!J:J,'caseload data'!$A:$A,$B51,'caseload data'!$B:$B,"licence")</f>
        <v>0</v>
      </c>
      <c r="I51" s="84">
        <f>SUMIFS('caseload data'!K:K,'caseload data'!$A:$A,$B51,'caseload data'!$B:$B,"licence")</f>
        <v>0</v>
      </c>
      <c r="J51" s="84">
        <f>SUMIFS('caseload data'!L:L,'caseload data'!$A:$A,$B51,'caseload data'!$B:$B,"licence")</f>
        <v>0</v>
      </c>
      <c r="K51" s="84">
        <f>SUMIFS('caseload data'!M:M,'caseload data'!$A:$A,$B51,'caseload data'!$B:$B,"licence")</f>
        <v>0</v>
      </c>
      <c r="L51" s="84">
        <f>SUMIFS('caseload data'!N:N,'caseload data'!$A:$A,$B51,'caseload data'!$B:$B,"licence")</f>
        <v>0</v>
      </c>
      <c r="M51" s="84">
        <f>SUMIFS('caseload data'!O:O,'caseload data'!$A:$A,$B51,'caseload data'!$B:$B,"licence")</f>
        <v>0</v>
      </c>
      <c r="N51" s="84">
        <f>SUMIFS('caseload data'!P:P,'caseload data'!$A:$A,$B51,'caseload data'!$B:$B,"licence")</f>
        <v>0</v>
      </c>
      <c r="O51" s="84">
        <f>SUMIFS('caseload data'!Q:Q,'caseload data'!$A:$A,$B51,'caseload data'!$B:$B,"licence")</f>
        <v>0</v>
      </c>
      <c r="P51" s="84">
        <f>SUMIFS('caseload data'!R:R,'caseload data'!$A:$A,$B51,'caseload data'!$B:$B,"licence")</f>
        <v>0</v>
      </c>
      <c r="Q51" s="84">
        <f>SUMIFS('caseload data'!S:S,'caseload data'!$A:$A,$B51,'caseload data'!$B:$B,"licence")</f>
        <v>0</v>
      </c>
      <c r="R51" s="84">
        <f>SUMIFS('caseload data'!T:T,'caseload data'!$A:$A,$B51,'caseload data'!$B:$B,"licence")</f>
        <v>0</v>
      </c>
      <c r="S51" s="84">
        <f>SUMIFS('caseload data'!V:V,'caseload data'!$A:$A,B51,'caseload data'!$B:$B,"licence")</f>
        <v>0</v>
      </c>
      <c r="T51" s="101"/>
      <c r="U51" s="155" t="s">
        <v>31</v>
      </c>
      <c r="V51" s="75" t="e">
        <f>C51/$S$51</f>
        <v>#DIV/0!</v>
      </c>
      <c r="W51" s="75" t="e">
        <f t="shared" ref="W51:AK51" si="204">D51/$S$51</f>
        <v>#DIV/0!</v>
      </c>
      <c r="X51" s="75" t="e">
        <f t="shared" si="204"/>
        <v>#DIV/0!</v>
      </c>
      <c r="Y51" s="75" t="e">
        <f t="shared" si="204"/>
        <v>#DIV/0!</v>
      </c>
      <c r="Z51" s="75" t="e">
        <f t="shared" si="204"/>
        <v>#DIV/0!</v>
      </c>
      <c r="AA51" s="75" t="e">
        <f t="shared" si="204"/>
        <v>#DIV/0!</v>
      </c>
      <c r="AB51" s="75" t="e">
        <f t="shared" si="204"/>
        <v>#DIV/0!</v>
      </c>
      <c r="AC51" s="75" t="e">
        <f t="shared" si="204"/>
        <v>#DIV/0!</v>
      </c>
      <c r="AD51" s="75" t="e">
        <f t="shared" si="204"/>
        <v>#DIV/0!</v>
      </c>
      <c r="AE51" s="75" t="e">
        <f t="shared" si="204"/>
        <v>#DIV/0!</v>
      </c>
      <c r="AF51" s="75" t="e">
        <f t="shared" si="204"/>
        <v>#DIV/0!</v>
      </c>
      <c r="AG51" s="75" t="e">
        <f t="shared" si="204"/>
        <v>#DIV/0!</v>
      </c>
      <c r="AH51" s="75" t="e">
        <f t="shared" si="204"/>
        <v>#DIV/0!</v>
      </c>
      <c r="AI51" s="75" t="e">
        <f t="shared" si="204"/>
        <v>#DIV/0!</v>
      </c>
      <c r="AJ51" s="75" t="e">
        <f t="shared" si="204"/>
        <v>#DIV/0!</v>
      </c>
      <c r="AK51" s="75" t="e">
        <f t="shared" si="204"/>
        <v>#DIV/0!</v>
      </c>
    </row>
    <row r="52" spans="2:37" x14ac:dyDescent="0.15">
      <c r="B52" s="120" t="s">
        <v>939</v>
      </c>
      <c r="C52" s="120">
        <f>SUMIF('caseload data'!$B:$B,"licence",'caseload data'!E:E)</f>
        <v>0</v>
      </c>
      <c r="D52" s="120">
        <f>SUMIF('caseload data'!$B:$B,"licence",'caseload data'!F:F)</f>
        <v>0</v>
      </c>
      <c r="E52" s="120">
        <f>SUMIF('caseload data'!$B:$B,"licence",'caseload data'!G:G)</f>
        <v>0</v>
      </c>
      <c r="F52" s="120">
        <f>SUMIF('caseload data'!$B:$B,"licence",'caseload data'!H:H)</f>
        <v>0</v>
      </c>
      <c r="G52" s="120">
        <f>SUMIF('caseload data'!$B:$B,"licence",'caseload data'!I:I)</f>
        <v>0</v>
      </c>
      <c r="H52" s="120">
        <f>SUMIF('caseload data'!$B:$B,"licence",'caseload data'!J:J)</f>
        <v>0</v>
      </c>
      <c r="I52" s="120">
        <f>SUMIF('caseload data'!$B:$B,"licence",'caseload data'!K:K)</f>
        <v>0</v>
      </c>
      <c r="J52" s="120">
        <f>SUMIF('caseload data'!$B:$B,"licence",'caseload data'!L:L)</f>
        <v>0</v>
      </c>
      <c r="K52" s="120">
        <f>SUMIF('caseload data'!$B:$B,"licence",'caseload data'!M:M)</f>
        <v>0</v>
      </c>
      <c r="L52" s="120">
        <f>SUMIF('caseload data'!$B:$B,"licence",'caseload data'!N:N)</f>
        <v>0</v>
      </c>
      <c r="M52" s="120">
        <f>SUMIF('caseload data'!$B:$B,"licence",'caseload data'!O:O)</f>
        <v>0</v>
      </c>
      <c r="N52" s="120">
        <f>SUMIF('caseload data'!$B:$B,"licence",'caseload data'!P:P)</f>
        <v>0</v>
      </c>
      <c r="O52" s="120">
        <f>SUMIF('caseload data'!$B:$B,"licence",'caseload data'!Q:Q)</f>
        <v>0</v>
      </c>
      <c r="P52" s="120">
        <f>SUMIF('caseload data'!$B:$B,"licence",'caseload data'!R:R)</f>
        <v>0</v>
      </c>
      <c r="Q52" s="120">
        <f>SUMIF('caseload data'!$B:$B,"licence",'caseload data'!S:S)</f>
        <v>0</v>
      </c>
      <c r="R52" s="120">
        <f>SUMIF('caseload data'!$B:$B,"licence",'caseload data'!T:T)</f>
        <v>0</v>
      </c>
      <c r="S52" s="120">
        <f>SUMIF('caseload data'!$B:$B,"licence",'caseload data'!V:V)</f>
        <v>0</v>
      </c>
      <c r="T52" s="101"/>
      <c r="U52" s="120" t="s">
        <v>939</v>
      </c>
      <c r="V52" s="125" t="e">
        <f>C52/$S$52</f>
        <v>#DIV/0!</v>
      </c>
      <c r="W52" s="125" t="e">
        <f t="shared" ref="W52:AK52" si="205">D52/$S$52</f>
        <v>#DIV/0!</v>
      </c>
      <c r="X52" s="125" t="e">
        <f t="shared" si="205"/>
        <v>#DIV/0!</v>
      </c>
      <c r="Y52" s="125" t="e">
        <f t="shared" si="205"/>
        <v>#DIV/0!</v>
      </c>
      <c r="Z52" s="125" t="e">
        <f t="shared" si="205"/>
        <v>#DIV/0!</v>
      </c>
      <c r="AA52" s="125" t="e">
        <f t="shared" si="205"/>
        <v>#DIV/0!</v>
      </c>
      <c r="AB52" s="125" t="e">
        <f t="shared" si="205"/>
        <v>#DIV/0!</v>
      </c>
      <c r="AC52" s="125" t="e">
        <f t="shared" si="205"/>
        <v>#DIV/0!</v>
      </c>
      <c r="AD52" s="125" t="e">
        <f t="shared" si="205"/>
        <v>#DIV/0!</v>
      </c>
      <c r="AE52" s="125" t="e">
        <f t="shared" si="205"/>
        <v>#DIV/0!</v>
      </c>
      <c r="AF52" s="125" t="e">
        <f t="shared" si="205"/>
        <v>#DIV/0!</v>
      </c>
      <c r="AG52" s="125" t="e">
        <f t="shared" si="205"/>
        <v>#DIV/0!</v>
      </c>
      <c r="AH52" s="125" t="e">
        <f t="shared" si="205"/>
        <v>#DIV/0!</v>
      </c>
      <c r="AI52" s="125" t="e">
        <f t="shared" si="205"/>
        <v>#DIV/0!</v>
      </c>
      <c r="AJ52" s="125" t="e">
        <f t="shared" si="205"/>
        <v>#DIV/0!</v>
      </c>
      <c r="AK52" s="125" t="e">
        <f t="shared" si="205"/>
        <v>#DIV/0!</v>
      </c>
    </row>
    <row r="54" spans="2:37" ht="16" x14ac:dyDescent="0.2">
      <c r="C54" s="319" t="s">
        <v>1127</v>
      </c>
      <c r="D54" s="323"/>
      <c r="E54" s="323"/>
      <c r="F54" s="323"/>
      <c r="G54" s="323"/>
      <c r="H54" s="323"/>
      <c r="I54" s="323"/>
      <c r="J54" s="323"/>
      <c r="K54" s="323"/>
      <c r="L54" s="323"/>
      <c r="M54" s="323"/>
      <c r="N54" s="323"/>
      <c r="O54" s="323"/>
      <c r="P54" s="323"/>
      <c r="Q54" s="323"/>
      <c r="R54" s="323"/>
      <c r="S54" s="365"/>
      <c r="V54" s="366" t="s">
        <v>1128</v>
      </c>
      <c r="W54" s="366"/>
      <c r="X54" s="366"/>
      <c r="Y54" s="366"/>
      <c r="Z54" s="366"/>
      <c r="AA54" s="366"/>
      <c r="AB54" s="366"/>
    </row>
    <row r="55" spans="2:37" x14ac:dyDescent="0.15">
      <c r="B55" s="153"/>
      <c r="C55" s="41" t="s">
        <v>922</v>
      </c>
      <c r="D55" s="41" t="s">
        <v>923</v>
      </c>
      <c r="E55" s="41" t="s">
        <v>924</v>
      </c>
      <c r="F55" s="41" t="s">
        <v>925</v>
      </c>
      <c r="G55" s="41" t="s">
        <v>926</v>
      </c>
      <c r="H55" s="41" t="s">
        <v>927</v>
      </c>
      <c r="I55" s="41" t="s">
        <v>928</v>
      </c>
      <c r="J55" s="41" t="s">
        <v>929</v>
      </c>
      <c r="K55" s="41" t="s">
        <v>930</v>
      </c>
      <c r="L55" s="41" t="s">
        <v>931</v>
      </c>
      <c r="M55" s="41" t="s">
        <v>932</v>
      </c>
      <c r="N55" s="41" t="s">
        <v>933</v>
      </c>
      <c r="O55" s="41" t="s">
        <v>934</v>
      </c>
      <c r="P55" s="41" t="s">
        <v>935</v>
      </c>
      <c r="Q55" s="41" t="s">
        <v>936</v>
      </c>
      <c r="R55" s="41" t="s">
        <v>937</v>
      </c>
      <c r="S55" s="42" t="s">
        <v>939</v>
      </c>
      <c r="T55" s="101"/>
      <c r="U55" s="256"/>
      <c r="V55" s="41" t="s">
        <v>922</v>
      </c>
      <c r="W55" s="41" t="s">
        <v>923</v>
      </c>
      <c r="X55" s="41" t="s">
        <v>924</v>
      </c>
      <c r="Y55" s="41" t="s">
        <v>925</v>
      </c>
      <c r="Z55" s="41" t="s">
        <v>926</v>
      </c>
      <c r="AA55" s="41" t="s">
        <v>927</v>
      </c>
      <c r="AB55" s="41" t="s">
        <v>928</v>
      </c>
      <c r="AC55" s="41" t="s">
        <v>929</v>
      </c>
      <c r="AD55" s="41" t="s">
        <v>930</v>
      </c>
      <c r="AE55" s="41" t="s">
        <v>931</v>
      </c>
      <c r="AF55" s="41" t="s">
        <v>932</v>
      </c>
      <c r="AG55" s="41" t="s">
        <v>933</v>
      </c>
      <c r="AH55" s="41" t="s">
        <v>934</v>
      </c>
      <c r="AI55" s="41" t="s">
        <v>935</v>
      </c>
      <c r="AJ55" s="41" t="s">
        <v>936</v>
      </c>
      <c r="AK55" s="41" t="s">
        <v>937</v>
      </c>
    </row>
    <row r="56" spans="2:37" x14ac:dyDescent="0.15">
      <c r="B56" s="155" t="s">
        <v>20</v>
      </c>
      <c r="C56" s="84">
        <f>SUMIFS('caseload data'!E:E,'caseload data'!$A:$A,$B56,'caseload data'!$B:$B,"community")</f>
        <v>0</v>
      </c>
      <c r="D56" s="84">
        <f>SUMIFS('caseload data'!F:F,'caseload data'!$A:$A,$B56,'caseload data'!$B:$B,"community")</f>
        <v>0</v>
      </c>
      <c r="E56" s="84">
        <f>SUMIFS('caseload data'!G:G,'caseload data'!$A:$A,$B56,'caseload data'!$B:$B,"community")</f>
        <v>0</v>
      </c>
      <c r="F56" s="84">
        <f>SUMIFS('caseload data'!H:H,'caseload data'!$A:$A,$B56,'caseload data'!$B:$B,"community")</f>
        <v>0</v>
      </c>
      <c r="G56" s="84">
        <f>SUMIFS('caseload data'!I:I,'caseload data'!$A:$A,$B56,'caseload data'!$B:$B,"community")</f>
        <v>0</v>
      </c>
      <c r="H56" s="84">
        <f>SUMIFS('caseload data'!J:J,'caseload data'!$A:$A,$B56,'caseload data'!$B:$B,"community")</f>
        <v>0</v>
      </c>
      <c r="I56" s="84">
        <f>SUMIFS('caseload data'!K:K,'caseload data'!$A:$A,$B56,'caseload data'!$B:$B,"community")</f>
        <v>0</v>
      </c>
      <c r="J56" s="84">
        <f>SUMIFS('caseload data'!L:L,'caseload data'!$A:$A,$B56,'caseload data'!$B:$B,"community")</f>
        <v>0</v>
      </c>
      <c r="K56" s="84">
        <f>SUMIFS('caseload data'!M:M,'caseload data'!$A:$A,$B56,'caseload data'!$B:$B,"community")</f>
        <v>0</v>
      </c>
      <c r="L56" s="84">
        <f>SUMIFS('caseload data'!N:N,'caseload data'!$A:$A,$B56,'caseload data'!$B:$B,"community")</f>
        <v>0</v>
      </c>
      <c r="M56" s="84">
        <f>SUMIFS('caseload data'!O:O,'caseload data'!$A:$A,$B56,'caseload data'!$B:$B,"community")</f>
        <v>0</v>
      </c>
      <c r="N56" s="84">
        <f>SUMIFS('caseload data'!P:P,'caseload data'!$A:$A,$B56,'caseload data'!$B:$B,"community")</f>
        <v>0</v>
      </c>
      <c r="O56" s="84">
        <f>SUMIFS('caseload data'!Q:Q,'caseload data'!$A:$A,$B56,'caseload data'!$B:$B,"community")</f>
        <v>0</v>
      </c>
      <c r="P56" s="84">
        <f>SUMIFS('caseload data'!R:R,'caseload data'!$A:$A,$B56,'caseload data'!$B:$B,"community")</f>
        <v>0</v>
      </c>
      <c r="Q56" s="84">
        <f>SUMIFS('caseload data'!S:S,'caseload data'!$A:$A,$B56,'caseload data'!$B:$B,"community")</f>
        <v>0</v>
      </c>
      <c r="R56" s="84">
        <f>SUMIFS('caseload data'!T:T,'caseload data'!$A:$A,$B56,'caseload data'!$B:$B,"community")</f>
        <v>0</v>
      </c>
      <c r="S56" s="84">
        <f>SUMIFS('caseload data'!V:V,'caseload data'!$A:$A,B56,'caseload data'!$B:$B,"community")</f>
        <v>0</v>
      </c>
      <c r="T56" s="101"/>
      <c r="U56" s="155" t="s">
        <v>20</v>
      </c>
      <c r="V56" s="75" t="e">
        <f>C56/$S$56</f>
        <v>#DIV/0!</v>
      </c>
      <c r="W56" s="75" t="e">
        <f t="shared" ref="W56:AK56" si="206">D56/$S$56</f>
        <v>#DIV/0!</v>
      </c>
      <c r="X56" s="75" t="e">
        <f t="shared" si="206"/>
        <v>#DIV/0!</v>
      </c>
      <c r="Y56" s="75" t="e">
        <f t="shared" si="206"/>
        <v>#DIV/0!</v>
      </c>
      <c r="Z56" s="75" t="e">
        <f t="shared" si="206"/>
        <v>#DIV/0!</v>
      </c>
      <c r="AA56" s="75" t="e">
        <f t="shared" si="206"/>
        <v>#DIV/0!</v>
      </c>
      <c r="AB56" s="75" t="e">
        <f t="shared" si="206"/>
        <v>#DIV/0!</v>
      </c>
      <c r="AC56" s="75" t="e">
        <f t="shared" si="206"/>
        <v>#DIV/0!</v>
      </c>
      <c r="AD56" s="75" t="e">
        <f t="shared" si="206"/>
        <v>#DIV/0!</v>
      </c>
      <c r="AE56" s="75" t="e">
        <f t="shared" si="206"/>
        <v>#DIV/0!</v>
      </c>
      <c r="AF56" s="75" t="e">
        <f t="shared" si="206"/>
        <v>#DIV/0!</v>
      </c>
      <c r="AG56" s="75" t="e">
        <f t="shared" si="206"/>
        <v>#DIV/0!</v>
      </c>
      <c r="AH56" s="75" t="e">
        <f t="shared" si="206"/>
        <v>#DIV/0!</v>
      </c>
      <c r="AI56" s="75" t="e">
        <f t="shared" si="206"/>
        <v>#DIV/0!</v>
      </c>
      <c r="AJ56" s="75" t="e">
        <f t="shared" si="206"/>
        <v>#DIV/0!</v>
      </c>
      <c r="AK56" s="75" t="e">
        <f t="shared" si="206"/>
        <v>#DIV/0!</v>
      </c>
    </row>
    <row r="57" spans="2:37" x14ac:dyDescent="0.15">
      <c r="B57" s="155" t="s">
        <v>21</v>
      </c>
      <c r="C57" s="84">
        <f>SUMIFS('caseload data'!E:E,'caseload data'!$A:$A,$B57,'caseload data'!$B:$B,"community")</f>
        <v>0</v>
      </c>
      <c r="D57" s="84">
        <f>SUMIFS('caseload data'!F:F,'caseload data'!$A:$A,$B57,'caseload data'!$B:$B,"community")</f>
        <v>0</v>
      </c>
      <c r="E57" s="84">
        <f>SUMIFS('caseload data'!G:G,'caseload data'!$A:$A,$B57,'caseload data'!$B:$B,"community")</f>
        <v>0</v>
      </c>
      <c r="F57" s="84">
        <f>SUMIFS('caseload data'!H:H,'caseload data'!$A:$A,$B57,'caseload data'!$B:$B,"community")</f>
        <v>0</v>
      </c>
      <c r="G57" s="84">
        <f>SUMIFS('caseload data'!I:I,'caseload data'!$A:$A,$B57,'caseload data'!$B:$B,"community")</f>
        <v>0</v>
      </c>
      <c r="H57" s="84">
        <f>SUMIFS('caseload data'!J:J,'caseload data'!$A:$A,$B57,'caseload data'!$B:$B,"community")</f>
        <v>0</v>
      </c>
      <c r="I57" s="84">
        <f>SUMIFS('caseload data'!K:K,'caseload data'!$A:$A,$B57,'caseload data'!$B:$B,"community")</f>
        <v>0</v>
      </c>
      <c r="J57" s="84">
        <f>SUMIFS('caseload data'!L:L,'caseload data'!$A:$A,$B57,'caseload data'!$B:$B,"community")</f>
        <v>0</v>
      </c>
      <c r="K57" s="84">
        <f>SUMIFS('caseload data'!M:M,'caseload data'!$A:$A,$B57,'caseload data'!$B:$B,"community")</f>
        <v>0</v>
      </c>
      <c r="L57" s="84">
        <f>SUMIFS('caseload data'!N:N,'caseload data'!$A:$A,$B57,'caseload data'!$B:$B,"community")</f>
        <v>0</v>
      </c>
      <c r="M57" s="84">
        <f>SUMIFS('caseload data'!O:O,'caseload data'!$A:$A,$B57,'caseload data'!$B:$B,"community")</f>
        <v>0</v>
      </c>
      <c r="N57" s="84">
        <f>SUMIFS('caseload data'!P:P,'caseload data'!$A:$A,$B57,'caseload data'!$B:$B,"community")</f>
        <v>0</v>
      </c>
      <c r="O57" s="84">
        <f>SUMIFS('caseload data'!Q:Q,'caseload data'!$A:$A,$B57,'caseload data'!$B:$B,"community")</f>
        <v>0</v>
      </c>
      <c r="P57" s="84">
        <f>SUMIFS('caseload data'!R:R,'caseload data'!$A:$A,$B57,'caseload data'!$B:$B,"community")</f>
        <v>0</v>
      </c>
      <c r="Q57" s="84">
        <f>SUMIFS('caseload data'!S:S,'caseload data'!$A:$A,$B57,'caseload data'!$B:$B,"community")</f>
        <v>0</v>
      </c>
      <c r="R57" s="84">
        <f>SUMIFS('caseload data'!T:T,'caseload data'!$A:$A,$B57,'caseload data'!$B:$B,"community")</f>
        <v>0</v>
      </c>
      <c r="S57" s="84">
        <f>SUMIFS('caseload data'!V:V,'caseload data'!$A:$A,B57,'caseload data'!$B:$B,"community")</f>
        <v>0</v>
      </c>
      <c r="T57" s="101"/>
      <c r="U57" s="155" t="s">
        <v>21</v>
      </c>
      <c r="V57" s="75" t="e">
        <f>C57/$S$57</f>
        <v>#DIV/0!</v>
      </c>
      <c r="W57" s="75" t="e">
        <f t="shared" ref="W57:AK57" si="207">D57/$S$57</f>
        <v>#DIV/0!</v>
      </c>
      <c r="X57" s="75" t="e">
        <f t="shared" si="207"/>
        <v>#DIV/0!</v>
      </c>
      <c r="Y57" s="75" t="e">
        <f t="shared" si="207"/>
        <v>#DIV/0!</v>
      </c>
      <c r="Z57" s="75" t="e">
        <f t="shared" si="207"/>
        <v>#DIV/0!</v>
      </c>
      <c r="AA57" s="75" t="e">
        <f t="shared" si="207"/>
        <v>#DIV/0!</v>
      </c>
      <c r="AB57" s="75" t="e">
        <f t="shared" si="207"/>
        <v>#DIV/0!</v>
      </c>
      <c r="AC57" s="75" t="e">
        <f t="shared" si="207"/>
        <v>#DIV/0!</v>
      </c>
      <c r="AD57" s="75" t="e">
        <f t="shared" si="207"/>
        <v>#DIV/0!</v>
      </c>
      <c r="AE57" s="75" t="e">
        <f t="shared" si="207"/>
        <v>#DIV/0!</v>
      </c>
      <c r="AF57" s="75" t="e">
        <f t="shared" si="207"/>
        <v>#DIV/0!</v>
      </c>
      <c r="AG57" s="75" t="e">
        <f t="shared" si="207"/>
        <v>#DIV/0!</v>
      </c>
      <c r="AH57" s="75" t="e">
        <f t="shared" si="207"/>
        <v>#DIV/0!</v>
      </c>
      <c r="AI57" s="75" t="e">
        <f t="shared" si="207"/>
        <v>#DIV/0!</v>
      </c>
      <c r="AJ57" s="75" t="e">
        <f t="shared" si="207"/>
        <v>#DIV/0!</v>
      </c>
      <c r="AK57" s="75" t="e">
        <f t="shared" si="207"/>
        <v>#DIV/0!</v>
      </c>
    </row>
    <row r="58" spans="2:37" x14ac:dyDescent="0.15">
      <c r="B58" s="155" t="s">
        <v>22</v>
      </c>
      <c r="C58" s="84">
        <f>SUMIFS('caseload data'!E:E,'caseload data'!$A:$A,$B58,'caseload data'!$B:$B,"community")</f>
        <v>0</v>
      </c>
      <c r="D58" s="84">
        <f>SUMIFS('caseload data'!F:F,'caseload data'!$A:$A,$B58,'caseload data'!$B:$B,"community")</f>
        <v>0</v>
      </c>
      <c r="E58" s="84">
        <f>SUMIFS('caseload data'!G:G,'caseload data'!$A:$A,$B58,'caseload data'!$B:$B,"community")</f>
        <v>0</v>
      </c>
      <c r="F58" s="84">
        <f>SUMIFS('caseload data'!H:H,'caseload data'!$A:$A,$B58,'caseload data'!$B:$B,"community")</f>
        <v>0</v>
      </c>
      <c r="G58" s="84">
        <f>SUMIFS('caseload data'!I:I,'caseload data'!$A:$A,$B58,'caseload data'!$B:$B,"community")</f>
        <v>0</v>
      </c>
      <c r="H58" s="84">
        <f>SUMIFS('caseload data'!J:J,'caseload data'!$A:$A,$B58,'caseload data'!$B:$B,"community")</f>
        <v>0</v>
      </c>
      <c r="I58" s="84">
        <f>SUMIFS('caseload data'!K:K,'caseload data'!$A:$A,$B58,'caseload data'!$B:$B,"community")</f>
        <v>0</v>
      </c>
      <c r="J58" s="84">
        <f>SUMIFS('caseload data'!L:L,'caseload data'!$A:$A,$B58,'caseload data'!$B:$B,"community")</f>
        <v>0</v>
      </c>
      <c r="K58" s="84">
        <f>SUMIFS('caseload data'!M:M,'caseload data'!$A:$A,$B58,'caseload data'!$B:$B,"community")</f>
        <v>0</v>
      </c>
      <c r="L58" s="84">
        <f>SUMIFS('caseload data'!N:N,'caseload data'!$A:$A,$B58,'caseload data'!$B:$B,"community")</f>
        <v>0</v>
      </c>
      <c r="M58" s="84">
        <f>SUMIFS('caseload data'!O:O,'caseload data'!$A:$A,$B58,'caseload data'!$B:$B,"community")</f>
        <v>0</v>
      </c>
      <c r="N58" s="84">
        <f>SUMIFS('caseload data'!P:P,'caseload data'!$A:$A,$B58,'caseload data'!$B:$B,"community")</f>
        <v>0</v>
      </c>
      <c r="O58" s="84">
        <f>SUMIFS('caseload data'!Q:Q,'caseload data'!$A:$A,$B58,'caseload data'!$B:$B,"community")</f>
        <v>0</v>
      </c>
      <c r="P58" s="84">
        <f>SUMIFS('caseload data'!R:R,'caseload data'!$A:$A,$B58,'caseload data'!$B:$B,"community")</f>
        <v>0</v>
      </c>
      <c r="Q58" s="84">
        <f>SUMIFS('caseload data'!S:S,'caseload data'!$A:$A,$B58,'caseload data'!$B:$B,"community")</f>
        <v>0</v>
      </c>
      <c r="R58" s="84">
        <f>SUMIFS('caseload data'!T:T,'caseload data'!$A:$A,$B58,'caseload data'!$B:$B,"community")</f>
        <v>0</v>
      </c>
      <c r="S58" s="84">
        <f>SUMIFS('caseload data'!V:V,'caseload data'!$A:$A,B58,'caseload data'!$B:$B,"community")</f>
        <v>0</v>
      </c>
      <c r="T58" s="101"/>
      <c r="U58" s="155" t="s">
        <v>22</v>
      </c>
      <c r="V58" s="75" t="e">
        <f>C58/$S$58</f>
        <v>#DIV/0!</v>
      </c>
      <c r="W58" s="75" t="e">
        <f t="shared" ref="W58:AK58" si="208">D58/$S$58</f>
        <v>#DIV/0!</v>
      </c>
      <c r="X58" s="75" t="e">
        <f t="shared" si="208"/>
        <v>#DIV/0!</v>
      </c>
      <c r="Y58" s="75" t="e">
        <f t="shared" si="208"/>
        <v>#DIV/0!</v>
      </c>
      <c r="Z58" s="75" t="e">
        <f t="shared" si="208"/>
        <v>#DIV/0!</v>
      </c>
      <c r="AA58" s="75" t="e">
        <f t="shared" si="208"/>
        <v>#DIV/0!</v>
      </c>
      <c r="AB58" s="75" t="e">
        <f t="shared" si="208"/>
        <v>#DIV/0!</v>
      </c>
      <c r="AC58" s="75" t="e">
        <f t="shared" si="208"/>
        <v>#DIV/0!</v>
      </c>
      <c r="AD58" s="75" t="e">
        <f t="shared" si="208"/>
        <v>#DIV/0!</v>
      </c>
      <c r="AE58" s="75" t="e">
        <f t="shared" si="208"/>
        <v>#DIV/0!</v>
      </c>
      <c r="AF58" s="75" t="e">
        <f t="shared" si="208"/>
        <v>#DIV/0!</v>
      </c>
      <c r="AG58" s="75" t="e">
        <f t="shared" si="208"/>
        <v>#DIV/0!</v>
      </c>
      <c r="AH58" s="75" t="e">
        <f t="shared" si="208"/>
        <v>#DIV/0!</v>
      </c>
      <c r="AI58" s="75" t="e">
        <f t="shared" si="208"/>
        <v>#DIV/0!</v>
      </c>
      <c r="AJ58" s="75" t="e">
        <f t="shared" si="208"/>
        <v>#DIV/0!</v>
      </c>
      <c r="AK58" s="75" t="e">
        <f t="shared" si="208"/>
        <v>#DIV/0!</v>
      </c>
    </row>
    <row r="59" spans="2:37" x14ac:dyDescent="0.15">
      <c r="B59" s="155" t="s">
        <v>23</v>
      </c>
      <c r="C59" s="84">
        <f>SUMIFS('caseload data'!E:E,'caseload data'!$A:$A,$B59,'caseload data'!$B:$B,"community")</f>
        <v>0</v>
      </c>
      <c r="D59" s="84">
        <f>SUMIFS('caseload data'!F:F,'caseload data'!$A:$A,$B59,'caseload data'!$B:$B,"community")</f>
        <v>0</v>
      </c>
      <c r="E59" s="84">
        <f>SUMIFS('caseload data'!G:G,'caseload data'!$A:$A,$B59,'caseload data'!$B:$B,"community")</f>
        <v>0</v>
      </c>
      <c r="F59" s="84">
        <f>SUMIFS('caseload data'!H:H,'caseload data'!$A:$A,$B59,'caseload data'!$B:$B,"community")</f>
        <v>0</v>
      </c>
      <c r="G59" s="84">
        <f>SUMIFS('caseload data'!I:I,'caseload data'!$A:$A,$B59,'caseload data'!$B:$B,"community")</f>
        <v>0</v>
      </c>
      <c r="H59" s="84">
        <f>SUMIFS('caseload data'!J:J,'caseload data'!$A:$A,$B59,'caseload data'!$B:$B,"community")</f>
        <v>0</v>
      </c>
      <c r="I59" s="84">
        <f>SUMIFS('caseload data'!K:K,'caseload data'!$A:$A,$B59,'caseload data'!$B:$B,"community")</f>
        <v>0</v>
      </c>
      <c r="J59" s="84">
        <f>SUMIFS('caseload data'!L:L,'caseload data'!$A:$A,$B59,'caseload data'!$B:$B,"community")</f>
        <v>0</v>
      </c>
      <c r="K59" s="84">
        <f>SUMIFS('caseload data'!M:M,'caseload data'!$A:$A,$B59,'caseload data'!$B:$B,"community")</f>
        <v>0</v>
      </c>
      <c r="L59" s="84">
        <f>SUMIFS('caseload data'!N:N,'caseload data'!$A:$A,$B59,'caseload data'!$B:$B,"community")</f>
        <v>0</v>
      </c>
      <c r="M59" s="84">
        <f>SUMIFS('caseload data'!O:O,'caseload data'!$A:$A,$B59,'caseload data'!$B:$B,"community")</f>
        <v>0</v>
      </c>
      <c r="N59" s="84">
        <f>SUMIFS('caseload data'!P:P,'caseload data'!$A:$A,$B59,'caseload data'!$B:$B,"community")</f>
        <v>0</v>
      </c>
      <c r="O59" s="84">
        <f>SUMIFS('caseload data'!Q:Q,'caseload data'!$A:$A,$B59,'caseload data'!$B:$B,"community")</f>
        <v>0</v>
      </c>
      <c r="P59" s="84">
        <f>SUMIFS('caseload data'!R:R,'caseload data'!$A:$A,$B59,'caseload data'!$B:$B,"community")</f>
        <v>0</v>
      </c>
      <c r="Q59" s="84">
        <f>SUMIFS('caseload data'!S:S,'caseload data'!$A:$A,$B59,'caseload data'!$B:$B,"community")</f>
        <v>0</v>
      </c>
      <c r="R59" s="84">
        <f>SUMIFS('caseload data'!T:T,'caseload data'!$A:$A,$B59,'caseload data'!$B:$B,"community")</f>
        <v>0</v>
      </c>
      <c r="S59" s="84">
        <f>SUMIFS('caseload data'!V:V,'caseload data'!$A:$A,B59,'caseload data'!$B:$B,"community")</f>
        <v>0</v>
      </c>
      <c r="T59" s="101"/>
      <c r="U59" s="155" t="s">
        <v>23</v>
      </c>
      <c r="V59" s="75" t="e">
        <f>C59/$S$59</f>
        <v>#DIV/0!</v>
      </c>
      <c r="W59" s="75" t="e">
        <f t="shared" ref="W59:AK59" si="209">D59/$S$59</f>
        <v>#DIV/0!</v>
      </c>
      <c r="X59" s="75" t="e">
        <f t="shared" si="209"/>
        <v>#DIV/0!</v>
      </c>
      <c r="Y59" s="75" t="e">
        <f t="shared" si="209"/>
        <v>#DIV/0!</v>
      </c>
      <c r="Z59" s="75" t="e">
        <f t="shared" si="209"/>
        <v>#DIV/0!</v>
      </c>
      <c r="AA59" s="75" t="e">
        <f t="shared" si="209"/>
        <v>#DIV/0!</v>
      </c>
      <c r="AB59" s="75" t="e">
        <f t="shared" si="209"/>
        <v>#DIV/0!</v>
      </c>
      <c r="AC59" s="75" t="e">
        <f t="shared" si="209"/>
        <v>#DIV/0!</v>
      </c>
      <c r="AD59" s="75" t="e">
        <f t="shared" si="209"/>
        <v>#DIV/0!</v>
      </c>
      <c r="AE59" s="75" t="e">
        <f t="shared" si="209"/>
        <v>#DIV/0!</v>
      </c>
      <c r="AF59" s="75" t="e">
        <f t="shared" si="209"/>
        <v>#DIV/0!</v>
      </c>
      <c r="AG59" s="75" t="e">
        <f t="shared" si="209"/>
        <v>#DIV/0!</v>
      </c>
      <c r="AH59" s="75" t="e">
        <f t="shared" si="209"/>
        <v>#DIV/0!</v>
      </c>
      <c r="AI59" s="75" t="e">
        <f t="shared" si="209"/>
        <v>#DIV/0!</v>
      </c>
      <c r="AJ59" s="75" t="e">
        <f t="shared" si="209"/>
        <v>#DIV/0!</v>
      </c>
      <c r="AK59" s="75" t="e">
        <f t="shared" si="209"/>
        <v>#DIV/0!</v>
      </c>
    </row>
    <row r="60" spans="2:37" x14ac:dyDescent="0.15">
      <c r="B60" s="155" t="s">
        <v>24</v>
      </c>
      <c r="C60" s="84">
        <f>SUMIFS('caseload data'!E:E,'caseload data'!$A:$A,$B60,'caseload data'!$B:$B,"community")</f>
        <v>0</v>
      </c>
      <c r="D60" s="84">
        <f>SUMIFS('caseload data'!F:F,'caseload data'!$A:$A,$B60,'caseload data'!$B:$B,"community")</f>
        <v>0</v>
      </c>
      <c r="E60" s="84">
        <f>SUMIFS('caseload data'!G:G,'caseload data'!$A:$A,$B60,'caseload data'!$B:$B,"community")</f>
        <v>0</v>
      </c>
      <c r="F60" s="84">
        <f>SUMIFS('caseload data'!H:H,'caseload data'!$A:$A,$B60,'caseload data'!$B:$B,"community")</f>
        <v>0</v>
      </c>
      <c r="G60" s="84">
        <f>SUMIFS('caseload data'!I:I,'caseload data'!$A:$A,$B60,'caseload data'!$B:$B,"community")</f>
        <v>0</v>
      </c>
      <c r="H60" s="84">
        <f>SUMIFS('caseload data'!J:J,'caseload data'!$A:$A,$B60,'caseload data'!$B:$B,"community")</f>
        <v>0</v>
      </c>
      <c r="I60" s="84">
        <f>SUMIFS('caseload data'!K:K,'caseload data'!$A:$A,$B60,'caseload data'!$B:$B,"community")</f>
        <v>0</v>
      </c>
      <c r="J60" s="84">
        <f>SUMIFS('caseload data'!L:L,'caseload data'!$A:$A,$B60,'caseload data'!$B:$B,"community")</f>
        <v>0</v>
      </c>
      <c r="K60" s="84">
        <f>SUMIFS('caseload data'!M:M,'caseload data'!$A:$A,$B60,'caseload data'!$B:$B,"community")</f>
        <v>0</v>
      </c>
      <c r="L60" s="84">
        <f>SUMIFS('caseload data'!N:N,'caseload data'!$A:$A,$B60,'caseload data'!$B:$B,"community")</f>
        <v>0</v>
      </c>
      <c r="M60" s="84">
        <f>SUMIFS('caseload data'!O:O,'caseload data'!$A:$A,$B60,'caseload data'!$B:$B,"community")</f>
        <v>0</v>
      </c>
      <c r="N60" s="84">
        <f>SUMIFS('caseload data'!P:P,'caseload data'!$A:$A,$B60,'caseload data'!$B:$B,"community")</f>
        <v>0</v>
      </c>
      <c r="O60" s="84">
        <f>SUMIFS('caseload data'!Q:Q,'caseload data'!$A:$A,$B60,'caseload data'!$B:$B,"community")</f>
        <v>0</v>
      </c>
      <c r="P60" s="84">
        <f>SUMIFS('caseload data'!R:R,'caseload data'!$A:$A,$B60,'caseload data'!$B:$B,"community")</f>
        <v>0</v>
      </c>
      <c r="Q60" s="84">
        <f>SUMIFS('caseload data'!S:S,'caseload data'!$A:$A,$B60,'caseload data'!$B:$B,"community")</f>
        <v>0</v>
      </c>
      <c r="R60" s="84">
        <f>SUMIFS('caseload data'!T:T,'caseload data'!$A:$A,$B60,'caseload data'!$B:$B,"community")</f>
        <v>0</v>
      </c>
      <c r="S60" s="84">
        <f>SUMIFS('caseload data'!V:V,'caseload data'!$A:$A,B60,'caseload data'!$B:$B,"community")</f>
        <v>0</v>
      </c>
      <c r="T60" s="101"/>
      <c r="U60" s="155" t="s">
        <v>24</v>
      </c>
      <c r="V60" s="75" t="e">
        <f>C60/$S$60</f>
        <v>#DIV/0!</v>
      </c>
      <c r="W60" s="75" t="e">
        <f t="shared" ref="W60:AK60" si="210">D60/$S$60</f>
        <v>#DIV/0!</v>
      </c>
      <c r="X60" s="75" t="e">
        <f t="shared" si="210"/>
        <v>#DIV/0!</v>
      </c>
      <c r="Y60" s="75" t="e">
        <f t="shared" si="210"/>
        <v>#DIV/0!</v>
      </c>
      <c r="Z60" s="75" t="e">
        <f t="shared" si="210"/>
        <v>#DIV/0!</v>
      </c>
      <c r="AA60" s="75" t="e">
        <f t="shared" si="210"/>
        <v>#DIV/0!</v>
      </c>
      <c r="AB60" s="75" t="e">
        <f t="shared" si="210"/>
        <v>#DIV/0!</v>
      </c>
      <c r="AC60" s="75" t="e">
        <f t="shared" si="210"/>
        <v>#DIV/0!</v>
      </c>
      <c r="AD60" s="75" t="e">
        <f t="shared" si="210"/>
        <v>#DIV/0!</v>
      </c>
      <c r="AE60" s="75" t="e">
        <f t="shared" si="210"/>
        <v>#DIV/0!</v>
      </c>
      <c r="AF60" s="75" t="e">
        <f t="shared" si="210"/>
        <v>#DIV/0!</v>
      </c>
      <c r="AG60" s="75" t="e">
        <f t="shared" si="210"/>
        <v>#DIV/0!</v>
      </c>
      <c r="AH60" s="75" t="e">
        <f t="shared" si="210"/>
        <v>#DIV/0!</v>
      </c>
      <c r="AI60" s="75" t="e">
        <f t="shared" si="210"/>
        <v>#DIV/0!</v>
      </c>
      <c r="AJ60" s="75" t="e">
        <f t="shared" si="210"/>
        <v>#DIV/0!</v>
      </c>
      <c r="AK60" s="75" t="e">
        <f t="shared" si="210"/>
        <v>#DIV/0!</v>
      </c>
    </row>
    <row r="61" spans="2:37" x14ac:dyDescent="0.15">
      <c r="B61" s="155" t="s">
        <v>25</v>
      </c>
      <c r="C61" s="84">
        <f>SUMIFS('caseload data'!E:E,'caseload data'!$A:$A,$B61,'caseload data'!$B:$B,"community")</f>
        <v>0</v>
      </c>
      <c r="D61" s="84">
        <f>SUMIFS('caseload data'!F:F,'caseload data'!$A:$A,$B61,'caseload data'!$B:$B,"community")</f>
        <v>0</v>
      </c>
      <c r="E61" s="84">
        <f>SUMIFS('caseload data'!G:G,'caseload data'!$A:$A,$B61,'caseload data'!$B:$B,"community")</f>
        <v>0</v>
      </c>
      <c r="F61" s="84">
        <f>SUMIFS('caseload data'!H:H,'caseload data'!$A:$A,$B61,'caseload data'!$B:$B,"community")</f>
        <v>0</v>
      </c>
      <c r="G61" s="84">
        <f>SUMIFS('caseload data'!I:I,'caseload data'!$A:$A,$B61,'caseload data'!$B:$B,"community")</f>
        <v>0</v>
      </c>
      <c r="H61" s="84">
        <f>SUMIFS('caseload data'!J:J,'caseload data'!$A:$A,$B61,'caseload data'!$B:$B,"community")</f>
        <v>0</v>
      </c>
      <c r="I61" s="84">
        <f>SUMIFS('caseload data'!K:K,'caseload data'!$A:$A,$B61,'caseload data'!$B:$B,"community")</f>
        <v>0</v>
      </c>
      <c r="J61" s="84">
        <f>SUMIFS('caseload data'!L:L,'caseload data'!$A:$A,$B61,'caseload data'!$B:$B,"community")</f>
        <v>0</v>
      </c>
      <c r="K61" s="84">
        <f>SUMIFS('caseload data'!M:M,'caseload data'!$A:$A,$B61,'caseload data'!$B:$B,"community")</f>
        <v>0</v>
      </c>
      <c r="L61" s="84">
        <f>SUMIFS('caseload data'!N:N,'caseload data'!$A:$A,$B61,'caseload data'!$B:$B,"community")</f>
        <v>0</v>
      </c>
      <c r="M61" s="84">
        <f>SUMIFS('caseload data'!O:O,'caseload data'!$A:$A,$B61,'caseload data'!$B:$B,"community")</f>
        <v>0</v>
      </c>
      <c r="N61" s="84">
        <f>SUMIFS('caseload data'!P:P,'caseload data'!$A:$A,$B61,'caseload data'!$B:$B,"community")</f>
        <v>0</v>
      </c>
      <c r="O61" s="84">
        <f>SUMIFS('caseload data'!Q:Q,'caseload data'!$A:$A,$B61,'caseload data'!$B:$B,"community")</f>
        <v>0</v>
      </c>
      <c r="P61" s="84">
        <f>SUMIFS('caseload data'!R:R,'caseload data'!$A:$A,$B61,'caseload data'!$B:$B,"community")</f>
        <v>0</v>
      </c>
      <c r="Q61" s="84">
        <f>SUMIFS('caseload data'!S:S,'caseload data'!$A:$A,$B61,'caseload data'!$B:$B,"community")</f>
        <v>0</v>
      </c>
      <c r="R61" s="84">
        <f>SUMIFS('caseload data'!T:T,'caseload data'!$A:$A,$B61,'caseload data'!$B:$B,"community")</f>
        <v>0</v>
      </c>
      <c r="S61" s="84">
        <f>SUMIFS('caseload data'!V:V,'caseload data'!$A:$A,B61,'caseload data'!$B:$B,"community")</f>
        <v>0</v>
      </c>
      <c r="T61" s="101"/>
      <c r="U61" s="155" t="s">
        <v>25</v>
      </c>
      <c r="V61" s="75" t="e">
        <f>C61/$S$61</f>
        <v>#DIV/0!</v>
      </c>
      <c r="W61" s="75" t="e">
        <f t="shared" ref="W61:AK61" si="211">D61/$S$61</f>
        <v>#DIV/0!</v>
      </c>
      <c r="X61" s="75" t="e">
        <f t="shared" si="211"/>
        <v>#DIV/0!</v>
      </c>
      <c r="Y61" s="75" t="e">
        <f t="shared" si="211"/>
        <v>#DIV/0!</v>
      </c>
      <c r="Z61" s="75" t="e">
        <f t="shared" si="211"/>
        <v>#DIV/0!</v>
      </c>
      <c r="AA61" s="75" t="e">
        <f t="shared" si="211"/>
        <v>#DIV/0!</v>
      </c>
      <c r="AB61" s="75" t="e">
        <f t="shared" si="211"/>
        <v>#DIV/0!</v>
      </c>
      <c r="AC61" s="75" t="e">
        <f t="shared" si="211"/>
        <v>#DIV/0!</v>
      </c>
      <c r="AD61" s="75" t="e">
        <f t="shared" si="211"/>
        <v>#DIV/0!</v>
      </c>
      <c r="AE61" s="75" t="e">
        <f t="shared" si="211"/>
        <v>#DIV/0!</v>
      </c>
      <c r="AF61" s="75" t="e">
        <f t="shared" si="211"/>
        <v>#DIV/0!</v>
      </c>
      <c r="AG61" s="75" t="e">
        <f t="shared" si="211"/>
        <v>#DIV/0!</v>
      </c>
      <c r="AH61" s="75" t="e">
        <f t="shared" si="211"/>
        <v>#DIV/0!</v>
      </c>
      <c r="AI61" s="75" t="e">
        <f t="shared" si="211"/>
        <v>#DIV/0!</v>
      </c>
      <c r="AJ61" s="75" t="e">
        <f t="shared" si="211"/>
        <v>#DIV/0!</v>
      </c>
      <c r="AK61" s="75" t="e">
        <f t="shared" si="211"/>
        <v>#DIV/0!</v>
      </c>
    </row>
    <row r="62" spans="2:37" x14ac:dyDescent="0.15">
      <c r="B62" s="155" t="s">
        <v>26</v>
      </c>
      <c r="C62" s="84">
        <f>SUMIFS('caseload data'!E:E,'caseload data'!$A:$A,$B62,'caseload data'!$B:$B,"community")</f>
        <v>0</v>
      </c>
      <c r="D62" s="84">
        <f>SUMIFS('caseload data'!F:F,'caseload data'!$A:$A,$B62,'caseload data'!$B:$B,"community")</f>
        <v>0</v>
      </c>
      <c r="E62" s="84">
        <f>SUMIFS('caseload data'!G:G,'caseload data'!$A:$A,$B62,'caseload data'!$B:$B,"community")</f>
        <v>0</v>
      </c>
      <c r="F62" s="84">
        <f>SUMIFS('caseload data'!H:H,'caseload data'!$A:$A,$B62,'caseload data'!$B:$B,"community")</f>
        <v>0</v>
      </c>
      <c r="G62" s="84">
        <f>SUMIFS('caseload data'!I:I,'caseload data'!$A:$A,$B62,'caseload data'!$B:$B,"community")</f>
        <v>0</v>
      </c>
      <c r="H62" s="84">
        <f>SUMIFS('caseload data'!J:J,'caseload data'!$A:$A,$B62,'caseload data'!$B:$B,"community")</f>
        <v>0</v>
      </c>
      <c r="I62" s="84">
        <f>SUMIFS('caseload data'!K:K,'caseload data'!$A:$A,$B62,'caseload data'!$B:$B,"community")</f>
        <v>0</v>
      </c>
      <c r="J62" s="84">
        <f>SUMIFS('caseload data'!L:L,'caseload data'!$A:$A,$B62,'caseload data'!$B:$B,"community")</f>
        <v>0</v>
      </c>
      <c r="K62" s="84">
        <f>SUMIFS('caseload data'!M:M,'caseload data'!$A:$A,$B62,'caseload data'!$B:$B,"community")</f>
        <v>0</v>
      </c>
      <c r="L62" s="84">
        <f>SUMIFS('caseload data'!N:N,'caseload data'!$A:$A,$B62,'caseload data'!$B:$B,"community")</f>
        <v>0</v>
      </c>
      <c r="M62" s="84">
        <f>SUMIFS('caseload data'!O:O,'caseload data'!$A:$A,$B62,'caseload data'!$B:$B,"community")</f>
        <v>0</v>
      </c>
      <c r="N62" s="84">
        <f>SUMIFS('caseload data'!P:P,'caseload data'!$A:$A,$B62,'caseload data'!$B:$B,"community")</f>
        <v>0</v>
      </c>
      <c r="O62" s="84">
        <f>SUMIFS('caseload data'!Q:Q,'caseload data'!$A:$A,$B62,'caseload data'!$B:$B,"community")</f>
        <v>0</v>
      </c>
      <c r="P62" s="84">
        <f>SUMIFS('caseload data'!R:R,'caseload data'!$A:$A,$B62,'caseload data'!$B:$B,"community")</f>
        <v>0</v>
      </c>
      <c r="Q62" s="84">
        <f>SUMIFS('caseload data'!S:S,'caseload data'!$A:$A,$B62,'caseload data'!$B:$B,"community")</f>
        <v>0</v>
      </c>
      <c r="R62" s="84">
        <f>SUMIFS('caseload data'!T:T,'caseload data'!$A:$A,$B62,'caseload data'!$B:$B,"community")</f>
        <v>0</v>
      </c>
      <c r="S62" s="84">
        <f>SUMIFS('caseload data'!V:V,'caseload data'!$A:$A,B62,'caseload data'!$B:$B,"community")</f>
        <v>0</v>
      </c>
      <c r="T62" s="101"/>
      <c r="U62" s="155" t="s">
        <v>26</v>
      </c>
      <c r="V62" s="75" t="e">
        <f>C62/$S$62</f>
        <v>#DIV/0!</v>
      </c>
      <c r="W62" s="75" t="e">
        <f t="shared" ref="W62:AK62" si="212">D62/$S$62</f>
        <v>#DIV/0!</v>
      </c>
      <c r="X62" s="75" t="e">
        <f t="shared" si="212"/>
        <v>#DIV/0!</v>
      </c>
      <c r="Y62" s="75" t="e">
        <f t="shared" si="212"/>
        <v>#DIV/0!</v>
      </c>
      <c r="Z62" s="75" t="e">
        <f t="shared" si="212"/>
        <v>#DIV/0!</v>
      </c>
      <c r="AA62" s="75" t="e">
        <f t="shared" si="212"/>
        <v>#DIV/0!</v>
      </c>
      <c r="AB62" s="75" t="e">
        <f t="shared" si="212"/>
        <v>#DIV/0!</v>
      </c>
      <c r="AC62" s="75" t="e">
        <f t="shared" si="212"/>
        <v>#DIV/0!</v>
      </c>
      <c r="AD62" s="75" t="e">
        <f t="shared" si="212"/>
        <v>#DIV/0!</v>
      </c>
      <c r="AE62" s="75" t="e">
        <f t="shared" si="212"/>
        <v>#DIV/0!</v>
      </c>
      <c r="AF62" s="75" t="e">
        <f t="shared" si="212"/>
        <v>#DIV/0!</v>
      </c>
      <c r="AG62" s="75" t="e">
        <f t="shared" si="212"/>
        <v>#DIV/0!</v>
      </c>
      <c r="AH62" s="75" t="e">
        <f t="shared" si="212"/>
        <v>#DIV/0!</v>
      </c>
      <c r="AI62" s="75" t="e">
        <f t="shared" si="212"/>
        <v>#DIV/0!</v>
      </c>
      <c r="AJ62" s="75" t="e">
        <f t="shared" si="212"/>
        <v>#DIV/0!</v>
      </c>
      <c r="AK62" s="75" t="e">
        <f t="shared" si="212"/>
        <v>#DIV/0!</v>
      </c>
    </row>
    <row r="63" spans="2:37" x14ac:dyDescent="0.15">
      <c r="B63" s="155" t="s">
        <v>27</v>
      </c>
      <c r="C63" s="84">
        <f>SUMIFS('caseload data'!E:E,'caseload data'!$A:$A,$B63,'caseload data'!$B:$B,"community")</f>
        <v>0</v>
      </c>
      <c r="D63" s="84">
        <f>SUMIFS('caseload data'!F:F,'caseload data'!$A:$A,$B63,'caseload data'!$B:$B,"community")</f>
        <v>0</v>
      </c>
      <c r="E63" s="84">
        <f>SUMIFS('caseload data'!G:G,'caseload data'!$A:$A,$B63,'caseload data'!$B:$B,"community")</f>
        <v>0</v>
      </c>
      <c r="F63" s="84">
        <f>SUMIFS('caseload data'!H:H,'caseload data'!$A:$A,$B63,'caseload data'!$B:$B,"community")</f>
        <v>0</v>
      </c>
      <c r="G63" s="84">
        <f>SUMIFS('caseload data'!I:I,'caseload data'!$A:$A,$B63,'caseload data'!$B:$B,"community")</f>
        <v>0</v>
      </c>
      <c r="H63" s="84">
        <f>SUMIFS('caseload data'!J:J,'caseload data'!$A:$A,$B63,'caseload data'!$B:$B,"community")</f>
        <v>0</v>
      </c>
      <c r="I63" s="84">
        <f>SUMIFS('caseload data'!K:K,'caseload data'!$A:$A,$B63,'caseload data'!$B:$B,"community")</f>
        <v>0</v>
      </c>
      <c r="J63" s="84">
        <f>SUMIFS('caseload data'!L:L,'caseload data'!$A:$A,$B63,'caseload data'!$B:$B,"community")</f>
        <v>0</v>
      </c>
      <c r="K63" s="84">
        <f>SUMIFS('caseload data'!M:M,'caseload data'!$A:$A,$B63,'caseload data'!$B:$B,"community")</f>
        <v>0</v>
      </c>
      <c r="L63" s="84">
        <f>SUMIFS('caseload data'!N:N,'caseload data'!$A:$A,$B63,'caseload data'!$B:$B,"community")</f>
        <v>0</v>
      </c>
      <c r="M63" s="84">
        <f>SUMIFS('caseload data'!O:O,'caseload data'!$A:$A,$B63,'caseload data'!$B:$B,"community")</f>
        <v>0</v>
      </c>
      <c r="N63" s="84">
        <f>SUMIFS('caseload data'!P:P,'caseload data'!$A:$A,$B63,'caseload data'!$B:$B,"community")</f>
        <v>0</v>
      </c>
      <c r="O63" s="84">
        <f>SUMIFS('caseload data'!Q:Q,'caseload data'!$A:$A,$B63,'caseload data'!$B:$B,"community")</f>
        <v>0</v>
      </c>
      <c r="P63" s="84">
        <f>SUMIFS('caseload data'!R:R,'caseload data'!$A:$A,$B63,'caseload data'!$B:$B,"community")</f>
        <v>0</v>
      </c>
      <c r="Q63" s="84">
        <f>SUMIFS('caseload data'!S:S,'caseload data'!$A:$A,$B63,'caseload data'!$B:$B,"community")</f>
        <v>0</v>
      </c>
      <c r="R63" s="84">
        <f>SUMIFS('caseload data'!T:T,'caseload data'!$A:$A,$B63,'caseload data'!$B:$B,"community")</f>
        <v>0</v>
      </c>
      <c r="S63" s="84">
        <f>SUMIFS('caseload data'!V:V,'caseload data'!$A:$A,B63,'caseload data'!$B:$B,"community")</f>
        <v>0</v>
      </c>
      <c r="T63" s="101"/>
      <c r="U63" s="155" t="s">
        <v>27</v>
      </c>
      <c r="V63" s="75" t="e">
        <f t="shared" ref="V63:AK63" si="213">C63/$S$63</f>
        <v>#DIV/0!</v>
      </c>
      <c r="W63" s="75" t="e">
        <f t="shared" si="213"/>
        <v>#DIV/0!</v>
      </c>
      <c r="X63" s="75" t="e">
        <f t="shared" si="213"/>
        <v>#DIV/0!</v>
      </c>
      <c r="Y63" s="75" t="e">
        <f t="shared" si="213"/>
        <v>#DIV/0!</v>
      </c>
      <c r="Z63" s="75" t="e">
        <f t="shared" si="213"/>
        <v>#DIV/0!</v>
      </c>
      <c r="AA63" s="75" t="e">
        <f t="shared" si="213"/>
        <v>#DIV/0!</v>
      </c>
      <c r="AB63" s="75" t="e">
        <f t="shared" si="213"/>
        <v>#DIV/0!</v>
      </c>
      <c r="AC63" s="75" t="e">
        <f t="shared" si="213"/>
        <v>#DIV/0!</v>
      </c>
      <c r="AD63" s="75" t="e">
        <f t="shared" si="213"/>
        <v>#DIV/0!</v>
      </c>
      <c r="AE63" s="75" t="e">
        <f t="shared" si="213"/>
        <v>#DIV/0!</v>
      </c>
      <c r="AF63" s="75" t="e">
        <f t="shared" si="213"/>
        <v>#DIV/0!</v>
      </c>
      <c r="AG63" s="75" t="e">
        <f t="shared" si="213"/>
        <v>#DIV/0!</v>
      </c>
      <c r="AH63" s="75" t="e">
        <f t="shared" si="213"/>
        <v>#DIV/0!</v>
      </c>
      <c r="AI63" s="75" t="e">
        <f t="shared" si="213"/>
        <v>#DIV/0!</v>
      </c>
      <c r="AJ63" s="75" t="e">
        <f t="shared" si="213"/>
        <v>#DIV/0!</v>
      </c>
      <c r="AK63" s="75" t="e">
        <f t="shared" si="213"/>
        <v>#DIV/0!</v>
      </c>
    </row>
    <row r="64" spans="2:37" x14ac:dyDescent="0.15">
      <c r="B64" s="155" t="s">
        <v>28</v>
      </c>
      <c r="C64" s="84">
        <f>SUMIFS('caseload data'!E:E,'caseload data'!$A:$A,$B64,'caseload data'!$B:$B,"community")</f>
        <v>0</v>
      </c>
      <c r="D64" s="84">
        <f>SUMIFS('caseload data'!F:F,'caseload data'!$A:$A,$B64,'caseload data'!$B:$B,"community")</f>
        <v>0</v>
      </c>
      <c r="E64" s="84">
        <f>SUMIFS('caseload data'!G:G,'caseload data'!$A:$A,$B64,'caseload data'!$B:$B,"community")</f>
        <v>0</v>
      </c>
      <c r="F64" s="84">
        <f>SUMIFS('caseload data'!H:H,'caseload data'!$A:$A,$B64,'caseload data'!$B:$B,"community")</f>
        <v>0</v>
      </c>
      <c r="G64" s="84">
        <f>SUMIFS('caseload data'!I:I,'caseload data'!$A:$A,$B64,'caseload data'!$B:$B,"community")</f>
        <v>0</v>
      </c>
      <c r="H64" s="84">
        <f>SUMIFS('caseload data'!J:J,'caseload data'!$A:$A,$B64,'caseload data'!$B:$B,"community")</f>
        <v>0</v>
      </c>
      <c r="I64" s="84">
        <f>SUMIFS('caseload data'!K:K,'caseload data'!$A:$A,$B64,'caseload data'!$B:$B,"community")</f>
        <v>0</v>
      </c>
      <c r="J64" s="84">
        <f>SUMIFS('caseload data'!L:L,'caseload data'!$A:$A,$B64,'caseload data'!$B:$B,"community")</f>
        <v>0</v>
      </c>
      <c r="K64" s="84">
        <f>SUMIFS('caseload data'!M:M,'caseload data'!$A:$A,$B64,'caseload data'!$B:$B,"community")</f>
        <v>0</v>
      </c>
      <c r="L64" s="84">
        <f>SUMIFS('caseload data'!N:N,'caseload data'!$A:$A,$B64,'caseload data'!$B:$B,"community")</f>
        <v>0</v>
      </c>
      <c r="M64" s="84">
        <f>SUMIFS('caseload data'!O:O,'caseload data'!$A:$A,$B64,'caseload data'!$B:$B,"community")</f>
        <v>0</v>
      </c>
      <c r="N64" s="84">
        <f>SUMIFS('caseload data'!P:P,'caseload data'!$A:$A,$B64,'caseload data'!$B:$B,"community")</f>
        <v>0</v>
      </c>
      <c r="O64" s="84">
        <f>SUMIFS('caseload data'!Q:Q,'caseload data'!$A:$A,$B64,'caseload data'!$B:$B,"community")</f>
        <v>0</v>
      </c>
      <c r="P64" s="84">
        <f>SUMIFS('caseload data'!R:R,'caseload data'!$A:$A,$B64,'caseload data'!$B:$B,"community")</f>
        <v>0</v>
      </c>
      <c r="Q64" s="84">
        <f>SUMIFS('caseload data'!S:S,'caseload data'!$A:$A,$B64,'caseload data'!$B:$B,"community")</f>
        <v>0</v>
      </c>
      <c r="R64" s="84">
        <f>SUMIFS('caseload data'!T:T,'caseload data'!$A:$A,$B64,'caseload data'!$B:$B,"community")</f>
        <v>0</v>
      </c>
      <c r="S64" s="84">
        <f>SUMIFS('caseload data'!V:V,'caseload data'!$A:$A,B64,'caseload data'!$B:$B,"community")</f>
        <v>0</v>
      </c>
      <c r="T64" s="101"/>
      <c r="U64" s="155" t="s">
        <v>28</v>
      </c>
      <c r="V64" s="75" t="e">
        <f t="shared" ref="V64:AK64" si="214">C64/$S$64</f>
        <v>#DIV/0!</v>
      </c>
      <c r="W64" s="75" t="e">
        <f t="shared" si="214"/>
        <v>#DIV/0!</v>
      </c>
      <c r="X64" s="75" t="e">
        <f t="shared" si="214"/>
        <v>#DIV/0!</v>
      </c>
      <c r="Y64" s="75" t="e">
        <f t="shared" si="214"/>
        <v>#DIV/0!</v>
      </c>
      <c r="Z64" s="75" t="e">
        <f t="shared" si="214"/>
        <v>#DIV/0!</v>
      </c>
      <c r="AA64" s="75" t="e">
        <f t="shared" si="214"/>
        <v>#DIV/0!</v>
      </c>
      <c r="AB64" s="75" t="e">
        <f t="shared" si="214"/>
        <v>#DIV/0!</v>
      </c>
      <c r="AC64" s="75" t="e">
        <f t="shared" si="214"/>
        <v>#DIV/0!</v>
      </c>
      <c r="AD64" s="75" t="e">
        <f t="shared" si="214"/>
        <v>#DIV/0!</v>
      </c>
      <c r="AE64" s="75" t="e">
        <f t="shared" si="214"/>
        <v>#DIV/0!</v>
      </c>
      <c r="AF64" s="75" t="e">
        <f t="shared" si="214"/>
        <v>#DIV/0!</v>
      </c>
      <c r="AG64" s="75" t="e">
        <f t="shared" si="214"/>
        <v>#DIV/0!</v>
      </c>
      <c r="AH64" s="75" t="e">
        <f t="shared" si="214"/>
        <v>#DIV/0!</v>
      </c>
      <c r="AI64" s="75" t="e">
        <f t="shared" si="214"/>
        <v>#DIV/0!</v>
      </c>
      <c r="AJ64" s="75" t="e">
        <f t="shared" si="214"/>
        <v>#DIV/0!</v>
      </c>
      <c r="AK64" s="75" t="e">
        <f t="shared" si="214"/>
        <v>#DIV/0!</v>
      </c>
    </row>
    <row r="65" spans="2:37" x14ac:dyDescent="0.15">
      <c r="B65" s="155" t="s">
        <v>29</v>
      </c>
      <c r="C65" s="84">
        <f>SUMIFS('caseload data'!E:E,'caseload data'!$A:$A,$B65,'caseload data'!$B:$B,"community")</f>
        <v>0</v>
      </c>
      <c r="D65" s="84">
        <f>SUMIFS('caseload data'!F:F,'caseload data'!$A:$A,$B65,'caseload data'!$B:$B,"community")</f>
        <v>0</v>
      </c>
      <c r="E65" s="84">
        <f>SUMIFS('caseload data'!G:G,'caseload data'!$A:$A,$B65,'caseload data'!$B:$B,"community")</f>
        <v>0</v>
      </c>
      <c r="F65" s="84">
        <f>SUMIFS('caseload data'!H:H,'caseload data'!$A:$A,$B65,'caseload data'!$B:$B,"community")</f>
        <v>0</v>
      </c>
      <c r="G65" s="84">
        <f>SUMIFS('caseload data'!I:I,'caseload data'!$A:$A,$B65,'caseload data'!$B:$B,"community")</f>
        <v>0</v>
      </c>
      <c r="H65" s="84">
        <f>SUMIFS('caseload data'!J:J,'caseload data'!$A:$A,$B65,'caseload data'!$B:$B,"community")</f>
        <v>0</v>
      </c>
      <c r="I65" s="84">
        <f>SUMIFS('caseload data'!K:K,'caseload data'!$A:$A,$B65,'caseload data'!$B:$B,"community")</f>
        <v>0</v>
      </c>
      <c r="J65" s="84">
        <f>SUMIFS('caseload data'!L:L,'caseload data'!$A:$A,$B65,'caseload data'!$B:$B,"community")</f>
        <v>0</v>
      </c>
      <c r="K65" s="84">
        <f>SUMIFS('caseload data'!M:M,'caseload data'!$A:$A,$B65,'caseload data'!$B:$B,"community")</f>
        <v>0</v>
      </c>
      <c r="L65" s="84">
        <f>SUMIFS('caseload data'!N:N,'caseload data'!$A:$A,$B65,'caseload data'!$B:$B,"community")</f>
        <v>0</v>
      </c>
      <c r="M65" s="84">
        <f>SUMIFS('caseload data'!O:O,'caseload data'!$A:$A,$B65,'caseload data'!$B:$B,"community")</f>
        <v>0</v>
      </c>
      <c r="N65" s="84">
        <f>SUMIFS('caseload data'!P:P,'caseload data'!$A:$A,$B65,'caseload data'!$B:$B,"community")</f>
        <v>0</v>
      </c>
      <c r="O65" s="84">
        <f>SUMIFS('caseload data'!Q:Q,'caseload data'!$A:$A,$B65,'caseload data'!$B:$B,"community")</f>
        <v>0</v>
      </c>
      <c r="P65" s="84">
        <f>SUMIFS('caseload data'!R:R,'caseload data'!$A:$A,$B65,'caseload data'!$B:$B,"community")</f>
        <v>0</v>
      </c>
      <c r="Q65" s="84">
        <f>SUMIFS('caseload data'!S:S,'caseload data'!$A:$A,$B65,'caseload data'!$B:$B,"community")</f>
        <v>0</v>
      </c>
      <c r="R65" s="84">
        <f>SUMIFS('caseload data'!T:T,'caseload data'!$A:$A,$B65,'caseload data'!$B:$B,"community")</f>
        <v>0</v>
      </c>
      <c r="S65" s="84">
        <f>SUMIFS('caseload data'!V:V,'caseload data'!$A:$A,B65,'caseload data'!$B:$B,"community")</f>
        <v>0</v>
      </c>
      <c r="T65" s="101"/>
      <c r="U65" s="155" t="s">
        <v>29</v>
      </c>
      <c r="V65" s="75" t="e">
        <f>C65/$S$65</f>
        <v>#DIV/0!</v>
      </c>
      <c r="W65" s="75" t="e">
        <f t="shared" ref="W65:AK65" si="215">D65/$S$65</f>
        <v>#DIV/0!</v>
      </c>
      <c r="X65" s="75" t="e">
        <f t="shared" si="215"/>
        <v>#DIV/0!</v>
      </c>
      <c r="Y65" s="75" t="e">
        <f t="shared" si="215"/>
        <v>#DIV/0!</v>
      </c>
      <c r="Z65" s="75" t="e">
        <f t="shared" si="215"/>
        <v>#DIV/0!</v>
      </c>
      <c r="AA65" s="75" t="e">
        <f t="shared" si="215"/>
        <v>#DIV/0!</v>
      </c>
      <c r="AB65" s="75" t="e">
        <f t="shared" si="215"/>
        <v>#DIV/0!</v>
      </c>
      <c r="AC65" s="75" t="e">
        <f t="shared" si="215"/>
        <v>#DIV/0!</v>
      </c>
      <c r="AD65" s="75" t="e">
        <f t="shared" si="215"/>
        <v>#DIV/0!</v>
      </c>
      <c r="AE65" s="75" t="e">
        <f t="shared" si="215"/>
        <v>#DIV/0!</v>
      </c>
      <c r="AF65" s="75" t="e">
        <f t="shared" si="215"/>
        <v>#DIV/0!</v>
      </c>
      <c r="AG65" s="75" t="e">
        <f t="shared" si="215"/>
        <v>#DIV/0!</v>
      </c>
      <c r="AH65" s="75" t="e">
        <f t="shared" si="215"/>
        <v>#DIV/0!</v>
      </c>
      <c r="AI65" s="75" t="e">
        <f t="shared" si="215"/>
        <v>#DIV/0!</v>
      </c>
      <c r="AJ65" s="75" t="e">
        <f t="shared" si="215"/>
        <v>#DIV/0!</v>
      </c>
      <c r="AK65" s="75" t="e">
        <f t="shared" si="215"/>
        <v>#DIV/0!</v>
      </c>
    </row>
    <row r="66" spans="2:37" x14ac:dyDescent="0.15">
      <c r="B66" s="155" t="s">
        <v>30</v>
      </c>
      <c r="C66" s="84">
        <f>SUMIFS('caseload data'!E:E,'caseload data'!$A:$A,$B66,'caseload data'!$B:$B,"community")</f>
        <v>0</v>
      </c>
      <c r="D66" s="84">
        <f>SUMIFS('caseload data'!F:F,'caseload data'!$A:$A,$B66,'caseload data'!$B:$B,"community")</f>
        <v>0</v>
      </c>
      <c r="E66" s="84">
        <f>SUMIFS('caseload data'!G:G,'caseload data'!$A:$A,$B66,'caseload data'!$B:$B,"community")</f>
        <v>0</v>
      </c>
      <c r="F66" s="84">
        <f>SUMIFS('caseload data'!H:H,'caseload data'!$A:$A,$B66,'caseload data'!$B:$B,"community")</f>
        <v>0</v>
      </c>
      <c r="G66" s="84">
        <f>SUMIFS('caseload data'!I:I,'caseload data'!$A:$A,$B66,'caseload data'!$B:$B,"community")</f>
        <v>0</v>
      </c>
      <c r="H66" s="84">
        <f>SUMIFS('caseload data'!J:J,'caseload data'!$A:$A,$B66,'caseload data'!$B:$B,"community")</f>
        <v>0</v>
      </c>
      <c r="I66" s="84">
        <f>SUMIFS('caseload data'!K:K,'caseload data'!$A:$A,$B66,'caseload data'!$B:$B,"community")</f>
        <v>0</v>
      </c>
      <c r="J66" s="84">
        <f>SUMIFS('caseload data'!L:L,'caseload data'!$A:$A,$B66,'caseload data'!$B:$B,"community")</f>
        <v>0</v>
      </c>
      <c r="K66" s="84">
        <f>SUMIFS('caseload data'!M:M,'caseload data'!$A:$A,$B66,'caseload data'!$B:$B,"community")</f>
        <v>0</v>
      </c>
      <c r="L66" s="84">
        <f>SUMIFS('caseload data'!N:N,'caseload data'!$A:$A,$B66,'caseload data'!$B:$B,"community")</f>
        <v>0</v>
      </c>
      <c r="M66" s="84">
        <f>SUMIFS('caseload data'!O:O,'caseload data'!$A:$A,$B66,'caseload data'!$B:$B,"community")</f>
        <v>0</v>
      </c>
      <c r="N66" s="84">
        <f>SUMIFS('caseload data'!P:P,'caseload data'!$A:$A,$B66,'caseload data'!$B:$B,"community")</f>
        <v>0</v>
      </c>
      <c r="O66" s="84">
        <f>SUMIFS('caseload data'!Q:Q,'caseload data'!$A:$A,$B66,'caseload data'!$B:$B,"community")</f>
        <v>0</v>
      </c>
      <c r="P66" s="84">
        <f>SUMIFS('caseload data'!R:R,'caseload data'!$A:$A,$B66,'caseload data'!$B:$B,"community")</f>
        <v>0</v>
      </c>
      <c r="Q66" s="84">
        <f>SUMIFS('caseload data'!S:S,'caseload data'!$A:$A,$B66,'caseload data'!$B:$B,"community")</f>
        <v>0</v>
      </c>
      <c r="R66" s="84">
        <f>SUMIFS('caseload data'!T:T,'caseload data'!$A:$A,$B66,'caseload data'!$B:$B,"community")</f>
        <v>0</v>
      </c>
      <c r="S66" s="84">
        <f>SUMIFS('caseload data'!V:V,'caseload data'!$A:$A,B66,'caseload data'!$B:$B,"community")</f>
        <v>0</v>
      </c>
      <c r="T66" s="101"/>
      <c r="U66" s="155" t="s">
        <v>30</v>
      </c>
      <c r="V66" s="75" t="e">
        <f>C66/$S$66</f>
        <v>#DIV/0!</v>
      </c>
      <c r="W66" s="75" t="e">
        <f t="shared" ref="W66:AK66" si="216">D66/$S$66</f>
        <v>#DIV/0!</v>
      </c>
      <c r="X66" s="75" t="e">
        <f t="shared" si="216"/>
        <v>#DIV/0!</v>
      </c>
      <c r="Y66" s="75" t="e">
        <f t="shared" si="216"/>
        <v>#DIV/0!</v>
      </c>
      <c r="Z66" s="75" t="e">
        <f t="shared" si="216"/>
        <v>#DIV/0!</v>
      </c>
      <c r="AA66" s="75" t="e">
        <f t="shared" si="216"/>
        <v>#DIV/0!</v>
      </c>
      <c r="AB66" s="75" t="e">
        <f t="shared" si="216"/>
        <v>#DIV/0!</v>
      </c>
      <c r="AC66" s="75" t="e">
        <f t="shared" si="216"/>
        <v>#DIV/0!</v>
      </c>
      <c r="AD66" s="75" t="e">
        <f t="shared" si="216"/>
        <v>#DIV/0!</v>
      </c>
      <c r="AE66" s="75" t="e">
        <f t="shared" si="216"/>
        <v>#DIV/0!</v>
      </c>
      <c r="AF66" s="75" t="e">
        <f t="shared" si="216"/>
        <v>#DIV/0!</v>
      </c>
      <c r="AG66" s="75" t="e">
        <f t="shared" si="216"/>
        <v>#DIV/0!</v>
      </c>
      <c r="AH66" s="75" t="e">
        <f t="shared" si="216"/>
        <v>#DIV/0!</v>
      </c>
      <c r="AI66" s="75" t="e">
        <f t="shared" si="216"/>
        <v>#DIV/0!</v>
      </c>
      <c r="AJ66" s="75" t="e">
        <f t="shared" si="216"/>
        <v>#DIV/0!</v>
      </c>
      <c r="AK66" s="75" t="e">
        <f t="shared" si="216"/>
        <v>#DIV/0!</v>
      </c>
    </row>
    <row r="67" spans="2:37" x14ac:dyDescent="0.15">
      <c r="B67" s="155" t="s">
        <v>31</v>
      </c>
      <c r="C67" s="84">
        <f>SUMIFS('caseload data'!E:E,'caseload data'!$A:$A,$B67,'caseload data'!$B:$B,"community")</f>
        <v>0</v>
      </c>
      <c r="D67" s="84">
        <f>SUMIFS('caseload data'!F:F,'caseload data'!$A:$A,$B67,'caseload data'!$B:$B,"community")</f>
        <v>0</v>
      </c>
      <c r="E67" s="84">
        <f>SUMIFS('caseload data'!G:G,'caseload data'!$A:$A,$B67,'caseload data'!$B:$B,"community")</f>
        <v>0</v>
      </c>
      <c r="F67" s="84">
        <f>SUMIFS('caseload data'!H:H,'caseload data'!$A:$A,$B67,'caseload data'!$B:$B,"community")</f>
        <v>0</v>
      </c>
      <c r="G67" s="84">
        <f>SUMIFS('caseload data'!I:I,'caseload data'!$A:$A,$B67,'caseload data'!$B:$B,"community")</f>
        <v>0</v>
      </c>
      <c r="H67" s="84">
        <f>SUMIFS('caseload data'!J:J,'caseload data'!$A:$A,$B67,'caseload data'!$B:$B,"community")</f>
        <v>0</v>
      </c>
      <c r="I67" s="84">
        <f>SUMIFS('caseload data'!K:K,'caseload data'!$A:$A,$B67,'caseload data'!$B:$B,"community")</f>
        <v>0</v>
      </c>
      <c r="J67" s="84">
        <f>SUMIFS('caseload data'!L:L,'caseload data'!$A:$A,$B67,'caseload data'!$B:$B,"community")</f>
        <v>0</v>
      </c>
      <c r="K67" s="84">
        <f>SUMIFS('caseload data'!M:M,'caseload data'!$A:$A,$B67,'caseload data'!$B:$B,"community")</f>
        <v>0</v>
      </c>
      <c r="L67" s="84">
        <f>SUMIFS('caseload data'!N:N,'caseload data'!$A:$A,$B67,'caseload data'!$B:$B,"community")</f>
        <v>0</v>
      </c>
      <c r="M67" s="84">
        <f>SUMIFS('caseload data'!O:O,'caseload data'!$A:$A,$B67,'caseload data'!$B:$B,"community")</f>
        <v>0</v>
      </c>
      <c r="N67" s="84">
        <f>SUMIFS('caseload data'!P:P,'caseload data'!$A:$A,$B67,'caseload data'!$B:$B,"community")</f>
        <v>0</v>
      </c>
      <c r="O67" s="84">
        <f>SUMIFS('caseload data'!Q:Q,'caseload data'!$A:$A,$B67,'caseload data'!$B:$B,"community")</f>
        <v>0</v>
      </c>
      <c r="P67" s="84">
        <f>SUMIFS('caseload data'!R:R,'caseload data'!$A:$A,$B67,'caseload data'!$B:$B,"community")</f>
        <v>0</v>
      </c>
      <c r="Q67" s="84">
        <f>SUMIFS('caseload data'!S:S,'caseload data'!$A:$A,$B67,'caseload data'!$B:$B,"community")</f>
        <v>0</v>
      </c>
      <c r="R67" s="84">
        <f>SUMIFS('caseload data'!T:T,'caseload data'!$A:$A,$B67,'caseload data'!$B:$B,"community")</f>
        <v>0</v>
      </c>
      <c r="S67" s="84">
        <f>SUMIFS('caseload data'!V:V,'caseload data'!$A:$A,B67,'caseload data'!$B:$B,"community")</f>
        <v>0</v>
      </c>
      <c r="T67" s="101"/>
      <c r="U67" s="155" t="s">
        <v>31</v>
      </c>
      <c r="V67" s="75" t="e">
        <f>C67/$S$67</f>
        <v>#DIV/0!</v>
      </c>
      <c r="W67" s="75" t="e">
        <f t="shared" ref="W67:AK67" si="217">D67/$S$67</f>
        <v>#DIV/0!</v>
      </c>
      <c r="X67" s="75" t="e">
        <f t="shared" si="217"/>
        <v>#DIV/0!</v>
      </c>
      <c r="Y67" s="75" t="e">
        <f t="shared" si="217"/>
        <v>#DIV/0!</v>
      </c>
      <c r="Z67" s="75" t="e">
        <f t="shared" si="217"/>
        <v>#DIV/0!</v>
      </c>
      <c r="AA67" s="75" t="e">
        <f t="shared" si="217"/>
        <v>#DIV/0!</v>
      </c>
      <c r="AB67" s="75" t="e">
        <f t="shared" si="217"/>
        <v>#DIV/0!</v>
      </c>
      <c r="AC67" s="75" t="e">
        <f t="shared" si="217"/>
        <v>#DIV/0!</v>
      </c>
      <c r="AD67" s="75" t="e">
        <f t="shared" si="217"/>
        <v>#DIV/0!</v>
      </c>
      <c r="AE67" s="75" t="e">
        <f t="shared" si="217"/>
        <v>#DIV/0!</v>
      </c>
      <c r="AF67" s="75" t="e">
        <f t="shared" si="217"/>
        <v>#DIV/0!</v>
      </c>
      <c r="AG67" s="75" t="e">
        <f t="shared" si="217"/>
        <v>#DIV/0!</v>
      </c>
      <c r="AH67" s="75" t="e">
        <f t="shared" si="217"/>
        <v>#DIV/0!</v>
      </c>
      <c r="AI67" s="75" t="e">
        <f t="shared" si="217"/>
        <v>#DIV/0!</v>
      </c>
      <c r="AJ67" s="75" t="e">
        <f t="shared" si="217"/>
        <v>#DIV/0!</v>
      </c>
      <c r="AK67" s="75" t="e">
        <f t="shared" si="217"/>
        <v>#DIV/0!</v>
      </c>
    </row>
    <row r="68" spans="2:37" x14ac:dyDescent="0.15">
      <c r="B68" s="120" t="s">
        <v>939</v>
      </c>
      <c r="C68" s="120">
        <f>SUMIF('caseload data'!$B:$B,"community",'caseload data'!E:E)</f>
        <v>0</v>
      </c>
      <c r="D68" s="120">
        <f>SUMIF('caseload data'!$B:$B,"community",'caseload data'!F:F)</f>
        <v>0</v>
      </c>
      <c r="E68" s="120">
        <f>SUMIF('caseload data'!$B:$B,"community",'caseload data'!G:G)</f>
        <v>0</v>
      </c>
      <c r="F68" s="120">
        <f>SUMIF('caseload data'!$B:$B,"community",'caseload data'!H:H)</f>
        <v>0</v>
      </c>
      <c r="G68" s="120">
        <f>SUMIF('caseload data'!$B:$B,"community",'caseload data'!I:I)</f>
        <v>0</v>
      </c>
      <c r="H68" s="120">
        <f>SUMIF('caseload data'!$B:$B,"community",'caseload data'!J:J)</f>
        <v>0</v>
      </c>
      <c r="I68" s="120">
        <f>SUMIF('caseload data'!$B:$B,"community",'caseload data'!K:K)</f>
        <v>0</v>
      </c>
      <c r="J68" s="120">
        <f>SUMIF('caseload data'!$B:$B,"community",'caseload data'!L:L)</f>
        <v>0</v>
      </c>
      <c r="K68" s="120">
        <f>SUMIF('caseload data'!$B:$B,"community",'caseload data'!M:M)</f>
        <v>0</v>
      </c>
      <c r="L68" s="120">
        <f>SUMIF('caseload data'!$B:$B,"community",'caseload data'!N:N)</f>
        <v>0</v>
      </c>
      <c r="M68" s="120">
        <f>SUMIF('caseload data'!$B:$B,"community",'caseload data'!O:O)</f>
        <v>0</v>
      </c>
      <c r="N68" s="120">
        <f>SUMIF('caseload data'!$B:$B,"community",'caseload data'!P:P)</f>
        <v>0</v>
      </c>
      <c r="O68" s="120">
        <f>SUMIF('caseload data'!$B:$B,"community",'caseload data'!Q:Q)</f>
        <v>0</v>
      </c>
      <c r="P68" s="120">
        <f>SUMIF('caseload data'!$B:$B,"community",'caseload data'!R:R)</f>
        <v>0</v>
      </c>
      <c r="Q68" s="120">
        <f>SUMIF('caseload data'!$B:$B,"community",'caseload data'!S:S)</f>
        <v>0</v>
      </c>
      <c r="R68" s="120">
        <f>SUMIF('caseload data'!$B:$B,"community",'caseload data'!T:T)</f>
        <v>0</v>
      </c>
      <c r="S68" s="120">
        <f>SUMIF('caseload data'!$B:$B,"community",'caseload data'!V:V)</f>
        <v>0</v>
      </c>
      <c r="T68" s="101"/>
      <c r="U68" s="120" t="s">
        <v>939</v>
      </c>
      <c r="V68" s="125" t="e">
        <f>C68/$S$68</f>
        <v>#DIV/0!</v>
      </c>
      <c r="W68" s="125" t="e">
        <f t="shared" ref="W68:AK68" si="218">D68/$S$68</f>
        <v>#DIV/0!</v>
      </c>
      <c r="X68" s="125" t="e">
        <f t="shared" si="218"/>
        <v>#DIV/0!</v>
      </c>
      <c r="Y68" s="125" t="e">
        <f t="shared" si="218"/>
        <v>#DIV/0!</v>
      </c>
      <c r="Z68" s="125" t="e">
        <f t="shared" si="218"/>
        <v>#DIV/0!</v>
      </c>
      <c r="AA68" s="125" t="e">
        <f t="shared" si="218"/>
        <v>#DIV/0!</v>
      </c>
      <c r="AB68" s="125" t="e">
        <f t="shared" si="218"/>
        <v>#DIV/0!</v>
      </c>
      <c r="AC68" s="125" t="e">
        <f t="shared" si="218"/>
        <v>#DIV/0!</v>
      </c>
      <c r="AD68" s="125" t="e">
        <f t="shared" si="218"/>
        <v>#DIV/0!</v>
      </c>
      <c r="AE68" s="125" t="e">
        <f t="shared" si="218"/>
        <v>#DIV/0!</v>
      </c>
      <c r="AF68" s="125" t="e">
        <f t="shared" si="218"/>
        <v>#DIV/0!</v>
      </c>
      <c r="AG68" s="125" t="e">
        <f t="shared" si="218"/>
        <v>#DIV/0!</v>
      </c>
      <c r="AH68" s="125" t="e">
        <f t="shared" si="218"/>
        <v>#DIV/0!</v>
      </c>
      <c r="AI68" s="125" t="e">
        <f t="shared" si="218"/>
        <v>#DIV/0!</v>
      </c>
      <c r="AJ68" s="125" t="e">
        <f t="shared" si="218"/>
        <v>#DIV/0!</v>
      </c>
      <c r="AK68" s="125" t="e">
        <f t="shared" si="218"/>
        <v>#DIV/0!</v>
      </c>
    </row>
  </sheetData>
  <mergeCells count="10">
    <mergeCell ref="C38:S38"/>
    <mergeCell ref="C54:S54"/>
    <mergeCell ref="V21:AB21"/>
    <mergeCell ref="V38:AB38"/>
    <mergeCell ref="V54:AB54"/>
    <mergeCell ref="A1:AN1"/>
    <mergeCell ref="A2:AN2"/>
    <mergeCell ref="C4:S4"/>
    <mergeCell ref="V4:AB4"/>
    <mergeCell ref="C21:S21"/>
  </mergeCell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0"/>
  <dimension ref="A1:AO104"/>
  <sheetViews>
    <sheetView showGridLines="0" zoomScale="70" zoomScaleNormal="70" workbookViewId="0">
      <selection activeCell="G21" sqref="G21"/>
    </sheetView>
  </sheetViews>
  <sheetFormatPr baseColWidth="10" defaultColWidth="8.83203125" defaultRowHeight="14" x14ac:dyDescent="0.15"/>
  <cols>
    <col min="1" max="1" width="2.5" customWidth="1"/>
    <col min="2" max="2" width="36.1640625" customWidth="1"/>
    <col min="20" max="20" width="33" customWidth="1"/>
  </cols>
  <sheetData>
    <row r="1" spans="1:41" ht="63" customHeight="1" x14ac:dyDescent="0.15">
      <c r="A1" s="349" t="s">
        <v>1129</v>
      </c>
      <c r="B1" s="349"/>
      <c r="C1" s="349"/>
      <c r="D1" s="349"/>
      <c r="E1" s="349"/>
      <c r="F1" s="349"/>
      <c r="G1" s="349"/>
      <c r="H1" s="349"/>
      <c r="I1" s="349"/>
      <c r="J1" s="349"/>
      <c r="K1" s="349"/>
      <c r="L1" s="349"/>
      <c r="M1" s="349"/>
      <c r="N1" s="349"/>
      <c r="O1" s="349"/>
      <c r="P1" s="349"/>
      <c r="Q1" s="349"/>
      <c r="R1" s="349"/>
      <c r="S1" s="349"/>
      <c r="T1" s="349"/>
      <c r="U1" s="349"/>
      <c r="V1" s="349"/>
      <c r="W1" s="349"/>
      <c r="X1" s="349"/>
      <c r="Y1" s="349"/>
      <c r="Z1" s="349"/>
      <c r="AA1" s="349"/>
      <c r="AB1" s="349"/>
      <c r="AC1" s="349"/>
      <c r="AD1" s="349"/>
      <c r="AE1" s="349"/>
      <c r="AF1" s="349"/>
      <c r="AG1" s="349"/>
      <c r="AH1" s="349"/>
      <c r="AI1" s="349"/>
      <c r="AJ1" s="349"/>
      <c r="AK1" s="349"/>
      <c r="AL1" s="349"/>
      <c r="AM1" s="349"/>
      <c r="AN1" s="349"/>
      <c r="AO1" s="349"/>
    </row>
    <row r="2" spans="1:41" ht="56.25" customHeight="1" x14ac:dyDescent="0.15">
      <c r="A2" s="307"/>
      <c r="B2" s="307"/>
      <c r="C2" s="307"/>
      <c r="D2" s="307"/>
      <c r="E2" s="307"/>
      <c r="F2" s="307"/>
      <c r="G2" s="307"/>
      <c r="H2" s="307"/>
      <c r="I2" s="307"/>
      <c r="J2" s="307"/>
      <c r="K2" s="307"/>
      <c r="L2" s="307"/>
      <c r="M2" s="307"/>
      <c r="N2" s="307"/>
      <c r="O2" s="307"/>
      <c r="P2" s="307"/>
      <c r="Q2" s="307"/>
      <c r="R2" s="307"/>
      <c r="S2" s="307"/>
      <c r="T2" s="307"/>
      <c r="U2" s="307"/>
      <c r="V2" s="307"/>
      <c r="W2" s="307"/>
      <c r="X2" s="307"/>
      <c r="Y2" s="307"/>
      <c r="Z2" s="307"/>
      <c r="AA2" s="307"/>
      <c r="AB2" s="307"/>
      <c r="AC2" s="307"/>
      <c r="AD2" s="307"/>
      <c r="AE2" s="307"/>
      <c r="AF2" s="307"/>
      <c r="AG2" s="307"/>
      <c r="AH2" s="307"/>
      <c r="AI2" s="307"/>
      <c r="AJ2" s="307"/>
      <c r="AK2" s="307"/>
      <c r="AL2" s="307"/>
      <c r="AM2" s="307"/>
      <c r="AN2" s="307"/>
      <c r="AO2" s="307"/>
    </row>
    <row r="3" spans="1:41" s="54" customFormat="1" ht="16" x14ac:dyDescent="0.15">
      <c r="B3" s="53"/>
      <c r="C3" s="53"/>
      <c r="D3" s="53"/>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row>
    <row r="4" spans="1:41" ht="28" x14ac:dyDescent="0.15">
      <c r="B4" s="157" t="s">
        <v>999</v>
      </c>
    </row>
    <row r="5" spans="1:41" ht="15" x14ac:dyDescent="0.15">
      <c r="B5" s="60" t="s">
        <v>24</v>
      </c>
      <c r="P5" s="43"/>
      <c r="Q5" s="43"/>
    </row>
    <row r="6" spans="1:41" x14ac:dyDescent="0.15">
      <c r="B6" s="52"/>
    </row>
    <row r="8" spans="1:41" ht="28.5" customHeight="1" x14ac:dyDescent="0.15">
      <c r="B8" s="156" t="str">
        <f>HLOOKUP($B$5,Region_Table,2,0)</f>
        <v>Barking and Dagenham and Havering</v>
      </c>
      <c r="C8" s="367" t="s">
        <v>1130</v>
      </c>
      <c r="D8" s="368"/>
      <c r="E8" s="368"/>
      <c r="F8" s="368"/>
      <c r="G8" s="368"/>
      <c r="H8" s="368"/>
      <c r="I8" s="368"/>
      <c r="J8" s="368"/>
      <c r="K8" s="368"/>
      <c r="L8" s="368"/>
      <c r="M8" s="369"/>
      <c r="N8" s="369"/>
      <c r="O8" s="370"/>
      <c r="P8" s="371">
        <f>SUMIF('caseload data'!C:C,'divisional &amp; regional caseload'!B8,'caseload data'!V:V)</f>
        <v>0</v>
      </c>
      <c r="Q8" s="372"/>
      <c r="R8" s="373"/>
      <c r="S8" s="101"/>
      <c r="T8" s="156" t="str">
        <f>HLOOKUP($B$5,Region_Table,3,0)</f>
        <v>Brent - N07</v>
      </c>
      <c r="U8" s="367" t="s">
        <v>1130</v>
      </c>
      <c r="V8" s="369"/>
      <c r="W8" s="369"/>
      <c r="X8" s="370"/>
      <c r="Y8" s="371">
        <f>SUMIF('caseload data'!C:C,'divisional &amp; regional caseload'!T8,'caseload data'!V:V)</f>
        <v>0</v>
      </c>
      <c r="Z8" s="375"/>
      <c r="AA8" s="376"/>
    </row>
    <row r="9" spans="1:41" x14ac:dyDescent="0.15">
      <c r="B9" s="105" t="s">
        <v>1065</v>
      </c>
      <c r="C9" s="41" t="s">
        <v>922</v>
      </c>
      <c r="D9" s="41" t="s">
        <v>923</v>
      </c>
      <c r="E9" s="41" t="s">
        <v>924</v>
      </c>
      <c r="F9" s="41" t="s">
        <v>925</v>
      </c>
      <c r="G9" s="41" t="s">
        <v>926</v>
      </c>
      <c r="H9" s="41" t="s">
        <v>927</v>
      </c>
      <c r="I9" s="41" t="s">
        <v>928</v>
      </c>
      <c r="J9" s="41" t="s">
        <v>929</v>
      </c>
      <c r="K9" s="41" t="s">
        <v>930</v>
      </c>
      <c r="L9" s="41" t="s">
        <v>931</v>
      </c>
      <c r="M9" s="41" t="s">
        <v>932</v>
      </c>
      <c r="N9" s="41" t="s">
        <v>933</v>
      </c>
      <c r="O9" s="41" t="s">
        <v>934</v>
      </c>
      <c r="P9" s="41" t="s">
        <v>935</v>
      </c>
      <c r="Q9" s="41" t="s">
        <v>936</v>
      </c>
      <c r="R9" s="41" t="s">
        <v>937</v>
      </c>
      <c r="S9" s="101"/>
      <c r="T9" s="105" t="s">
        <v>1065</v>
      </c>
      <c r="U9" s="41" t="s">
        <v>922</v>
      </c>
      <c r="V9" s="41" t="s">
        <v>923</v>
      </c>
      <c r="W9" s="41" t="s">
        <v>924</v>
      </c>
      <c r="X9" s="41" t="s">
        <v>925</v>
      </c>
      <c r="Y9" s="41" t="s">
        <v>926</v>
      </c>
      <c r="Z9" s="41" t="s">
        <v>927</v>
      </c>
      <c r="AA9" s="41" t="s">
        <v>928</v>
      </c>
      <c r="AB9" s="41" t="s">
        <v>929</v>
      </c>
      <c r="AC9" s="41" t="s">
        <v>930</v>
      </c>
      <c r="AD9" s="41" t="s">
        <v>931</v>
      </c>
      <c r="AE9" s="41" t="s">
        <v>932</v>
      </c>
      <c r="AF9" s="41" t="s">
        <v>933</v>
      </c>
      <c r="AG9" s="41" t="s">
        <v>934</v>
      </c>
      <c r="AH9" s="41" t="s">
        <v>935</v>
      </c>
      <c r="AI9" s="41" t="s">
        <v>936</v>
      </c>
      <c r="AJ9" s="41" t="s">
        <v>937</v>
      </c>
    </row>
    <row r="10" spans="1:41" x14ac:dyDescent="0.15">
      <c r="B10" s="106" t="s">
        <v>911</v>
      </c>
      <c r="C10" s="104">
        <f>SUMIFS('caseload data'!E:E,'caseload data'!$D:$D,"PO",'caseload data'!$C:$C,'divisional &amp; regional caseload'!$B$8)</f>
        <v>0</v>
      </c>
      <c r="D10" s="104">
        <f>SUMIFS('caseload data'!F:F,'caseload data'!$D:$D,"PO",'caseload data'!$C:$C,'divisional &amp; regional caseload'!$B$8)</f>
        <v>0</v>
      </c>
      <c r="E10" s="104">
        <f>SUMIFS('caseload data'!G:G,'caseload data'!$D:$D,"PO",'caseload data'!$C:$C,'divisional &amp; regional caseload'!$B$8)</f>
        <v>0</v>
      </c>
      <c r="F10" s="104">
        <f>SUMIFS('caseload data'!H:H,'caseload data'!$D:$D,"PO",'caseload data'!$C:$C,'divisional &amp; regional caseload'!$B$8)</f>
        <v>0</v>
      </c>
      <c r="G10" s="104">
        <f>SUMIFS('caseload data'!I:I,'caseload data'!$D:$D,"PO",'caseload data'!$C:$C,'divisional &amp; regional caseload'!$B$8)</f>
        <v>0</v>
      </c>
      <c r="H10" s="104">
        <f>SUMIFS('caseload data'!J:J,'caseload data'!$D:$D,"PO",'caseload data'!$C:$C,'divisional &amp; regional caseload'!$B$8)</f>
        <v>0</v>
      </c>
      <c r="I10" s="104">
        <f>SUMIFS('caseload data'!K:K,'caseload data'!$D:$D,"PO",'caseload data'!$C:$C,'divisional &amp; regional caseload'!$B$8)</f>
        <v>0</v>
      </c>
      <c r="J10" s="104">
        <f>SUMIFS('caseload data'!L:L,'caseload data'!$D:$D,"PO",'caseload data'!$C:$C,'divisional &amp; regional caseload'!$B$8)</f>
        <v>0</v>
      </c>
      <c r="K10" s="104">
        <f>SUMIFS('caseload data'!M:M,'caseload data'!$D:$D,"PO",'caseload data'!$C:$C,'divisional &amp; regional caseload'!$B$8)</f>
        <v>0</v>
      </c>
      <c r="L10" s="104">
        <f>SUMIFS('caseload data'!N:N,'caseload data'!$D:$D,"PO",'caseload data'!$C:$C,'divisional &amp; regional caseload'!$B$8)</f>
        <v>0</v>
      </c>
      <c r="M10" s="104">
        <f>SUMIFS('caseload data'!O:O,'caseload data'!$D:$D,"PO",'caseload data'!$C:$C,'divisional &amp; regional caseload'!$B$8)</f>
        <v>0</v>
      </c>
      <c r="N10" s="104">
        <f>SUMIFS('caseload data'!P:P,'caseload data'!$D:$D,"PO",'caseload data'!$C:$C,'divisional &amp; regional caseload'!$B$8)</f>
        <v>0</v>
      </c>
      <c r="O10" s="104">
        <f>SUMIFS('caseload data'!Q:Q,'caseload data'!$D:$D,"PO",'caseload data'!$C:$C,'divisional &amp; regional caseload'!$B$8)</f>
        <v>0</v>
      </c>
      <c r="P10" s="104">
        <f>SUMIFS('caseload data'!R:R,'caseload data'!$D:$D,"PO",'caseload data'!$C:$C,'divisional &amp; regional caseload'!$B$8)</f>
        <v>0</v>
      </c>
      <c r="Q10" s="104">
        <f>SUMIFS('caseload data'!S:S,'caseload data'!$D:$D,"PO",'caseload data'!$C:$C,'divisional &amp; regional caseload'!$B$8)</f>
        <v>0</v>
      </c>
      <c r="R10" s="104">
        <f>SUMIFS('caseload data'!T:T,'caseload data'!$D:$D,"PO",'caseload data'!$C:$C,'divisional &amp; regional caseload'!$B$8)</f>
        <v>0</v>
      </c>
      <c r="S10" s="101"/>
      <c r="T10" s="106" t="s">
        <v>911</v>
      </c>
      <c r="U10" s="104">
        <f>SUMIFS('caseload data'!E:E,'caseload data'!$D:$D,"PO",'caseload data'!$C:$C,'divisional &amp; regional caseload'!$T$8)</f>
        <v>0</v>
      </c>
      <c r="V10" s="104">
        <f>SUMIFS('caseload data'!F:F,'caseload data'!$D:$D,"PO",'caseload data'!$C:$C,'divisional &amp; regional caseload'!$T$8)</f>
        <v>0</v>
      </c>
      <c r="W10" s="104">
        <f>SUMIFS('caseload data'!G:G,'caseload data'!$D:$D,"PO",'caseload data'!$C:$C,'divisional &amp; regional caseload'!$T$8)</f>
        <v>0</v>
      </c>
      <c r="X10" s="104">
        <f>SUMIFS('caseload data'!H:H,'caseload data'!$D:$D,"PO",'caseload data'!$C:$C,'divisional &amp; regional caseload'!$T$8)</f>
        <v>0</v>
      </c>
      <c r="Y10" s="104">
        <f>SUMIFS('caseload data'!I:I,'caseload data'!$D:$D,"PO",'caseload data'!$C:$C,'divisional &amp; regional caseload'!$T$8)</f>
        <v>0</v>
      </c>
      <c r="Z10" s="104">
        <f>SUMIFS('caseload data'!J:J,'caseload data'!$D:$D,"PO",'caseload data'!$C:$C,'divisional &amp; regional caseload'!$T$8)</f>
        <v>0</v>
      </c>
      <c r="AA10" s="104">
        <f>SUMIFS('caseload data'!K:K,'caseload data'!$D:$D,"PO",'caseload data'!$C:$C,'divisional &amp; regional caseload'!$T$8)</f>
        <v>0</v>
      </c>
      <c r="AB10" s="104">
        <f>SUMIFS('caseload data'!L:L,'caseload data'!$D:$D,"PO",'caseload data'!$C:$C,'divisional &amp; regional caseload'!$T$8)</f>
        <v>0</v>
      </c>
      <c r="AC10" s="104">
        <f>SUMIFS('caseload data'!M:M,'caseload data'!$D:$D,"PO",'caseload data'!$C:$C,'divisional &amp; regional caseload'!$T$8)</f>
        <v>0</v>
      </c>
      <c r="AD10" s="104">
        <f>SUMIFS('caseload data'!N:N,'caseload data'!$D:$D,"PO",'caseload data'!$C:$C,'divisional &amp; regional caseload'!$T$8)</f>
        <v>0</v>
      </c>
      <c r="AE10" s="104">
        <f>SUMIFS('caseload data'!O:O,'caseload data'!$D:$D,"PO",'caseload data'!$C:$C,'divisional &amp; regional caseload'!$T$8)</f>
        <v>0</v>
      </c>
      <c r="AF10" s="104">
        <f>SUMIFS('caseload data'!P:P,'caseload data'!$D:$D,"PO",'caseload data'!$C:$C,'divisional &amp; regional caseload'!$T$8)</f>
        <v>0</v>
      </c>
      <c r="AG10" s="104">
        <f>SUMIFS('caseload data'!Q:Q,'caseload data'!$D:$D,"PO",'caseload data'!$C:$C,'divisional &amp; regional caseload'!$T$8)</f>
        <v>0</v>
      </c>
      <c r="AH10" s="104">
        <f>SUMIFS('caseload data'!R:R,'caseload data'!$D:$D,"PO",'caseload data'!$C:$C,'divisional &amp; regional caseload'!$T$8)</f>
        <v>0</v>
      </c>
      <c r="AI10" s="104">
        <f>SUMIFS('caseload data'!S:S,'caseload data'!$D:$D,"PO",'caseload data'!$C:$C,'divisional &amp; regional caseload'!$T$8)</f>
        <v>0</v>
      </c>
      <c r="AJ10" s="104">
        <f>SUMIFS('caseload data'!T:T,'caseload data'!$D:$D,"PO",'caseload data'!$C:$C,'divisional &amp; regional caseload'!$T$8)</f>
        <v>0</v>
      </c>
    </row>
    <row r="11" spans="1:41" x14ac:dyDescent="0.15">
      <c r="B11" s="107" t="s">
        <v>912</v>
      </c>
      <c r="C11" s="104">
        <f>SUMIFS('caseload data'!E:E,'caseload data'!$D:$D,"PSO",'caseload data'!$C:$C,'divisional &amp; regional caseload'!$B$8)</f>
        <v>0</v>
      </c>
      <c r="D11" s="104">
        <f>SUMIFS('caseload data'!F:F,'caseload data'!$D:$D,"PSO",'caseload data'!$C:$C,'divisional &amp; regional caseload'!$B$8)</f>
        <v>0</v>
      </c>
      <c r="E11" s="104">
        <f>SUMIFS('caseload data'!G:G,'caseload data'!$D:$D,"PSO",'caseload data'!$C:$C,'divisional &amp; regional caseload'!$B$8)</f>
        <v>0</v>
      </c>
      <c r="F11" s="104">
        <f>SUMIFS('caseload data'!H:H,'caseload data'!$D:$D,"PSO",'caseload data'!$C:$C,'divisional &amp; regional caseload'!$B$8)</f>
        <v>0</v>
      </c>
      <c r="G11" s="104">
        <f>SUMIFS('caseload data'!I:I,'caseload data'!$D:$D,"PSO",'caseload data'!$C:$C,'divisional &amp; regional caseload'!$B$8)</f>
        <v>0</v>
      </c>
      <c r="H11" s="104">
        <f>SUMIFS('caseload data'!J:J,'caseload data'!$D:$D,"PSO",'caseload data'!$C:$C,'divisional &amp; regional caseload'!$B$8)</f>
        <v>0</v>
      </c>
      <c r="I11" s="104">
        <f>SUMIFS('caseload data'!K:K,'caseload data'!$D:$D,"PSO",'caseload data'!$C:$C,'divisional &amp; regional caseload'!$B$8)</f>
        <v>0</v>
      </c>
      <c r="J11" s="104">
        <f>SUMIFS('caseload data'!L:L,'caseload data'!$D:$D,"PSO",'caseload data'!$C:$C,'divisional &amp; regional caseload'!$B$8)</f>
        <v>0</v>
      </c>
      <c r="K11" s="104">
        <f>SUMIFS('caseload data'!M:M,'caseload data'!$D:$D,"PSO",'caseload data'!$C:$C,'divisional &amp; regional caseload'!$B$8)</f>
        <v>0</v>
      </c>
      <c r="L11" s="104">
        <f>SUMIFS('caseload data'!N:N,'caseload data'!$D:$D,"PSO",'caseload data'!$C:$C,'divisional &amp; regional caseload'!$B$8)</f>
        <v>0</v>
      </c>
      <c r="M11" s="104">
        <f>SUMIFS('caseload data'!O:O,'caseload data'!$D:$D,"PSO",'caseload data'!$C:$C,'divisional &amp; regional caseload'!$B$8)</f>
        <v>0</v>
      </c>
      <c r="N11" s="104">
        <f>SUMIFS('caseload data'!P:P,'caseload data'!$D:$D,"PSO",'caseload data'!$C:$C,'divisional &amp; regional caseload'!$B$8)</f>
        <v>0</v>
      </c>
      <c r="O11" s="104">
        <f>SUMIFS('caseload data'!Q:Q,'caseload data'!$D:$D,"PSO",'caseload data'!$C:$C,'divisional &amp; regional caseload'!$B$8)</f>
        <v>0</v>
      </c>
      <c r="P11" s="104">
        <f>SUMIFS('caseload data'!R:R,'caseload data'!$D:$D,"PSO",'caseload data'!$C:$C,'divisional &amp; regional caseload'!$B$8)</f>
        <v>0</v>
      </c>
      <c r="Q11" s="104">
        <f>SUMIFS('caseload data'!S:S,'caseload data'!$D:$D,"PSO",'caseload data'!$C:$C,'divisional &amp; regional caseload'!$B$8)</f>
        <v>0</v>
      </c>
      <c r="R11" s="104">
        <f>SUMIFS('caseload data'!T:T,'caseload data'!$D:$D,"PSO",'caseload data'!$C:$C,'divisional &amp; regional caseload'!$B$8)</f>
        <v>0</v>
      </c>
      <c r="S11" s="101"/>
      <c r="T11" s="107" t="s">
        <v>912</v>
      </c>
      <c r="U11" s="104">
        <f>SUMIFS('caseload data'!E:E,'caseload data'!$D:$D,"PSO",'caseload data'!$C:$C,'divisional &amp; regional caseload'!$T$8)</f>
        <v>0</v>
      </c>
      <c r="V11" s="104">
        <f>SUMIFS('caseload data'!F:F,'caseload data'!$D:$D,"PSO",'caseload data'!$C:$C,'divisional &amp; regional caseload'!$T$8)</f>
        <v>0</v>
      </c>
      <c r="W11" s="104">
        <f>SUMIFS('caseload data'!G:G,'caseload data'!$D:$D,"PSO",'caseload data'!$C:$C,'divisional &amp; regional caseload'!$T$8)</f>
        <v>0</v>
      </c>
      <c r="X11" s="104">
        <f>SUMIFS('caseload data'!H:H,'caseload data'!$D:$D,"PSO",'caseload data'!$C:$C,'divisional &amp; regional caseload'!$T$8)</f>
        <v>0</v>
      </c>
      <c r="Y11" s="104">
        <f>SUMIFS('caseload data'!I:I,'caseload data'!$D:$D,"PSO",'caseload data'!$C:$C,'divisional &amp; regional caseload'!$T$8)</f>
        <v>0</v>
      </c>
      <c r="Z11" s="104">
        <f>SUMIFS('caseload data'!J:J,'caseload data'!$D:$D,"PSO",'caseload data'!$C:$C,'divisional &amp; regional caseload'!$T$8)</f>
        <v>0</v>
      </c>
      <c r="AA11" s="104">
        <f>SUMIFS('caseload data'!K:K,'caseload data'!$D:$D,"PSO",'caseload data'!$C:$C,'divisional &amp; regional caseload'!$T$8)</f>
        <v>0</v>
      </c>
      <c r="AB11" s="104">
        <f>SUMIFS('caseload data'!L:L,'caseload data'!$D:$D,"PSO",'caseload data'!$C:$C,'divisional &amp; regional caseload'!$T$8)</f>
        <v>0</v>
      </c>
      <c r="AC11" s="104">
        <f>SUMIFS('caseload data'!M:M,'caseload data'!$D:$D,"PSO",'caseload data'!$C:$C,'divisional &amp; regional caseload'!$T$8)</f>
        <v>0</v>
      </c>
      <c r="AD11" s="104">
        <f>SUMIFS('caseload data'!N:N,'caseload data'!$D:$D,"PSO",'caseload data'!$C:$C,'divisional &amp; regional caseload'!$T$8)</f>
        <v>0</v>
      </c>
      <c r="AE11" s="104">
        <f>SUMIFS('caseload data'!O:O,'caseload data'!$D:$D,"PSO",'caseload data'!$C:$C,'divisional &amp; regional caseload'!$T$8)</f>
        <v>0</v>
      </c>
      <c r="AF11" s="104">
        <f>SUMIFS('caseload data'!P:P,'caseload data'!$D:$D,"PSO",'caseload data'!$C:$C,'divisional &amp; regional caseload'!$T$8)</f>
        <v>0</v>
      </c>
      <c r="AG11" s="104">
        <f>SUMIFS('caseload data'!Q:Q,'caseload data'!$D:$D,"PSO",'caseload data'!$C:$C,'divisional &amp; regional caseload'!$T$8)</f>
        <v>0</v>
      </c>
      <c r="AH11" s="104">
        <f>SUMIFS('caseload data'!R:R,'caseload data'!$D:$D,"PSO",'caseload data'!$C:$C,'divisional &amp; regional caseload'!$T$8)</f>
        <v>0</v>
      </c>
      <c r="AI11" s="104">
        <f>SUMIFS('caseload data'!S:S,'caseload data'!$D:$D,"PSO",'caseload data'!$C:$C,'divisional &amp; regional caseload'!$T$8)</f>
        <v>0</v>
      </c>
      <c r="AJ11" s="104">
        <f>SUMIFS('caseload data'!T:T,'caseload data'!$D:$D,"PSO",'caseload data'!$C:$C,'divisional &amp; regional caseload'!$T$8)</f>
        <v>0</v>
      </c>
    </row>
    <row r="12" spans="1:41" x14ac:dyDescent="0.15">
      <c r="B12" s="107" t="s">
        <v>913</v>
      </c>
      <c r="C12" s="104">
        <f>SUMIFS('caseload data'!E:E,'caseload data'!$D:$D,"TPO",'caseload data'!$C:$C,'divisional &amp; regional caseload'!$B$8)</f>
        <v>0</v>
      </c>
      <c r="D12" s="104">
        <f>SUMIFS('caseload data'!F:F,'caseload data'!$D:$D,"TPO",'caseload data'!$C:$C,'divisional &amp; regional caseload'!$B$8)</f>
        <v>0</v>
      </c>
      <c r="E12" s="104">
        <f>SUMIFS('caseload data'!G:G,'caseload data'!$D:$D,"TPO",'caseload data'!$C:$C,'divisional &amp; regional caseload'!$B$8)</f>
        <v>0</v>
      </c>
      <c r="F12" s="104">
        <f>SUMIFS('caseload data'!H:H,'caseload data'!$D:$D,"TPO",'caseload data'!$C:$C,'divisional &amp; regional caseload'!$B$8)</f>
        <v>0</v>
      </c>
      <c r="G12" s="104">
        <f>SUMIFS('caseload data'!I:I,'caseload data'!$D:$D,"TPO",'caseload data'!$C:$C,'divisional &amp; regional caseload'!$B$8)</f>
        <v>0</v>
      </c>
      <c r="H12" s="104">
        <f>SUMIFS('caseload data'!J:J,'caseload data'!$D:$D,"TPO",'caseload data'!$C:$C,'divisional &amp; regional caseload'!$B$8)</f>
        <v>0</v>
      </c>
      <c r="I12" s="104">
        <f>SUMIFS('caseload data'!K:K,'caseload data'!$D:$D,"TPO",'caseload data'!$C:$C,'divisional &amp; regional caseload'!$B$8)</f>
        <v>0</v>
      </c>
      <c r="J12" s="104">
        <f>SUMIFS('caseload data'!L:L,'caseload data'!$D:$D,"TPO",'caseload data'!$C:$C,'divisional &amp; regional caseload'!$B$8)</f>
        <v>0</v>
      </c>
      <c r="K12" s="104">
        <f>SUMIFS('caseload data'!M:M,'caseload data'!$D:$D,"TPO",'caseload data'!$C:$C,'divisional &amp; regional caseload'!$B$8)</f>
        <v>0</v>
      </c>
      <c r="L12" s="104">
        <f>SUMIFS('caseload data'!N:N,'caseload data'!$D:$D,"TPO",'caseload data'!$C:$C,'divisional &amp; regional caseload'!$B$8)</f>
        <v>0</v>
      </c>
      <c r="M12" s="104">
        <f>SUMIFS('caseload data'!O:O,'caseload data'!$D:$D,"TPO",'caseload data'!$C:$C,'divisional &amp; regional caseload'!$B$8)</f>
        <v>0</v>
      </c>
      <c r="N12" s="104">
        <f>SUMIFS('caseload data'!P:P,'caseload data'!$D:$D,"TPO",'caseload data'!$C:$C,'divisional &amp; regional caseload'!$B$8)</f>
        <v>0</v>
      </c>
      <c r="O12" s="104">
        <f>SUMIFS('caseload data'!Q:Q,'caseload data'!$D:$D,"TPO",'caseload data'!$C:$C,'divisional &amp; regional caseload'!$B$8)</f>
        <v>0</v>
      </c>
      <c r="P12" s="104">
        <f>SUMIFS('caseload data'!R:R,'caseload data'!$D:$D,"TPO",'caseload data'!$C:$C,'divisional &amp; regional caseload'!$B$8)</f>
        <v>0</v>
      </c>
      <c r="Q12" s="104">
        <f>SUMIFS('caseload data'!S:S,'caseload data'!$D:$D,"TPO",'caseload data'!$C:$C,'divisional &amp; regional caseload'!$B$8)</f>
        <v>0</v>
      </c>
      <c r="R12" s="104">
        <f>SUMIFS('caseload data'!T:T,'caseload data'!$D:$D,"TPO",'caseload data'!$C:$C,'divisional &amp; regional caseload'!$B$8)</f>
        <v>0</v>
      </c>
      <c r="S12" s="101"/>
      <c r="T12" s="107" t="s">
        <v>913</v>
      </c>
      <c r="U12" s="104">
        <f>SUMIFS('caseload data'!E:E,'caseload data'!$D:$D,"TPO",'caseload data'!$C:$C,'divisional &amp; regional caseload'!$T$8)</f>
        <v>0</v>
      </c>
      <c r="V12" s="104">
        <f>SUMIFS('caseload data'!F:F,'caseload data'!$D:$D,"TPO",'caseload data'!$C:$C,'divisional &amp; regional caseload'!$T$8)</f>
        <v>0</v>
      </c>
      <c r="W12" s="104">
        <f>SUMIFS('caseload data'!G:G,'caseload data'!$D:$D,"TPO",'caseload data'!$C:$C,'divisional &amp; regional caseload'!$T$8)</f>
        <v>0</v>
      </c>
      <c r="X12" s="104">
        <f>SUMIFS('caseload data'!H:H,'caseload data'!$D:$D,"TPO",'caseload data'!$C:$C,'divisional &amp; regional caseload'!$T$8)</f>
        <v>0</v>
      </c>
      <c r="Y12" s="104">
        <f>SUMIFS('caseload data'!I:I,'caseload data'!$D:$D,"TPO",'caseload data'!$C:$C,'divisional &amp; regional caseload'!$T$8)</f>
        <v>0</v>
      </c>
      <c r="Z12" s="104">
        <f>SUMIFS('caseload data'!J:J,'caseload data'!$D:$D,"TPO",'caseload data'!$C:$C,'divisional &amp; regional caseload'!$T$8)</f>
        <v>0</v>
      </c>
      <c r="AA12" s="104">
        <f>SUMIFS('caseload data'!K:K,'caseload data'!$D:$D,"TPO",'caseload data'!$C:$C,'divisional &amp; regional caseload'!$T$8)</f>
        <v>0</v>
      </c>
      <c r="AB12" s="104">
        <f>SUMIFS('caseload data'!L:L,'caseload data'!$D:$D,"TPO",'caseload data'!$C:$C,'divisional &amp; regional caseload'!$T$8)</f>
        <v>0</v>
      </c>
      <c r="AC12" s="104">
        <f>SUMIFS('caseload data'!M:M,'caseload data'!$D:$D,"TPO",'caseload data'!$C:$C,'divisional &amp; regional caseload'!$T$8)</f>
        <v>0</v>
      </c>
      <c r="AD12" s="104">
        <f>SUMIFS('caseload data'!N:N,'caseload data'!$D:$D,"TPO",'caseload data'!$C:$C,'divisional &amp; regional caseload'!$T$8)</f>
        <v>0</v>
      </c>
      <c r="AE12" s="104">
        <f>SUMIFS('caseload data'!O:O,'caseload data'!$D:$D,"TPO",'caseload data'!$C:$C,'divisional &amp; regional caseload'!$T$8)</f>
        <v>0</v>
      </c>
      <c r="AF12" s="104">
        <f>SUMIFS('caseload data'!P:P,'caseload data'!$D:$D,"TPO",'caseload data'!$C:$C,'divisional &amp; regional caseload'!$T$8)</f>
        <v>0</v>
      </c>
      <c r="AG12" s="104">
        <f>SUMIFS('caseload data'!Q:Q,'caseload data'!$D:$D,"TPO",'caseload data'!$C:$C,'divisional &amp; regional caseload'!$T$8)</f>
        <v>0</v>
      </c>
      <c r="AH12" s="104">
        <f>SUMIFS('caseload data'!R:R,'caseload data'!$D:$D,"TPO",'caseload data'!$C:$C,'divisional &amp; regional caseload'!$T$8)</f>
        <v>0</v>
      </c>
      <c r="AI12" s="104">
        <f>SUMIFS('caseload data'!S:S,'caseload data'!$D:$D,"TPO",'caseload data'!$C:$C,'divisional &amp; regional caseload'!$T$8)</f>
        <v>0</v>
      </c>
      <c r="AJ12" s="104">
        <f>SUMIFS('caseload data'!T:T,'caseload data'!$D:$D,"TPO",'caseload data'!$C:$C,'divisional &amp; regional caseload'!$T$8)</f>
        <v>0</v>
      </c>
    </row>
    <row r="13" spans="1:41" x14ac:dyDescent="0.15">
      <c r="B13" s="108" t="s">
        <v>914</v>
      </c>
      <c r="C13" s="104">
        <f>SUMIFS('caseload data'!E:E,'caseload data'!$D:$D,"SPO",'caseload data'!$C:$C,'divisional &amp; regional caseload'!$B$8)</f>
        <v>0</v>
      </c>
      <c r="D13" s="104">
        <f>SUMIFS('caseload data'!F:F,'caseload data'!$D:$D,"SPO",'caseload data'!$C:$C,'divisional &amp; regional caseload'!$B$8)</f>
        <v>0</v>
      </c>
      <c r="E13" s="104">
        <f>SUMIFS('caseload data'!G:G,'caseload data'!$D:$D,"SPO",'caseload data'!$C:$C,'divisional &amp; regional caseload'!$B$8)</f>
        <v>0</v>
      </c>
      <c r="F13" s="104">
        <f>SUMIFS('caseload data'!H:H,'caseload data'!$D:$D,"SPO",'caseload data'!$C:$C,'divisional &amp; regional caseload'!$B$8)</f>
        <v>0</v>
      </c>
      <c r="G13" s="104">
        <f>SUMIFS('caseload data'!I:I,'caseload data'!$D:$D,"SPO",'caseload data'!$C:$C,'divisional &amp; regional caseload'!$B$8)</f>
        <v>0</v>
      </c>
      <c r="H13" s="104">
        <f>SUMIFS('caseload data'!J:J,'caseload data'!$D:$D,"SPO",'caseload data'!$C:$C,'divisional &amp; regional caseload'!$B$8)</f>
        <v>0</v>
      </c>
      <c r="I13" s="104">
        <f>SUMIFS('caseload data'!K:K,'caseload data'!$D:$D,"SPO",'caseload data'!$C:$C,'divisional &amp; regional caseload'!$B$8)</f>
        <v>0</v>
      </c>
      <c r="J13" s="104">
        <f>SUMIFS('caseload data'!L:L,'caseload data'!$D:$D,"SPO",'caseload data'!$C:$C,'divisional &amp; regional caseload'!$B$8)</f>
        <v>0</v>
      </c>
      <c r="K13" s="104">
        <f>SUMIFS('caseload data'!M:M,'caseload data'!$D:$D,"SPO",'caseload data'!$C:$C,'divisional &amp; regional caseload'!$B$8)</f>
        <v>0</v>
      </c>
      <c r="L13" s="104">
        <f>SUMIFS('caseload data'!N:N,'caseload data'!$D:$D,"SPO",'caseload data'!$C:$C,'divisional &amp; regional caseload'!$B$8)</f>
        <v>0</v>
      </c>
      <c r="M13" s="104">
        <f>SUMIFS('caseload data'!O:O,'caseload data'!$D:$D,"SPO",'caseload data'!$C:$C,'divisional &amp; regional caseload'!$B$8)</f>
        <v>0</v>
      </c>
      <c r="N13" s="104">
        <f>SUMIFS('caseload data'!P:P,'caseload data'!$D:$D,"SPO",'caseload data'!$C:$C,'divisional &amp; regional caseload'!$B$8)</f>
        <v>0</v>
      </c>
      <c r="O13" s="104">
        <f>SUMIFS('caseload data'!Q:Q,'caseload data'!$D:$D,"SPO",'caseload data'!$C:$C,'divisional &amp; regional caseload'!$B$8)</f>
        <v>0</v>
      </c>
      <c r="P13" s="104">
        <f>SUMIFS('caseload data'!R:R,'caseload data'!$D:$D,"SPO",'caseload data'!$C:$C,'divisional &amp; regional caseload'!$B$8)</f>
        <v>0</v>
      </c>
      <c r="Q13" s="104">
        <f>SUMIFS('caseload data'!S:S,'caseload data'!$D:$D,"SPO",'caseload data'!$C:$C,'divisional &amp; regional caseload'!$B$8)</f>
        <v>0</v>
      </c>
      <c r="R13" s="104">
        <f>SUMIFS('caseload data'!T:T,'caseload data'!$D:$D,"SPO",'caseload data'!$C:$C,'divisional &amp; regional caseload'!$B$8)</f>
        <v>0</v>
      </c>
      <c r="S13" s="101"/>
      <c r="T13" s="108" t="s">
        <v>914</v>
      </c>
      <c r="U13" s="104">
        <f>SUMIFS('caseload data'!E:E,'caseload data'!$D:$D,"SPO",'caseload data'!$C:$C,'divisional &amp; regional caseload'!$T$8)</f>
        <v>0</v>
      </c>
      <c r="V13" s="104">
        <f>SUMIFS('caseload data'!F:F,'caseload data'!$D:$D,"SPO",'caseload data'!$C:$C,'divisional &amp; regional caseload'!$T$8)</f>
        <v>0</v>
      </c>
      <c r="W13" s="104">
        <f>SUMIFS('caseload data'!G:G,'caseload data'!$D:$D,"SPO",'caseload data'!$C:$C,'divisional &amp; regional caseload'!$T$8)</f>
        <v>0</v>
      </c>
      <c r="X13" s="104">
        <f>SUMIFS('caseload data'!H:H,'caseload data'!$D:$D,"SPO",'caseload data'!$C:$C,'divisional &amp; regional caseload'!$T$8)</f>
        <v>0</v>
      </c>
      <c r="Y13" s="104">
        <f>SUMIFS('caseload data'!I:I,'caseload data'!$D:$D,"SPO",'caseload data'!$C:$C,'divisional &amp; regional caseload'!$T$8)</f>
        <v>0</v>
      </c>
      <c r="Z13" s="104">
        <f>SUMIFS('caseload data'!J:J,'caseload data'!$D:$D,"SPO",'caseload data'!$C:$C,'divisional &amp; regional caseload'!$T$8)</f>
        <v>0</v>
      </c>
      <c r="AA13" s="104">
        <f>SUMIFS('caseload data'!K:K,'caseload data'!$D:$D,"SPO",'caseload data'!$C:$C,'divisional &amp; regional caseload'!$T$8)</f>
        <v>0</v>
      </c>
      <c r="AB13" s="104">
        <f>SUMIFS('caseload data'!L:L,'caseload data'!$D:$D,"SPO",'caseload data'!$C:$C,'divisional &amp; regional caseload'!$T$8)</f>
        <v>0</v>
      </c>
      <c r="AC13" s="104">
        <f>SUMIFS('caseload data'!M:M,'caseload data'!$D:$D,"SPO",'caseload data'!$C:$C,'divisional &amp; regional caseload'!$T$8)</f>
        <v>0</v>
      </c>
      <c r="AD13" s="104">
        <f>SUMIFS('caseload data'!N:N,'caseload data'!$D:$D,"SPO",'caseload data'!$C:$C,'divisional &amp; regional caseload'!$T$8)</f>
        <v>0</v>
      </c>
      <c r="AE13" s="104">
        <f>SUMIFS('caseload data'!O:O,'caseload data'!$D:$D,"SPO",'caseload data'!$C:$C,'divisional &amp; regional caseload'!$T$8)</f>
        <v>0</v>
      </c>
      <c r="AF13" s="104">
        <f>SUMIFS('caseload data'!P:P,'caseload data'!$D:$D,"SPO",'caseload data'!$C:$C,'divisional &amp; regional caseload'!$T$8)</f>
        <v>0</v>
      </c>
      <c r="AG13" s="104">
        <f>SUMIFS('caseload data'!Q:Q,'caseload data'!$D:$D,"SPO",'caseload data'!$C:$C,'divisional &amp; regional caseload'!$T$8)</f>
        <v>0</v>
      </c>
      <c r="AH13" s="104">
        <f>SUMIFS('caseload data'!R:R,'caseload data'!$D:$D,"SPO",'caseload data'!$C:$C,'divisional &amp; regional caseload'!$T$8)</f>
        <v>0</v>
      </c>
      <c r="AI13" s="104">
        <f>SUMIFS('caseload data'!S:S,'caseload data'!$D:$D,"SPO",'caseload data'!$C:$C,'divisional &amp; regional caseload'!$T$8)</f>
        <v>0</v>
      </c>
      <c r="AJ13" s="104">
        <f>SUMIFS('caseload data'!T:T,'caseload data'!$D:$D,"SPO",'caseload data'!$C:$C,'divisional &amp; regional caseload'!$T$8)</f>
        <v>0</v>
      </c>
    </row>
    <row r="14" spans="1:41" x14ac:dyDescent="0.15">
      <c r="B14" s="101"/>
      <c r="C14" s="101"/>
      <c r="D14" s="101"/>
      <c r="E14" s="101"/>
      <c r="F14" s="101"/>
      <c r="G14" s="101"/>
      <c r="H14" s="101"/>
      <c r="I14" s="101"/>
      <c r="J14" s="101"/>
      <c r="K14" s="101"/>
      <c r="L14" s="101"/>
      <c r="M14" s="101"/>
      <c r="N14" s="101"/>
      <c r="O14" s="101"/>
      <c r="P14" s="101"/>
      <c r="Q14" s="101"/>
      <c r="R14" s="101"/>
      <c r="S14" s="101"/>
      <c r="T14" s="101"/>
      <c r="U14" s="101"/>
      <c r="V14" s="101"/>
      <c r="W14" s="101"/>
      <c r="X14" s="101"/>
      <c r="Y14" s="101"/>
      <c r="Z14" s="101"/>
      <c r="AA14" s="101"/>
    </row>
    <row r="15" spans="1:41" ht="30" customHeight="1" x14ac:dyDescent="0.15">
      <c r="B15" s="156" t="str">
        <f>HLOOKUP($B$5,Region_Table,4,0)</f>
        <v>Camden, Islington</v>
      </c>
      <c r="C15" s="367" t="s">
        <v>1130</v>
      </c>
      <c r="D15" s="368"/>
      <c r="E15" s="368"/>
      <c r="F15" s="368"/>
      <c r="G15" s="368"/>
      <c r="H15" s="368"/>
      <c r="I15" s="368"/>
      <c r="J15" s="368"/>
      <c r="K15" s="368"/>
      <c r="L15" s="368"/>
      <c r="M15" s="369"/>
      <c r="N15" s="369"/>
      <c r="O15" s="370"/>
      <c r="P15" s="371">
        <f>SUMIF('caseload data'!$C:$C,'divisional &amp; regional caseload'!B15,'caseload data'!V:V)</f>
        <v>0</v>
      </c>
      <c r="Q15" s="372"/>
      <c r="R15" s="373"/>
      <c r="S15" s="101"/>
      <c r="T15" s="156" t="str">
        <f>HLOOKUP($B$5,Region_Table,5,0)</f>
        <v>Community Integration</v>
      </c>
      <c r="U15" s="367" t="s">
        <v>1130</v>
      </c>
      <c r="V15" s="369"/>
      <c r="W15" s="369"/>
      <c r="X15" s="370"/>
      <c r="Y15" s="371">
        <f>SUMIF('caseload data'!$C:$C,'divisional &amp; regional caseload'!T15,'caseload data'!V:V)</f>
        <v>0</v>
      </c>
      <c r="Z15" s="372"/>
      <c r="AA15" s="373"/>
    </row>
    <row r="16" spans="1:41" x14ac:dyDescent="0.15">
      <c r="B16" s="105" t="s">
        <v>1065</v>
      </c>
      <c r="C16" s="41" t="s">
        <v>922</v>
      </c>
      <c r="D16" s="41" t="s">
        <v>923</v>
      </c>
      <c r="E16" s="41" t="s">
        <v>924</v>
      </c>
      <c r="F16" s="41" t="s">
        <v>925</v>
      </c>
      <c r="G16" s="41" t="s">
        <v>926</v>
      </c>
      <c r="H16" s="41" t="s">
        <v>927</v>
      </c>
      <c r="I16" s="41" t="s">
        <v>928</v>
      </c>
      <c r="J16" s="41" t="s">
        <v>929</v>
      </c>
      <c r="K16" s="41" t="s">
        <v>930</v>
      </c>
      <c r="L16" s="41" t="s">
        <v>931</v>
      </c>
      <c r="M16" s="41" t="s">
        <v>932</v>
      </c>
      <c r="N16" s="41" t="s">
        <v>933</v>
      </c>
      <c r="O16" s="41" t="s">
        <v>934</v>
      </c>
      <c r="P16" s="41" t="s">
        <v>935</v>
      </c>
      <c r="Q16" s="41" t="s">
        <v>936</v>
      </c>
      <c r="R16" s="41" t="s">
        <v>937</v>
      </c>
      <c r="S16" s="101"/>
      <c r="T16" s="105" t="s">
        <v>1065</v>
      </c>
      <c r="U16" s="41" t="s">
        <v>922</v>
      </c>
      <c r="V16" s="41" t="s">
        <v>923</v>
      </c>
      <c r="W16" s="41" t="s">
        <v>924</v>
      </c>
      <c r="X16" s="41" t="s">
        <v>925</v>
      </c>
      <c r="Y16" s="41" t="s">
        <v>926</v>
      </c>
      <c r="Z16" s="41" t="s">
        <v>927</v>
      </c>
      <c r="AA16" s="41" t="s">
        <v>928</v>
      </c>
      <c r="AB16" s="41" t="s">
        <v>929</v>
      </c>
      <c r="AC16" s="41" t="s">
        <v>930</v>
      </c>
      <c r="AD16" s="41" t="s">
        <v>931</v>
      </c>
      <c r="AE16" s="41" t="s">
        <v>932</v>
      </c>
      <c r="AF16" s="41" t="s">
        <v>933</v>
      </c>
      <c r="AG16" s="41" t="s">
        <v>934</v>
      </c>
      <c r="AH16" s="41" t="s">
        <v>935</v>
      </c>
      <c r="AI16" s="41" t="s">
        <v>936</v>
      </c>
      <c r="AJ16" s="41" t="s">
        <v>937</v>
      </c>
    </row>
    <row r="17" spans="2:36" x14ac:dyDescent="0.15">
      <c r="B17" s="106" t="s">
        <v>911</v>
      </c>
      <c r="C17" s="104">
        <f>SUMIFS('caseload data'!E:E,'caseload data'!$D:$D,"PO",'caseload data'!$C:$C,'divisional &amp; regional caseload'!$B$15)</f>
        <v>0</v>
      </c>
      <c r="D17" s="104">
        <f>SUMIFS('caseload data'!F:F,'caseload data'!$D:$D,"PO",'caseload data'!$C:$C,'divisional &amp; regional caseload'!$B$15)</f>
        <v>0</v>
      </c>
      <c r="E17" s="104">
        <f>SUMIFS('caseload data'!G:G,'caseload data'!$D:$D,"PO",'caseload data'!$C:$C,'divisional &amp; regional caseload'!$B$15)</f>
        <v>0</v>
      </c>
      <c r="F17" s="104">
        <f>SUMIFS('caseload data'!H:H,'caseload data'!$D:$D,"PO",'caseload data'!$C:$C,'divisional &amp; regional caseload'!$B$15)</f>
        <v>0</v>
      </c>
      <c r="G17" s="104">
        <f>SUMIFS('caseload data'!I:I,'caseload data'!$D:$D,"PO",'caseload data'!$C:$C,'divisional &amp; regional caseload'!$B$15)</f>
        <v>0</v>
      </c>
      <c r="H17" s="104">
        <f>SUMIFS('caseload data'!J:J,'caseload data'!$D:$D,"PO",'caseload data'!$C:$C,'divisional &amp; regional caseload'!$B$15)</f>
        <v>0</v>
      </c>
      <c r="I17" s="104">
        <f>SUMIFS('caseload data'!K:K,'caseload data'!$D:$D,"PO",'caseload data'!$C:$C,'divisional &amp; regional caseload'!$B$15)</f>
        <v>0</v>
      </c>
      <c r="J17" s="104">
        <f>SUMIFS('caseload data'!L:L,'caseload data'!$D:$D,"PO",'caseload data'!$C:$C,'divisional &amp; regional caseload'!$B$15)</f>
        <v>0</v>
      </c>
      <c r="K17" s="104">
        <f>SUMIFS('caseload data'!M:M,'caseload data'!$D:$D,"PO",'caseload data'!$C:$C,'divisional &amp; regional caseload'!$B$15)</f>
        <v>0</v>
      </c>
      <c r="L17" s="104">
        <f>SUMIFS('caseload data'!N:N,'caseload data'!$D:$D,"PO",'caseload data'!$C:$C,'divisional &amp; regional caseload'!$B$15)</f>
        <v>0</v>
      </c>
      <c r="M17" s="104">
        <f>SUMIFS('caseload data'!O:O,'caseload data'!$D:$D,"PO",'caseload data'!$C:$C,'divisional &amp; regional caseload'!$B$15)</f>
        <v>0</v>
      </c>
      <c r="N17" s="104">
        <f>SUMIFS('caseload data'!P:P,'caseload data'!$D:$D,"PO",'caseload data'!$C:$C,'divisional &amp; regional caseload'!$B$15)</f>
        <v>0</v>
      </c>
      <c r="O17" s="104">
        <f>SUMIFS('caseload data'!Q:Q,'caseload data'!$D:$D,"PO",'caseload data'!$C:$C,'divisional &amp; regional caseload'!$B$15)</f>
        <v>0</v>
      </c>
      <c r="P17" s="104">
        <f>SUMIFS('caseload data'!R:R,'caseload data'!$D:$D,"PO",'caseload data'!$C:$C,'divisional &amp; regional caseload'!$B$15)</f>
        <v>0</v>
      </c>
      <c r="Q17" s="104">
        <f>SUMIFS('caseload data'!S:S,'caseload data'!$D:$D,"PO",'caseload data'!$C:$C,'divisional &amp; regional caseload'!$B$15)</f>
        <v>0</v>
      </c>
      <c r="R17" s="104">
        <f>SUMIFS('caseload data'!T:T,'caseload data'!$D:$D,"PO",'caseload data'!$C:$C,'divisional &amp; regional caseload'!$B$15)</f>
        <v>0</v>
      </c>
      <c r="S17" s="101"/>
      <c r="T17" s="106" t="s">
        <v>911</v>
      </c>
      <c r="U17" s="104">
        <f>SUMIFS('caseload data'!E:E,'caseload data'!$D:$D,"PO",'caseload data'!$C:$C,'divisional &amp; regional caseload'!$T$15)</f>
        <v>0</v>
      </c>
      <c r="V17" s="104">
        <f>SUMIFS('caseload data'!F:F,'caseload data'!$D:$D,"PO",'caseload data'!$C:$C,'divisional &amp; regional caseload'!$T$15)</f>
        <v>0</v>
      </c>
      <c r="W17" s="104">
        <f>SUMIFS('caseload data'!G:G,'caseload data'!$D:$D,"PO",'caseload data'!$C:$C,'divisional &amp; regional caseload'!$T$15)</f>
        <v>0</v>
      </c>
      <c r="X17" s="104">
        <f>SUMIFS('caseload data'!H:H,'caseload data'!$D:$D,"PO",'caseload data'!$C:$C,'divisional &amp; regional caseload'!$T$15)</f>
        <v>0</v>
      </c>
      <c r="Y17" s="104">
        <f>SUMIFS('caseload data'!I:I,'caseload data'!$D:$D,"PO",'caseload data'!$C:$C,'divisional &amp; regional caseload'!$T$15)</f>
        <v>0</v>
      </c>
      <c r="Z17" s="104">
        <f>SUMIFS('caseload data'!J:J,'caseload data'!$D:$D,"PO",'caseload data'!$C:$C,'divisional &amp; regional caseload'!$T$15)</f>
        <v>0</v>
      </c>
      <c r="AA17" s="104">
        <f>SUMIFS('caseload data'!K:K,'caseload data'!$D:$D,"PO",'caseload data'!$C:$C,'divisional &amp; regional caseload'!$T$15)</f>
        <v>0</v>
      </c>
      <c r="AB17" s="104">
        <f>SUMIFS('caseload data'!L:L,'caseload data'!$D:$D,"PO",'caseload data'!$C:$C,'divisional &amp; regional caseload'!$T$15)</f>
        <v>0</v>
      </c>
      <c r="AC17" s="104">
        <f>SUMIFS('caseload data'!M:M,'caseload data'!$D:$D,"PO",'caseload data'!$C:$C,'divisional &amp; regional caseload'!$T$15)</f>
        <v>0</v>
      </c>
      <c r="AD17" s="104">
        <f>SUMIFS('caseload data'!N:N,'caseload data'!$D:$D,"PO",'caseload data'!$C:$C,'divisional &amp; regional caseload'!$T$15)</f>
        <v>0</v>
      </c>
      <c r="AE17" s="104">
        <f>SUMIFS('caseload data'!O:O,'caseload data'!$D:$D,"PO",'caseload data'!$C:$C,'divisional &amp; regional caseload'!$T$15)</f>
        <v>0</v>
      </c>
      <c r="AF17" s="104">
        <f>SUMIFS('caseload data'!P:P,'caseload data'!$D:$D,"PO",'caseload data'!$C:$C,'divisional &amp; regional caseload'!$T$15)</f>
        <v>0</v>
      </c>
      <c r="AG17" s="104">
        <f>SUMIFS('caseload data'!Q:Q,'caseload data'!$D:$D,"PO",'caseload data'!$C:$C,'divisional &amp; regional caseload'!$T$15)</f>
        <v>0</v>
      </c>
      <c r="AH17" s="104">
        <f>SUMIFS('caseload data'!R:R,'caseload data'!$D:$D,"PO",'caseload data'!$C:$C,'divisional &amp; regional caseload'!$T$15)</f>
        <v>0</v>
      </c>
      <c r="AI17" s="104">
        <f>SUMIFS('caseload data'!S:S,'caseload data'!$D:$D,"PO",'caseload data'!$C:$C,'divisional &amp; regional caseload'!$T$15)</f>
        <v>0</v>
      </c>
      <c r="AJ17" s="104">
        <f>SUMIFS('caseload data'!T:T,'caseload data'!$D:$D,"PO",'caseload data'!$C:$C,'divisional &amp; regional caseload'!$T$15)</f>
        <v>0</v>
      </c>
    </row>
    <row r="18" spans="2:36" x14ac:dyDescent="0.15">
      <c r="B18" s="107" t="s">
        <v>912</v>
      </c>
      <c r="C18" s="104">
        <f>SUMIFS('caseload data'!E:E,'caseload data'!$D:$D,"PSO",'caseload data'!$C:$C,'divisional &amp; regional caseload'!$B$15)</f>
        <v>0</v>
      </c>
      <c r="D18" s="104">
        <f>SUMIFS('caseload data'!F:F,'caseload data'!$D:$D,"PSO",'caseload data'!$C:$C,'divisional &amp; regional caseload'!$B$15)</f>
        <v>0</v>
      </c>
      <c r="E18" s="104">
        <f>SUMIFS('caseload data'!G:G,'caseload data'!$D:$D,"PSO",'caseload data'!$C:$C,'divisional &amp; regional caseload'!$B$15)</f>
        <v>0</v>
      </c>
      <c r="F18" s="104">
        <f>SUMIFS('caseload data'!H:H,'caseload data'!$D:$D,"PSO",'caseload data'!$C:$C,'divisional &amp; regional caseload'!$B$15)</f>
        <v>0</v>
      </c>
      <c r="G18" s="104">
        <f>SUMIFS('caseload data'!I:I,'caseload data'!$D:$D,"PSO",'caseload data'!$C:$C,'divisional &amp; regional caseload'!$B$15)</f>
        <v>0</v>
      </c>
      <c r="H18" s="104">
        <f>SUMIFS('caseload data'!J:J,'caseload data'!$D:$D,"PSO",'caseload data'!$C:$C,'divisional &amp; regional caseload'!$B$15)</f>
        <v>0</v>
      </c>
      <c r="I18" s="104">
        <f>SUMIFS('caseload data'!K:K,'caseload data'!$D:$D,"PSO",'caseload data'!$C:$C,'divisional &amp; regional caseload'!$B$15)</f>
        <v>0</v>
      </c>
      <c r="J18" s="104">
        <f>SUMIFS('caseload data'!L:L,'caseload data'!$D:$D,"PSO",'caseload data'!$C:$C,'divisional &amp; regional caseload'!$B$15)</f>
        <v>0</v>
      </c>
      <c r="K18" s="104">
        <f>SUMIFS('caseload data'!M:M,'caseload data'!$D:$D,"PSO",'caseload data'!$C:$C,'divisional &amp; regional caseload'!$B$15)</f>
        <v>0</v>
      </c>
      <c r="L18" s="104">
        <f>SUMIFS('caseload data'!N:N,'caseload data'!$D:$D,"PSO",'caseload data'!$C:$C,'divisional &amp; regional caseload'!$B$15)</f>
        <v>0</v>
      </c>
      <c r="M18" s="104">
        <f>SUMIFS('caseload data'!O:O,'caseload data'!$D:$D,"PSO",'caseload data'!$C:$C,'divisional &amp; regional caseload'!$B$15)</f>
        <v>0</v>
      </c>
      <c r="N18" s="104">
        <f>SUMIFS('caseload data'!P:P,'caseload data'!$D:$D,"PSO",'caseload data'!$C:$C,'divisional &amp; regional caseload'!$B$15)</f>
        <v>0</v>
      </c>
      <c r="O18" s="104">
        <f>SUMIFS('caseload data'!Q:Q,'caseload data'!$D:$D,"PSO",'caseload data'!$C:$C,'divisional &amp; regional caseload'!$B$15)</f>
        <v>0</v>
      </c>
      <c r="P18" s="104">
        <f>SUMIFS('caseload data'!R:R,'caseload data'!$D:$D,"PSO",'caseload data'!$C:$C,'divisional &amp; regional caseload'!$B$15)</f>
        <v>0</v>
      </c>
      <c r="Q18" s="104">
        <f>SUMIFS('caseload data'!S:S,'caseload data'!$D:$D,"PSO",'caseload data'!$C:$C,'divisional &amp; regional caseload'!$B$15)</f>
        <v>0</v>
      </c>
      <c r="R18" s="104">
        <f>SUMIFS('caseload data'!T:T,'caseload data'!$D:$D,"PSO",'caseload data'!$C:$C,'divisional &amp; regional caseload'!$B$15)</f>
        <v>0</v>
      </c>
      <c r="S18" s="101"/>
      <c r="T18" s="107" t="s">
        <v>912</v>
      </c>
      <c r="U18" s="104">
        <f>SUMIFS('caseload data'!E:E,'caseload data'!$D:$D,"PSO",'caseload data'!$C:$C,'divisional &amp; regional caseload'!$T$15)</f>
        <v>0</v>
      </c>
      <c r="V18" s="104">
        <f>SUMIFS('caseload data'!F:F,'caseload data'!$D:$D,"PSO",'caseload data'!$C:$C,'divisional &amp; regional caseload'!$T$15)</f>
        <v>0</v>
      </c>
      <c r="W18" s="104">
        <f>SUMIFS('caseload data'!G:G,'caseload data'!$D:$D,"PSO",'caseload data'!$C:$C,'divisional &amp; regional caseload'!$T$15)</f>
        <v>0</v>
      </c>
      <c r="X18" s="104">
        <f>SUMIFS('caseload data'!H:H,'caseload data'!$D:$D,"PSO",'caseload data'!$C:$C,'divisional &amp; regional caseload'!$T$15)</f>
        <v>0</v>
      </c>
      <c r="Y18" s="104">
        <f>SUMIFS('caseload data'!I:I,'caseload data'!$D:$D,"PSO",'caseload data'!$C:$C,'divisional &amp; regional caseload'!$T$15)</f>
        <v>0</v>
      </c>
      <c r="Z18" s="104">
        <f>SUMIFS('caseload data'!J:J,'caseload data'!$D:$D,"PSO",'caseload data'!$C:$C,'divisional &amp; regional caseload'!$T$15)</f>
        <v>0</v>
      </c>
      <c r="AA18" s="104">
        <f>SUMIFS('caseload data'!K:K,'caseload data'!$D:$D,"PSO",'caseload data'!$C:$C,'divisional &amp; regional caseload'!$T$15)</f>
        <v>0</v>
      </c>
      <c r="AB18" s="104">
        <f>SUMIFS('caseload data'!L:L,'caseload data'!$D:$D,"PSO",'caseload data'!$C:$C,'divisional &amp; regional caseload'!$T$15)</f>
        <v>0</v>
      </c>
      <c r="AC18" s="104">
        <f>SUMIFS('caseload data'!M:M,'caseload data'!$D:$D,"PSO",'caseload data'!$C:$C,'divisional &amp; regional caseload'!$T$15)</f>
        <v>0</v>
      </c>
      <c r="AD18" s="104">
        <f>SUMIFS('caseload data'!N:N,'caseload data'!$D:$D,"PSO",'caseload data'!$C:$C,'divisional &amp; regional caseload'!$T$15)</f>
        <v>0</v>
      </c>
      <c r="AE18" s="104">
        <f>SUMIFS('caseload data'!O:O,'caseload data'!$D:$D,"PSO",'caseload data'!$C:$C,'divisional &amp; regional caseload'!$T$15)</f>
        <v>0</v>
      </c>
      <c r="AF18" s="104">
        <f>SUMIFS('caseload data'!P:P,'caseload data'!$D:$D,"PSO",'caseload data'!$C:$C,'divisional &amp; regional caseload'!$T$15)</f>
        <v>0</v>
      </c>
      <c r="AG18" s="104">
        <f>SUMIFS('caseload data'!Q:Q,'caseload data'!$D:$D,"PSO",'caseload data'!$C:$C,'divisional &amp; regional caseload'!$T$15)</f>
        <v>0</v>
      </c>
      <c r="AH18" s="104">
        <f>SUMIFS('caseload data'!R:R,'caseload data'!$D:$D,"PSO",'caseload data'!$C:$C,'divisional &amp; regional caseload'!$T$15)</f>
        <v>0</v>
      </c>
      <c r="AI18" s="104">
        <f>SUMIFS('caseload data'!S:S,'caseload data'!$D:$D,"PSO",'caseload data'!$C:$C,'divisional &amp; regional caseload'!$T$15)</f>
        <v>0</v>
      </c>
      <c r="AJ18" s="104">
        <f>SUMIFS('caseload data'!T:T,'caseload data'!$D:$D,"PSO",'caseload data'!$C:$C,'divisional &amp; regional caseload'!$T$15)</f>
        <v>0</v>
      </c>
    </row>
    <row r="19" spans="2:36" x14ac:dyDescent="0.15">
      <c r="B19" s="107" t="s">
        <v>913</v>
      </c>
      <c r="C19" s="104">
        <f>SUMIFS('caseload data'!E:E,'caseload data'!$D:$D,"TPO",'caseload data'!$C:$C,'divisional &amp; regional caseload'!$B$15)</f>
        <v>0</v>
      </c>
      <c r="D19" s="104">
        <f>SUMIFS('caseload data'!F:F,'caseload data'!$D:$D,"TPO",'caseload data'!$C:$C,'divisional &amp; regional caseload'!$B$15)</f>
        <v>0</v>
      </c>
      <c r="E19" s="104">
        <f>SUMIFS('caseload data'!G:G,'caseload data'!$D:$D,"TPO",'caseload data'!$C:$C,'divisional &amp; regional caseload'!$B$15)</f>
        <v>0</v>
      </c>
      <c r="F19" s="104">
        <f>SUMIFS('caseload data'!H:H,'caseload data'!$D:$D,"TPO",'caseload data'!$C:$C,'divisional &amp; regional caseload'!$B$15)</f>
        <v>0</v>
      </c>
      <c r="G19" s="104">
        <f>SUMIFS('caseload data'!I:I,'caseload data'!$D:$D,"TPO",'caseload data'!$C:$C,'divisional &amp; regional caseload'!$B$15)</f>
        <v>0</v>
      </c>
      <c r="H19" s="104">
        <f>SUMIFS('caseload data'!J:J,'caseload data'!$D:$D,"TPO",'caseload data'!$C:$C,'divisional &amp; regional caseload'!$B$15)</f>
        <v>0</v>
      </c>
      <c r="I19" s="104">
        <f>SUMIFS('caseload data'!K:K,'caseload data'!$D:$D,"TPO",'caseload data'!$C:$C,'divisional &amp; regional caseload'!$B$15)</f>
        <v>0</v>
      </c>
      <c r="J19" s="104">
        <f>SUMIFS('caseload data'!L:L,'caseload data'!$D:$D,"TPO",'caseload data'!$C:$C,'divisional &amp; regional caseload'!$B$15)</f>
        <v>0</v>
      </c>
      <c r="K19" s="104">
        <f>SUMIFS('caseload data'!M:M,'caseload data'!$D:$D,"TPO",'caseload data'!$C:$C,'divisional &amp; regional caseload'!$B$15)</f>
        <v>0</v>
      </c>
      <c r="L19" s="104">
        <f>SUMIFS('caseload data'!N:N,'caseload data'!$D:$D,"TPO",'caseload data'!$C:$C,'divisional &amp; regional caseload'!$B$15)</f>
        <v>0</v>
      </c>
      <c r="M19" s="104">
        <f>SUMIFS('caseload data'!O:O,'caseload data'!$D:$D,"TPO",'caseload data'!$C:$C,'divisional &amp; regional caseload'!$B$15)</f>
        <v>0</v>
      </c>
      <c r="N19" s="104">
        <f>SUMIFS('caseload data'!P:P,'caseload data'!$D:$D,"TPO",'caseload data'!$C:$C,'divisional &amp; regional caseload'!$B$15)</f>
        <v>0</v>
      </c>
      <c r="O19" s="104">
        <f>SUMIFS('caseload data'!Q:Q,'caseload data'!$D:$D,"TPO",'caseload data'!$C:$C,'divisional &amp; regional caseload'!$B$15)</f>
        <v>0</v>
      </c>
      <c r="P19" s="104">
        <f>SUMIFS('caseload data'!R:R,'caseload data'!$D:$D,"TPO",'caseload data'!$C:$C,'divisional &amp; regional caseload'!$B$15)</f>
        <v>0</v>
      </c>
      <c r="Q19" s="104">
        <f>SUMIFS('caseload data'!S:S,'caseload data'!$D:$D,"TPO",'caseload data'!$C:$C,'divisional &amp; regional caseload'!$B$15)</f>
        <v>0</v>
      </c>
      <c r="R19" s="104">
        <f>SUMIFS('caseload data'!T:T,'caseload data'!$D:$D,"TPO",'caseload data'!$C:$C,'divisional &amp; regional caseload'!$B$15)</f>
        <v>0</v>
      </c>
      <c r="S19" s="101"/>
      <c r="T19" s="107" t="s">
        <v>913</v>
      </c>
      <c r="U19" s="104">
        <f>SUMIFS('caseload data'!E:E,'caseload data'!$D:$D,"TPO",'caseload data'!$C:$C,'divisional &amp; regional caseload'!$T$15)</f>
        <v>0</v>
      </c>
      <c r="V19" s="104">
        <f>SUMIFS('caseload data'!F:F,'caseload data'!$D:$D,"TPO",'caseload data'!$C:$C,'divisional &amp; regional caseload'!$T$15)</f>
        <v>0</v>
      </c>
      <c r="W19" s="104">
        <f>SUMIFS('caseload data'!G:G,'caseload data'!$D:$D,"TPO",'caseload data'!$C:$C,'divisional &amp; regional caseload'!$T$15)</f>
        <v>0</v>
      </c>
      <c r="X19" s="104">
        <f>SUMIFS('caseload data'!H:H,'caseload data'!$D:$D,"TPO",'caseload data'!$C:$C,'divisional &amp; regional caseload'!$T$15)</f>
        <v>0</v>
      </c>
      <c r="Y19" s="104">
        <f>SUMIFS('caseload data'!I:I,'caseload data'!$D:$D,"TPO",'caseload data'!$C:$C,'divisional &amp; regional caseload'!$T$15)</f>
        <v>0</v>
      </c>
      <c r="Z19" s="104">
        <f>SUMIFS('caseload data'!J:J,'caseload data'!$D:$D,"TPO",'caseload data'!$C:$C,'divisional &amp; regional caseload'!$T$15)</f>
        <v>0</v>
      </c>
      <c r="AA19" s="104">
        <f>SUMIFS('caseload data'!K:K,'caseload data'!$D:$D,"TPO",'caseload data'!$C:$C,'divisional &amp; regional caseload'!$T$15)</f>
        <v>0</v>
      </c>
      <c r="AB19" s="104">
        <f>SUMIFS('caseload data'!L:L,'caseload data'!$D:$D,"TPO",'caseload data'!$C:$C,'divisional &amp; regional caseload'!$T$15)</f>
        <v>0</v>
      </c>
      <c r="AC19" s="104">
        <f>SUMIFS('caseload data'!M:M,'caseload data'!$D:$D,"TPO",'caseload data'!$C:$C,'divisional &amp; regional caseload'!$T$15)</f>
        <v>0</v>
      </c>
      <c r="AD19" s="104">
        <f>SUMIFS('caseload data'!N:N,'caseload data'!$D:$D,"TPO",'caseload data'!$C:$C,'divisional &amp; regional caseload'!$T$15)</f>
        <v>0</v>
      </c>
      <c r="AE19" s="104">
        <f>SUMIFS('caseload data'!O:O,'caseload data'!$D:$D,"TPO",'caseload data'!$C:$C,'divisional &amp; regional caseload'!$T$15)</f>
        <v>0</v>
      </c>
      <c r="AF19" s="104">
        <f>SUMIFS('caseload data'!P:P,'caseload data'!$D:$D,"TPO",'caseload data'!$C:$C,'divisional &amp; regional caseload'!$T$15)</f>
        <v>0</v>
      </c>
      <c r="AG19" s="104">
        <f>SUMIFS('caseload data'!Q:Q,'caseload data'!$D:$D,"TPO",'caseload data'!$C:$C,'divisional &amp; regional caseload'!$T$15)</f>
        <v>0</v>
      </c>
      <c r="AH19" s="104">
        <f>SUMIFS('caseload data'!R:R,'caseload data'!$D:$D,"TPO",'caseload data'!$C:$C,'divisional &amp; regional caseload'!$T$15)</f>
        <v>0</v>
      </c>
      <c r="AI19" s="104">
        <f>SUMIFS('caseload data'!S:S,'caseload data'!$D:$D,"TPO",'caseload data'!$C:$C,'divisional &amp; regional caseload'!$T$15)</f>
        <v>0</v>
      </c>
      <c r="AJ19" s="104">
        <f>SUMIFS('caseload data'!T:T,'caseload data'!$D:$D,"TPO",'caseload data'!$C:$C,'divisional &amp; regional caseload'!$T$15)</f>
        <v>0</v>
      </c>
    </row>
    <row r="20" spans="2:36" x14ac:dyDescent="0.15">
      <c r="B20" s="108" t="s">
        <v>914</v>
      </c>
      <c r="C20" s="104">
        <f>SUMIFS('caseload data'!E:E,'caseload data'!$D:$D,"SPO",'caseload data'!$C:$C,'divisional &amp; regional caseload'!$B$15)</f>
        <v>0</v>
      </c>
      <c r="D20" s="104">
        <f>SUMIFS('caseload data'!F:F,'caseload data'!$D:$D,"SPO",'caseload data'!$C:$C,'divisional &amp; regional caseload'!$B$15)</f>
        <v>0</v>
      </c>
      <c r="E20" s="104">
        <f>SUMIFS('caseload data'!G:G,'caseload data'!$D:$D,"SPO",'caseload data'!$C:$C,'divisional &amp; regional caseload'!$B$15)</f>
        <v>0</v>
      </c>
      <c r="F20" s="104">
        <f>SUMIFS('caseload data'!H:H,'caseload data'!$D:$D,"SPO",'caseload data'!$C:$C,'divisional &amp; regional caseload'!$B$15)</f>
        <v>0</v>
      </c>
      <c r="G20" s="104">
        <f>SUMIFS('caseload data'!I:I,'caseload data'!$D:$D,"SPO",'caseload data'!$C:$C,'divisional &amp; regional caseload'!$B$15)</f>
        <v>0</v>
      </c>
      <c r="H20" s="104">
        <f>SUMIFS('caseload data'!J:J,'caseload data'!$D:$D,"SPO",'caseload data'!$C:$C,'divisional &amp; regional caseload'!$B$15)</f>
        <v>0</v>
      </c>
      <c r="I20" s="104">
        <f>SUMIFS('caseload data'!K:K,'caseload data'!$D:$D,"SPO",'caseload data'!$C:$C,'divisional &amp; regional caseload'!$B$15)</f>
        <v>0</v>
      </c>
      <c r="J20" s="104">
        <f>SUMIFS('caseload data'!L:L,'caseload data'!$D:$D,"SPO",'caseload data'!$C:$C,'divisional &amp; regional caseload'!$B$15)</f>
        <v>0</v>
      </c>
      <c r="K20" s="104">
        <f>SUMIFS('caseload data'!M:M,'caseload data'!$D:$D,"SPO",'caseload data'!$C:$C,'divisional &amp; regional caseload'!$B$15)</f>
        <v>0</v>
      </c>
      <c r="L20" s="104">
        <f>SUMIFS('caseload data'!N:N,'caseload data'!$D:$D,"SPO",'caseload data'!$C:$C,'divisional &amp; regional caseload'!$B$15)</f>
        <v>0</v>
      </c>
      <c r="M20" s="104">
        <f>SUMIFS('caseload data'!O:O,'caseload data'!$D:$D,"SPO",'caseload data'!$C:$C,'divisional &amp; regional caseload'!$B$15)</f>
        <v>0</v>
      </c>
      <c r="N20" s="104">
        <f>SUMIFS('caseload data'!P:P,'caseload data'!$D:$D,"SPO",'caseload data'!$C:$C,'divisional &amp; regional caseload'!$B$15)</f>
        <v>0</v>
      </c>
      <c r="O20" s="104">
        <f>SUMIFS('caseload data'!Q:Q,'caseload data'!$D:$D,"SPO",'caseload data'!$C:$C,'divisional &amp; regional caseload'!$B$15)</f>
        <v>0</v>
      </c>
      <c r="P20" s="104">
        <f>SUMIFS('caseload data'!R:R,'caseload data'!$D:$D,"SPO",'caseload data'!$C:$C,'divisional &amp; regional caseload'!$B$15)</f>
        <v>0</v>
      </c>
      <c r="Q20" s="104">
        <f>SUMIFS('caseload data'!S:S,'caseload data'!$D:$D,"SPO",'caseload data'!$C:$C,'divisional &amp; regional caseload'!$B$15)</f>
        <v>0</v>
      </c>
      <c r="R20" s="104">
        <f>SUMIFS('caseload data'!T:T,'caseload data'!$D:$D,"SPO",'caseload data'!$C:$C,'divisional &amp; regional caseload'!$B$15)</f>
        <v>0</v>
      </c>
      <c r="S20" s="101"/>
      <c r="T20" s="108" t="s">
        <v>914</v>
      </c>
      <c r="U20" s="104">
        <f>SUMIFS('caseload data'!E:E,'caseload data'!$D:$D,"SPO",'caseload data'!$C:$C,'divisional &amp; regional caseload'!$T$15)</f>
        <v>0</v>
      </c>
      <c r="V20" s="104">
        <f>SUMIFS('caseload data'!F:F,'caseload data'!$D:$D,"SPO",'caseload data'!$C:$C,'divisional &amp; regional caseload'!$T$15)</f>
        <v>0</v>
      </c>
      <c r="W20" s="104">
        <f>SUMIFS('caseload data'!G:G,'caseload data'!$D:$D,"SPO",'caseload data'!$C:$C,'divisional &amp; regional caseload'!$T$15)</f>
        <v>0</v>
      </c>
      <c r="X20" s="104">
        <f>SUMIFS('caseload data'!H:H,'caseload data'!$D:$D,"SPO",'caseload data'!$C:$C,'divisional &amp; regional caseload'!$T$15)</f>
        <v>0</v>
      </c>
      <c r="Y20" s="104">
        <f>SUMIFS('caseload data'!I:I,'caseload data'!$D:$D,"SPO",'caseload data'!$C:$C,'divisional &amp; regional caseload'!$T$15)</f>
        <v>0</v>
      </c>
      <c r="Z20" s="104">
        <f>SUMIFS('caseload data'!J:J,'caseload data'!$D:$D,"SPO",'caseload data'!$C:$C,'divisional &amp; regional caseload'!$T$15)</f>
        <v>0</v>
      </c>
      <c r="AA20" s="104">
        <f>SUMIFS('caseload data'!K:K,'caseload data'!$D:$D,"SPO",'caseload data'!$C:$C,'divisional &amp; regional caseload'!$T$15)</f>
        <v>0</v>
      </c>
      <c r="AB20" s="104">
        <f>SUMIFS('caseload data'!L:L,'caseload data'!$D:$D,"SPO",'caseload data'!$C:$C,'divisional &amp; regional caseload'!$T$15)</f>
        <v>0</v>
      </c>
      <c r="AC20" s="104">
        <f>SUMIFS('caseload data'!M:M,'caseload data'!$D:$D,"SPO",'caseload data'!$C:$C,'divisional &amp; regional caseload'!$T$15)</f>
        <v>0</v>
      </c>
      <c r="AD20" s="104">
        <f>SUMIFS('caseload data'!N:N,'caseload data'!$D:$D,"SPO",'caseload data'!$C:$C,'divisional &amp; regional caseload'!$T$15)</f>
        <v>0</v>
      </c>
      <c r="AE20" s="104">
        <f>SUMIFS('caseload data'!O:O,'caseload data'!$D:$D,"SPO",'caseload data'!$C:$C,'divisional &amp; regional caseload'!$T$15)</f>
        <v>0</v>
      </c>
      <c r="AF20" s="104">
        <f>SUMIFS('caseload data'!P:P,'caseload data'!$D:$D,"SPO",'caseload data'!$C:$C,'divisional &amp; regional caseload'!$T$15)</f>
        <v>0</v>
      </c>
      <c r="AG20" s="104">
        <f>SUMIFS('caseload data'!Q:Q,'caseload data'!$D:$D,"SPO",'caseload data'!$C:$C,'divisional &amp; regional caseload'!$T$15)</f>
        <v>0</v>
      </c>
      <c r="AH20" s="104">
        <f>SUMIFS('caseload data'!R:R,'caseload data'!$D:$D,"SPO",'caseload data'!$C:$C,'divisional &amp; regional caseload'!$T$15)</f>
        <v>0</v>
      </c>
      <c r="AI20" s="104">
        <f>SUMIFS('caseload data'!S:S,'caseload data'!$D:$D,"SPO",'caseload data'!$C:$C,'divisional &amp; regional caseload'!$T$15)</f>
        <v>0</v>
      </c>
      <c r="AJ20" s="104">
        <f>SUMIFS('caseload data'!T:T,'caseload data'!$D:$D,"SPO",'caseload data'!$C:$C,'divisional &amp; regional caseload'!$T$15)</f>
        <v>0</v>
      </c>
    </row>
    <row r="21" spans="2:36" x14ac:dyDescent="0.15">
      <c r="B21" s="101"/>
      <c r="C21" s="101"/>
      <c r="D21" s="101"/>
      <c r="E21" s="101"/>
      <c r="F21" s="101"/>
      <c r="G21" s="101"/>
      <c r="H21" s="101"/>
      <c r="I21" s="101"/>
      <c r="J21" s="101"/>
      <c r="K21" s="101"/>
      <c r="L21" s="101"/>
      <c r="M21" s="101"/>
      <c r="N21" s="101"/>
      <c r="O21" s="101"/>
      <c r="P21" s="101"/>
      <c r="Q21" s="101"/>
      <c r="R21" s="101"/>
      <c r="S21" s="101"/>
      <c r="T21" s="101"/>
      <c r="U21" s="101"/>
      <c r="V21" s="101"/>
      <c r="W21" s="101"/>
      <c r="X21" s="101"/>
      <c r="Y21" s="101"/>
      <c r="Z21" s="101"/>
      <c r="AA21" s="101"/>
    </row>
    <row r="22" spans="2:36" ht="30.75" customHeight="1" x14ac:dyDescent="0.15">
      <c r="B22" s="156" t="str">
        <f>HLOOKUP($B$5,Region_Table,6,0)</f>
        <v>Corporate Services - N07</v>
      </c>
      <c r="C22" s="367" t="s">
        <v>1130</v>
      </c>
      <c r="D22" s="368"/>
      <c r="E22" s="368"/>
      <c r="F22" s="368"/>
      <c r="G22" s="368"/>
      <c r="H22" s="368"/>
      <c r="I22" s="368"/>
      <c r="J22" s="368"/>
      <c r="K22" s="368"/>
      <c r="L22" s="368"/>
      <c r="M22" s="369"/>
      <c r="N22" s="369"/>
      <c r="O22" s="370"/>
      <c r="P22" s="371">
        <f>SUMIF('caseload data'!$C:$C,'divisional &amp; regional caseload'!B22,'caseload data'!V:V)</f>
        <v>0</v>
      </c>
      <c r="Q22" s="372"/>
      <c r="R22" s="373"/>
      <c r="S22" s="101"/>
      <c r="T22" s="156" t="str">
        <f>HLOOKUP($B$5,Region_Table,7,0)</f>
        <v>Croydon - N07</v>
      </c>
      <c r="U22" s="367" t="s">
        <v>1130</v>
      </c>
      <c r="V22" s="369"/>
      <c r="W22" s="369"/>
      <c r="X22" s="370"/>
      <c r="Y22" s="371">
        <f>SUMIF('caseload data'!$C:$C,'divisional &amp; regional caseload'!T22,'caseload data'!V:V)</f>
        <v>0</v>
      </c>
      <c r="Z22" s="372"/>
      <c r="AA22" s="373"/>
    </row>
    <row r="23" spans="2:36" x14ac:dyDescent="0.15">
      <c r="B23" s="105" t="s">
        <v>1065</v>
      </c>
      <c r="C23" s="41" t="s">
        <v>922</v>
      </c>
      <c r="D23" s="41" t="s">
        <v>923</v>
      </c>
      <c r="E23" s="41" t="s">
        <v>924</v>
      </c>
      <c r="F23" s="41" t="s">
        <v>925</v>
      </c>
      <c r="G23" s="41" t="s">
        <v>926</v>
      </c>
      <c r="H23" s="41" t="s">
        <v>927</v>
      </c>
      <c r="I23" s="41" t="s">
        <v>928</v>
      </c>
      <c r="J23" s="41" t="s">
        <v>929</v>
      </c>
      <c r="K23" s="41" t="s">
        <v>930</v>
      </c>
      <c r="L23" s="41" t="s">
        <v>931</v>
      </c>
      <c r="M23" s="41" t="s">
        <v>932</v>
      </c>
      <c r="N23" s="41" t="s">
        <v>933</v>
      </c>
      <c r="O23" s="41" t="s">
        <v>934</v>
      </c>
      <c r="P23" s="41" t="s">
        <v>935</v>
      </c>
      <c r="Q23" s="41" t="s">
        <v>936</v>
      </c>
      <c r="R23" s="41" t="s">
        <v>937</v>
      </c>
      <c r="S23" s="101"/>
      <c r="T23" s="105" t="s">
        <v>1065</v>
      </c>
      <c r="U23" s="41" t="s">
        <v>922</v>
      </c>
      <c r="V23" s="41" t="s">
        <v>923</v>
      </c>
      <c r="W23" s="41" t="s">
        <v>924</v>
      </c>
      <c r="X23" s="41" t="s">
        <v>925</v>
      </c>
      <c r="Y23" s="41" t="s">
        <v>926</v>
      </c>
      <c r="Z23" s="41" t="s">
        <v>927</v>
      </c>
      <c r="AA23" s="41" t="s">
        <v>928</v>
      </c>
      <c r="AB23" s="41" t="s">
        <v>929</v>
      </c>
      <c r="AC23" s="41" t="s">
        <v>930</v>
      </c>
      <c r="AD23" s="41" t="s">
        <v>931</v>
      </c>
      <c r="AE23" s="41" t="s">
        <v>932</v>
      </c>
      <c r="AF23" s="41" t="s">
        <v>933</v>
      </c>
      <c r="AG23" s="41" t="s">
        <v>934</v>
      </c>
      <c r="AH23" s="41" t="s">
        <v>935</v>
      </c>
      <c r="AI23" s="41" t="s">
        <v>936</v>
      </c>
      <c r="AJ23" s="41" t="s">
        <v>937</v>
      </c>
    </row>
    <row r="24" spans="2:36" x14ac:dyDescent="0.15">
      <c r="B24" s="106" t="s">
        <v>911</v>
      </c>
      <c r="C24" s="104">
        <f>SUMIFS('caseload data'!E:E,'caseload data'!$D:$D,"PO",'caseload data'!$C:$C,'divisional &amp; regional caseload'!$B$22)</f>
        <v>0</v>
      </c>
      <c r="D24" s="104">
        <f>SUMIFS('caseload data'!F:F,'caseload data'!$D:$D,"PO",'caseload data'!$C:$C,'divisional &amp; regional caseload'!$B$22)</f>
        <v>0</v>
      </c>
      <c r="E24" s="104">
        <f>SUMIFS('caseload data'!G:G,'caseload data'!$D:$D,"PO",'caseload data'!$C:$C,'divisional &amp; regional caseload'!$B$22)</f>
        <v>0</v>
      </c>
      <c r="F24" s="104">
        <f>SUMIFS('caseload data'!H:H,'caseload data'!$D:$D,"PO",'caseload data'!$C:$C,'divisional &amp; regional caseload'!$B$22)</f>
        <v>0</v>
      </c>
      <c r="G24" s="104">
        <f>SUMIFS('caseload data'!I:I,'caseload data'!$D:$D,"PO",'caseload data'!$C:$C,'divisional &amp; regional caseload'!$B$22)</f>
        <v>0</v>
      </c>
      <c r="H24" s="104">
        <f>SUMIFS('caseload data'!J:J,'caseload data'!$D:$D,"PO",'caseload data'!$C:$C,'divisional &amp; regional caseload'!$B$22)</f>
        <v>0</v>
      </c>
      <c r="I24" s="104">
        <f>SUMIFS('caseload data'!K:K,'caseload data'!$D:$D,"PO",'caseload data'!$C:$C,'divisional &amp; regional caseload'!$B$22)</f>
        <v>0</v>
      </c>
      <c r="J24" s="104">
        <f>SUMIFS('caseload data'!L:L,'caseload data'!$D:$D,"PO",'caseload data'!$C:$C,'divisional &amp; regional caseload'!$B$22)</f>
        <v>0</v>
      </c>
      <c r="K24" s="104">
        <f>SUMIFS('caseload data'!M:M,'caseload data'!$D:$D,"PO",'caseload data'!$C:$C,'divisional &amp; regional caseload'!$B$22)</f>
        <v>0</v>
      </c>
      <c r="L24" s="104">
        <f>SUMIFS('caseload data'!N:N,'caseload data'!$D:$D,"PO",'caseload data'!$C:$C,'divisional &amp; regional caseload'!$B$22)</f>
        <v>0</v>
      </c>
      <c r="M24" s="104">
        <f>SUMIFS('caseload data'!O:O,'caseload data'!$D:$D,"PO",'caseload data'!$C:$C,'divisional &amp; regional caseload'!$B$22)</f>
        <v>0</v>
      </c>
      <c r="N24" s="104">
        <f>SUMIFS('caseload data'!P:P,'caseload data'!$D:$D,"PO",'caseload data'!$C:$C,'divisional &amp; regional caseload'!$B$22)</f>
        <v>0</v>
      </c>
      <c r="O24" s="104">
        <f>SUMIFS('caseload data'!Q:Q,'caseload data'!$D:$D,"PO",'caseload data'!$C:$C,'divisional &amp; regional caseload'!$B$22)</f>
        <v>0</v>
      </c>
      <c r="P24" s="104">
        <f>SUMIFS('caseload data'!R:R,'caseload data'!$D:$D,"PO",'caseload data'!$C:$C,'divisional &amp; regional caseload'!$B$22)</f>
        <v>0</v>
      </c>
      <c r="Q24" s="104">
        <f>SUMIFS('caseload data'!S:S,'caseload data'!$D:$D,"PO",'caseload data'!$C:$C,'divisional &amp; regional caseload'!$B$22)</f>
        <v>0</v>
      </c>
      <c r="R24" s="104">
        <f>SUMIFS('caseload data'!T:T,'caseload data'!$D:$D,"PO",'caseload data'!$C:$C,'divisional &amp; regional caseload'!$B$22)</f>
        <v>0</v>
      </c>
      <c r="S24" s="101"/>
      <c r="T24" s="106" t="s">
        <v>911</v>
      </c>
      <c r="U24" s="104">
        <f>SUMIFS('caseload data'!E:E,'caseload data'!$D:$D,"PO",'caseload data'!$C:$C,'divisional &amp; regional caseload'!$T$22)</f>
        <v>0</v>
      </c>
      <c r="V24" s="104">
        <f>SUMIFS('caseload data'!F:F,'caseload data'!$D:$D,"PO",'caseload data'!$C:$C,'divisional &amp; regional caseload'!$T$22)</f>
        <v>0</v>
      </c>
      <c r="W24" s="104">
        <f>SUMIFS('caseload data'!G:G,'caseload data'!$D:$D,"PO",'caseload data'!$C:$C,'divisional &amp; regional caseload'!$T$22)</f>
        <v>0</v>
      </c>
      <c r="X24" s="104">
        <f>SUMIFS('caseload data'!H:H,'caseload data'!$D:$D,"PO",'caseload data'!$C:$C,'divisional &amp; regional caseload'!$T$22)</f>
        <v>0</v>
      </c>
      <c r="Y24" s="104">
        <f>SUMIFS('caseload data'!I:I,'caseload data'!$D:$D,"PO",'caseload data'!$C:$C,'divisional &amp; regional caseload'!$T$22)</f>
        <v>0</v>
      </c>
      <c r="Z24" s="104">
        <f>SUMIFS('caseload data'!J:J,'caseload data'!$D:$D,"PO",'caseload data'!$C:$C,'divisional &amp; regional caseload'!$T$22)</f>
        <v>0</v>
      </c>
      <c r="AA24" s="104">
        <f>SUMIFS('caseload data'!K:K,'caseload data'!$D:$D,"PO",'caseload data'!$C:$C,'divisional &amp; regional caseload'!$T$22)</f>
        <v>0</v>
      </c>
      <c r="AB24" s="104">
        <f>SUMIFS('caseload data'!L:L,'caseload data'!$D:$D,"PO",'caseload data'!$C:$C,'divisional &amp; regional caseload'!$T$22)</f>
        <v>0</v>
      </c>
      <c r="AC24" s="104">
        <f>SUMIFS('caseload data'!M:M,'caseload data'!$D:$D,"PO",'caseload data'!$C:$C,'divisional &amp; regional caseload'!$T$22)</f>
        <v>0</v>
      </c>
      <c r="AD24" s="104">
        <f>SUMIFS('caseload data'!N:N,'caseload data'!$D:$D,"PO",'caseload data'!$C:$C,'divisional &amp; regional caseload'!$T$22)</f>
        <v>0</v>
      </c>
      <c r="AE24" s="104">
        <f>SUMIFS('caseload data'!O:O,'caseload data'!$D:$D,"PO",'caseload data'!$C:$C,'divisional &amp; regional caseload'!$T$22)</f>
        <v>0</v>
      </c>
      <c r="AF24" s="104">
        <f>SUMIFS('caseload data'!P:P,'caseload data'!$D:$D,"PO",'caseload data'!$C:$C,'divisional &amp; regional caseload'!$T$22)</f>
        <v>0</v>
      </c>
      <c r="AG24" s="104">
        <f>SUMIFS('caseload data'!Q:Q,'caseload data'!$D:$D,"PO",'caseload data'!$C:$C,'divisional &amp; regional caseload'!$T$22)</f>
        <v>0</v>
      </c>
      <c r="AH24" s="104">
        <f>SUMIFS('caseload data'!R:R,'caseload data'!$D:$D,"PO",'caseload data'!$C:$C,'divisional &amp; regional caseload'!$T$22)</f>
        <v>0</v>
      </c>
      <c r="AI24" s="104">
        <f>SUMIFS('caseload data'!S:S,'caseload data'!$D:$D,"PO",'caseload data'!$C:$C,'divisional &amp; regional caseload'!$T$22)</f>
        <v>0</v>
      </c>
      <c r="AJ24" s="104">
        <f>SUMIFS('caseload data'!T:T,'caseload data'!$D:$D,"PO",'caseload data'!$C:$C,'divisional &amp; regional caseload'!$T$22)</f>
        <v>0</v>
      </c>
    </row>
    <row r="25" spans="2:36" x14ac:dyDescent="0.15">
      <c r="B25" s="107" t="s">
        <v>912</v>
      </c>
      <c r="C25" s="104">
        <f>SUMIFS('caseload data'!E:E,'caseload data'!$D:$D,"PSO",'caseload data'!$C:$C,'divisional &amp; regional caseload'!$B$22)</f>
        <v>0</v>
      </c>
      <c r="D25" s="104">
        <f>SUMIFS('caseload data'!F:F,'caseload data'!$D:$D,"PSO",'caseload data'!$C:$C,'divisional &amp; regional caseload'!$B$22)</f>
        <v>0</v>
      </c>
      <c r="E25" s="104">
        <f>SUMIFS('caseload data'!G:G,'caseload data'!$D:$D,"PSO",'caseload data'!$C:$C,'divisional &amp; regional caseload'!$B$22)</f>
        <v>0</v>
      </c>
      <c r="F25" s="104">
        <f>SUMIFS('caseload data'!H:H,'caseload data'!$D:$D,"PSO",'caseload data'!$C:$C,'divisional &amp; regional caseload'!$B$22)</f>
        <v>0</v>
      </c>
      <c r="G25" s="104">
        <f>SUMIFS('caseload data'!I:I,'caseload data'!$D:$D,"PSO",'caseload data'!$C:$C,'divisional &amp; regional caseload'!$B$22)</f>
        <v>0</v>
      </c>
      <c r="H25" s="104">
        <f>SUMIFS('caseload data'!J:J,'caseload data'!$D:$D,"PSO",'caseload data'!$C:$C,'divisional &amp; regional caseload'!$B$22)</f>
        <v>0</v>
      </c>
      <c r="I25" s="104">
        <f>SUMIFS('caseload data'!K:K,'caseload data'!$D:$D,"PSO",'caseload data'!$C:$C,'divisional &amp; regional caseload'!$B$22)</f>
        <v>0</v>
      </c>
      <c r="J25" s="104">
        <f>SUMIFS('caseload data'!L:L,'caseload data'!$D:$D,"PSO",'caseload data'!$C:$C,'divisional &amp; regional caseload'!$B$22)</f>
        <v>0</v>
      </c>
      <c r="K25" s="104">
        <f>SUMIFS('caseload data'!M:M,'caseload data'!$D:$D,"PSO",'caseload data'!$C:$C,'divisional &amp; regional caseload'!$B$22)</f>
        <v>0</v>
      </c>
      <c r="L25" s="104">
        <f>SUMIFS('caseload data'!N:N,'caseload data'!$D:$D,"PSO",'caseload data'!$C:$C,'divisional &amp; regional caseload'!$B$22)</f>
        <v>0</v>
      </c>
      <c r="M25" s="104">
        <f>SUMIFS('caseload data'!O:O,'caseload data'!$D:$D,"PSO",'caseload data'!$C:$C,'divisional &amp; regional caseload'!$B$22)</f>
        <v>0</v>
      </c>
      <c r="N25" s="104">
        <f>SUMIFS('caseload data'!P:P,'caseload data'!$D:$D,"PSO",'caseload data'!$C:$C,'divisional &amp; regional caseload'!$B$22)</f>
        <v>0</v>
      </c>
      <c r="O25" s="104">
        <f>SUMIFS('caseload data'!Q:Q,'caseload data'!$D:$D,"PSO",'caseload data'!$C:$C,'divisional &amp; regional caseload'!$B$22)</f>
        <v>0</v>
      </c>
      <c r="P25" s="104">
        <f>SUMIFS('caseload data'!R:R,'caseload data'!$D:$D,"PSO",'caseload data'!$C:$C,'divisional &amp; regional caseload'!$B$22)</f>
        <v>0</v>
      </c>
      <c r="Q25" s="104">
        <f>SUMIFS('caseload data'!S:S,'caseload data'!$D:$D,"PSO",'caseload data'!$C:$C,'divisional &amp; regional caseload'!$B$22)</f>
        <v>0</v>
      </c>
      <c r="R25" s="104">
        <f>SUMIFS('caseload data'!T:T,'caseload data'!$D:$D,"PSO",'caseload data'!$C:$C,'divisional &amp; regional caseload'!$B$22)</f>
        <v>0</v>
      </c>
      <c r="S25" s="101"/>
      <c r="T25" s="107" t="s">
        <v>912</v>
      </c>
      <c r="U25" s="104">
        <f>SUMIFS('caseload data'!E:E,'caseload data'!$D:$D,"PSO",'caseload data'!$C:$C,'divisional &amp; regional caseload'!$T$22)</f>
        <v>0</v>
      </c>
      <c r="V25" s="104">
        <f>SUMIFS('caseload data'!F:F,'caseload data'!$D:$D,"PSO",'caseload data'!$C:$C,'divisional &amp; regional caseload'!$T$22)</f>
        <v>0</v>
      </c>
      <c r="W25" s="104">
        <f>SUMIFS('caseload data'!G:G,'caseload data'!$D:$D,"PSO",'caseload data'!$C:$C,'divisional &amp; regional caseload'!$T$22)</f>
        <v>0</v>
      </c>
      <c r="X25" s="104">
        <f>SUMIFS('caseload data'!H:H,'caseload data'!$D:$D,"PSO",'caseload data'!$C:$C,'divisional &amp; regional caseload'!$T$22)</f>
        <v>0</v>
      </c>
      <c r="Y25" s="104">
        <f>SUMIFS('caseload data'!I:I,'caseload data'!$D:$D,"PSO",'caseload data'!$C:$C,'divisional &amp; regional caseload'!$T$22)</f>
        <v>0</v>
      </c>
      <c r="Z25" s="104">
        <f>SUMIFS('caseload data'!J:J,'caseload data'!$D:$D,"PSO",'caseload data'!$C:$C,'divisional &amp; regional caseload'!$T$22)</f>
        <v>0</v>
      </c>
      <c r="AA25" s="104">
        <f>SUMIFS('caseload data'!K:K,'caseload data'!$D:$D,"PSO",'caseload data'!$C:$C,'divisional &amp; regional caseload'!$T$22)</f>
        <v>0</v>
      </c>
      <c r="AB25" s="104">
        <f>SUMIFS('caseload data'!L:L,'caseload data'!$D:$D,"PSO",'caseload data'!$C:$C,'divisional &amp; regional caseload'!$T$22)</f>
        <v>0</v>
      </c>
      <c r="AC25" s="104">
        <f>SUMIFS('caseload data'!M:M,'caseload data'!$D:$D,"PSO",'caseload data'!$C:$C,'divisional &amp; regional caseload'!$T$22)</f>
        <v>0</v>
      </c>
      <c r="AD25" s="104">
        <f>SUMIFS('caseload data'!N:N,'caseload data'!$D:$D,"PSO",'caseload data'!$C:$C,'divisional &amp; regional caseload'!$T$22)</f>
        <v>0</v>
      </c>
      <c r="AE25" s="104">
        <f>SUMIFS('caseload data'!O:O,'caseload data'!$D:$D,"PSO",'caseload data'!$C:$C,'divisional &amp; regional caseload'!$T$22)</f>
        <v>0</v>
      </c>
      <c r="AF25" s="104">
        <f>SUMIFS('caseload data'!P:P,'caseload data'!$D:$D,"PSO",'caseload data'!$C:$C,'divisional &amp; regional caseload'!$T$22)</f>
        <v>0</v>
      </c>
      <c r="AG25" s="104">
        <f>SUMIFS('caseload data'!Q:Q,'caseload data'!$D:$D,"PSO",'caseload data'!$C:$C,'divisional &amp; regional caseload'!$T$22)</f>
        <v>0</v>
      </c>
      <c r="AH25" s="104">
        <f>SUMIFS('caseload data'!R:R,'caseload data'!$D:$D,"PSO",'caseload data'!$C:$C,'divisional &amp; regional caseload'!$T$22)</f>
        <v>0</v>
      </c>
      <c r="AI25" s="104">
        <f>SUMIFS('caseload data'!S:S,'caseload data'!$D:$D,"PSO",'caseload data'!$C:$C,'divisional &amp; regional caseload'!$T$22)</f>
        <v>0</v>
      </c>
      <c r="AJ25" s="104">
        <f>SUMIFS('caseload data'!T:T,'caseload data'!$D:$D,"PSO",'caseload data'!$C:$C,'divisional &amp; regional caseload'!$T$22)</f>
        <v>0</v>
      </c>
    </row>
    <row r="26" spans="2:36" x14ac:dyDescent="0.15">
      <c r="B26" s="107" t="s">
        <v>913</v>
      </c>
      <c r="C26" s="104">
        <f>SUMIFS('caseload data'!E:E,'caseload data'!$D:$D,"TPO",'caseload data'!$C:$C,'divisional &amp; regional caseload'!$B$22)</f>
        <v>0</v>
      </c>
      <c r="D26" s="104">
        <f>SUMIFS('caseload data'!F:F,'caseload data'!$D:$D,"TPO",'caseload data'!$C:$C,'divisional &amp; regional caseload'!$B$22)</f>
        <v>0</v>
      </c>
      <c r="E26" s="104">
        <f>SUMIFS('caseload data'!G:G,'caseload data'!$D:$D,"TPO",'caseload data'!$C:$C,'divisional &amp; regional caseload'!$B$22)</f>
        <v>0</v>
      </c>
      <c r="F26" s="104">
        <f>SUMIFS('caseload data'!H:H,'caseload data'!$D:$D,"TPO",'caseload data'!$C:$C,'divisional &amp; regional caseload'!$B$22)</f>
        <v>0</v>
      </c>
      <c r="G26" s="104">
        <f>SUMIFS('caseload data'!I:I,'caseload data'!$D:$D,"TPO",'caseload data'!$C:$C,'divisional &amp; regional caseload'!$B$22)</f>
        <v>0</v>
      </c>
      <c r="H26" s="104">
        <f>SUMIFS('caseload data'!J:J,'caseload data'!$D:$D,"TPO",'caseload data'!$C:$C,'divisional &amp; regional caseload'!$B$22)</f>
        <v>0</v>
      </c>
      <c r="I26" s="104">
        <f>SUMIFS('caseload data'!K:K,'caseload data'!$D:$D,"TPO",'caseload data'!$C:$C,'divisional &amp; regional caseload'!$B$22)</f>
        <v>0</v>
      </c>
      <c r="J26" s="104">
        <f>SUMIFS('caseload data'!L:L,'caseload data'!$D:$D,"TPO",'caseload data'!$C:$C,'divisional &amp; regional caseload'!$B$22)</f>
        <v>0</v>
      </c>
      <c r="K26" s="104">
        <f>SUMIFS('caseload data'!M:M,'caseload data'!$D:$D,"TPO",'caseload data'!$C:$C,'divisional &amp; regional caseload'!$B$22)</f>
        <v>0</v>
      </c>
      <c r="L26" s="104">
        <f>SUMIFS('caseload data'!N:N,'caseload data'!$D:$D,"TPO",'caseload data'!$C:$C,'divisional &amp; regional caseload'!$B$22)</f>
        <v>0</v>
      </c>
      <c r="M26" s="104">
        <f>SUMIFS('caseload data'!O:O,'caseload data'!$D:$D,"TPO",'caseload data'!$C:$C,'divisional &amp; regional caseload'!$B$22)</f>
        <v>0</v>
      </c>
      <c r="N26" s="104">
        <f>SUMIFS('caseload data'!P:P,'caseload data'!$D:$D,"TPO",'caseload data'!$C:$C,'divisional &amp; regional caseload'!$B$22)</f>
        <v>0</v>
      </c>
      <c r="O26" s="104">
        <f>SUMIFS('caseload data'!Q:Q,'caseload data'!$D:$D,"TPO",'caseload data'!$C:$C,'divisional &amp; regional caseload'!$B$22)</f>
        <v>0</v>
      </c>
      <c r="P26" s="104">
        <f>SUMIFS('caseload data'!R:R,'caseload data'!$D:$D,"TPO",'caseload data'!$C:$C,'divisional &amp; regional caseload'!$B$22)</f>
        <v>0</v>
      </c>
      <c r="Q26" s="104">
        <f>SUMIFS('caseload data'!S:S,'caseload data'!$D:$D,"TPO",'caseload data'!$C:$C,'divisional &amp; regional caseload'!$B$22)</f>
        <v>0</v>
      </c>
      <c r="R26" s="104">
        <f>SUMIFS('caseload data'!T:T,'caseload data'!$D:$D,"TPO",'caseload data'!$C:$C,'divisional &amp; regional caseload'!$B$22)</f>
        <v>0</v>
      </c>
      <c r="S26" s="101"/>
      <c r="T26" s="107" t="s">
        <v>913</v>
      </c>
      <c r="U26" s="104">
        <f>SUMIFS('caseload data'!E:E,'caseload data'!$D:$D,"TPO",'caseload data'!$C:$C,'divisional &amp; regional caseload'!$T$22)</f>
        <v>0</v>
      </c>
      <c r="V26" s="104">
        <f>SUMIFS('caseload data'!F:F,'caseload data'!$D:$D,"TPO",'caseload data'!$C:$C,'divisional &amp; regional caseload'!$T$22)</f>
        <v>0</v>
      </c>
      <c r="W26" s="104">
        <f>SUMIFS('caseload data'!G:G,'caseload data'!$D:$D,"TPO",'caseload data'!$C:$C,'divisional &amp; regional caseload'!$T$22)</f>
        <v>0</v>
      </c>
      <c r="X26" s="104">
        <f>SUMIFS('caseload data'!H:H,'caseload data'!$D:$D,"TPO",'caseload data'!$C:$C,'divisional &amp; regional caseload'!$T$22)</f>
        <v>0</v>
      </c>
      <c r="Y26" s="104">
        <f>SUMIFS('caseload data'!I:I,'caseload data'!$D:$D,"TPO",'caseload data'!$C:$C,'divisional &amp; regional caseload'!$T$22)</f>
        <v>0</v>
      </c>
      <c r="Z26" s="104">
        <f>SUMIFS('caseload data'!J:J,'caseload data'!$D:$D,"TPO",'caseload data'!$C:$C,'divisional &amp; regional caseload'!$T$22)</f>
        <v>0</v>
      </c>
      <c r="AA26" s="104">
        <f>SUMIFS('caseload data'!K:K,'caseload data'!$D:$D,"TPO",'caseload data'!$C:$C,'divisional &amp; regional caseload'!$T$22)</f>
        <v>0</v>
      </c>
      <c r="AB26" s="104">
        <f>SUMIFS('caseload data'!L:L,'caseload data'!$D:$D,"TPO",'caseload data'!$C:$C,'divisional &amp; regional caseload'!$T$22)</f>
        <v>0</v>
      </c>
      <c r="AC26" s="104">
        <f>SUMIFS('caseload data'!M:M,'caseload data'!$D:$D,"TPO",'caseload data'!$C:$C,'divisional &amp; regional caseload'!$T$22)</f>
        <v>0</v>
      </c>
      <c r="AD26" s="104">
        <f>SUMIFS('caseload data'!N:N,'caseload data'!$D:$D,"TPO",'caseload data'!$C:$C,'divisional &amp; regional caseload'!$T$22)</f>
        <v>0</v>
      </c>
      <c r="AE26" s="104">
        <f>SUMIFS('caseload data'!O:O,'caseload data'!$D:$D,"TPO",'caseload data'!$C:$C,'divisional &amp; regional caseload'!$T$22)</f>
        <v>0</v>
      </c>
      <c r="AF26" s="104">
        <f>SUMIFS('caseload data'!P:P,'caseload data'!$D:$D,"TPO",'caseload data'!$C:$C,'divisional &amp; regional caseload'!$T$22)</f>
        <v>0</v>
      </c>
      <c r="AG26" s="104">
        <f>SUMIFS('caseload data'!Q:Q,'caseload data'!$D:$D,"TPO",'caseload data'!$C:$C,'divisional &amp; regional caseload'!$T$22)</f>
        <v>0</v>
      </c>
      <c r="AH26" s="104">
        <f>SUMIFS('caseload data'!R:R,'caseload data'!$D:$D,"TPO",'caseload data'!$C:$C,'divisional &amp; regional caseload'!$T$22)</f>
        <v>0</v>
      </c>
      <c r="AI26" s="104">
        <f>SUMIFS('caseload data'!S:S,'caseload data'!$D:$D,"TPO",'caseload data'!$C:$C,'divisional &amp; regional caseload'!$T$22)</f>
        <v>0</v>
      </c>
      <c r="AJ26" s="104">
        <f>SUMIFS('caseload data'!T:T,'caseload data'!$D:$D,"TPO",'caseload data'!$C:$C,'divisional &amp; regional caseload'!$T$22)</f>
        <v>0</v>
      </c>
    </row>
    <row r="27" spans="2:36" x14ac:dyDescent="0.15">
      <c r="B27" s="108" t="s">
        <v>914</v>
      </c>
      <c r="C27" s="104">
        <f>SUMIFS('caseload data'!E:E,'caseload data'!$D:$D,"SPO",'caseload data'!$C:$C,'divisional &amp; regional caseload'!$B$22)</f>
        <v>0</v>
      </c>
      <c r="D27" s="104">
        <f>SUMIFS('caseload data'!F:F,'caseload data'!$D:$D,"SPO",'caseload data'!$C:$C,'divisional &amp; regional caseload'!$B$22)</f>
        <v>0</v>
      </c>
      <c r="E27" s="104">
        <f>SUMIFS('caseload data'!G:G,'caseload data'!$D:$D,"SPO",'caseload data'!$C:$C,'divisional &amp; regional caseload'!$B$22)</f>
        <v>0</v>
      </c>
      <c r="F27" s="104">
        <f>SUMIFS('caseload data'!H:H,'caseload data'!$D:$D,"SPO",'caseload data'!$C:$C,'divisional &amp; regional caseload'!$B$22)</f>
        <v>0</v>
      </c>
      <c r="G27" s="104">
        <f>SUMIFS('caseload data'!I:I,'caseload data'!$D:$D,"SPO",'caseload data'!$C:$C,'divisional &amp; regional caseload'!$B$22)</f>
        <v>0</v>
      </c>
      <c r="H27" s="104">
        <f>SUMIFS('caseload data'!J:J,'caseload data'!$D:$D,"SPO",'caseload data'!$C:$C,'divisional &amp; regional caseload'!$B$22)</f>
        <v>0</v>
      </c>
      <c r="I27" s="104">
        <f>SUMIFS('caseload data'!K:K,'caseload data'!$D:$D,"SPO",'caseload data'!$C:$C,'divisional &amp; regional caseload'!$B$22)</f>
        <v>0</v>
      </c>
      <c r="J27" s="104">
        <f>SUMIFS('caseload data'!L:L,'caseload data'!$D:$D,"SPO",'caseload data'!$C:$C,'divisional &amp; regional caseload'!$B$22)</f>
        <v>0</v>
      </c>
      <c r="K27" s="104">
        <f>SUMIFS('caseload data'!M:M,'caseload data'!$D:$D,"SPO",'caseload data'!$C:$C,'divisional &amp; regional caseload'!$B$22)</f>
        <v>0</v>
      </c>
      <c r="L27" s="104">
        <f>SUMIFS('caseload data'!N:N,'caseload data'!$D:$D,"SPO",'caseload data'!$C:$C,'divisional &amp; regional caseload'!$B$22)</f>
        <v>0</v>
      </c>
      <c r="M27" s="104">
        <f>SUMIFS('caseload data'!O:O,'caseload data'!$D:$D,"SPO",'caseload data'!$C:$C,'divisional &amp; regional caseload'!$B$22)</f>
        <v>0</v>
      </c>
      <c r="N27" s="104">
        <f>SUMIFS('caseload data'!P:P,'caseload data'!$D:$D,"SPO",'caseload data'!$C:$C,'divisional &amp; regional caseload'!$B$22)</f>
        <v>0</v>
      </c>
      <c r="O27" s="104">
        <f>SUMIFS('caseload data'!Q:Q,'caseload data'!$D:$D,"SPO",'caseload data'!$C:$C,'divisional &amp; regional caseload'!$B$22)</f>
        <v>0</v>
      </c>
      <c r="P27" s="104">
        <f>SUMIFS('caseload data'!R:R,'caseload data'!$D:$D,"SPO",'caseload data'!$C:$C,'divisional &amp; regional caseload'!$B$22)</f>
        <v>0</v>
      </c>
      <c r="Q27" s="104">
        <f>SUMIFS('caseload data'!S:S,'caseload data'!$D:$D,"SPO",'caseload data'!$C:$C,'divisional &amp; regional caseload'!$B$22)</f>
        <v>0</v>
      </c>
      <c r="R27" s="104">
        <f>SUMIFS('caseload data'!T:T,'caseload data'!$D:$D,"SPO",'caseload data'!$C:$C,'divisional &amp; regional caseload'!$B$22)</f>
        <v>0</v>
      </c>
      <c r="S27" s="101"/>
      <c r="T27" s="108" t="s">
        <v>914</v>
      </c>
      <c r="U27" s="104">
        <f>SUMIFS('caseload data'!E:E,'caseload data'!$D:$D,"SPO",'caseload data'!$C:$C,'divisional &amp; regional caseload'!$T$22)</f>
        <v>0</v>
      </c>
      <c r="V27" s="104">
        <f>SUMIFS('caseload data'!F:F,'caseload data'!$D:$D,"SPO",'caseload data'!$C:$C,'divisional &amp; regional caseload'!$T$22)</f>
        <v>0</v>
      </c>
      <c r="W27" s="104">
        <f>SUMIFS('caseload data'!G:G,'caseload data'!$D:$D,"SPO",'caseload data'!$C:$C,'divisional &amp; regional caseload'!$T$22)</f>
        <v>0</v>
      </c>
      <c r="X27" s="104">
        <f>SUMIFS('caseload data'!H:H,'caseload data'!$D:$D,"SPO",'caseload data'!$C:$C,'divisional &amp; regional caseload'!$T$22)</f>
        <v>0</v>
      </c>
      <c r="Y27" s="104">
        <f>SUMIFS('caseload data'!I:I,'caseload data'!$D:$D,"SPO",'caseload data'!$C:$C,'divisional &amp; regional caseload'!$T$22)</f>
        <v>0</v>
      </c>
      <c r="Z27" s="104">
        <f>SUMIFS('caseload data'!J:J,'caseload data'!$D:$D,"SPO",'caseload data'!$C:$C,'divisional &amp; regional caseload'!$T$22)</f>
        <v>0</v>
      </c>
      <c r="AA27" s="104">
        <f>SUMIFS('caseload data'!K:K,'caseload data'!$D:$D,"SPO",'caseload data'!$C:$C,'divisional &amp; regional caseload'!$T$22)</f>
        <v>0</v>
      </c>
      <c r="AB27" s="104">
        <f>SUMIFS('caseload data'!L:L,'caseload data'!$D:$D,"SPO",'caseload data'!$C:$C,'divisional &amp; regional caseload'!$T$22)</f>
        <v>0</v>
      </c>
      <c r="AC27" s="104">
        <f>SUMIFS('caseload data'!M:M,'caseload data'!$D:$D,"SPO",'caseload data'!$C:$C,'divisional &amp; regional caseload'!$T$22)</f>
        <v>0</v>
      </c>
      <c r="AD27" s="104">
        <f>SUMIFS('caseload data'!N:N,'caseload data'!$D:$D,"SPO",'caseload data'!$C:$C,'divisional &amp; regional caseload'!$T$22)</f>
        <v>0</v>
      </c>
      <c r="AE27" s="104">
        <f>SUMIFS('caseload data'!O:O,'caseload data'!$D:$D,"SPO",'caseload data'!$C:$C,'divisional &amp; regional caseload'!$T$22)</f>
        <v>0</v>
      </c>
      <c r="AF27" s="104">
        <f>SUMIFS('caseload data'!P:P,'caseload data'!$D:$D,"SPO",'caseload data'!$C:$C,'divisional &amp; regional caseload'!$T$22)</f>
        <v>0</v>
      </c>
      <c r="AG27" s="104">
        <f>SUMIFS('caseload data'!Q:Q,'caseload data'!$D:$D,"SPO",'caseload data'!$C:$C,'divisional &amp; regional caseload'!$T$22)</f>
        <v>0</v>
      </c>
      <c r="AH27" s="104">
        <f>SUMIFS('caseload data'!R:R,'caseload data'!$D:$D,"SPO",'caseload data'!$C:$C,'divisional &amp; regional caseload'!$T$22)</f>
        <v>0</v>
      </c>
      <c r="AI27" s="104">
        <f>SUMIFS('caseload data'!S:S,'caseload data'!$D:$D,"SPO",'caseload data'!$C:$C,'divisional &amp; regional caseload'!$T$22)</f>
        <v>0</v>
      </c>
      <c r="AJ27" s="104">
        <f>SUMIFS('caseload data'!T:T,'caseload data'!$D:$D,"SPO",'caseload data'!$C:$C,'divisional &amp; regional caseload'!$T$22)</f>
        <v>0</v>
      </c>
    </row>
    <row r="28" spans="2:36" x14ac:dyDescent="0.15">
      <c r="B28" s="101"/>
      <c r="C28" s="101"/>
      <c r="D28" s="101"/>
      <c r="E28" s="101"/>
      <c r="F28" s="101"/>
      <c r="G28" s="101"/>
      <c r="H28" s="101"/>
      <c r="I28" s="101"/>
      <c r="J28" s="101"/>
      <c r="K28" s="101"/>
      <c r="L28" s="101"/>
      <c r="M28" s="101"/>
      <c r="N28" s="101"/>
      <c r="O28" s="101"/>
      <c r="P28" s="101"/>
      <c r="Q28" s="101"/>
      <c r="R28" s="101"/>
      <c r="S28" s="101"/>
      <c r="T28" s="101"/>
      <c r="U28" s="101"/>
      <c r="V28" s="101"/>
      <c r="W28" s="101"/>
      <c r="X28" s="101"/>
      <c r="Y28" s="101"/>
      <c r="Z28" s="101"/>
      <c r="AA28" s="101"/>
    </row>
    <row r="29" spans="2:36" ht="29.25" customHeight="1" x14ac:dyDescent="0.15">
      <c r="B29" s="156" t="str">
        <f>HLOOKUP($B$5,Region_Table,8,0)</f>
        <v>Ealing and Hillingdon</v>
      </c>
      <c r="C29" s="367" t="s">
        <v>1130</v>
      </c>
      <c r="D29" s="368"/>
      <c r="E29" s="368"/>
      <c r="F29" s="368"/>
      <c r="G29" s="368"/>
      <c r="H29" s="368"/>
      <c r="I29" s="368"/>
      <c r="J29" s="368"/>
      <c r="K29" s="368"/>
      <c r="L29" s="368"/>
      <c r="M29" s="369"/>
      <c r="N29" s="369"/>
      <c r="O29" s="370"/>
      <c r="P29" s="371">
        <f>SUMIF('caseload data'!$C:$C,'divisional &amp; regional caseload'!B29,'caseload data'!V:V)</f>
        <v>0</v>
      </c>
      <c r="Q29" s="372"/>
      <c r="R29" s="373"/>
      <c r="S29" s="101"/>
      <c r="T29" s="156" t="str">
        <f>HLOOKUP($B$5,Region_Table,9,0)</f>
        <v>Enfield and Haringey</v>
      </c>
      <c r="U29" s="367" t="s">
        <v>1130</v>
      </c>
      <c r="V29" s="369"/>
      <c r="W29" s="369"/>
      <c r="X29" s="370"/>
      <c r="Y29" s="371">
        <f>SUMIF('caseload data'!$C:$C,'divisional &amp; regional caseload'!T29,'caseload data'!V:V)</f>
        <v>0</v>
      </c>
      <c r="Z29" s="372"/>
      <c r="AA29" s="373"/>
    </row>
    <row r="30" spans="2:36" x14ac:dyDescent="0.15">
      <c r="B30" s="105" t="s">
        <v>1065</v>
      </c>
      <c r="C30" s="41" t="s">
        <v>922</v>
      </c>
      <c r="D30" s="41" t="s">
        <v>923</v>
      </c>
      <c r="E30" s="41" t="s">
        <v>924</v>
      </c>
      <c r="F30" s="41" t="s">
        <v>925</v>
      </c>
      <c r="G30" s="41" t="s">
        <v>926</v>
      </c>
      <c r="H30" s="41" t="s">
        <v>927</v>
      </c>
      <c r="I30" s="41" t="s">
        <v>928</v>
      </c>
      <c r="J30" s="41" t="s">
        <v>929</v>
      </c>
      <c r="K30" s="41" t="s">
        <v>930</v>
      </c>
      <c r="L30" s="41" t="s">
        <v>931</v>
      </c>
      <c r="M30" s="41" t="s">
        <v>932</v>
      </c>
      <c r="N30" s="41" t="s">
        <v>933</v>
      </c>
      <c r="O30" s="41" t="s">
        <v>934</v>
      </c>
      <c r="P30" s="41" t="s">
        <v>935</v>
      </c>
      <c r="Q30" s="41" t="s">
        <v>936</v>
      </c>
      <c r="R30" s="41" t="s">
        <v>937</v>
      </c>
      <c r="S30" s="101"/>
      <c r="T30" s="105" t="s">
        <v>1065</v>
      </c>
      <c r="U30" s="41" t="s">
        <v>922</v>
      </c>
      <c r="V30" s="41" t="s">
        <v>923</v>
      </c>
      <c r="W30" s="41" t="s">
        <v>924</v>
      </c>
      <c r="X30" s="41" t="s">
        <v>925</v>
      </c>
      <c r="Y30" s="41" t="s">
        <v>926</v>
      </c>
      <c r="Z30" s="41" t="s">
        <v>927</v>
      </c>
      <c r="AA30" s="41" t="s">
        <v>928</v>
      </c>
      <c r="AB30" s="41" t="s">
        <v>929</v>
      </c>
      <c r="AC30" s="41" t="s">
        <v>930</v>
      </c>
      <c r="AD30" s="41" t="s">
        <v>931</v>
      </c>
      <c r="AE30" s="41" t="s">
        <v>932</v>
      </c>
      <c r="AF30" s="41" t="s">
        <v>933</v>
      </c>
      <c r="AG30" s="41" t="s">
        <v>934</v>
      </c>
      <c r="AH30" s="41" t="s">
        <v>935</v>
      </c>
      <c r="AI30" s="41" t="s">
        <v>936</v>
      </c>
      <c r="AJ30" s="41" t="s">
        <v>937</v>
      </c>
    </row>
    <row r="31" spans="2:36" x14ac:dyDescent="0.15">
      <c r="B31" s="106" t="s">
        <v>911</v>
      </c>
      <c r="C31" s="104">
        <f>SUMIFS('caseload data'!E:E,'caseload data'!$D:$D,"PO",'caseload data'!$C:$C,'divisional &amp; regional caseload'!$B$29)</f>
        <v>0</v>
      </c>
      <c r="D31" s="104">
        <f>SUMIFS('caseload data'!F:F,'caseload data'!$D:$D,"PO",'caseload data'!$C:$C,'divisional &amp; regional caseload'!$B$29)</f>
        <v>0</v>
      </c>
      <c r="E31" s="104">
        <f>SUMIFS('caseload data'!G:G,'caseload data'!$D:$D,"PO",'caseload data'!$C:$C,'divisional &amp; regional caseload'!$B$29)</f>
        <v>0</v>
      </c>
      <c r="F31" s="104">
        <f>SUMIFS('caseload data'!H:H,'caseload data'!$D:$D,"PO",'caseload data'!$C:$C,'divisional &amp; regional caseload'!$B$29)</f>
        <v>0</v>
      </c>
      <c r="G31" s="104">
        <f>SUMIFS('caseload data'!I:I,'caseload data'!$D:$D,"PO",'caseload data'!$C:$C,'divisional &amp; regional caseload'!$B$29)</f>
        <v>0</v>
      </c>
      <c r="H31" s="104">
        <f>SUMIFS('caseload data'!J:J,'caseload data'!$D:$D,"PO",'caseload data'!$C:$C,'divisional &amp; regional caseload'!$B$29)</f>
        <v>0</v>
      </c>
      <c r="I31" s="104">
        <f>SUMIFS('caseload data'!K:K,'caseload data'!$D:$D,"PO",'caseload data'!$C:$C,'divisional &amp; regional caseload'!$B$29)</f>
        <v>0</v>
      </c>
      <c r="J31" s="104">
        <f>SUMIFS('caseload data'!L:L,'caseload data'!$D:$D,"PO",'caseload data'!$C:$C,'divisional &amp; regional caseload'!$B$29)</f>
        <v>0</v>
      </c>
      <c r="K31" s="104">
        <f>SUMIFS('caseload data'!M:M,'caseload data'!$D:$D,"PO",'caseload data'!$C:$C,'divisional &amp; regional caseload'!$B$29)</f>
        <v>0</v>
      </c>
      <c r="L31" s="104">
        <f>SUMIFS('caseload data'!N:N,'caseload data'!$D:$D,"PO",'caseload data'!$C:$C,'divisional &amp; regional caseload'!$B$29)</f>
        <v>0</v>
      </c>
      <c r="M31" s="104">
        <f>SUMIFS('caseload data'!O:O,'caseload data'!$D:$D,"PO",'caseload data'!$C:$C,'divisional &amp; regional caseload'!$B$29)</f>
        <v>0</v>
      </c>
      <c r="N31" s="104">
        <f>SUMIFS('caseload data'!P:P,'caseload data'!$D:$D,"PO",'caseload data'!$C:$C,'divisional &amp; regional caseload'!$B$29)</f>
        <v>0</v>
      </c>
      <c r="O31" s="104">
        <f>SUMIFS('caseload data'!Q:Q,'caseload data'!$D:$D,"PO",'caseload data'!$C:$C,'divisional &amp; regional caseload'!$B$29)</f>
        <v>0</v>
      </c>
      <c r="P31" s="104">
        <f>SUMIFS('caseload data'!R:R,'caseload data'!$D:$D,"PO",'caseload data'!$C:$C,'divisional &amp; regional caseload'!$B$29)</f>
        <v>0</v>
      </c>
      <c r="Q31" s="104">
        <f>SUMIFS('caseload data'!S:S,'caseload data'!$D:$D,"PO",'caseload data'!$C:$C,'divisional &amp; regional caseload'!$B$29)</f>
        <v>0</v>
      </c>
      <c r="R31" s="104">
        <f>SUMIFS('caseload data'!T:T,'caseload data'!$D:$D,"PO",'caseload data'!$C:$C,'divisional &amp; regional caseload'!$B$29)</f>
        <v>0</v>
      </c>
      <c r="S31" s="101"/>
      <c r="T31" s="106" t="s">
        <v>911</v>
      </c>
      <c r="U31" s="104">
        <f>SUMIFS('caseload data'!E:E,'caseload data'!$D:$D,"PO",'caseload data'!$C:$C,'divisional &amp; regional caseload'!$T$29)</f>
        <v>0</v>
      </c>
      <c r="V31" s="104">
        <f>SUMIFS('caseload data'!F:F,'caseload data'!$D:$D,"PO",'caseload data'!$C:$C,'divisional &amp; regional caseload'!$T$29)</f>
        <v>0</v>
      </c>
      <c r="W31" s="104">
        <f>SUMIFS('caseload data'!G:G,'caseload data'!$D:$D,"PO",'caseload data'!$C:$C,'divisional &amp; regional caseload'!$T$29)</f>
        <v>0</v>
      </c>
      <c r="X31" s="104">
        <f>SUMIFS('caseload data'!H:H,'caseload data'!$D:$D,"PO",'caseload data'!$C:$C,'divisional &amp; regional caseload'!$T$29)</f>
        <v>0</v>
      </c>
      <c r="Y31" s="104">
        <f>SUMIFS('caseload data'!I:I,'caseload data'!$D:$D,"PO",'caseload data'!$C:$C,'divisional &amp; regional caseload'!$T$29)</f>
        <v>0</v>
      </c>
      <c r="Z31" s="104">
        <f>SUMIFS('caseload data'!J:J,'caseload data'!$D:$D,"PO",'caseload data'!$C:$C,'divisional &amp; regional caseload'!$T$29)</f>
        <v>0</v>
      </c>
      <c r="AA31" s="104">
        <f>SUMIFS('caseload data'!K:K,'caseload data'!$D:$D,"PO",'caseload data'!$C:$C,'divisional &amp; regional caseload'!$T$29)</f>
        <v>0</v>
      </c>
      <c r="AB31" s="104">
        <f>SUMIFS('caseload data'!L:L,'caseload data'!$D:$D,"PO",'caseload data'!$C:$C,'divisional &amp; regional caseload'!$T$29)</f>
        <v>0</v>
      </c>
      <c r="AC31" s="104">
        <f>SUMIFS('caseload data'!M:M,'caseload data'!$D:$D,"PO",'caseload data'!$C:$C,'divisional &amp; regional caseload'!$T$29)</f>
        <v>0</v>
      </c>
      <c r="AD31" s="104">
        <f>SUMIFS('caseload data'!N:N,'caseload data'!$D:$D,"PO",'caseload data'!$C:$C,'divisional &amp; regional caseload'!$T$29)</f>
        <v>0</v>
      </c>
      <c r="AE31" s="104">
        <f>SUMIFS('caseload data'!O:O,'caseload data'!$D:$D,"PO",'caseload data'!$C:$C,'divisional &amp; regional caseload'!$T$29)</f>
        <v>0</v>
      </c>
      <c r="AF31" s="104">
        <f>SUMIFS('caseload data'!P:P,'caseload data'!$D:$D,"PO",'caseload data'!$C:$C,'divisional &amp; regional caseload'!$T$29)</f>
        <v>0</v>
      </c>
      <c r="AG31" s="104">
        <f>SUMIFS('caseload data'!Q:Q,'caseload data'!$D:$D,"PO",'caseload data'!$C:$C,'divisional &amp; regional caseload'!$T$29)</f>
        <v>0</v>
      </c>
      <c r="AH31" s="104">
        <f>SUMIFS('caseload data'!R:R,'caseload data'!$D:$D,"PO",'caseload data'!$C:$C,'divisional &amp; regional caseload'!$T$29)</f>
        <v>0</v>
      </c>
      <c r="AI31" s="104">
        <f>SUMIFS('caseload data'!S:S,'caseload data'!$D:$D,"PO",'caseload data'!$C:$C,'divisional &amp; regional caseload'!$T$29)</f>
        <v>0</v>
      </c>
      <c r="AJ31" s="104">
        <f>SUMIFS('caseload data'!T:T,'caseload data'!$D:$D,"PO",'caseload data'!$C:$C,'divisional &amp; regional caseload'!$T$29)</f>
        <v>0</v>
      </c>
    </row>
    <row r="32" spans="2:36" x14ac:dyDescent="0.15">
      <c r="B32" s="107" t="s">
        <v>912</v>
      </c>
      <c r="C32" s="104">
        <f>SUMIFS('caseload data'!E:E,'caseload data'!$D:$D,"PSO",'caseload data'!$C:$C,'divisional &amp; regional caseload'!$B$29)</f>
        <v>0</v>
      </c>
      <c r="D32" s="104">
        <f>SUMIFS('caseload data'!F:F,'caseload data'!$D:$D,"PSO",'caseload data'!$C:$C,'divisional &amp; regional caseload'!$B$29)</f>
        <v>0</v>
      </c>
      <c r="E32" s="104">
        <f>SUMIFS('caseload data'!G:G,'caseload data'!$D:$D,"PSO",'caseload data'!$C:$C,'divisional &amp; regional caseload'!$B$29)</f>
        <v>0</v>
      </c>
      <c r="F32" s="104">
        <f>SUMIFS('caseload data'!H:H,'caseload data'!$D:$D,"PSO",'caseload data'!$C:$C,'divisional &amp; regional caseload'!$B$29)</f>
        <v>0</v>
      </c>
      <c r="G32" s="104">
        <f>SUMIFS('caseload data'!I:I,'caseload data'!$D:$D,"PSO",'caseload data'!$C:$C,'divisional &amp; regional caseload'!$B$29)</f>
        <v>0</v>
      </c>
      <c r="H32" s="104">
        <f>SUMIFS('caseload data'!J:J,'caseload data'!$D:$D,"PSO",'caseload data'!$C:$C,'divisional &amp; regional caseload'!$B$29)</f>
        <v>0</v>
      </c>
      <c r="I32" s="104">
        <f>SUMIFS('caseload data'!K:K,'caseload data'!$D:$D,"PSO",'caseload data'!$C:$C,'divisional &amp; regional caseload'!$B$29)</f>
        <v>0</v>
      </c>
      <c r="J32" s="104">
        <f>SUMIFS('caseload data'!L:L,'caseload data'!$D:$D,"PSO",'caseload data'!$C:$C,'divisional &amp; regional caseload'!$B$29)</f>
        <v>0</v>
      </c>
      <c r="K32" s="104">
        <f>SUMIFS('caseload data'!M:M,'caseload data'!$D:$D,"PSO",'caseload data'!$C:$C,'divisional &amp; regional caseload'!$B$29)</f>
        <v>0</v>
      </c>
      <c r="L32" s="104">
        <f>SUMIFS('caseload data'!N:N,'caseload data'!$D:$D,"PSO",'caseload data'!$C:$C,'divisional &amp; regional caseload'!$B$29)</f>
        <v>0</v>
      </c>
      <c r="M32" s="104">
        <f>SUMIFS('caseload data'!O:O,'caseload data'!$D:$D,"PSO",'caseload data'!$C:$C,'divisional &amp; regional caseload'!$B$29)</f>
        <v>0</v>
      </c>
      <c r="N32" s="104">
        <f>SUMIFS('caseload data'!P:P,'caseload data'!$D:$D,"PSO",'caseload data'!$C:$C,'divisional &amp; regional caseload'!$B$29)</f>
        <v>0</v>
      </c>
      <c r="O32" s="104">
        <f>SUMIFS('caseload data'!Q:Q,'caseload data'!$D:$D,"PSO",'caseload data'!$C:$C,'divisional &amp; regional caseload'!$B$29)</f>
        <v>0</v>
      </c>
      <c r="P32" s="104">
        <f>SUMIFS('caseload data'!R:R,'caseload data'!$D:$D,"PSO",'caseload data'!$C:$C,'divisional &amp; regional caseload'!$B$29)</f>
        <v>0</v>
      </c>
      <c r="Q32" s="104">
        <f>SUMIFS('caseload data'!S:S,'caseload data'!$D:$D,"PSO",'caseload data'!$C:$C,'divisional &amp; regional caseload'!$B$29)</f>
        <v>0</v>
      </c>
      <c r="R32" s="104">
        <f>SUMIFS('caseload data'!T:T,'caseload data'!$D:$D,"PSO",'caseload data'!$C:$C,'divisional &amp; regional caseload'!$B$29)</f>
        <v>0</v>
      </c>
      <c r="S32" s="101"/>
      <c r="T32" s="107" t="s">
        <v>912</v>
      </c>
      <c r="U32" s="104">
        <f>SUMIFS('caseload data'!E:E,'caseload data'!$D:$D,"PSO",'caseload data'!$C:$C,'divisional &amp; regional caseload'!$T$29)</f>
        <v>0</v>
      </c>
      <c r="V32" s="104">
        <f>SUMIFS('caseload data'!F:F,'caseload data'!$D:$D,"PSO",'caseload data'!$C:$C,'divisional &amp; regional caseload'!$T$29)</f>
        <v>0</v>
      </c>
      <c r="W32" s="104">
        <f>SUMIFS('caseload data'!G:G,'caseload data'!$D:$D,"PSO",'caseload data'!$C:$C,'divisional &amp; regional caseload'!$T$29)</f>
        <v>0</v>
      </c>
      <c r="X32" s="104">
        <f>SUMIFS('caseload data'!H:H,'caseload data'!$D:$D,"PSO",'caseload data'!$C:$C,'divisional &amp; regional caseload'!$T$29)</f>
        <v>0</v>
      </c>
      <c r="Y32" s="104">
        <f>SUMIFS('caseload data'!I:I,'caseload data'!$D:$D,"PSO",'caseload data'!$C:$C,'divisional &amp; regional caseload'!$T$29)</f>
        <v>0</v>
      </c>
      <c r="Z32" s="104">
        <f>SUMIFS('caseload data'!J:J,'caseload data'!$D:$D,"PSO",'caseload data'!$C:$C,'divisional &amp; regional caseload'!$T$29)</f>
        <v>0</v>
      </c>
      <c r="AA32" s="104">
        <f>SUMIFS('caseload data'!K:K,'caseload data'!$D:$D,"PSO",'caseload data'!$C:$C,'divisional &amp; regional caseload'!$T$29)</f>
        <v>0</v>
      </c>
      <c r="AB32" s="104">
        <f>SUMIFS('caseload data'!L:L,'caseload data'!$D:$D,"PSO",'caseload data'!$C:$C,'divisional &amp; regional caseload'!$T$29)</f>
        <v>0</v>
      </c>
      <c r="AC32" s="104">
        <f>SUMIFS('caseload data'!M:M,'caseload data'!$D:$D,"PSO",'caseload data'!$C:$C,'divisional &amp; regional caseload'!$T$29)</f>
        <v>0</v>
      </c>
      <c r="AD32" s="104">
        <f>SUMIFS('caseload data'!N:N,'caseload data'!$D:$D,"PSO",'caseload data'!$C:$C,'divisional &amp; regional caseload'!$T$29)</f>
        <v>0</v>
      </c>
      <c r="AE32" s="104">
        <f>SUMIFS('caseload data'!O:O,'caseload data'!$D:$D,"PSO",'caseload data'!$C:$C,'divisional &amp; regional caseload'!$T$29)</f>
        <v>0</v>
      </c>
      <c r="AF32" s="104">
        <f>SUMIFS('caseload data'!P:P,'caseload data'!$D:$D,"PSO",'caseload data'!$C:$C,'divisional &amp; regional caseload'!$T$29)</f>
        <v>0</v>
      </c>
      <c r="AG32" s="104">
        <f>SUMIFS('caseload data'!Q:Q,'caseload data'!$D:$D,"PSO",'caseload data'!$C:$C,'divisional &amp; regional caseload'!$T$29)</f>
        <v>0</v>
      </c>
      <c r="AH32" s="104">
        <f>SUMIFS('caseload data'!R:R,'caseload data'!$D:$D,"PSO",'caseload data'!$C:$C,'divisional &amp; regional caseload'!$T$29)</f>
        <v>0</v>
      </c>
      <c r="AI32" s="104">
        <f>SUMIFS('caseload data'!S:S,'caseload data'!$D:$D,"PSO",'caseload data'!$C:$C,'divisional &amp; regional caseload'!$T$29)</f>
        <v>0</v>
      </c>
      <c r="AJ32" s="104">
        <f>SUMIFS('caseload data'!T:T,'caseload data'!$D:$D,"PSO",'caseload data'!$C:$C,'divisional &amp; regional caseload'!$T$29)</f>
        <v>0</v>
      </c>
    </row>
    <row r="33" spans="2:36" x14ac:dyDescent="0.15">
      <c r="B33" s="107" t="s">
        <v>913</v>
      </c>
      <c r="C33" s="104">
        <f>SUMIFS('caseload data'!E:E,'caseload data'!$D:$D,"TPO",'caseload data'!$C:$C,'divisional &amp; regional caseload'!$B$29)</f>
        <v>0</v>
      </c>
      <c r="D33" s="104">
        <f>SUMIFS('caseload data'!F:F,'caseload data'!$D:$D,"TPO",'caseload data'!$C:$C,'divisional &amp; regional caseload'!$B$29)</f>
        <v>0</v>
      </c>
      <c r="E33" s="104">
        <f>SUMIFS('caseload data'!G:G,'caseload data'!$D:$D,"TPO",'caseload data'!$C:$C,'divisional &amp; regional caseload'!$B$29)</f>
        <v>0</v>
      </c>
      <c r="F33" s="104">
        <f>SUMIFS('caseload data'!H:H,'caseload data'!$D:$D,"TPO",'caseload data'!$C:$C,'divisional &amp; regional caseload'!$B$29)</f>
        <v>0</v>
      </c>
      <c r="G33" s="104">
        <f>SUMIFS('caseload data'!I:I,'caseload data'!$D:$D,"TPO",'caseload data'!$C:$C,'divisional &amp; regional caseload'!$B$29)</f>
        <v>0</v>
      </c>
      <c r="H33" s="104">
        <f>SUMIFS('caseload data'!J:J,'caseload data'!$D:$D,"TPO",'caseload data'!$C:$C,'divisional &amp; regional caseload'!$B$29)</f>
        <v>0</v>
      </c>
      <c r="I33" s="104">
        <f>SUMIFS('caseload data'!K:K,'caseload data'!$D:$D,"TPO",'caseload data'!$C:$C,'divisional &amp; regional caseload'!$B$29)</f>
        <v>0</v>
      </c>
      <c r="J33" s="104">
        <f>SUMIFS('caseload data'!L:L,'caseload data'!$D:$D,"TPO",'caseload data'!$C:$C,'divisional &amp; regional caseload'!$B$29)</f>
        <v>0</v>
      </c>
      <c r="K33" s="104">
        <f>SUMIFS('caseload data'!M:M,'caseload data'!$D:$D,"TPO",'caseload data'!$C:$C,'divisional &amp; regional caseload'!$B$29)</f>
        <v>0</v>
      </c>
      <c r="L33" s="104">
        <f>SUMIFS('caseload data'!N:N,'caseload data'!$D:$D,"TPO",'caseload data'!$C:$C,'divisional &amp; regional caseload'!$B$29)</f>
        <v>0</v>
      </c>
      <c r="M33" s="104">
        <f>SUMIFS('caseload data'!O:O,'caseload data'!$D:$D,"TPO",'caseload data'!$C:$C,'divisional &amp; regional caseload'!$B$29)</f>
        <v>0</v>
      </c>
      <c r="N33" s="104">
        <f>SUMIFS('caseload data'!P:P,'caseload data'!$D:$D,"TPO",'caseload data'!$C:$C,'divisional &amp; regional caseload'!$B$29)</f>
        <v>0</v>
      </c>
      <c r="O33" s="104">
        <f>SUMIFS('caseload data'!Q:Q,'caseload data'!$D:$D,"TPO",'caseload data'!$C:$C,'divisional &amp; regional caseload'!$B$29)</f>
        <v>0</v>
      </c>
      <c r="P33" s="104">
        <f>SUMIFS('caseload data'!R:R,'caseload data'!$D:$D,"TPO",'caseload data'!$C:$C,'divisional &amp; regional caseload'!$B$29)</f>
        <v>0</v>
      </c>
      <c r="Q33" s="104">
        <f>SUMIFS('caseload data'!S:S,'caseload data'!$D:$D,"TPO",'caseload data'!$C:$C,'divisional &amp; regional caseload'!$B$29)</f>
        <v>0</v>
      </c>
      <c r="R33" s="104">
        <f>SUMIFS('caseload data'!T:T,'caseload data'!$D:$D,"TPO",'caseload data'!$C:$C,'divisional &amp; regional caseload'!$B$29)</f>
        <v>0</v>
      </c>
      <c r="S33" s="101"/>
      <c r="T33" s="107" t="s">
        <v>913</v>
      </c>
      <c r="U33" s="104">
        <f>SUMIFS('caseload data'!E:E,'caseload data'!$D:$D,"TPO",'caseload data'!$C:$C,'divisional &amp; regional caseload'!$T$29)</f>
        <v>0</v>
      </c>
      <c r="V33" s="104">
        <f>SUMIFS('caseload data'!F:F,'caseload data'!$D:$D,"TPO",'caseload data'!$C:$C,'divisional &amp; regional caseload'!$T$29)</f>
        <v>0</v>
      </c>
      <c r="W33" s="104">
        <f>SUMIFS('caseload data'!G:G,'caseload data'!$D:$D,"TPO",'caseload data'!$C:$C,'divisional &amp; regional caseload'!$T$29)</f>
        <v>0</v>
      </c>
      <c r="X33" s="104">
        <f>SUMIFS('caseload data'!H:H,'caseload data'!$D:$D,"TPO",'caseload data'!$C:$C,'divisional &amp; regional caseload'!$T$29)</f>
        <v>0</v>
      </c>
      <c r="Y33" s="104">
        <f>SUMIFS('caseload data'!I:I,'caseload data'!$D:$D,"TPO",'caseload data'!$C:$C,'divisional &amp; regional caseload'!$T$29)</f>
        <v>0</v>
      </c>
      <c r="Z33" s="104">
        <f>SUMIFS('caseload data'!J:J,'caseload data'!$D:$D,"TPO",'caseload data'!$C:$C,'divisional &amp; regional caseload'!$T$29)</f>
        <v>0</v>
      </c>
      <c r="AA33" s="104">
        <f>SUMIFS('caseload data'!K:K,'caseload data'!$D:$D,"TPO",'caseload data'!$C:$C,'divisional &amp; regional caseload'!$T$29)</f>
        <v>0</v>
      </c>
      <c r="AB33" s="104">
        <f>SUMIFS('caseload data'!L:L,'caseload data'!$D:$D,"TPO",'caseload data'!$C:$C,'divisional &amp; regional caseload'!$T$29)</f>
        <v>0</v>
      </c>
      <c r="AC33" s="104">
        <f>SUMIFS('caseload data'!M:M,'caseload data'!$D:$D,"TPO",'caseload data'!$C:$C,'divisional &amp; regional caseload'!$T$29)</f>
        <v>0</v>
      </c>
      <c r="AD33" s="104">
        <f>SUMIFS('caseload data'!N:N,'caseload data'!$D:$D,"TPO",'caseload data'!$C:$C,'divisional &amp; regional caseload'!$T$29)</f>
        <v>0</v>
      </c>
      <c r="AE33" s="104">
        <f>SUMIFS('caseload data'!O:O,'caseload data'!$D:$D,"TPO",'caseload data'!$C:$C,'divisional &amp; regional caseload'!$T$29)</f>
        <v>0</v>
      </c>
      <c r="AF33" s="104">
        <f>SUMIFS('caseload data'!P:P,'caseload data'!$D:$D,"TPO",'caseload data'!$C:$C,'divisional &amp; regional caseload'!$T$29)</f>
        <v>0</v>
      </c>
      <c r="AG33" s="104">
        <f>SUMIFS('caseload data'!Q:Q,'caseload data'!$D:$D,"TPO",'caseload data'!$C:$C,'divisional &amp; regional caseload'!$T$29)</f>
        <v>0</v>
      </c>
      <c r="AH33" s="104">
        <f>SUMIFS('caseload data'!R:R,'caseload data'!$D:$D,"TPO",'caseload data'!$C:$C,'divisional &amp; regional caseload'!$T$29)</f>
        <v>0</v>
      </c>
      <c r="AI33" s="104">
        <f>SUMIFS('caseload data'!S:S,'caseload data'!$D:$D,"TPO",'caseload data'!$C:$C,'divisional &amp; regional caseload'!$T$29)</f>
        <v>0</v>
      </c>
      <c r="AJ33" s="104">
        <f>SUMIFS('caseload data'!T:T,'caseload data'!$D:$D,"TPO",'caseload data'!$C:$C,'divisional &amp; regional caseload'!$T$29)</f>
        <v>0</v>
      </c>
    </row>
    <row r="34" spans="2:36" x14ac:dyDescent="0.15">
      <c r="B34" s="108" t="s">
        <v>914</v>
      </c>
      <c r="C34" s="104">
        <f>SUMIFS('caseload data'!E:E,'caseload data'!$D:$D,"SPO",'caseload data'!$C:$C,'divisional &amp; regional caseload'!$B$29)</f>
        <v>0</v>
      </c>
      <c r="D34" s="104">
        <f>SUMIFS('caseload data'!F:F,'caseload data'!$D:$D,"SPO",'caseload data'!$C:$C,'divisional &amp; regional caseload'!$B$29)</f>
        <v>0</v>
      </c>
      <c r="E34" s="104">
        <f>SUMIFS('caseload data'!G:G,'caseload data'!$D:$D,"SPO",'caseload data'!$C:$C,'divisional &amp; regional caseload'!$B$29)</f>
        <v>0</v>
      </c>
      <c r="F34" s="104">
        <f>SUMIFS('caseload data'!H:H,'caseload data'!$D:$D,"SPO",'caseload data'!$C:$C,'divisional &amp; regional caseload'!$B$29)</f>
        <v>0</v>
      </c>
      <c r="G34" s="104">
        <f>SUMIFS('caseload data'!I:I,'caseload data'!$D:$D,"SPO",'caseload data'!$C:$C,'divisional &amp; regional caseload'!$B$29)</f>
        <v>0</v>
      </c>
      <c r="H34" s="104">
        <f>SUMIFS('caseload data'!J:J,'caseload data'!$D:$D,"SPO",'caseload data'!$C:$C,'divisional &amp; regional caseload'!$B$29)</f>
        <v>0</v>
      </c>
      <c r="I34" s="104">
        <f>SUMIFS('caseload data'!K:K,'caseload data'!$D:$D,"SPO",'caseload data'!$C:$C,'divisional &amp; regional caseload'!$B$29)</f>
        <v>0</v>
      </c>
      <c r="J34" s="104">
        <f>SUMIFS('caseload data'!L:L,'caseload data'!$D:$D,"SPO",'caseload data'!$C:$C,'divisional &amp; regional caseload'!$B$29)</f>
        <v>0</v>
      </c>
      <c r="K34" s="104">
        <f>SUMIFS('caseload data'!M:M,'caseload data'!$D:$D,"SPO",'caseload data'!$C:$C,'divisional &amp; regional caseload'!$B$29)</f>
        <v>0</v>
      </c>
      <c r="L34" s="104">
        <f>SUMIFS('caseload data'!N:N,'caseload data'!$D:$D,"SPO",'caseload data'!$C:$C,'divisional &amp; regional caseload'!$B$29)</f>
        <v>0</v>
      </c>
      <c r="M34" s="104">
        <f>SUMIFS('caseload data'!O:O,'caseload data'!$D:$D,"SPO",'caseload data'!$C:$C,'divisional &amp; regional caseload'!$B$29)</f>
        <v>0</v>
      </c>
      <c r="N34" s="104">
        <f>SUMIFS('caseload data'!P:P,'caseload data'!$D:$D,"SPO",'caseload data'!$C:$C,'divisional &amp; regional caseload'!$B$29)</f>
        <v>0</v>
      </c>
      <c r="O34" s="104">
        <f>SUMIFS('caseload data'!Q:Q,'caseload data'!$D:$D,"SPO",'caseload data'!$C:$C,'divisional &amp; regional caseload'!$B$29)</f>
        <v>0</v>
      </c>
      <c r="P34" s="104">
        <f>SUMIFS('caseload data'!R:R,'caseload data'!$D:$D,"SPO",'caseload data'!$C:$C,'divisional &amp; regional caseload'!$B$29)</f>
        <v>0</v>
      </c>
      <c r="Q34" s="104">
        <f>SUMIFS('caseload data'!S:S,'caseload data'!$D:$D,"SPO",'caseload data'!$C:$C,'divisional &amp; regional caseload'!$B$29)</f>
        <v>0</v>
      </c>
      <c r="R34" s="104">
        <f>SUMIFS('caseload data'!T:T,'caseload data'!$D:$D,"SPO",'caseload data'!$C:$C,'divisional &amp; regional caseload'!$B$29)</f>
        <v>0</v>
      </c>
      <c r="S34" s="101"/>
      <c r="T34" s="108" t="s">
        <v>914</v>
      </c>
      <c r="U34" s="104">
        <f>SUMIFS('caseload data'!E:E,'caseload data'!$D:$D,"SPO",'caseload data'!$C:$C,'divisional &amp; regional caseload'!$T$29)</f>
        <v>0</v>
      </c>
      <c r="V34" s="104">
        <f>SUMIFS('caseload data'!F:F,'caseload data'!$D:$D,"SPO",'caseload data'!$C:$C,'divisional &amp; regional caseload'!$T$29)</f>
        <v>0</v>
      </c>
      <c r="W34" s="104">
        <f>SUMIFS('caseload data'!G:G,'caseload data'!$D:$D,"SPO",'caseload data'!$C:$C,'divisional &amp; regional caseload'!$T$29)</f>
        <v>0</v>
      </c>
      <c r="X34" s="104">
        <f>SUMIFS('caseload data'!H:H,'caseload data'!$D:$D,"SPO",'caseload data'!$C:$C,'divisional &amp; regional caseload'!$T$29)</f>
        <v>0</v>
      </c>
      <c r="Y34" s="104">
        <f>SUMIFS('caseload data'!I:I,'caseload data'!$D:$D,"SPO",'caseload data'!$C:$C,'divisional &amp; regional caseload'!$T$29)</f>
        <v>0</v>
      </c>
      <c r="Z34" s="104">
        <f>SUMIFS('caseload data'!J:J,'caseload data'!$D:$D,"SPO",'caseload data'!$C:$C,'divisional &amp; regional caseload'!$T$29)</f>
        <v>0</v>
      </c>
      <c r="AA34" s="104">
        <f>SUMIFS('caseload data'!K:K,'caseload data'!$D:$D,"SPO",'caseload data'!$C:$C,'divisional &amp; regional caseload'!$T$29)</f>
        <v>0</v>
      </c>
      <c r="AB34" s="104">
        <f>SUMIFS('caseload data'!L:L,'caseload data'!$D:$D,"SPO",'caseload data'!$C:$C,'divisional &amp; regional caseload'!$T$29)</f>
        <v>0</v>
      </c>
      <c r="AC34" s="104">
        <f>SUMIFS('caseload data'!M:M,'caseload data'!$D:$D,"SPO",'caseload data'!$C:$C,'divisional &amp; regional caseload'!$T$29)</f>
        <v>0</v>
      </c>
      <c r="AD34" s="104">
        <f>SUMIFS('caseload data'!N:N,'caseload data'!$D:$D,"SPO",'caseload data'!$C:$C,'divisional &amp; regional caseload'!$T$29)</f>
        <v>0</v>
      </c>
      <c r="AE34" s="104">
        <f>SUMIFS('caseload data'!O:O,'caseload data'!$D:$D,"SPO",'caseload data'!$C:$C,'divisional &amp; regional caseload'!$T$29)</f>
        <v>0</v>
      </c>
      <c r="AF34" s="104">
        <f>SUMIFS('caseload data'!P:P,'caseload data'!$D:$D,"SPO",'caseload data'!$C:$C,'divisional &amp; regional caseload'!$T$29)</f>
        <v>0</v>
      </c>
      <c r="AG34" s="104">
        <f>SUMIFS('caseload data'!Q:Q,'caseload data'!$D:$D,"SPO",'caseload data'!$C:$C,'divisional &amp; regional caseload'!$T$29)</f>
        <v>0</v>
      </c>
      <c r="AH34" s="104">
        <f>SUMIFS('caseload data'!R:R,'caseload data'!$D:$D,"SPO",'caseload data'!$C:$C,'divisional &amp; regional caseload'!$T$29)</f>
        <v>0</v>
      </c>
      <c r="AI34" s="104">
        <f>SUMIFS('caseload data'!S:S,'caseload data'!$D:$D,"SPO",'caseload data'!$C:$C,'divisional &amp; regional caseload'!$T$29)</f>
        <v>0</v>
      </c>
      <c r="AJ34" s="104">
        <f>SUMIFS('caseload data'!T:T,'caseload data'!$D:$D,"SPO",'caseload data'!$C:$C,'divisional &amp; regional caseload'!$T$29)</f>
        <v>0</v>
      </c>
    </row>
    <row r="35" spans="2:36" x14ac:dyDescent="0.15">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row>
    <row r="36" spans="2:36" ht="27.75" customHeight="1" x14ac:dyDescent="0.15">
      <c r="B36" s="156" t="str">
        <f>HLOOKUP($B$5,Region_Table,10,0)</f>
        <v>Greenwich and Bexley</v>
      </c>
      <c r="C36" s="367" t="s">
        <v>1131</v>
      </c>
      <c r="D36" s="368"/>
      <c r="E36" s="368"/>
      <c r="F36" s="368"/>
      <c r="G36" s="368"/>
      <c r="H36" s="368"/>
      <c r="I36" s="368"/>
      <c r="J36" s="368"/>
      <c r="K36" s="368"/>
      <c r="L36" s="368"/>
      <c r="M36" s="369"/>
      <c r="N36" s="369"/>
      <c r="O36" s="370"/>
      <c r="P36" s="371">
        <f>SUMIF('caseload data'!$C:$C,'divisional &amp; regional caseload'!B36,'caseload data'!V:V)</f>
        <v>0</v>
      </c>
      <c r="Q36" s="372"/>
      <c r="R36" s="373"/>
      <c r="S36" s="101"/>
      <c r="T36" s="156" t="str">
        <f>HLOOKUP($B$5,Region_Table,11,0)</f>
        <v>Hackney and City</v>
      </c>
      <c r="U36" s="367" t="s">
        <v>1130</v>
      </c>
      <c r="V36" s="369"/>
      <c r="W36" s="369"/>
      <c r="X36" s="370"/>
      <c r="Y36" s="371">
        <f>SUMIF('caseload data'!$C:$C,'divisional &amp; regional caseload'!T36,'caseload data'!V:V)</f>
        <v>0</v>
      </c>
      <c r="Z36" s="372"/>
      <c r="AA36" s="373"/>
    </row>
    <row r="37" spans="2:36" x14ac:dyDescent="0.15">
      <c r="B37" s="105" t="s">
        <v>1065</v>
      </c>
      <c r="C37" s="41" t="s">
        <v>922</v>
      </c>
      <c r="D37" s="41" t="s">
        <v>923</v>
      </c>
      <c r="E37" s="41" t="s">
        <v>924</v>
      </c>
      <c r="F37" s="41" t="s">
        <v>925</v>
      </c>
      <c r="G37" s="41" t="s">
        <v>926</v>
      </c>
      <c r="H37" s="41" t="s">
        <v>927</v>
      </c>
      <c r="I37" s="41" t="s">
        <v>928</v>
      </c>
      <c r="J37" s="41" t="s">
        <v>929</v>
      </c>
      <c r="K37" s="41" t="s">
        <v>930</v>
      </c>
      <c r="L37" s="41" t="s">
        <v>931</v>
      </c>
      <c r="M37" s="41" t="s">
        <v>932</v>
      </c>
      <c r="N37" s="41" t="s">
        <v>933</v>
      </c>
      <c r="O37" s="41" t="s">
        <v>934</v>
      </c>
      <c r="P37" s="41" t="s">
        <v>935</v>
      </c>
      <c r="Q37" s="41" t="s">
        <v>936</v>
      </c>
      <c r="R37" s="41" t="s">
        <v>937</v>
      </c>
      <c r="S37" s="101"/>
      <c r="T37" s="105" t="s">
        <v>1065</v>
      </c>
      <c r="U37" s="41" t="s">
        <v>922</v>
      </c>
      <c r="V37" s="41" t="s">
        <v>923</v>
      </c>
      <c r="W37" s="41" t="s">
        <v>924</v>
      </c>
      <c r="X37" s="41" t="s">
        <v>925</v>
      </c>
      <c r="Y37" s="41" t="s">
        <v>926</v>
      </c>
      <c r="Z37" s="41" t="s">
        <v>927</v>
      </c>
      <c r="AA37" s="41" t="s">
        <v>928</v>
      </c>
      <c r="AB37" s="41" t="s">
        <v>929</v>
      </c>
      <c r="AC37" s="41" t="s">
        <v>930</v>
      </c>
      <c r="AD37" s="41" t="s">
        <v>931</v>
      </c>
      <c r="AE37" s="41" t="s">
        <v>932</v>
      </c>
      <c r="AF37" s="41" t="s">
        <v>933</v>
      </c>
      <c r="AG37" s="41" t="s">
        <v>934</v>
      </c>
      <c r="AH37" s="41" t="s">
        <v>935</v>
      </c>
      <c r="AI37" s="41" t="s">
        <v>936</v>
      </c>
      <c r="AJ37" s="41" t="s">
        <v>937</v>
      </c>
    </row>
    <row r="38" spans="2:36" x14ac:dyDescent="0.15">
      <c r="B38" s="106" t="s">
        <v>911</v>
      </c>
      <c r="C38" s="104">
        <f>SUMIFS('caseload data'!E:E,'caseload data'!$D:$D,"PO",'caseload data'!$C:$C,'divisional &amp; regional caseload'!$B$36)</f>
        <v>0</v>
      </c>
      <c r="D38" s="104">
        <f>SUMIFS('caseload data'!F:F,'caseload data'!$D:$D,"PO",'caseload data'!$C:$C,'divisional &amp; regional caseload'!$B$36)</f>
        <v>0</v>
      </c>
      <c r="E38" s="104">
        <f>SUMIFS('caseload data'!G:G,'caseload data'!$D:$D,"PO",'caseload data'!$C:$C,'divisional &amp; regional caseload'!$B$36)</f>
        <v>0</v>
      </c>
      <c r="F38" s="104">
        <f>SUMIFS('caseload data'!H:H,'caseload data'!$D:$D,"PO",'caseload data'!$C:$C,'divisional &amp; regional caseload'!$B$36)</f>
        <v>0</v>
      </c>
      <c r="G38" s="104">
        <f>SUMIFS('caseload data'!I:I,'caseload data'!$D:$D,"PO",'caseload data'!$C:$C,'divisional &amp; regional caseload'!$B$36)</f>
        <v>0</v>
      </c>
      <c r="H38" s="104">
        <f>SUMIFS('caseload data'!J:J,'caseload data'!$D:$D,"PO",'caseload data'!$C:$C,'divisional &amp; regional caseload'!$B$36)</f>
        <v>0</v>
      </c>
      <c r="I38" s="104">
        <f>SUMIFS('caseload data'!K:K,'caseload data'!$D:$D,"PO",'caseload data'!$C:$C,'divisional &amp; regional caseload'!$B$36)</f>
        <v>0</v>
      </c>
      <c r="J38" s="104">
        <f>SUMIFS('caseload data'!L:L,'caseload data'!$D:$D,"PO",'caseload data'!$C:$C,'divisional &amp; regional caseload'!$B$36)</f>
        <v>0</v>
      </c>
      <c r="K38" s="104">
        <f>SUMIFS('caseload data'!M:M,'caseload data'!$D:$D,"PO",'caseload data'!$C:$C,'divisional &amp; regional caseload'!$B$36)</f>
        <v>0</v>
      </c>
      <c r="L38" s="104">
        <f>SUMIFS('caseload data'!N:N,'caseload data'!$D:$D,"PO",'caseload data'!$C:$C,'divisional &amp; regional caseload'!$B$36)</f>
        <v>0</v>
      </c>
      <c r="M38" s="104">
        <f>SUMIFS('caseload data'!O:O,'caseload data'!$D:$D,"PO",'caseload data'!$C:$C,'divisional &amp; regional caseload'!$B$36)</f>
        <v>0</v>
      </c>
      <c r="N38" s="104">
        <f>SUMIFS('caseload data'!P:P,'caseload data'!$D:$D,"PO",'caseload data'!$C:$C,'divisional &amp; regional caseload'!$B$36)</f>
        <v>0</v>
      </c>
      <c r="O38" s="104">
        <f>SUMIFS('caseload data'!Q:Q,'caseload data'!$D:$D,"PO",'caseload data'!$C:$C,'divisional &amp; regional caseload'!$B$36)</f>
        <v>0</v>
      </c>
      <c r="P38" s="104">
        <f>SUMIFS('caseload data'!R:R,'caseload data'!$D:$D,"PO",'caseload data'!$C:$C,'divisional &amp; regional caseload'!$B$36)</f>
        <v>0</v>
      </c>
      <c r="Q38" s="104">
        <f>SUMIFS('caseload data'!S:S,'caseload data'!$D:$D,"PO",'caseload data'!$C:$C,'divisional &amp; regional caseload'!$B$36)</f>
        <v>0</v>
      </c>
      <c r="R38" s="104">
        <f>SUMIFS('caseload data'!T:T,'caseload data'!$D:$D,"PO",'caseload data'!$C:$C,'divisional &amp; regional caseload'!$B$36)</f>
        <v>0</v>
      </c>
      <c r="S38" s="101"/>
      <c r="T38" s="106" t="s">
        <v>911</v>
      </c>
      <c r="U38" s="104">
        <f>SUMIFS('caseload data'!E:E,'caseload data'!$D:$D,"PO",'caseload data'!$C:$C,'divisional &amp; regional caseload'!$T$36)</f>
        <v>0</v>
      </c>
      <c r="V38" s="104">
        <f>SUMIFS('caseload data'!F:F,'caseload data'!$D:$D,"PO",'caseload data'!$C:$C,'divisional &amp; regional caseload'!$T$36)</f>
        <v>0</v>
      </c>
      <c r="W38" s="104">
        <f>SUMIFS('caseload data'!G:G,'caseload data'!$D:$D,"PO",'caseload data'!$C:$C,'divisional &amp; regional caseload'!$T$36)</f>
        <v>0</v>
      </c>
      <c r="X38" s="104">
        <f>SUMIFS('caseload data'!H:H,'caseload data'!$D:$D,"PO",'caseload data'!$C:$C,'divisional &amp; regional caseload'!$T$36)</f>
        <v>0</v>
      </c>
      <c r="Y38" s="104">
        <f>SUMIFS('caseload data'!I:I,'caseload data'!$D:$D,"PO",'caseload data'!$C:$C,'divisional &amp; regional caseload'!$T$36)</f>
        <v>0</v>
      </c>
      <c r="Z38" s="104">
        <f>SUMIFS('caseload data'!J:J,'caseload data'!$D:$D,"PO",'caseload data'!$C:$C,'divisional &amp; regional caseload'!$T$36)</f>
        <v>0</v>
      </c>
      <c r="AA38" s="104">
        <f>SUMIFS('caseload data'!K:K,'caseload data'!$D:$D,"PO",'caseload data'!$C:$C,'divisional &amp; regional caseload'!$T$36)</f>
        <v>0</v>
      </c>
      <c r="AB38" s="104">
        <f>SUMIFS('caseload data'!L:L,'caseload data'!$D:$D,"PO",'caseload data'!$C:$C,'divisional &amp; regional caseload'!$T$36)</f>
        <v>0</v>
      </c>
      <c r="AC38" s="104">
        <f>SUMIFS('caseload data'!M:M,'caseload data'!$D:$D,"PO",'caseload data'!$C:$C,'divisional &amp; regional caseload'!$T$36)</f>
        <v>0</v>
      </c>
      <c r="AD38" s="104">
        <f>SUMIFS('caseload data'!N:N,'caseload data'!$D:$D,"PO",'caseload data'!$C:$C,'divisional &amp; regional caseload'!$T$36)</f>
        <v>0</v>
      </c>
      <c r="AE38" s="104">
        <f>SUMIFS('caseload data'!O:O,'caseload data'!$D:$D,"PO",'caseload data'!$C:$C,'divisional &amp; regional caseload'!$T$36)</f>
        <v>0</v>
      </c>
      <c r="AF38" s="104">
        <f>SUMIFS('caseload data'!P:P,'caseload data'!$D:$D,"PO",'caseload data'!$C:$C,'divisional &amp; regional caseload'!$T$36)</f>
        <v>0</v>
      </c>
      <c r="AG38" s="104">
        <f>SUMIFS('caseload data'!Q:Q,'caseload data'!$D:$D,"PO",'caseload data'!$C:$C,'divisional &amp; regional caseload'!$T$36)</f>
        <v>0</v>
      </c>
      <c r="AH38" s="104">
        <f>SUMIFS('caseload data'!R:R,'caseload data'!$D:$D,"PO",'caseload data'!$C:$C,'divisional &amp; regional caseload'!$T$36)</f>
        <v>0</v>
      </c>
      <c r="AI38" s="104">
        <f>SUMIFS('caseload data'!S:S,'caseload data'!$D:$D,"PO",'caseload data'!$C:$C,'divisional &amp; regional caseload'!$T$36)</f>
        <v>0</v>
      </c>
      <c r="AJ38" s="104">
        <f>SUMIFS('caseload data'!T:T,'caseload data'!$D:$D,"PO",'caseload data'!$C:$C,'divisional &amp; regional caseload'!$T$36)</f>
        <v>0</v>
      </c>
    </row>
    <row r="39" spans="2:36" x14ac:dyDescent="0.15">
      <c r="B39" s="107" t="s">
        <v>912</v>
      </c>
      <c r="C39" s="104">
        <f>SUMIFS('caseload data'!E:E,'caseload data'!$D:$D,"PSO",'caseload data'!$C:$C,'divisional &amp; regional caseload'!$B$36)</f>
        <v>0</v>
      </c>
      <c r="D39" s="104">
        <f>SUMIFS('caseload data'!F:F,'caseload data'!$D:$D,"PSO",'caseload data'!$C:$C,'divisional &amp; regional caseload'!$B$36)</f>
        <v>0</v>
      </c>
      <c r="E39" s="104">
        <f>SUMIFS('caseload data'!G:G,'caseload data'!$D:$D,"PSO",'caseload data'!$C:$C,'divisional &amp; regional caseload'!$B$36)</f>
        <v>0</v>
      </c>
      <c r="F39" s="104">
        <f>SUMIFS('caseload data'!H:H,'caseload data'!$D:$D,"PSO",'caseload data'!$C:$C,'divisional &amp; regional caseload'!$B$36)</f>
        <v>0</v>
      </c>
      <c r="G39" s="104">
        <f>SUMIFS('caseload data'!I:I,'caseload data'!$D:$D,"PSO",'caseload data'!$C:$C,'divisional &amp; regional caseload'!$B$36)</f>
        <v>0</v>
      </c>
      <c r="H39" s="104">
        <f>SUMIFS('caseload data'!J:J,'caseload data'!$D:$D,"PSO",'caseload data'!$C:$C,'divisional &amp; regional caseload'!$B$36)</f>
        <v>0</v>
      </c>
      <c r="I39" s="104">
        <f>SUMIFS('caseload data'!K:K,'caseload data'!$D:$D,"PSO",'caseload data'!$C:$C,'divisional &amp; regional caseload'!$B$36)</f>
        <v>0</v>
      </c>
      <c r="J39" s="104">
        <f>SUMIFS('caseload data'!L:L,'caseload data'!$D:$D,"PSO",'caseload data'!$C:$C,'divisional &amp; regional caseload'!$B$36)</f>
        <v>0</v>
      </c>
      <c r="K39" s="104">
        <f>SUMIFS('caseload data'!M:M,'caseload data'!$D:$D,"PSO",'caseload data'!$C:$C,'divisional &amp; regional caseload'!$B$36)</f>
        <v>0</v>
      </c>
      <c r="L39" s="104">
        <f>SUMIFS('caseload data'!N:N,'caseload data'!$D:$D,"PSO",'caseload data'!$C:$C,'divisional &amp; regional caseload'!$B$36)</f>
        <v>0</v>
      </c>
      <c r="M39" s="104">
        <f>SUMIFS('caseload data'!O:O,'caseload data'!$D:$D,"PSO",'caseload data'!$C:$C,'divisional &amp; regional caseload'!$B$36)</f>
        <v>0</v>
      </c>
      <c r="N39" s="104">
        <f>SUMIFS('caseload data'!P:P,'caseload data'!$D:$D,"PSO",'caseload data'!$C:$C,'divisional &amp; regional caseload'!$B$36)</f>
        <v>0</v>
      </c>
      <c r="O39" s="104">
        <f>SUMIFS('caseload data'!Q:Q,'caseload data'!$D:$D,"PSO",'caseload data'!$C:$C,'divisional &amp; regional caseload'!$B$36)</f>
        <v>0</v>
      </c>
      <c r="P39" s="104">
        <f>SUMIFS('caseload data'!R:R,'caseload data'!$D:$D,"PSO",'caseload data'!$C:$C,'divisional &amp; regional caseload'!$B$36)</f>
        <v>0</v>
      </c>
      <c r="Q39" s="104">
        <f>SUMIFS('caseload data'!S:S,'caseload data'!$D:$D,"PSO",'caseload data'!$C:$C,'divisional &amp; regional caseload'!$B$36)</f>
        <v>0</v>
      </c>
      <c r="R39" s="104">
        <f>SUMIFS('caseload data'!T:T,'caseload data'!$D:$D,"PSO",'caseload data'!$C:$C,'divisional &amp; regional caseload'!$B$36)</f>
        <v>0</v>
      </c>
      <c r="S39" s="101"/>
      <c r="T39" s="107" t="s">
        <v>912</v>
      </c>
      <c r="U39" s="104">
        <f>SUMIFS('caseload data'!E:E,'caseload data'!$D:$D,"PSO",'caseload data'!$C:$C,'divisional &amp; regional caseload'!$T$36)</f>
        <v>0</v>
      </c>
      <c r="V39" s="104">
        <f>SUMIFS('caseload data'!F:F,'caseload data'!$D:$D,"PSO",'caseload data'!$C:$C,'divisional &amp; regional caseload'!$T$36)</f>
        <v>0</v>
      </c>
      <c r="W39" s="104">
        <f>SUMIFS('caseload data'!G:G,'caseload data'!$D:$D,"PSO",'caseload data'!$C:$C,'divisional &amp; regional caseload'!$T$36)</f>
        <v>0</v>
      </c>
      <c r="X39" s="104">
        <f>SUMIFS('caseload data'!H:H,'caseload data'!$D:$D,"PSO",'caseload data'!$C:$C,'divisional &amp; regional caseload'!$T$36)</f>
        <v>0</v>
      </c>
      <c r="Y39" s="104">
        <f>SUMIFS('caseload data'!I:I,'caseload data'!$D:$D,"PSO",'caseload data'!$C:$C,'divisional &amp; regional caseload'!$T$36)</f>
        <v>0</v>
      </c>
      <c r="Z39" s="104">
        <f>SUMIFS('caseload data'!J:J,'caseload data'!$D:$D,"PSO",'caseload data'!$C:$C,'divisional &amp; regional caseload'!$T$36)</f>
        <v>0</v>
      </c>
      <c r="AA39" s="104">
        <f>SUMIFS('caseload data'!K:K,'caseload data'!$D:$D,"PSO",'caseload data'!$C:$C,'divisional &amp; regional caseload'!$T$36)</f>
        <v>0</v>
      </c>
      <c r="AB39" s="104">
        <f>SUMIFS('caseload data'!L:L,'caseload data'!$D:$D,"PSO",'caseload data'!$C:$C,'divisional &amp; regional caseload'!$T$36)</f>
        <v>0</v>
      </c>
      <c r="AC39" s="104">
        <f>SUMIFS('caseload data'!M:M,'caseload data'!$D:$D,"PSO",'caseload data'!$C:$C,'divisional &amp; regional caseload'!$T$36)</f>
        <v>0</v>
      </c>
      <c r="AD39" s="104">
        <f>SUMIFS('caseload data'!N:N,'caseload data'!$D:$D,"PSO",'caseload data'!$C:$C,'divisional &amp; regional caseload'!$T$36)</f>
        <v>0</v>
      </c>
      <c r="AE39" s="104">
        <f>SUMIFS('caseload data'!O:O,'caseload data'!$D:$D,"PSO",'caseload data'!$C:$C,'divisional &amp; regional caseload'!$T$36)</f>
        <v>0</v>
      </c>
      <c r="AF39" s="104">
        <f>SUMIFS('caseload data'!P:P,'caseload data'!$D:$D,"PSO",'caseload data'!$C:$C,'divisional &amp; regional caseload'!$T$36)</f>
        <v>0</v>
      </c>
      <c r="AG39" s="104">
        <f>SUMIFS('caseload data'!Q:Q,'caseload data'!$D:$D,"PSO",'caseload data'!$C:$C,'divisional &amp; regional caseload'!$T$36)</f>
        <v>0</v>
      </c>
      <c r="AH39" s="104">
        <f>SUMIFS('caseload data'!R:R,'caseload data'!$D:$D,"PSO",'caseload data'!$C:$C,'divisional &amp; regional caseload'!$T$36)</f>
        <v>0</v>
      </c>
      <c r="AI39" s="104">
        <f>SUMIFS('caseload data'!S:S,'caseload data'!$D:$D,"PSO",'caseload data'!$C:$C,'divisional &amp; regional caseload'!$T$36)</f>
        <v>0</v>
      </c>
      <c r="AJ39" s="104">
        <f>SUMIFS('caseload data'!T:T,'caseload data'!$D:$D,"PSO",'caseload data'!$C:$C,'divisional &amp; regional caseload'!$T$36)</f>
        <v>0</v>
      </c>
    </row>
    <row r="40" spans="2:36" x14ac:dyDescent="0.15">
      <c r="B40" s="107" t="s">
        <v>913</v>
      </c>
      <c r="C40" s="104">
        <f>SUMIFS('caseload data'!E:E,'caseload data'!$D:$D,"TPO",'caseload data'!$C:$C,'divisional &amp; regional caseload'!$B$36)</f>
        <v>0</v>
      </c>
      <c r="D40" s="104">
        <f>SUMIFS('caseload data'!F:F,'caseload data'!$D:$D,"TPO",'caseload data'!$C:$C,'divisional &amp; regional caseload'!$B$36)</f>
        <v>0</v>
      </c>
      <c r="E40" s="104">
        <f>SUMIFS('caseload data'!G:G,'caseload data'!$D:$D,"TPO",'caseload data'!$C:$C,'divisional &amp; regional caseload'!$B$36)</f>
        <v>0</v>
      </c>
      <c r="F40" s="104">
        <f>SUMIFS('caseload data'!H:H,'caseload data'!$D:$D,"TPO",'caseload data'!$C:$C,'divisional &amp; regional caseload'!$B$36)</f>
        <v>0</v>
      </c>
      <c r="G40" s="104">
        <f>SUMIFS('caseload data'!I:I,'caseload data'!$D:$D,"TPO",'caseload data'!$C:$C,'divisional &amp; regional caseload'!$B$36)</f>
        <v>0</v>
      </c>
      <c r="H40" s="104">
        <f>SUMIFS('caseload data'!J:J,'caseload data'!$D:$D,"TPO",'caseload data'!$C:$C,'divisional &amp; regional caseload'!$B$36)</f>
        <v>0</v>
      </c>
      <c r="I40" s="104">
        <f>SUMIFS('caseload data'!K:K,'caseload data'!$D:$D,"TPO",'caseload data'!$C:$C,'divisional &amp; regional caseload'!$B$36)</f>
        <v>0</v>
      </c>
      <c r="J40" s="104">
        <f>SUMIFS('caseload data'!L:L,'caseload data'!$D:$D,"TPO",'caseload data'!$C:$C,'divisional &amp; regional caseload'!$B$36)</f>
        <v>0</v>
      </c>
      <c r="K40" s="104">
        <f>SUMIFS('caseload data'!M:M,'caseload data'!$D:$D,"TPO",'caseload data'!$C:$C,'divisional &amp; regional caseload'!$B$36)</f>
        <v>0</v>
      </c>
      <c r="L40" s="104">
        <f>SUMIFS('caseload data'!N:N,'caseload data'!$D:$D,"TPO",'caseload data'!$C:$C,'divisional &amp; regional caseload'!$B$36)</f>
        <v>0</v>
      </c>
      <c r="M40" s="104">
        <f>SUMIFS('caseload data'!O:O,'caseload data'!$D:$D,"TPO",'caseload data'!$C:$C,'divisional &amp; regional caseload'!$B$36)</f>
        <v>0</v>
      </c>
      <c r="N40" s="104">
        <f>SUMIFS('caseload data'!P:P,'caseload data'!$D:$D,"TPO",'caseload data'!$C:$C,'divisional &amp; regional caseload'!$B$36)</f>
        <v>0</v>
      </c>
      <c r="O40" s="104">
        <f>SUMIFS('caseload data'!Q:Q,'caseload data'!$D:$D,"TPO",'caseload data'!$C:$C,'divisional &amp; regional caseload'!$B$36)</f>
        <v>0</v>
      </c>
      <c r="P40" s="104">
        <f>SUMIFS('caseload data'!R:R,'caseload data'!$D:$D,"TPO",'caseload data'!$C:$C,'divisional &amp; regional caseload'!$B$36)</f>
        <v>0</v>
      </c>
      <c r="Q40" s="104">
        <f>SUMIFS('caseload data'!S:S,'caseload data'!$D:$D,"TPO",'caseload data'!$C:$C,'divisional &amp; regional caseload'!$B$36)</f>
        <v>0</v>
      </c>
      <c r="R40" s="104">
        <f>SUMIFS('caseload data'!T:T,'caseload data'!$D:$D,"TPO",'caseload data'!$C:$C,'divisional &amp; regional caseload'!$B$36)</f>
        <v>0</v>
      </c>
      <c r="S40" s="101"/>
      <c r="T40" s="107" t="s">
        <v>913</v>
      </c>
      <c r="U40" s="104">
        <f>SUMIFS('caseload data'!E:E,'caseload data'!$D:$D,"TPO",'caseload data'!$C:$C,'divisional &amp; regional caseload'!$T$36)</f>
        <v>0</v>
      </c>
      <c r="V40" s="104">
        <f>SUMIFS('caseload data'!F:F,'caseload data'!$D:$D,"TPO",'caseload data'!$C:$C,'divisional &amp; regional caseload'!$T$36)</f>
        <v>0</v>
      </c>
      <c r="W40" s="104">
        <f>SUMIFS('caseload data'!G:G,'caseload data'!$D:$D,"TPO",'caseload data'!$C:$C,'divisional &amp; regional caseload'!$T$36)</f>
        <v>0</v>
      </c>
      <c r="X40" s="104">
        <f>SUMIFS('caseload data'!H:H,'caseload data'!$D:$D,"TPO",'caseload data'!$C:$C,'divisional &amp; regional caseload'!$T$36)</f>
        <v>0</v>
      </c>
      <c r="Y40" s="104">
        <f>SUMIFS('caseload data'!I:I,'caseload data'!$D:$D,"TPO",'caseload data'!$C:$C,'divisional &amp; regional caseload'!$T$36)</f>
        <v>0</v>
      </c>
      <c r="Z40" s="104">
        <f>SUMIFS('caseload data'!J:J,'caseload data'!$D:$D,"TPO",'caseload data'!$C:$C,'divisional &amp; regional caseload'!$T$36)</f>
        <v>0</v>
      </c>
      <c r="AA40" s="104">
        <f>SUMIFS('caseload data'!K:K,'caseload data'!$D:$D,"TPO",'caseload data'!$C:$C,'divisional &amp; regional caseload'!$T$36)</f>
        <v>0</v>
      </c>
      <c r="AB40" s="104">
        <f>SUMIFS('caseload data'!L:L,'caseload data'!$D:$D,"TPO",'caseload data'!$C:$C,'divisional &amp; regional caseload'!$T$36)</f>
        <v>0</v>
      </c>
      <c r="AC40" s="104">
        <f>SUMIFS('caseload data'!M:M,'caseload data'!$D:$D,"TPO",'caseload data'!$C:$C,'divisional &amp; regional caseload'!$T$36)</f>
        <v>0</v>
      </c>
      <c r="AD40" s="104">
        <f>SUMIFS('caseload data'!N:N,'caseload data'!$D:$D,"TPO",'caseload data'!$C:$C,'divisional &amp; regional caseload'!$T$36)</f>
        <v>0</v>
      </c>
      <c r="AE40" s="104">
        <f>SUMIFS('caseload data'!O:O,'caseload data'!$D:$D,"TPO",'caseload data'!$C:$C,'divisional &amp; regional caseload'!$T$36)</f>
        <v>0</v>
      </c>
      <c r="AF40" s="104">
        <f>SUMIFS('caseload data'!P:P,'caseload data'!$D:$D,"TPO",'caseload data'!$C:$C,'divisional &amp; regional caseload'!$T$36)</f>
        <v>0</v>
      </c>
      <c r="AG40" s="104">
        <f>SUMIFS('caseload data'!Q:Q,'caseload data'!$D:$D,"TPO",'caseload data'!$C:$C,'divisional &amp; regional caseload'!$T$36)</f>
        <v>0</v>
      </c>
      <c r="AH40" s="104">
        <f>SUMIFS('caseload data'!R:R,'caseload data'!$D:$D,"TPO",'caseload data'!$C:$C,'divisional &amp; regional caseload'!$T$36)</f>
        <v>0</v>
      </c>
      <c r="AI40" s="104">
        <f>SUMIFS('caseload data'!S:S,'caseload data'!$D:$D,"TPO",'caseload data'!$C:$C,'divisional &amp; regional caseload'!$T$36)</f>
        <v>0</v>
      </c>
      <c r="AJ40" s="104">
        <f>SUMIFS('caseload data'!T:T,'caseload data'!$D:$D,"TPO",'caseload data'!$C:$C,'divisional &amp; regional caseload'!$T$36)</f>
        <v>0</v>
      </c>
    </row>
    <row r="41" spans="2:36" x14ac:dyDescent="0.15">
      <c r="B41" s="108" t="s">
        <v>914</v>
      </c>
      <c r="C41" s="104">
        <f>SUMIFS('caseload data'!E:E,'caseload data'!$D:$D,"SPO",'caseload data'!$C:$C,'divisional &amp; regional caseload'!$B$36)</f>
        <v>0</v>
      </c>
      <c r="D41" s="104">
        <f>SUMIFS('caseload data'!F:F,'caseload data'!$D:$D,"SPO",'caseload data'!$C:$C,'divisional &amp; regional caseload'!$B$36)</f>
        <v>0</v>
      </c>
      <c r="E41" s="104">
        <f>SUMIFS('caseload data'!G:G,'caseload data'!$D:$D,"SPO",'caseload data'!$C:$C,'divisional &amp; regional caseload'!$B$36)</f>
        <v>0</v>
      </c>
      <c r="F41" s="104">
        <f>SUMIFS('caseload data'!H:H,'caseload data'!$D:$D,"SPO",'caseload data'!$C:$C,'divisional &amp; regional caseload'!$B$36)</f>
        <v>0</v>
      </c>
      <c r="G41" s="104">
        <f>SUMIFS('caseload data'!I:I,'caseload data'!$D:$D,"SPO",'caseload data'!$C:$C,'divisional &amp; regional caseload'!$B$36)</f>
        <v>0</v>
      </c>
      <c r="H41" s="104">
        <f>SUMIFS('caseload data'!J:J,'caseload data'!$D:$D,"SPO",'caseload data'!$C:$C,'divisional &amp; regional caseload'!$B$36)</f>
        <v>0</v>
      </c>
      <c r="I41" s="104">
        <f>SUMIFS('caseload data'!K:K,'caseload data'!$D:$D,"SPO",'caseload data'!$C:$C,'divisional &amp; regional caseload'!$B$36)</f>
        <v>0</v>
      </c>
      <c r="J41" s="104">
        <f>SUMIFS('caseload data'!L:L,'caseload data'!$D:$D,"SPO",'caseload data'!$C:$C,'divisional &amp; regional caseload'!$B$36)</f>
        <v>0</v>
      </c>
      <c r="K41" s="104">
        <f>SUMIFS('caseload data'!M:M,'caseload data'!$D:$D,"SPO",'caseload data'!$C:$C,'divisional &amp; regional caseload'!$B$36)</f>
        <v>0</v>
      </c>
      <c r="L41" s="104">
        <f>SUMIFS('caseload data'!N:N,'caseload data'!$D:$D,"SPO",'caseload data'!$C:$C,'divisional &amp; regional caseload'!$B$36)</f>
        <v>0</v>
      </c>
      <c r="M41" s="104">
        <f>SUMIFS('caseload data'!O:O,'caseload data'!$D:$D,"SPO",'caseload data'!$C:$C,'divisional &amp; regional caseload'!$B$36)</f>
        <v>0</v>
      </c>
      <c r="N41" s="104">
        <f>SUMIFS('caseload data'!P:P,'caseload data'!$D:$D,"SPO",'caseload data'!$C:$C,'divisional &amp; regional caseload'!$B$36)</f>
        <v>0</v>
      </c>
      <c r="O41" s="104">
        <f>SUMIFS('caseload data'!Q:Q,'caseload data'!$D:$D,"SPO",'caseload data'!$C:$C,'divisional &amp; regional caseload'!$B$36)</f>
        <v>0</v>
      </c>
      <c r="P41" s="104">
        <f>SUMIFS('caseload data'!R:R,'caseload data'!$D:$D,"SPO",'caseload data'!$C:$C,'divisional &amp; regional caseload'!$B$36)</f>
        <v>0</v>
      </c>
      <c r="Q41" s="104">
        <f>SUMIFS('caseload data'!S:S,'caseload data'!$D:$D,"SPO",'caseload data'!$C:$C,'divisional &amp; regional caseload'!$B$36)</f>
        <v>0</v>
      </c>
      <c r="R41" s="104">
        <f>SUMIFS('caseload data'!T:T,'caseload data'!$D:$D,"SPO",'caseload data'!$C:$C,'divisional &amp; regional caseload'!$B$36)</f>
        <v>0</v>
      </c>
      <c r="S41" s="101"/>
      <c r="T41" s="108" t="s">
        <v>914</v>
      </c>
      <c r="U41" s="104">
        <f>SUMIFS('caseload data'!E:E,'caseload data'!$D:$D,"SPO",'caseload data'!$C:$C,'divisional &amp; regional caseload'!$T$36)</f>
        <v>0</v>
      </c>
      <c r="V41" s="104">
        <f>SUMIFS('caseload data'!F:F,'caseload data'!$D:$D,"SPO",'caseload data'!$C:$C,'divisional &amp; regional caseload'!$T$36)</f>
        <v>0</v>
      </c>
      <c r="W41" s="104">
        <f>SUMIFS('caseload data'!G:G,'caseload data'!$D:$D,"SPO",'caseload data'!$C:$C,'divisional &amp; regional caseload'!$T$36)</f>
        <v>0</v>
      </c>
      <c r="X41" s="104">
        <f>SUMIFS('caseload data'!H:H,'caseload data'!$D:$D,"SPO",'caseload data'!$C:$C,'divisional &amp; regional caseload'!$T$36)</f>
        <v>0</v>
      </c>
      <c r="Y41" s="104">
        <f>SUMIFS('caseload data'!I:I,'caseload data'!$D:$D,"SPO",'caseload data'!$C:$C,'divisional &amp; regional caseload'!$T$36)</f>
        <v>0</v>
      </c>
      <c r="Z41" s="104">
        <f>SUMIFS('caseload data'!J:J,'caseload data'!$D:$D,"SPO",'caseload data'!$C:$C,'divisional &amp; regional caseload'!$T$36)</f>
        <v>0</v>
      </c>
      <c r="AA41" s="104">
        <f>SUMIFS('caseload data'!K:K,'caseload data'!$D:$D,"SPO",'caseload data'!$C:$C,'divisional &amp; regional caseload'!$T$36)</f>
        <v>0</v>
      </c>
      <c r="AB41" s="104">
        <f>SUMIFS('caseload data'!L:L,'caseload data'!$D:$D,"SPO",'caseload data'!$C:$C,'divisional &amp; regional caseload'!$T$36)</f>
        <v>0</v>
      </c>
      <c r="AC41" s="104">
        <f>SUMIFS('caseload data'!M:M,'caseload data'!$D:$D,"SPO",'caseload data'!$C:$C,'divisional &amp; regional caseload'!$T$36)</f>
        <v>0</v>
      </c>
      <c r="AD41" s="104">
        <f>SUMIFS('caseload data'!N:N,'caseload data'!$D:$D,"SPO",'caseload data'!$C:$C,'divisional &amp; regional caseload'!$T$36)</f>
        <v>0</v>
      </c>
      <c r="AE41" s="104">
        <f>SUMIFS('caseload data'!O:O,'caseload data'!$D:$D,"SPO",'caseload data'!$C:$C,'divisional &amp; regional caseload'!$T$36)</f>
        <v>0</v>
      </c>
      <c r="AF41" s="104">
        <f>SUMIFS('caseload data'!P:P,'caseload data'!$D:$D,"SPO",'caseload data'!$C:$C,'divisional &amp; regional caseload'!$T$36)</f>
        <v>0</v>
      </c>
      <c r="AG41" s="104">
        <f>SUMIFS('caseload data'!Q:Q,'caseload data'!$D:$D,"SPO",'caseload data'!$C:$C,'divisional &amp; regional caseload'!$T$36)</f>
        <v>0</v>
      </c>
      <c r="AH41" s="104">
        <f>SUMIFS('caseload data'!R:R,'caseload data'!$D:$D,"SPO",'caseload data'!$C:$C,'divisional &amp; regional caseload'!$T$36)</f>
        <v>0</v>
      </c>
      <c r="AI41" s="104">
        <f>SUMIFS('caseload data'!S:S,'caseload data'!$D:$D,"SPO",'caseload data'!$C:$C,'divisional &amp; regional caseload'!$T$36)</f>
        <v>0</v>
      </c>
      <c r="AJ41" s="104">
        <f>SUMIFS('caseload data'!T:T,'caseload data'!$D:$D,"SPO",'caseload data'!$C:$C,'divisional &amp; regional caseload'!$T$36)</f>
        <v>0</v>
      </c>
    </row>
    <row r="42" spans="2:36" x14ac:dyDescent="0.15">
      <c r="B42" s="101"/>
      <c r="C42" s="101"/>
      <c r="D42" s="101"/>
      <c r="E42" s="101"/>
      <c r="F42" s="101"/>
      <c r="G42" s="101"/>
      <c r="H42" s="101"/>
      <c r="I42" s="101"/>
      <c r="J42" s="101"/>
      <c r="K42" s="101"/>
      <c r="L42" s="101"/>
      <c r="M42" s="101"/>
      <c r="N42" s="101"/>
      <c r="O42" s="101"/>
      <c r="P42" s="101"/>
      <c r="Q42" s="101"/>
      <c r="R42" s="101"/>
      <c r="S42" s="101"/>
      <c r="T42" s="101"/>
      <c r="U42" s="101"/>
      <c r="V42" s="101"/>
      <c r="W42" s="101"/>
      <c r="X42" s="101"/>
      <c r="Y42" s="101"/>
      <c r="Z42" s="101"/>
      <c r="AA42" s="101"/>
    </row>
    <row r="43" spans="2:36" ht="29.25" customHeight="1" x14ac:dyDescent="0.15">
      <c r="B43" s="156" t="str">
        <f>HLOOKUP($B$5,Region_Table,12,0)</f>
        <v>Hammersmith, Fulham, Kensington, Chelsea and Westminster</v>
      </c>
      <c r="C43" s="367" t="s">
        <v>1132</v>
      </c>
      <c r="D43" s="368"/>
      <c r="E43" s="368"/>
      <c r="F43" s="368"/>
      <c r="G43" s="368"/>
      <c r="H43" s="368"/>
      <c r="I43" s="368"/>
      <c r="J43" s="368"/>
      <c r="K43" s="368"/>
      <c r="L43" s="368"/>
      <c r="M43" s="369"/>
      <c r="N43" s="369"/>
      <c r="O43" s="370"/>
      <c r="P43" s="371">
        <f>SUMIF('caseload data'!$C:$C,'divisional &amp; regional caseload'!B43,'caseload data'!V:V)</f>
        <v>0</v>
      </c>
      <c r="Q43" s="372"/>
      <c r="R43" s="373"/>
      <c r="S43" s="101"/>
      <c r="T43" s="156" t="str">
        <f>HLOOKUP($B$5,Region_Table,13,0)</f>
        <v>Harrow and Barnet</v>
      </c>
      <c r="U43" s="367" t="s">
        <v>1130</v>
      </c>
      <c r="V43" s="369"/>
      <c r="W43" s="369"/>
      <c r="X43" s="370"/>
      <c r="Y43" s="371">
        <f>SUMIF('caseload data'!$C:$C,'divisional &amp; regional caseload'!T43,'caseload data'!V:V)</f>
        <v>0</v>
      </c>
      <c r="Z43" s="372"/>
      <c r="AA43" s="373"/>
    </row>
    <row r="44" spans="2:36" x14ac:dyDescent="0.15">
      <c r="B44" s="105" t="s">
        <v>1065</v>
      </c>
      <c r="C44" s="41" t="s">
        <v>922</v>
      </c>
      <c r="D44" s="41" t="s">
        <v>923</v>
      </c>
      <c r="E44" s="41" t="s">
        <v>924</v>
      </c>
      <c r="F44" s="41" t="s">
        <v>925</v>
      </c>
      <c r="G44" s="41" t="s">
        <v>926</v>
      </c>
      <c r="H44" s="41" t="s">
        <v>927</v>
      </c>
      <c r="I44" s="41" t="s">
        <v>928</v>
      </c>
      <c r="J44" s="41" t="s">
        <v>929</v>
      </c>
      <c r="K44" s="41" t="s">
        <v>930</v>
      </c>
      <c r="L44" s="41" t="s">
        <v>931</v>
      </c>
      <c r="M44" s="41" t="s">
        <v>932</v>
      </c>
      <c r="N44" s="41" t="s">
        <v>933</v>
      </c>
      <c r="O44" s="41" t="s">
        <v>934</v>
      </c>
      <c r="P44" s="41" t="s">
        <v>935</v>
      </c>
      <c r="Q44" s="41" t="s">
        <v>936</v>
      </c>
      <c r="R44" s="41" t="s">
        <v>937</v>
      </c>
      <c r="S44" s="101"/>
      <c r="T44" s="105" t="s">
        <v>1065</v>
      </c>
      <c r="U44" s="41" t="s">
        <v>922</v>
      </c>
      <c r="V44" s="41" t="s">
        <v>923</v>
      </c>
      <c r="W44" s="41" t="s">
        <v>924</v>
      </c>
      <c r="X44" s="41" t="s">
        <v>925</v>
      </c>
      <c r="Y44" s="41" t="s">
        <v>926</v>
      </c>
      <c r="Z44" s="41" t="s">
        <v>927</v>
      </c>
      <c r="AA44" s="41" t="s">
        <v>928</v>
      </c>
      <c r="AB44" s="41" t="s">
        <v>929</v>
      </c>
      <c r="AC44" s="41" t="s">
        <v>930</v>
      </c>
      <c r="AD44" s="41" t="s">
        <v>931</v>
      </c>
      <c r="AE44" s="41" t="s">
        <v>932</v>
      </c>
      <c r="AF44" s="41" t="s">
        <v>933</v>
      </c>
      <c r="AG44" s="41" t="s">
        <v>934</v>
      </c>
      <c r="AH44" s="41" t="s">
        <v>935</v>
      </c>
      <c r="AI44" s="41" t="s">
        <v>936</v>
      </c>
      <c r="AJ44" s="41" t="s">
        <v>937</v>
      </c>
    </row>
    <row r="45" spans="2:36" x14ac:dyDescent="0.15">
      <c r="B45" s="106" t="s">
        <v>911</v>
      </c>
      <c r="C45" s="104">
        <f>SUMIFS('caseload data'!E:E,'caseload data'!$D:$D,"PO",'caseload data'!$C:$C,'divisional &amp; regional caseload'!$B$43)</f>
        <v>0</v>
      </c>
      <c r="D45" s="104">
        <f>SUMIFS('caseload data'!F:F,'caseload data'!$D:$D,"PO",'caseload data'!$C:$C,'divisional &amp; regional caseload'!$B$43)</f>
        <v>0</v>
      </c>
      <c r="E45" s="104">
        <f>SUMIFS('caseload data'!G:G,'caseload data'!$D:$D,"PO",'caseload data'!$C:$C,'divisional &amp; regional caseload'!$B$43)</f>
        <v>0</v>
      </c>
      <c r="F45" s="104">
        <f>SUMIFS('caseload data'!H:H,'caseload data'!$D:$D,"PO",'caseload data'!$C:$C,'divisional &amp; regional caseload'!$B$43)</f>
        <v>0</v>
      </c>
      <c r="G45" s="104">
        <f>SUMIFS('caseload data'!I:I,'caseload data'!$D:$D,"PO",'caseload data'!$C:$C,'divisional &amp; regional caseload'!$B$43)</f>
        <v>0</v>
      </c>
      <c r="H45" s="104">
        <f>SUMIFS('caseload data'!J:J,'caseload data'!$D:$D,"PO",'caseload data'!$C:$C,'divisional &amp; regional caseload'!$B$43)</f>
        <v>0</v>
      </c>
      <c r="I45" s="104">
        <f>SUMIFS('caseload data'!K:K,'caseload data'!$D:$D,"PO",'caseload data'!$C:$C,'divisional &amp; regional caseload'!$B$43)</f>
        <v>0</v>
      </c>
      <c r="J45" s="104">
        <f>SUMIFS('caseload data'!L:L,'caseload data'!$D:$D,"PO",'caseload data'!$C:$C,'divisional &amp; regional caseload'!$B$43)</f>
        <v>0</v>
      </c>
      <c r="K45" s="104">
        <f>SUMIFS('caseload data'!M:M,'caseload data'!$D:$D,"PO",'caseload data'!$C:$C,'divisional &amp; regional caseload'!$B$43)</f>
        <v>0</v>
      </c>
      <c r="L45" s="104">
        <f>SUMIFS('caseload data'!N:N,'caseload data'!$D:$D,"PO",'caseload data'!$C:$C,'divisional &amp; regional caseload'!$B$43)</f>
        <v>0</v>
      </c>
      <c r="M45" s="104">
        <f>SUMIFS('caseload data'!O:O,'caseload data'!$D:$D,"PO",'caseload data'!$C:$C,'divisional &amp; regional caseload'!$B$43)</f>
        <v>0</v>
      </c>
      <c r="N45" s="104">
        <f>SUMIFS('caseload data'!P:P,'caseload data'!$D:$D,"PO",'caseload data'!$C:$C,'divisional &amp; regional caseload'!$B$43)</f>
        <v>0</v>
      </c>
      <c r="O45" s="104">
        <f>SUMIFS('caseload data'!Q:Q,'caseload data'!$D:$D,"PO",'caseload data'!$C:$C,'divisional &amp; regional caseload'!$B$43)</f>
        <v>0</v>
      </c>
      <c r="P45" s="104">
        <f>SUMIFS('caseload data'!R:R,'caseload data'!$D:$D,"PO",'caseload data'!$C:$C,'divisional &amp; regional caseload'!$B$43)</f>
        <v>0</v>
      </c>
      <c r="Q45" s="104">
        <f>SUMIFS('caseload data'!S:S,'caseload data'!$D:$D,"PO",'caseload data'!$C:$C,'divisional &amp; regional caseload'!$B$43)</f>
        <v>0</v>
      </c>
      <c r="R45" s="104">
        <f>SUMIFS('caseload data'!T:T,'caseload data'!$D:$D,"PO",'caseload data'!$C:$C,'divisional &amp; regional caseload'!$B$43)</f>
        <v>0</v>
      </c>
      <c r="S45" s="101"/>
      <c r="T45" s="106" t="s">
        <v>911</v>
      </c>
      <c r="U45" s="104">
        <f>SUMIFS('caseload data'!E:E,'caseload data'!$D:$D,"PO",'caseload data'!$C:$C,'divisional &amp; regional caseload'!$T$43)</f>
        <v>0</v>
      </c>
      <c r="V45" s="104">
        <f>SUMIFS('caseload data'!F:F,'caseload data'!$D:$D,"PO",'caseload data'!$C:$C,'divisional &amp; regional caseload'!$T$43)</f>
        <v>0</v>
      </c>
      <c r="W45" s="104">
        <f>SUMIFS('caseload data'!G:G,'caseload data'!$D:$D,"PO",'caseload data'!$C:$C,'divisional &amp; regional caseload'!$T$43)</f>
        <v>0</v>
      </c>
      <c r="X45" s="104">
        <f>SUMIFS('caseload data'!H:H,'caseload data'!$D:$D,"PO",'caseload data'!$C:$C,'divisional &amp; regional caseload'!$T$43)</f>
        <v>0</v>
      </c>
      <c r="Y45" s="104">
        <f>SUMIFS('caseload data'!I:I,'caseload data'!$D:$D,"PO",'caseload data'!$C:$C,'divisional &amp; regional caseload'!$T$43)</f>
        <v>0</v>
      </c>
      <c r="Z45" s="104">
        <f>SUMIFS('caseload data'!J:J,'caseload data'!$D:$D,"PO",'caseload data'!$C:$C,'divisional &amp; regional caseload'!$T$43)</f>
        <v>0</v>
      </c>
      <c r="AA45" s="104">
        <f>SUMIFS('caseload data'!K:K,'caseload data'!$D:$D,"PO",'caseload data'!$C:$C,'divisional &amp; regional caseload'!$T$43)</f>
        <v>0</v>
      </c>
      <c r="AB45" s="104">
        <f>SUMIFS('caseload data'!L:L,'caseload data'!$D:$D,"PO",'caseload data'!$C:$C,'divisional &amp; regional caseload'!$T$43)</f>
        <v>0</v>
      </c>
      <c r="AC45" s="104">
        <f>SUMIFS('caseload data'!M:M,'caseload data'!$D:$D,"PO",'caseload data'!$C:$C,'divisional &amp; regional caseload'!$T$43)</f>
        <v>0</v>
      </c>
      <c r="AD45" s="104">
        <f>SUMIFS('caseload data'!N:N,'caseload data'!$D:$D,"PO",'caseload data'!$C:$C,'divisional &amp; regional caseload'!$T$43)</f>
        <v>0</v>
      </c>
      <c r="AE45" s="104">
        <f>SUMIFS('caseload data'!O:O,'caseload data'!$D:$D,"PO",'caseload data'!$C:$C,'divisional &amp; regional caseload'!$T$43)</f>
        <v>0</v>
      </c>
      <c r="AF45" s="104">
        <f>SUMIFS('caseload data'!P:P,'caseload data'!$D:$D,"PO",'caseload data'!$C:$C,'divisional &amp; regional caseload'!$T$43)</f>
        <v>0</v>
      </c>
      <c r="AG45" s="104">
        <f>SUMIFS('caseload data'!Q:Q,'caseload data'!$D:$D,"PO",'caseload data'!$C:$C,'divisional &amp; regional caseload'!$T$43)</f>
        <v>0</v>
      </c>
      <c r="AH45" s="104">
        <f>SUMIFS('caseload data'!R:R,'caseload data'!$D:$D,"PO",'caseload data'!$C:$C,'divisional &amp; regional caseload'!$T$43)</f>
        <v>0</v>
      </c>
      <c r="AI45" s="104">
        <f>SUMIFS('caseload data'!S:S,'caseload data'!$D:$D,"PO",'caseload data'!$C:$C,'divisional &amp; regional caseload'!$T$43)</f>
        <v>0</v>
      </c>
      <c r="AJ45" s="104">
        <f>SUMIFS('caseload data'!T:T,'caseload data'!$D:$D,"PO",'caseload data'!$C:$C,'divisional &amp; regional caseload'!$T$43)</f>
        <v>0</v>
      </c>
    </row>
    <row r="46" spans="2:36" x14ac:dyDescent="0.15">
      <c r="B46" s="107" t="s">
        <v>912</v>
      </c>
      <c r="C46" s="104">
        <f>SUMIFS('caseload data'!E:E,'caseload data'!$D:$D,"PSO",'caseload data'!$C:$C,'divisional &amp; regional caseload'!$B$43)</f>
        <v>0</v>
      </c>
      <c r="D46" s="104">
        <f>SUMIFS('caseload data'!F:F,'caseload data'!$D:$D,"PSO",'caseload data'!$C:$C,'divisional &amp; regional caseload'!$B$43)</f>
        <v>0</v>
      </c>
      <c r="E46" s="104">
        <f>SUMIFS('caseload data'!G:G,'caseload data'!$D:$D,"PSO",'caseload data'!$C:$C,'divisional &amp; regional caseload'!$B$43)</f>
        <v>0</v>
      </c>
      <c r="F46" s="104">
        <f>SUMIFS('caseload data'!H:H,'caseload data'!$D:$D,"PSO",'caseload data'!$C:$C,'divisional &amp; regional caseload'!$B$43)</f>
        <v>0</v>
      </c>
      <c r="G46" s="104">
        <f>SUMIFS('caseload data'!I:I,'caseload data'!$D:$D,"PSO",'caseload data'!$C:$C,'divisional &amp; regional caseload'!$B$43)</f>
        <v>0</v>
      </c>
      <c r="H46" s="104">
        <f>SUMIFS('caseload data'!J:J,'caseload data'!$D:$D,"PSO",'caseload data'!$C:$C,'divisional &amp; regional caseload'!$B$43)</f>
        <v>0</v>
      </c>
      <c r="I46" s="104">
        <f>SUMIFS('caseload data'!K:K,'caseload data'!$D:$D,"PSO",'caseload data'!$C:$C,'divisional &amp; regional caseload'!$B$43)</f>
        <v>0</v>
      </c>
      <c r="J46" s="104">
        <f>SUMIFS('caseload data'!L:L,'caseload data'!$D:$D,"PSO",'caseload data'!$C:$C,'divisional &amp; regional caseload'!$B$43)</f>
        <v>0</v>
      </c>
      <c r="K46" s="104">
        <f>SUMIFS('caseload data'!M:M,'caseload data'!$D:$D,"PSO",'caseload data'!$C:$C,'divisional &amp; regional caseload'!$B$43)</f>
        <v>0</v>
      </c>
      <c r="L46" s="104">
        <f>SUMIFS('caseload data'!N:N,'caseload data'!$D:$D,"PSO",'caseload data'!$C:$C,'divisional &amp; regional caseload'!$B$43)</f>
        <v>0</v>
      </c>
      <c r="M46" s="104">
        <f>SUMIFS('caseload data'!O:O,'caseload data'!$D:$D,"PSO",'caseload data'!$C:$C,'divisional &amp; regional caseload'!$B$43)</f>
        <v>0</v>
      </c>
      <c r="N46" s="104">
        <f>SUMIFS('caseload data'!P:P,'caseload data'!$D:$D,"PSO",'caseload data'!$C:$C,'divisional &amp; regional caseload'!$B$43)</f>
        <v>0</v>
      </c>
      <c r="O46" s="104">
        <f>SUMIFS('caseload data'!Q:Q,'caseload data'!$D:$D,"PSO",'caseload data'!$C:$C,'divisional &amp; regional caseload'!$B$43)</f>
        <v>0</v>
      </c>
      <c r="P46" s="104">
        <f>SUMIFS('caseload data'!R:R,'caseload data'!$D:$D,"PSO",'caseload data'!$C:$C,'divisional &amp; regional caseload'!$B$43)</f>
        <v>0</v>
      </c>
      <c r="Q46" s="104">
        <f>SUMIFS('caseload data'!S:S,'caseload data'!$D:$D,"PSO",'caseload data'!$C:$C,'divisional &amp; regional caseload'!$B$43)</f>
        <v>0</v>
      </c>
      <c r="R46" s="104">
        <f>SUMIFS('caseload data'!T:T,'caseload data'!$D:$D,"PSO",'caseload data'!$C:$C,'divisional &amp; regional caseload'!$B$43)</f>
        <v>0</v>
      </c>
      <c r="S46" s="101"/>
      <c r="T46" s="107" t="s">
        <v>912</v>
      </c>
      <c r="U46" s="104">
        <f>SUMIFS('caseload data'!E:E,'caseload data'!$D:$D,"PSO",'caseload data'!$C:$C,'divisional &amp; regional caseload'!$T$43)</f>
        <v>0</v>
      </c>
      <c r="V46" s="104">
        <f>SUMIFS('caseload data'!F:F,'caseload data'!$D:$D,"PSO",'caseload data'!$C:$C,'divisional &amp; regional caseload'!$T$43)</f>
        <v>0</v>
      </c>
      <c r="W46" s="104">
        <f>SUMIFS('caseload data'!G:G,'caseload data'!$D:$D,"PSO",'caseload data'!$C:$C,'divisional &amp; regional caseload'!$T$43)</f>
        <v>0</v>
      </c>
      <c r="X46" s="104">
        <f>SUMIFS('caseload data'!H:H,'caseload data'!$D:$D,"PSO",'caseload data'!$C:$C,'divisional &amp; regional caseload'!$T$43)</f>
        <v>0</v>
      </c>
      <c r="Y46" s="104">
        <f>SUMIFS('caseload data'!I:I,'caseload data'!$D:$D,"PSO",'caseload data'!$C:$C,'divisional &amp; regional caseload'!$T$43)</f>
        <v>0</v>
      </c>
      <c r="Z46" s="104">
        <f>SUMIFS('caseload data'!J:J,'caseload data'!$D:$D,"PSO",'caseload data'!$C:$C,'divisional &amp; regional caseload'!$T$43)</f>
        <v>0</v>
      </c>
      <c r="AA46" s="104">
        <f>SUMIFS('caseload data'!K:K,'caseload data'!$D:$D,"PSO",'caseload data'!$C:$C,'divisional &amp; regional caseload'!$T$43)</f>
        <v>0</v>
      </c>
      <c r="AB46" s="104">
        <f>SUMIFS('caseload data'!L:L,'caseload data'!$D:$D,"PSO",'caseload data'!$C:$C,'divisional &amp; regional caseload'!$T$43)</f>
        <v>0</v>
      </c>
      <c r="AC46" s="104">
        <f>SUMIFS('caseload data'!M:M,'caseload data'!$D:$D,"PSO",'caseload data'!$C:$C,'divisional &amp; regional caseload'!$T$43)</f>
        <v>0</v>
      </c>
      <c r="AD46" s="104">
        <f>SUMIFS('caseload data'!N:N,'caseload data'!$D:$D,"PSO",'caseload data'!$C:$C,'divisional &amp; regional caseload'!$T$43)</f>
        <v>0</v>
      </c>
      <c r="AE46" s="104">
        <f>SUMIFS('caseload data'!O:O,'caseload data'!$D:$D,"PSO",'caseload data'!$C:$C,'divisional &amp; regional caseload'!$T$43)</f>
        <v>0</v>
      </c>
      <c r="AF46" s="104">
        <f>SUMIFS('caseload data'!P:P,'caseload data'!$D:$D,"PSO",'caseload data'!$C:$C,'divisional &amp; regional caseload'!$T$43)</f>
        <v>0</v>
      </c>
      <c r="AG46" s="104">
        <f>SUMIFS('caseload data'!Q:Q,'caseload data'!$D:$D,"PSO",'caseload data'!$C:$C,'divisional &amp; regional caseload'!$T$43)</f>
        <v>0</v>
      </c>
      <c r="AH46" s="104">
        <f>SUMIFS('caseload data'!R:R,'caseload data'!$D:$D,"PSO",'caseload data'!$C:$C,'divisional &amp; regional caseload'!$T$43)</f>
        <v>0</v>
      </c>
      <c r="AI46" s="104">
        <f>SUMIFS('caseload data'!S:S,'caseload data'!$D:$D,"PSO",'caseload data'!$C:$C,'divisional &amp; regional caseload'!$T$43)</f>
        <v>0</v>
      </c>
      <c r="AJ46" s="104">
        <f>SUMIFS('caseload data'!T:T,'caseload data'!$D:$D,"PSO",'caseload data'!$C:$C,'divisional &amp; regional caseload'!$T$43)</f>
        <v>0</v>
      </c>
    </row>
    <row r="47" spans="2:36" x14ac:dyDescent="0.15">
      <c r="B47" s="107" t="s">
        <v>913</v>
      </c>
      <c r="C47" s="104">
        <f>SUMIFS('caseload data'!E:E,'caseload data'!$D:$D,"TPO",'caseload data'!$C:$C,'divisional &amp; regional caseload'!$B$43)</f>
        <v>0</v>
      </c>
      <c r="D47" s="104">
        <f>SUMIFS('caseload data'!F:F,'caseload data'!$D:$D,"TPO",'caseload data'!$C:$C,'divisional &amp; regional caseload'!$B$43)</f>
        <v>0</v>
      </c>
      <c r="E47" s="104">
        <f>SUMIFS('caseload data'!G:G,'caseload data'!$D:$D,"TPO",'caseload data'!$C:$C,'divisional &amp; regional caseload'!$B$43)</f>
        <v>0</v>
      </c>
      <c r="F47" s="104">
        <f>SUMIFS('caseload data'!H:H,'caseload data'!$D:$D,"TPO",'caseload data'!$C:$C,'divisional &amp; regional caseload'!$B$43)</f>
        <v>0</v>
      </c>
      <c r="G47" s="104">
        <f>SUMIFS('caseload data'!I:I,'caseload data'!$D:$D,"TPO",'caseload data'!$C:$C,'divisional &amp; regional caseload'!$B$43)</f>
        <v>0</v>
      </c>
      <c r="H47" s="104">
        <f>SUMIFS('caseload data'!J:J,'caseload data'!$D:$D,"TPO",'caseload data'!$C:$C,'divisional &amp; regional caseload'!$B$43)</f>
        <v>0</v>
      </c>
      <c r="I47" s="104">
        <f>SUMIFS('caseload data'!K:K,'caseload data'!$D:$D,"TPO",'caseload data'!$C:$C,'divisional &amp; regional caseload'!$B$43)</f>
        <v>0</v>
      </c>
      <c r="J47" s="104">
        <f>SUMIFS('caseload data'!L:L,'caseload data'!$D:$D,"TPO",'caseload data'!$C:$C,'divisional &amp; regional caseload'!$B$43)</f>
        <v>0</v>
      </c>
      <c r="K47" s="104">
        <f>SUMIFS('caseload data'!M:M,'caseload data'!$D:$D,"TPO",'caseload data'!$C:$C,'divisional &amp; regional caseload'!$B$43)</f>
        <v>0</v>
      </c>
      <c r="L47" s="104">
        <f>SUMIFS('caseload data'!N:N,'caseload data'!$D:$D,"TPO",'caseload data'!$C:$C,'divisional &amp; regional caseload'!$B$43)</f>
        <v>0</v>
      </c>
      <c r="M47" s="104">
        <f>SUMIFS('caseload data'!O:O,'caseload data'!$D:$D,"TPO",'caseload data'!$C:$C,'divisional &amp; regional caseload'!$B$43)</f>
        <v>0</v>
      </c>
      <c r="N47" s="104">
        <f>SUMIFS('caseload data'!P:P,'caseload data'!$D:$D,"TPO",'caseload data'!$C:$C,'divisional &amp; regional caseload'!$B$43)</f>
        <v>0</v>
      </c>
      <c r="O47" s="104">
        <f>SUMIFS('caseload data'!Q:Q,'caseload data'!$D:$D,"TPO",'caseload data'!$C:$C,'divisional &amp; regional caseload'!$B$43)</f>
        <v>0</v>
      </c>
      <c r="P47" s="104">
        <f>SUMIFS('caseload data'!R:R,'caseload data'!$D:$D,"TPO",'caseload data'!$C:$C,'divisional &amp; regional caseload'!$B$43)</f>
        <v>0</v>
      </c>
      <c r="Q47" s="104">
        <f>SUMIFS('caseload data'!S:S,'caseload data'!$D:$D,"TPO",'caseload data'!$C:$C,'divisional &amp; regional caseload'!$B$43)</f>
        <v>0</v>
      </c>
      <c r="R47" s="104">
        <f>SUMIFS('caseload data'!T:T,'caseload data'!$D:$D,"TPO",'caseload data'!$C:$C,'divisional &amp; regional caseload'!$B$43)</f>
        <v>0</v>
      </c>
      <c r="S47" s="101"/>
      <c r="T47" s="107" t="s">
        <v>913</v>
      </c>
      <c r="U47" s="104">
        <f>SUMIFS('caseload data'!E:E,'caseload data'!$D:$D,"TPO",'caseload data'!$C:$C,'divisional &amp; regional caseload'!$T$43)</f>
        <v>0</v>
      </c>
      <c r="V47" s="104">
        <f>SUMIFS('caseload data'!F:F,'caseload data'!$D:$D,"TPO",'caseload data'!$C:$C,'divisional &amp; regional caseload'!$T$43)</f>
        <v>0</v>
      </c>
      <c r="W47" s="104">
        <f>SUMIFS('caseload data'!G:G,'caseload data'!$D:$D,"TPO",'caseload data'!$C:$C,'divisional &amp; regional caseload'!$T$43)</f>
        <v>0</v>
      </c>
      <c r="X47" s="104">
        <f>SUMIFS('caseload data'!H:H,'caseload data'!$D:$D,"TPO",'caseload data'!$C:$C,'divisional &amp; regional caseload'!$T$43)</f>
        <v>0</v>
      </c>
      <c r="Y47" s="104">
        <f>SUMIFS('caseload data'!I:I,'caseload data'!$D:$D,"TPO",'caseload data'!$C:$C,'divisional &amp; regional caseload'!$T$43)</f>
        <v>0</v>
      </c>
      <c r="Z47" s="104">
        <f>SUMIFS('caseload data'!J:J,'caseload data'!$D:$D,"TPO",'caseload data'!$C:$C,'divisional &amp; regional caseload'!$T$43)</f>
        <v>0</v>
      </c>
      <c r="AA47" s="104">
        <f>SUMIFS('caseload data'!K:K,'caseload data'!$D:$D,"TPO",'caseload data'!$C:$C,'divisional &amp; regional caseload'!$T$43)</f>
        <v>0</v>
      </c>
      <c r="AB47" s="104">
        <f>SUMIFS('caseload data'!L:L,'caseload data'!$D:$D,"TPO",'caseload data'!$C:$C,'divisional &amp; regional caseload'!$T$43)</f>
        <v>0</v>
      </c>
      <c r="AC47" s="104">
        <f>SUMIFS('caseload data'!M:M,'caseload data'!$D:$D,"TPO",'caseload data'!$C:$C,'divisional &amp; regional caseload'!$T$43)</f>
        <v>0</v>
      </c>
      <c r="AD47" s="104">
        <f>SUMIFS('caseload data'!N:N,'caseload data'!$D:$D,"TPO",'caseload data'!$C:$C,'divisional &amp; regional caseload'!$T$43)</f>
        <v>0</v>
      </c>
      <c r="AE47" s="104">
        <f>SUMIFS('caseload data'!O:O,'caseload data'!$D:$D,"TPO",'caseload data'!$C:$C,'divisional &amp; regional caseload'!$T$43)</f>
        <v>0</v>
      </c>
      <c r="AF47" s="104">
        <f>SUMIFS('caseload data'!P:P,'caseload data'!$D:$D,"TPO",'caseload data'!$C:$C,'divisional &amp; regional caseload'!$T$43)</f>
        <v>0</v>
      </c>
      <c r="AG47" s="104">
        <f>SUMIFS('caseload data'!Q:Q,'caseload data'!$D:$D,"TPO",'caseload data'!$C:$C,'divisional &amp; regional caseload'!$T$43)</f>
        <v>0</v>
      </c>
      <c r="AH47" s="104">
        <f>SUMIFS('caseload data'!R:R,'caseload data'!$D:$D,"TPO",'caseload data'!$C:$C,'divisional &amp; regional caseload'!$T$43)</f>
        <v>0</v>
      </c>
      <c r="AI47" s="104">
        <f>SUMIFS('caseload data'!S:S,'caseload data'!$D:$D,"TPO",'caseload data'!$C:$C,'divisional &amp; regional caseload'!$T$43)</f>
        <v>0</v>
      </c>
      <c r="AJ47" s="104">
        <f>SUMIFS('caseload data'!T:T,'caseload data'!$D:$D,"TPO",'caseload data'!$C:$C,'divisional &amp; regional caseload'!$T$43)</f>
        <v>0</v>
      </c>
    </row>
    <row r="48" spans="2:36" x14ac:dyDescent="0.15">
      <c r="B48" s="108" t="s">
        <v>914</v>
      </c>
      <c r="C48" s="104">
        <f>SUMIFS('caseload data'!E:E,'caseload data'!$D:$D,"SPO",'caseload data'!$C:$C,'divisional &amp; regional caseload'!$B$43)</f>
        <v>0</v>
      </c>
      <c r="D48" s="104">
        <f>SUMIFS('caseload data'!F:F,'caseload data'!$D:$D,"SPO",'caseload data'!$C:$C,'divisional &amp; regional caseload'!$B$43)</f>
        <v>0</v>
      </c>
      <c r="E48" s="104">
        <f>SUMIFS('caseload data'!G:G,'caseload data'!$D:$D,"SPO",'caseload data'!$C:$C,'divisional &amp; regional caseload'!$B$43)</f>
        <v>0</v>
      </c>
      <c r="F48" s="104">
        <f>SUMIFS('caseload data'!H:H,'caseload data'!$D:$D,"SPO",'caseload data'!$C:$C,'divisional &amp; regional caseload'!$B$43)</f>
        <v>0</v>
      </c>
      <c r="G48" s="104">
        <f>SUMIFS('caseload data'!I:I,'caseload data'!$D:$D,"SPO",'caseload data'!$C:$C,'divisional &amp; regional caseload'!$B$43)</f>
        <v>0</v>
      </c>
      <c r="H48" s="104">
        <f>SUMIFS('caseload data'!J:J,'caseload data'!$D:$D,"SPO",'caseload data'!$C:$C,'divisional &amp; regional caseload'!$B$43)</f>
        <v>0</v>
      </c>
      <c r="I48" s="104">
        <f>SUMIFS('caseload data'!K:K,'caseload data'!$D:$D,"SPO",'caseload data'!$C:$C,'divisional &amp; regional caseload'!$B$43)</f>
        <v>0</v>
      </c>
      <c r="J48" s="104">
        <f>SUMIFS('caseload data'!L:L,'caseload data'!$D:$D,"SPO",'caseload data'!$C:$C,'divisional &amp; regional caseload'!$B$43)</f>
        <v>0</v>
      </c>
      <c r="K48" s="104">
        <f>SUMIFS('caseload data'!M:M,'caseload data'!$D:$D,"SPO",'caseload data'!$C:$C,'divisional &amp; regional caseload'!$B$43)</f>
        <v>0</v>
      </c>
      <c r="L48" s="104">
        <f>SUMIFS('caseload data'!N:N,'caseload data'!$D:$D,"SPO",'caseload data'!$C:$C,'divisional &amp; regional caseload'!$B$43)</f>
        <v>0</v>
      </c>
      <c r="M48" s="104">
        <f>SUMIFS('caseload data'!O:O,'caseload data'!$D:$D,"SPO",'caseload data'!$C:$C,'divisional &amp; regional caseload'!$B$43)</f>
        <v>0</v>
      </c>
      <c r="N48" s="104">
        <f>SUMIFS('caseload data'!P:P,'caseload data'!$D:$D,"SPO",'caseload data'!$C:$C,'divisional &amp; regional caseload'!$B$43)</f>
        <v>0</v>
      </c>
      <c r="O48" s="104">
        <f>SUMIFS('caseload data'!Q:Q,'caseload data'!$D:$D,"SPO",'caseload data'!$C:$C,'divisional &amp; regional caseload'!$B$43)</f>
        <v>0</v>
      </c>
      <c r="P48" s="104">
        <f>SUMIFS('caseload data'!R:R,'caseload data'!$D:$D,"SPO",'caseload data'!$C:$C,'divisional &amp; regional caseload'!$B$43)</f>
        <v>0</v>
      </c>
      <c r="Q48" s="104">
        <f>SUMIFS('caseload data'!S:S,'caseload data'!$D:$D,"SPO",'caseload data'!$C:$C,'divisional &amp; regional caseload'!$B$43)</f>
        <v>0</v>
      </c>
      <c r="R48" s="104">
        <f>SUMIFS('caseload data'!T:T,'caseload data'!$D:$D,"SPO",'caseload data'!$C:$C,'divisional &amp; regional caseload'!$B$43)</f>
        <v>0</v>
      </c>
      <c r="S48" s="101"/>
      <c r="T48" s="108" t="s">
        <v>914</v>
      </c>
      <c r="U48" s="104">
        <f>SUMIFS('caseload data'!E:E,'caseload data'!$D:$D,"SPO",'caseload data'!$C:$C,'divisional &amp; regional caseload'!$T$43)</f>
        <v>0</v>
      </c>
      <c r="V48" s="104">
        <f>SUMIFS('caseload data'!F:F,'caseload data'!$D:$D,"SPO",'caseload data'!$C:$C,'divisional &amp; regional caseload'!$T$43)</f>
        <v>0</v>
      </c>
      <c r="W48" s="104">
        <f>SUMIFS('caseload data'!G:G,'caseload data'!$D:$D,"SPO",'caseload data'!$C:$C,'divisional &amp; regional caseload'!$T$43)</f>
        <v>0</v>
      </c>
      <c r="X48" s="104">
        <f>SUMIFS('caseload data'!H:H,'caseload data'!$D:$D,"SPO",'caseload data'!$C:$C,'divisional &amp; regional caseload'!$T$43)</f>
        <v>0</v>
      </c>
      <c r="Y48" s="104">
        <f>SUMIFS('caseload data'!I:I,'caseload data'!$D:$D,"SPO",'caseload data'!$C:$C,'divisional &amp; regional caseload'!$T$43)</f>
        <v>0</v>
      </c>
      <c r="Z48" s="104">
        <f>SUMIFS('caseload data'!J:J,'caseload data'!$D:$D,"SPO",'caseload data'!$C:$C,'divisional &amp; regional caseload'!$T$43)</f>
        <v>0</v>
      </c>
      <c r="AA48" s="104">
        <f>SUMIFS('caseload data'!K:K,'caseload data'!$D:$D,"SPO",'caseload data'!$C:$C,'divisional &amp; regional caseload'!$T$43)</f>
        <v>0</v>
      </c>
      <c r="AB48" s="104">
        <f>SUMIFS('caseload data'!L:L,'caseload data'!$D:$D,"SPO",'caseload data'!$C:$C,'divisional &amp; regional caseload'!$T$43)</f>
        <v>0</v>
      </c>
      <c r="AC48" s="104">
        <f>SUMIFS('caseload data'!M:M,'caseload data'!$D:$D,"SPO",'caseload data'!$C:$C,'divisional &amp; regional caseload'!$T$43)</f>
        <v>0</v>
      </c>
      <c r="AD48" s="104">
        <f>SUMIFS('caseload data'!N:N,'caseload data'!$D:$D,"SPO",'caseload data'!$C:$C,'divisional &amp; regional caseload'!$T$43)</f>
        <v>0</v>
      </c>
      <c r="AE48" s="104">
        <f>SUMIFS('caseload data'!O:O,'caseload data'!$D:$D,"SPO",'caseload data'!$C:$C,'divisional &amp; regional caseload'!$T$43)</f>
        <v>0</v>
      </c>
      <c r="AF48" s="104">
        <f>SUMIFS('caseload data'!P:P,'caseload data'!$D:$D,"SPO",'caseload data'!$C:$C,'divisional &amp; regional caseload'!$T$43)</f>
        <v>0</v>
      </c>
      <c r="AG48" s="104">
        <f>SUMIFS('caseload data'!Q:Q,'caseload data'!$D:$D,"SPO",'caseload data'!$C:$C,'divisional &amp; regional caseload'!$T$43)</f>
        <v>0</v>
      </c>
      <c r="AH48" s="104">
        <f>SUMIFS('caseload data'!R:R,'caseload data'!$D:$D,"SPO",'caseload data'!$C:$C,'divisional &amp; regional caseload'!$T$43)</f>
        <v>0</v>
      </c>
      <c r="AI48" s="104">
        <f>SUMIFS('caseload data'!S:S,'caseload data'!$D:$D,"SPO",'caseload data'!$C:$C,'divisional &amp; regional caseload'!$T$43)</f>
        <v>0</v>
      </c>
      <c r="AJ48" s="104">
        <f>SUMIFS('caseload data'!T:T,'caseload data'!$D:$D,"SPO",'caseload data'!$C:$C,'divisional &amp; regional caseload'!$T$43)</f>
        <v>0</v>
      </c>
    </row>
    <row r="49" spans="2:36" x14ac:dyDescent="0.15">
      <c r="B49" s="101"/>
      <c r="C49" s="101"/>
      <c r="D49" s="101"/>
      <c r="E49" s="101"/>
      <c r="F49" s="101"/>
      <c r="G49" s="101"/>
      <c r="H49" s="101"/>
      <c r="I49" s="101"/>
      <c r="J49" s="101"/>
      <c r="K49" s="101"/>
      <c r="L49" s="101"/>
      <c r="M49" s="101"/>
      <c r="N49" s="101"/>
      <c r="O49" s="101"/>
      <c r="P49" s="101"/>
      <c r="Q49" s="101"/>
      <c r="R49" s="101"/>
      <c r="S49" s="101"/>
      <c r="T49" s="101"/>
      <c r="U49" s="101"/>
      <c r="V49" s="101"/>
      <c r="W49" s="101"/>
      <c r="X49" s="101"/>
      <c r="Y49" s="101"/>
      <c r="Z49" s="101"/>
      <c r="AA49" s="101"/>
    </row>
    <row r="50" spans="2:36" ht="30" customHeight="1" x14ac:dyDescent="0.15">
      <c r="B50" s="156" t="str">
        <f>HLOOKUP($B$5,Region_Table,14,0)</f>
        <v>Inactive Level 2(N07)</v>
      </c>
      <c r="C50" s="367" t="s">
        <v>1130</v>
      </c>
      <c r="D50" s="368"/>
      <c r="E50" s="368"/>
      <c r="F50" s="368"/>
      <c r="G50" s="368"/>
      <c r="H50" s="368"/>
      <c r="I50" s="368"/>
      <c r="J50" s="368"/>
      <c r="K50" s="368"/>
      <c r="L50" s="368"/>
      <c r="M50" s="369"/>
      <c r="N50" s="369"/>
      <c r="O50" s="370"/>
      <c r="P50" s="371">
        <f>SUMIF('caseload data'!$C:$C,'divisional &amp; regional caseload'!B50,'caseload data'!V:V)</f>
        <v>0</v>
      </c>
      <c r="Q50" s="372"/>
      <c r="R50" s="373"/>
      <c r="S50" s="101"/>
      <c r="T50" s="156" t="str">
        <f>HLOOKUP($B$5,Region_Table,15,0)</f>
        <v>Kingston, Richmond and Hounslow</v>
      </c>
      <c r="U50" s="367" t="s">
        <v>1130</v>
      </c>
      <c r="V50" s="369"/>
      <c r="W50" s="369"/>
      <c r="X50" s="370"/>
      <c r="Y50" s="371">
        <f>SUMIF('caseload data'!$C:$C,'divisional &amp; regional caseload'!T50,'caseload data'!V:V)</f>
        <v>0</v>
      </c>
      <c r="Z50" s="372"/>
      <c r="AA50" s="373"/>
    </row>
    <row r="51" spans="2:36" x14ac:dyDescent="0.15">
      <c r="B51" s="105" t="s">
        <v>1065</v>
      </c>
      <c r="C51" s="41" t="s">
        <v>922</v>
      </c>
      <c r="D51" s="41" t="s">
        <v>923</v>
      </c>
      <c r="E51" s="41" t="s">
        <v>924</v>
      </c>
      <c r="F51" s="41" t="s">
        <v>925</v>
      </c>
      <c r="G51" s="41" t="s">
        <v>926</v>
      </c>
      <c r="H51" s="41" t="s">
        <v>927</v>
      </c>
      <c r="I51" s="41" t="s">
        <v>928</v>
      </c>
      <c r="J51" s="41" t="s">
        <v>929</v>
      </c>
      <c r="K51" s="41" t="s">
        <v>930</v>
      </c>
      <c r="L51" s="41" t="s">
        <v>931</v>
      </c>
      <c r="M51" s="41" t="s">
        <v>932</v>
      </c>
      <c r="N51" s="41" t="s">
        <v>933</v>
      </c>
      <c r="O51" s="41" t="s">
        <v>934</v>
      </c>
      <c r="P51" s="41" t="s">
        <v>935</v>
      </c>
      <c r="Q51" s="41" t="s">
        <v>936</v>
      </c>
      <c r="R51" s="41" t="s">
        <v>937</v>
      </c>
      <c r="S51" s="101"/>
      <c r="T51" s="105" t="s">
        <v>1065</v>
      </c>
      <c r="U51" s="41" t="s">
        <v>922</v>
      </c>
      <c r="V51" s="41" t="s">
        <v>923</v>
      </c>
      <c r="W51" s="41" t="s">
        <v>924</v>
      </c>
      <c r="X51" s="41" t="s">
        <v>925</v>
      </c>
      <c r="Y51" s="41" t="s">
        <v>926</v>
      </c>
      <c r="Z51" s="41" t="s">
        <v>927</v>
      </c>
      <c r="AA51" s="41" t="s">
        <v>928</v>
      </c>
      <c r="AB51" s="41" t="s">
        <v>929</v>
      </c>
      <c r="AC51" s="41" t="s">
        <v>930</v>
      </c>
      <c r="AD51" s="41" t="s">
        <v>931</v>
      </c>
      <c r="AE51" s="41" t="s">
        <v>932</v>
      </c>
      <c r="AF51" s="41" t="s">
        <v>933</v>
      </c>
      <c r="AG51" s="41" t="s">
        <v>934</v>
      </c>
      <c r="AH51" s="41" t="s">
        <v>935</v>
      </c>
      <c r="AI51" s="41" t="s">
        <v>936</v>
      </c>
      <c r="AJ51" s="41" t="s">
        <v>937</v>
      </c>
    </row>
    <row r="52" spans="2:36" x14ac:dyDescent="0.15">
      <c r="B52" s="106" t="s">
        <v>911</v>
      </c>
      <c r="C52" s="104">
        <f>SUMIFS('caseload data'!E:E,'caseload data'!$D:$D,"PO",'caseload data'!$C:$C,'divisional &amp; regional caseload'!$B$50)</f>
        <v>0</v>
      </c>
      <c r="D52" s="104">
        <f>SUMIFS('caseload data'!F:F,'caseload data'!$D:$D,"PO",'caseload data'!$C:$C,'divisional &amp; regional caseload'!$B$50)</f>
        <v>0</v>
      </c>
      <c r="E52" s="104">
        <f>SUMIFS('caseload data'!G:G,'caseload data'!$D:$D,"PO",'caseload data'!$C:$C,'divisional &amp; regional caseload'!$B$50)</f>
        <v>0</v>
      </c>
      <c r="F52" s="104">
        <f>SUMIFS('caseload data'!H:H,'caseload data'!$D:$D,"PO",'caseload data'!$C:$C,'divisional &amp; regional caseload'!$B$50)</f>
        <v>0</v>
      </c>
      <c r="G52" s="104">
        <f>SUMIFS('caseload data'!I:I,'caseload data'!$D:$D,"PO",'caseload data'!$C:$C,'divisional &amp; regional caseload'!$B$50)</f>
        <v>0</v>
      </c>
      <c r="H52" s="104">
        <f>SUMIFS('caseload data'!J:J,'caseload data'!$D:$D,"PO",'caseload data'!$C:$C,'divisional &amp; regional caseload'!$B$50)</f>
        <v>0</v>
      </c>
      <c r="I52" s="104">
        <f>SUMIFS('caseload data'!K:K,'caseload data'!$D:$D,"PO",'caseload data'!$C:$C,'divisional &amp; regional caseload'!$B$50)</f>
        <v>0</v>
      </c>
      <c r="J52" s="104">
        <f>SUMIFS('caseload data'!L:L,'caseload data'!$D:$D,"PO",'caseload data'!$C:$C,'divisional &amp; regional caseload'!$B$50)</f>
        <v>0</v>
      </c>
      <c r="K52" s="104">
        <f>SUMIFS('caseload data'!M:M,'caseload data'!$D:$D,"PO",'caseload data'!$C:$C,'divisional &amp; regional caseload'!$B$50)</f>
        <v>0</v>
      </c>
      <c r="L52" s="104">
        <f>SUMIFS('caseload data'!N:N,'caseload data'!$D:$D,"PO",'caseload data'!$C:$C,'divisional &amp; regional caseload'!$B$50)</f>
        <v>0</v>
      </c>
      <c r="M52" s="104">
        <f>SUMIFS('caseload data'!O:O,'caseload data'!$D:$D,"PO",'caseload data'!$C:$C,'divisional &amp; regional caseload'!$B$50)</f>
        <v>0</v>
      </c>
      <c r="N52" s="104">
        <f>SUMIFS('caseload data'!P:P,'caseload data'!$D:$D,"PO",'caseload data'!$C:$C,'divisional &amp; regional caseload'!$B$50)</f>
        <v>0</v>
      </c>
      <c r="O52" s="104">
        <f>SUMIFS('caseload data'!Q:Q,'caseload data'!$D:$D,"PO",'caseload data'!$C:$C,'divisional &amp; regional caseload'!$B$50)</f>
        <v>0</v>
      </c>
      <c r="P52" s="104">
        <f>SUMIFS('caseload data'!R:R,'caseload data'!$D:$D,"PO",'caseload data'!$C:$C,'divisional &amp; regional caseload'!$B$50)</f>
        <v>0</v>
      </c>
      <c r="Q52" s="104">
        <f>SUMIFS('caseload data'!S:S,'caseload data'!$D:$D,"PO",'caseload data'!$C:$C,'divisional &amp; regional caseload'!$B$50)</f>
        <v>0</v>
      </c>
      <c r="R52" s="104">
        <f>SUMIFS('caseload data'!T:T,'caseload data'!$D:$D,"PO",'caseload data'!$C:$C,'divisional &amp; regional caseload'!$B$50)</f>
        <v>0</v>
      </c>
      <c r="S52" s="101"/>
      <c r="T52" s="106" t="s">
        <v>911</v>
      </c>
      <c r="U52" s="104">
        <f>SUMIFS('caseload data'!E:E,'caseload data'!$D:$D,"PO",'caseload data'!$C:$C,'divisional &amp; regional caseload'!$T$50)</f>
        <v>0</v>
      </c>
      <c r="V52" s="104">
        <f>SUMIFS('caseload data'!F:F,'caseload data'!$D:$D,"PO",'caseload data'!$C:$C,'divisional &amp; regional caseload'!$T$50)</f>
        <v>0</v>
      </c>
      <c r="W52" s="104">
        <f>SUMIFS('caseload data'!G:G,'caseload data'!$D:$D,"PO",'caseload data'!$C:$C,'divisional &amp; regional caseload'!$T$50)</f>
        <v>0</v>
      </c>
      <c r="X52" s="104">
        <f>SUMIFS('caseload data'!H:H,'caseload data'!$D:$D,"PO",'caseload data'!$C:$C,'divisional &amp; regional caseload'!$T$50)</f>
        <v>0</v>
      </c>
      <c r="Y52" s="104">
        <f>SUMIFS('caseload data'!I:I,'caseload data'!$D:$D,"PO",'caseload data'!$C:$C,'divisional &amp; regional caseload'!$T$50)</f>
        <v>0</v>
      </c>
      <c r="Z52" s="104">
        <f>SUMIFS('caseload data'!J:J,'caseload data'!$D:$D,"PO",'caseload data'!$C:$C,'divisional &amp; regional caseload'!$T$50)</f>
        <v>0</v>
      </c>
      <c r="AA52" s="104">
        <f>SUMIFS('caseload data'!K:K,'caseload data'!$D:$D,"PO",'caseload data'!$C:$C,'divisional &amp; regional caseload'!$T$50)</f>
        <v>0</v>
      </c>
      <c r="AB52" s="104">
        <f>SUMIFS('caseload data'!L:L,'caseload data'!$D:$D,"PO",'caseload data'!$C:$C,'divisional &amp; regional caseload'!$T$50)</f>
        <v>0</v>
      </c>
      <c r="AC52" s="104">
        <f>SUMIFS('caseload data'!M:M,'caseload data'!$D:$D,"PO",'caseload data'!$C:$C,'divisional &amp; regional caseload'!$T$50)</f>
        <v>0</v>
      </c>
      <c r="AD52" s="104">
        <f>SUMIFS('caseload data'!N:N,'caseload data'!$D:$D,"PO",'caseload data'!$C:$C,'divisional &amp; regional caseload'!$T$50)</f>
        <v>0</v>
      </c>
      <c r="AE52" s="104">
        <f>SUMIFS('caseload data'!O:O,'caseload data'!$D:$D,"PO",'caseload data'!$C:$C,'divisional &amp; regional caseload'!$T$50)</f>
        <v>0</v>
      </c>
      <c r="AF52" s="104">
        <f>SUMIFS('caseload data'!P:P,'caseload data'!$D:$D,"PO",'caseload data'!$C:$C,'divisional &amp; regional caseload'!$T$50)</f>
        <v>0</v>
      </c>
      <c r="AG52" s="104">
        <f>SUMIFS('caseload data'!Q:Q,'caseload data'!$D:$D,"PO",'caseload data'!$C:$C,'divisional &amp; regional caseload'!$T$50)</f>
        <v>0</v>
      </c>
      <c r="AH52" s="104">
        <f>SUMIFS('caseload data'!R:R,'caseload data'!$D:$D,"PO",'caseload data'!$C:$C,'divisional &amp; regional caseload'!$T$50)</f>
        <v>0</v>
      </c>
      <c r="AI52" s="104">
        <f>SUMIFS('caseload data'!S:S,'caseload data'!$D:$D,"PO",'caseload data'!$C:$C,'divisional &amp; regional caseload'!$T$50)</f>
        <v>0</v>
      </c>
      <c r="AJ52" s="104">
        <f>SUMIFS('caseload data'!T:T,'caseload data'!$D:$D,"PO",'caseload data'!$C:$C,'divisional &amp; regional caseload'!$T$50)</f>
        <v>0</v>
      </c>
    </row>
    <row r="53" spans="2:36" x14ac:dyDescent="0.15">
      <c r="B53" s="107" t="s">
        <v>912</v>
      </c>
      <c r="C53" s="104">
        <f>SUMIFS('caseload data'!E:E,'caseload data'!$D:$D,"PSO",'caseload data'!$C:$C,'divisional &amp; regional caseload'!$B$50)</f>
        <v>0</v>
      </c>
      <c r="D53" s="104">
        <f>SUMIFS('caseload data'!F:F,'caseload data'!$D:$D,"PSO",'caseload data'!$C:$C,'divisional &amp; regional caseload'!$B$50)</f>
        <v>0</v>
      </c>
      <c r="E53" s="104">
        <f>SUMIFS('caseload data'!G:G,'caseload data'!$D:$D,"PSO",'caseload data'!$C:$C,'divisional &amp; regional caseload'!$B$50)</f>
        <v>0</v>
      </c>
      <c r="F53" s="104">
        <f>SUMIFS('caseload data'!H:H,'caseload data'!$D:$D,"PSO",'caseload data'!$C:$C,'divisional &amp; regional caseload'!$B$50)</f>
        <v>0</v>
      </c>
      <c r="G53" s="104">
        <f>SUMIFS('caseload data'!I:I,'caseload data'!$D:$D,"PSO",'caseload data'!$C:$C,'divisional &amp; regional caseload'!$B$50)</f>
        <v>0</v>
      </c>
      <c r="H53" s="104">
        <f>SUMIFS('caseload data'!J:J,'caseload data'!$D:$D,"PSO",'caseload data'!$C:$C,'divisional &amp; regional caseload'!$B$50)</f>
        <v>0</v>
      </c>
      <c r="I53" s="104">
        <f>SUMIFS('caseload data'!K:K,'caseload data'!$D:$D,"PSO",'caseload data'!$C:$C,'divisional &amp; regional caseload'!$B$50)</f>
        <v>0</v>
      </c>
      <c r="J53" s="104">
        <f>SUMIFS('caseload data'!L:L,'caseload data'!$D:$D,"PSO",'caseload data'!$C:$C,'divisional &amp; regional caseload'!$B$50)</f>
        <v>0</v>
      </c>
      <c r="K53" s="104">
        <f>SUMIFS('caseload data'!M:M,'caseload data'!$D:$D,"PSO",'caseload data'!$C:$C,'divisional &amp; regional caseload'!$B$50)</f>
        <v>0</v>
      </c>
      <c r="L53" s="104">
        <f>SUMIFS('caseload data'!N:N,'caseload data'!$D:$D,"PSO",'caseload data'!$C:$C,'divisional &amp; regional caseload'!$B$50)</f>
        <v>0</v>
      </c>
      <c r="M53" s="104">
        <f>SUMIFS('caseload data'!O:O,'caseload data'!$D:$D,"PSO",'caseload data'!$C:$C,'divisional &amp; regional caseload'!$B$50)</f>
        <v>0</v>
      </c>
      <c r="N53" s="104">
        <f>SUMIFS('caseload data'!P:P,'caseload data'!$D:$D,"PSO",'caseload data'!$C:$C,'divisional &amp; regional caseload'!$B$50)</f>
        <v>0</v>
      </c>
      <c r="O53" s="104">
        <f>SUMIFS('caseload data'!Q:Q,'caseload data'!$D:$D,"PSO",'caseload data'!$C:$C,'divisional &amp; regional caseload'!$B$50)</f>
        <v>0</v>
      </c>
      <c r="P53" s="104">
        <f>SUMIFS('caseload data'!R:R,'caseload data'!$D:$D,"PSO",'caseload data'!$C:$C,'divisional &amp; regional caseload'!$B$50)</f>
        <v>0</v>
      </c>
      <c r="Q53" s="104">
        <f>SUMIFS('caseload data'!S:S,'caseload data'!$D:$D,"PSO",'caseload data'!$C:$C,'divisional &amp; regional caseload'!$B$50)</f>
        <v>0</v>
      </c>
      <c r="R53" s="104">
        <f>SUMIFS('caseload data'!T:T,'caseload data'!$D:$D,"PSO",'caseload data'!$C:$C,'divisional &amp; regional caseload'!$B$50)</f>
        <v>0</v>
      </c>
      <c r="S53" s="101"/>
      <c r="T53" s="107" t="s">
        <v>912</v>
      </c>
      <c r="U53" s="104">
        <f>SUMIFS('caseload data'!E:E,'caseload data'!$D:$D,"PSO",'caseload data'!$C:$C,'divisional &amp; regional caseload'!$T$50)</f>
        <v>0</v>
      </c>
      <c r="V53" s="104">
        <f>SUMIFS('caseload data'!F:F,'caseload data'!$D:$D,"PSO",'caseload data'!$C:$C,'divisional &amp; regional caseload'!$T$50)</f>
        <v>0</v>
      </c>
      <c r="W53" s="104">
        <f>SUMIFS('caseload data'!G:G,'caseload data'!$D:$D,"PSO",'caseload data'!$C:$C,'divisional &amp; regional caseload'!$T$50)</f>
        <v>0</v>
      </c>
      <c r="X53" s="104">
        <f>SUMIFS('caseload data'!H:H,'caseload data'!$D:$D,"PSO",'caseload data'!$C:$C,'divisional &amp; regional caseload'!$T$50)</f>
        <v>0</v>
      </c>
      <c r="Y53" s="104">
        <f>SUMIFS('caseload data'!I:I,'caseload data'!$D:$D,"PSO",'caseload data'!$C:$C,'divisional &amp; regional caseload'!$T$50)</f>
        <v>0</v>
      </c>
      <c r="Z53" s="104">
        <f>SUMIFS('caseload data'!J:J,'caseload data'!$D:$D,"PSO",'caseload data'!$C:$C,'divisional &amp; regional caseload'!$T$50)</f>
        <v>0</v>
      </c>
      <c r="AA53" s="104">
        <f>SUMIFS('caseload data'!K:K,'caseload data'!$D:$D,"PSO",'caseload data'!$C:$C,'divisional &amp; regional caseload'!$T$50)</f>
        <v>0</v>
      </c>
      <c r="AB53" s="104">
        <f>SUMIFS('caseload data'!L:L,'caseload data'!$D:$D,"PSO",'caseload data'!$C:$C,'divisional &amp; regional caseload'!$T$50)</f>
        <v>0</v>
      </c>
      <c r="AC53" s="104">
        <f>SUMIFS('caseload data'!M:M,'caseload data'!$D:$D,"PSO",'caseload data'!$C:$C,'divisional &amp; regional caseload'!$T$50)</f>
        <v>0</v>
      </c>
      <c r="AD53" s="104">
        <f>SUMIFS('caseload data'!N:N,'caseload data'!$D:$D,"PSO",'caseload data'!$C:$C,'divisional &amp; regional caseload'!$T$50)</f>
        <v>0</v>
      </c>
      <c r="AE53" s="104">
        <f>SUMIFS('caseload data'!O:O,'caseload data'!$D:$D,"PSO",'caseload data'!$C:$C,'divisional &amp; regional caseload'!$T$50)</f>
        <v>0</v>
      </c>
      <c r="AF53" s="104">
        <f>SUMIFS('caseload data'!P:P,'caseload data'!$D:$D,"PSO",'caseload data'!$C:$C,'divisional &amp; regional caseload'!$T$50)</f>
        <v>0</v>
      </c>
      <c r="AG53" s="104">
        <f>SUMIFS('caseload data'!Q:Q,'caseload data'!$D:$D,"PSO",'caseload data'!$C:$C,'divisional &amp; regional caseload'!$T$50)</f>
        <v>0</v>
      </c>
      <c r="AH53" s="104">
        <f>SUMIFS('caseload data'!R:R,'caseload data'!$D:$D,"PSO",'caseload data'!$C:$C,'divisional &amp; regional caseload'!$T$50)</f>
        <v>0</v>
      </c>
      <c r="AI53" s="104">
        <f>SUMIFS('caseload data'!S:S,'caseload data'!$D:$D,"PSO",'caseload data'!$C:$C,'divisional &amp; regional caseload'!$T$50)</f>
        <v>0</v>
      </c>
      <c r="AJ53" s="104">
        <f>SUMIFS('caseload data'!T:T,'caseload data'!$D:$D,"PSO",'caseload data'!$C:$C,'divisional &amp; regional caseload'!$T$50)</f>
        <v>0</v>
      </c>
    </row>
    <row r="54" spans="2:36" x14ac:dyDescent="0.15">
      <c r="B54" s="107" t="s">
        <v>913</v>
      </c>
      <c r="C54" s="104">
        <f>SUMIFS('caseload data'!E:E,'caseload data'!$D:$D,"TPO",'caseload data'!$C:$C,'divisional &amp; regional caseload'!$B$50)</f>
        <v>0</v>
      </c>
      <c r="D54" s="104">
        <f>SUMIFS('caseload data'!F:F,'caseload data'!$D:$D,"TPO",'caseload data'!$C:$C,'divisional &amp; regional caseload'!$B$50)</f>
        <v>0</v>
      </c>
      <c r="E54" s="104">
        <f>SUMIFS('caseload data'!G:G,'caseload data'!$D:$D,"TPO",'caseload data'!$C:$C,'divisional &amp; regional caseload'!$B$50)</f>
        <v>0</v>
      </c>
      <c r="F54" s="104">
        <f>SUMIFS('caseload data'!H:H,'caseload data'!$D:$D,"TPO",'caseload data'!$C:$C,'divisional &amp; regional caseload'!$B$50)</f>
        <v>0</v>
      </c>
      <c r="G54" s="104">
        <f>SUMIFS('caseload data'!I:I,'caseload data'!$D:$D,"TPO",'caseload data'!$C:$C,'divisional &amp; regional caseload'!$B$50)</f>
        <v>0</v>
      </c>
      <c r="H54" s="104">
        <f>SUMIFS('caseload data'!J:J,'caseload data'!$D:$D,"TPO",'caseload data'!$C:$C,'divisional &amp; regional caseload'!$B$50)</f>
        <v>0</v>
      </c>
      <c r="I54" s="104">
        <f>SUMIFS('caseload data'!K:K,'caseload data'!$D:$D,"TPO",'caseload data'!$C:$C,'divisional &amp; regional caseload'!$B$50)</f>
        <v>0</v>
      </c>
      <c r="J54" s="104">
        <f>SUMIFS('caseload data'!L:L,'caseload data'!$D:$D,"TPO",'caseload data'!$C:$C,'divisional &amp; regional caseload'!$B$50)</f>
        <v>0</v>
      </c>
      <c r="K54" s="104">
        <f>SUMIFS('caseload data'!M:M,'caseload data'!$D:$D,"TPO",'caseload data'!$C:$C,'divisional &amp; regional caseload'!$B$50)</f>
        <v>0</v>
      </c>
      <c r="L54" s="104">
        <f>SUMIFS('caseload data'!N:N,'caseload data'!$D:$D,"TPO",'caseload data'!$C:$C,'divisional &amp; regional caseload'!$B$50)</f>
        <v>0</v>
      </c>
      <c r="M54" s="104">
        <f>SUMIFS('caseload data'!O:O,'caseload data'!$D:$D,"TPO",'caseload data'!$C:$C,'divisional &amp; regional caseload'!$B$50)</f>
        <v>0</v>
      </c>
      <c r="N54" s="104">
        <f>SUMIFS('caseload data'!P:P,'caseload data'!$D:$D,"TPO",'caseload data'!$C:$C,'divisional &amp; regional caseload'!$B$50)</f>
        <v>0</v>
      </c>
      <c r="O54" s="104">
        <f>SUMIFS('caseload data'!Q:Q,'caseload data'!$D:$D,"TPO",'caseload data'!$C:$C,'divisional &amp; regional caseload'!$B$50)</f>
        <v>0</v>
      </c>
      <c r="P54" s="104">
        <f>SUMIFS('caseload data'!R:R,'caseload data'!$D:$D,"TPO",'caseload data'!$C:$C,'divisional &amp; regional caseload'!$B$50)</f>
        <v>0</v>
      </c>
      <c r="Q54" s="104">
        <f>SUMIFS('caseload data'!S:S,'caseload data'!$D:$D,"TPO",'caseload data'!$C:$C,'divisional &amp; regional caseload'!$B$50)</f>
        <v>0</v>
      </c>
      <c r="R54" s="104">
        <f>SUMIFS('caseload data'!T:T,'caseload data'!$D:$D,"TPO",'caseload data'!$C:$C,'divisional &amp; regional caseload'!$B$50)</f>
        <v>0</v>
      </c>
      <c r="S54" s="101"/>
      <c r="T54" s="107" t="s">
        <v>913</v>
      </c>
      <c r="U54" s="104">
        <f>SUMIFS('caseload data'!E:E,'caseload data'!$D:$D,"TPO",'caseload data'!$C:$C,'divisional &amp; regional caseload'!$T$50)</f>
        <v>0</v>
      </c>
      <c r="V54" s="104">
        <f>SUMIFS('caseload data'!F:F,'caseload data'!$D:$D,"TPO",'caseload data'!$C:$C,'divisional &amp; regional caseload'!$T$50)</f>
        <v>0</v>
      </c>
      <c r="W54" s="104">
        <f>SUMIFS('caseload data'!G:G,'caseload data'!$D:$D,"TPO",'caseload data'!$C:$C,'divisional &amp; regional caseload'!$T$50)</f>
        <v>0</v>
      </c>
      <c r="X54" s="104">
        <f>SUMIFS('caseload data'!H:H,'caseload data'!$D:$D,"TPO",'caseload data'!$C:$C,'divisional &amp; regional caseload'!$T$50)</f>
        <v>0</v>
      </c>
      <c r="Y54" s="104">
        <f>SUMIFS('caseload data'!I:I,'caseload data'!$D:$D,"TPO",'caseload data'!$C:$C,'divisional &amp; regional caseload'!$T$50)</f>
        <v>0</v>
      </c>
      <c r="Z54" s="104">
        <f>SUMIFS('caseload data'!J:J,'caseload data'!$D:$D,"TPO",'caseload data'!$C:$C,'divisional &amp; regional caseload'!$T$50)</f>
        <v>0</v>
      </c>
      <c r="AA54" s="104">
        <f>SUMIFS('caseload data'!K:K,'caseload data'!$D:$D,"TPO",'caseload data'!$C:$C,'divisional &amp; regional caseload'!$T$50)</f>
        <v>0</v>
      </c>
      <c r="AB54" s="104">
        <f>SUMIFS('caseload data'!L:L,'caseload data'!$D:$D,"TPO",'caseload data'!$C:$C,'divisional &amp; regional caseload'!$T$50)</f>
        <v>0</v>
      </c>
      <c r="AC54" s="104">
        <f>SUMIFS('caseload data'!M:M,'caseload data'!$D:$D,"TPO",'caseload data'!$C:$C,'divisional &amp; regional caseload'!$T$50)</f>
        <v>0</v>
      </c>
      <c r="AD54" s="104">
        <f>SUMIFS('caseload data'!N:N,'caseload data'!$D:$D,"TPO",'caseload data'!$C:$C,'divisional &amp; regional caseload'!$T$50)</f>
        <v>0</v>
      </c>
      <c r="AE54" s="104">
        <f>SUMIFS('caseload data'!O:O,'caseload data'!$D:$D,"TPO",'caseload data'!$C:$C,'divisional &amp; regional caseload'!$T$50)</f>
        <v>0</v>
      </c>
      <c r="AF54" s="104">
        <f>SUMIFS('caseload data'!P:P,'caseload data'!$D:$D,"TPO",'caseload data'!$C:$C,'divisional &amp; regional caseload'!$T$50)</f>
        <v>0</v>
      </c>
      <c r="AG54" s="104">
        <f>SUMIFS('caseload data'!Q:Q,'caseload data'!$D:$D,"TPO",'caseload data'!$C:$C,'divisional &amp; regional caseload'!$T$50)</f>
        <v>0</v>
      </c>
      <c r="AH54" s="104">
        <f>SUMIFS('caseload data'!R:R,'caseload data'!$D:$D,"TPO",'caseload data'!$C:$C,'divisional &amp; regional caseload'!$T$50)</f>
        <v>0</v>
      </c>
      <c r="AI54" s="104">
        <f>SUMIFS('caseload data'!S:S,'caseload data'!$D:$D,"TPO",'caseload data'!$C:$C,'divisional &amp; regional caseload'!$T$50)</f>
        <v>0</v>
      </c>
      <c r="AJ54" s="104">
        <f>SUMIFS('caseload data'!T:T,'caseload data'!$D:$D,"TPO",'caseload data'!$C:$C,'divisional &amp; regional caseload'!$T$50)</f>
        <v>0</v>
      </c>
    </row>
    <row r="55" spans="2:36" x14ac:dyDescent="0.15">
      <c r="B55" s="108" t="s">
        <v>914</v>
      </c>
      <c r="C55" s="104">
        <f>SUMIFS('caseload data'!E:E,'caseload data'!$D:$D,"SPO",'caseload data'!$C:$C,'divisional &amp; regional caseload'!$B$50)</f>
        <v>0</v>
      </c>
      <c r="D55" s="104">
        <f>SUMIFS('caseload data'!F:F,'caseload data'!$D:$D,"SPO",'caseload data'!$C:$C,'divisional &amp; regional caseload'!$B$50)</f>
        <v>0</v>
      </c>
      <c r="E55" s="104">
        <f>SUMIFS('caseload data'!G:G,'caseload data'!$D:$D,"SPO",'caseload data'!$C:$C,'divisional &amp; regional caseload'!$B$50)</f>
        <v>0</v>
      </c>
      <c r="F55" s="104">
        <f>SUMIFS('caseload data'!H:H,'caseload data'!$D:$D,"SPO",'caseload data'!$C:$C,'divisional &amp; regional caseload'!$B$50)</f>
        <v>0</v>
      </c>
      <c r="G55" s="104">
        <f>SUMIFS('caseload data'!I:I,'caseload data'!$D:$D,"SPO",'caseload data'!$C:$C,'divisional &amp; regional caseload'!$B$50)</f>
        <v>0</v>
      </c>
      <c r="H55" s="104">
        <f>SUMIFS('caseload data'!J:J,'caseload data'!$D:$D,"SPO",'caseload data'!$C:$C,'divisional &amp; regional caseload'!$B$50)</f>
        <v>0</v>
      </c>
      <c r="I55" s="104">
        <f>SUMIFS('caseload data'!K:K,'caseload data'!$D:$D,"SPO",'caseload data'!$C:$C,'divisional &amp; regional caseload'!$B$50)</f>
        <v>0</v>
      </c>
      <c r="J55" s="104">
        <f>SUMIFS('caseload data'!L:L,'caseload data'!$D:$D,"SPO",'caseload data'!$C:$C,'divisional &amp; regional caseload'!$B$50)</f>
        <v>0</v>
      </c>
      <c r="K55" s="104">
        <f>SUMIFS('caseload data'!M:M,'caseload data'!$D:$D,"SPO",'caseload data'!$C:$C,'divisional &amp; regional caseload'!$B$50)</f>
        <v>0</v>
      </c>
      <c r="L55" s="104">
        <f>SUMIFS('caseload data'!N:N,'caseload data'!$D:$D,"SPO",'caseload data'!$C:$C,'divisional &amp; regional caseload'!$B$50)</f>
        <v>0</v>
      </c>
      <c r="M55" s="104">
        <f>SUMIFS('caseload data'!O:O,'caseload data'!$D:$D,"SPO",'caseload data'!$C:$C,'divisional &amp; regional caseload'!$B$50)</f>
        <v>0</v>
      </c>
      <c r="N55" s="104">
        <f>SUMIFS('caseload data'!P:P,'caseload data'!$D:$D,"SPO",'caseload data'!$C:$C,'divisional &amp; regional caseload'!$B$50)</f>
        <v>0</v>
      </c>
      <c r="O55" s="104">
        <f>SUMIFS('caseload data'!Q:Q,'caseload data'!$D:$D,"SPO",'caseload data'!$C:$C,'divisional &amp; regional caseload'!$B$50)</f>
        <v>0</v>
      </c>
      <c r="P55" s="104">
        <f>SUMIFS('caseload data'!R:R,'caseload data'!$D:$D,"SPO",'caseload data'!$C:$C,'divisional &amp; regional caseload'!$B$50)</f>
        <v>0</v>
      </c>
      <c r="Q55" s="104">
        <f>SUMIFS('caseload data'!S:S,'caseload data'!$D:$D,"SPO",'caseload data'!$C:$C,'divisional &amp; regional caseload'!$B$50)</f>
        <v>0</v>
      </c>
      <c r="R55" s="104">
        <f>SUMIFS('caseload data'!T:T,'caseload data'!$D:$D,"SPO",'caseload data'!$C:$C,'divisional &amp; regional caseload'!$B$50)</f>
        <v>0</v>
      </c>
      <c r="S55" s="101"/>
      <c r="T55" s="108" t="s">
        <v>914</v>
      </c>
      <c r="U55" s="104">
        <f>SUMIFS('caseload data'!E:E,'caseload data'!$D:$D,"SPO",'caseload data'!$C:$C,'divisional &amp; regional caseload'!$T$50)</f>
        <v>0</v>
      </c>
      <c r="V55" s="104">
        <f>SUMIFS('caseload data'!F:F,'caseload data'!$D:$D,"SPO",'caseload data'!$C:$C,'divisional &amp; regional caseload'!$T$50)</f>
        <v>0</v>
      </c>
      <c r="W55" s="104">
        <f>SUMIFS('caseload data'!G:G,'caseload data'!$D:$D,"SPO",'caseload data'!$C:$C,'divisional &amp; regional caseload'!$T$50)</f>
        <v>0</v>
      </c>
      <c r="X55" s="104">
        <f>SUMIFS('caseload data'!H:H,'caseload data'!$D:$D,"SPO",'caseload data'!$C:$C,'divisional &amp; regional caseload'!$T$50)</f>
        <v>0</v>
      </c>
      <c r="Y55" s="104">
        <f>SUMIFS('caseload data'!I:I,'caseload data'!$D:$D,"SPO",'caseload data'!$C:$C,'divisional &amp; regional caseload'!$T$50)</f>
        <v>0</v>
      </c>
      <c r="Z55" s="104">
        <f>SUMIFS('caseload data'!J:J,'caseload data'!$D:$D,"SPO",'caseload data'!$C:$C,'divisional &amp; regional caseload'!$T$50)</f>
        <v>0</v>
      </c>
      <c r="AA55" s="104">
        <f>SUMIFS('caseload data'!K:K,'caseload data'!$D:$D,"SPO",'caseload data'!$C:$C,'divisional &amp; regional caseload'!$T$50)</f>
        <v>0</v>
      </c>
      <c r="AB55" s="104">
        <f>SUMIFS('caseload data'!L:L,'caseload data'!$D:$D,"SPO",'caseload data'!$C:$C,'divisional &amp; regional caseload'!$T$50)</f>
        <v>0</v>
      </c>
      <c r="AC55" s="104">
        <f>SUMIFS('caseload data'!M:M,'caseload data'!$D:$D,"SPO",'caseload data'!$C:$C,'divisional &amp; regional caseload'!$T$50)</f>
        <v>0</v>
      </c>
      <c r="AD55" s="104">
        <f>SUMIFS('caseload data'!N:N,'caseload data'!$D:$D,"SPO",'caseload data'!$C:$C,'divisional &amp; regional caseload'!$T$50)</f>
        <v>0</v>
      </c>
      <c r="AE55" s="104">
        <f>SUMIFS('caseload data'!O:O,'caseload data'!$D:$D,"SPO",'caseload data'!$C:$C,'divisional &amp; regional caseload'!$T$50)</f>
        <v>0</v>
      </c>
      <c r="AF55" s="104">
        <f>SUMIFS('caseload data'!P:P,'caseload data'!$D:$D,"SPO",'caseload data'!$C:$C,'divisional &amp; regional caseload'!$T$50)</f>
        <v>0</v>
      </c>
      <c r="AG55" s="104">
        <f>SUMIFS('caseload data'!Q:Q,'caseload data'!$D:$D,"SPO",'caseload data'!$C:$C,'divisional &amp; regional caseload'!$T$50)</f>
        <v>0</v>
      </c>
      <c r="AH55" s="104">
        <f>SUMIFS('caseload data'!R:R,'caseload data'!$D:$D,"SPO",'caseload data'!$C:$C,'divisional &amp; regional caseload'!$T$50)</f>
        <v>0</v>
      </c>
      <c r="AI55" s="104">
        <f>SUMIFS('caseload data'!S:S,'caseload data'!$D:$D,"SPO",'caseload data'!$C:$C,'divisional &amp; regional caseload'!$T$50)</f>
        <v>0</v>
      </c>
      <c r="AJ55" s="104">
        <f>SUMIFS('caseload data'!T:T,'caseload data'!$D:$D,"SPO",'caseload data'!$C:$C,'divisional &amp; regional caseload'!$T$50)</f>
        <v>0</v>
      </c>
    </row>
    <row r="56" spans="2:36" x14ac:dyDescent="0.15">
      <c r="B56" s="101"/>
      <c r="C56" s="101"/>
      <c r="D56" s="101"/>
      <c r="E56" s="101"/>
      <c r="F56" s="101"/>
      <c r="G56" s="101"/>
      <c r="H56" s="101"/>
      <c r="I56" s="101"/>
      <c r="J56" s="101"/>
      <c r="K56" s="101"/>
      <c r="L56" s="101"/>
      <c r="M56" s="101"/>
      <c r="N56" s="101"/>
      <c r="O56" s="101"/>
      <c r="P56" s="101"/>
      <c r="Q56" s="101"/>
      <c r="R56" s="101"/>
      <c r="S56" s="101"/>
      <c r="T56" s="101"/>
      <c r="U56" s="101"/>
      <c r="V56" s="101"/>
      <c r="W56" s="101"/>
      <c r="X56" s="101"/>
      <c r="Y56" s="101"/>
      <c r="Z56" s="101"/>
      <c r="AA56" s="101"/>
    </row>
    <row r="57" spans="2:36" ht="28.5" customHeight="1" x14ac:dyDescent="0.15">
      <c r="B57" s="156" t="str">
        <f>HLOOKUP($B$5,Region_Table,16,0)</f>
        <v>Lambeth - N07</v>
      </c>
      <c r="C57" s="367" t="s">
        <v>1130</v>
      </c>
      <c r="D57" s="368"/>
      <c r="E57" s="368"/>
      <c r="F57" s="368"/>
      <c r="G57" s="368"/>
      <c r="H57" s="368"/>
      <c r="I57" s="368"/>
      <c r="J57" s="368"/>
      <c r="K57" s="368"/>
      <c r="L57" s="368"/>
      <c r="M57" s="369"/>
      <c r="N57" s="369"/>
      <c r="O57" s="370"/>
      <c r="P57" s="371">
        <f>SUMIF('caseload data'!$C:$C,'divisional &amp; regional caseload'!B57,'caseload data'!V:V)</f>
        <v>0</v>
      </c>
      <c r="Q57" s="372"/>
      <c r="R57" s="373"/>
      <c r="S57" s="101"/>
      <c r="T57" s="156" t="str">
        <f>HLOOKUP($B$5,Region_Table,17,0)</f>
        <v>Lewisham and Bromley</v>
      </c>
      <c r="U57" s="367" t="s">
        <v>1130</v>
      </c>
      <c r="V57" s="369"/>
      <c r="W57" s="369"/>
      <c r="X57" s="370"/>
      <c r="Y57" s="371">
        <f>SUMIF('caseload data'!$C:$C,'divisional &amp; regional caseload'!T57,'caseload data'!V:V)</f>
        <v>0</v>
      </c>
      <c r="Z57" s="372"/>
      <c r="AA57" s="373"/>
    </row>
    <row r="58" spans="2:36" x14ac:dyDescent="0.15">
      <c r="B58" s="105" t="s">
        <v>1065</v>
      </c>
      <c r="C58" s="41" t="s">
        <v>922</v>
      </c>
      <c r="D58" s="41" t="s">
        <v>923</v>
      </c>
      <c r="E58" s="41" t="s">
        <v>924</v>
      </c>
      <c r="F58" s="41" t="s">
        <v>925</v>
      </c>
      <c r="G58" s="41" t="s">
        <v>926</v>
      </c>
      <c r="H58" s="41" t="s">
        <v>927</v>
      </c>
      <c r="I58" s="41" t="s">
        <v>928</v>
      </c>
      <c r="J58" s="41" t="s">
        <v>929</v>
      </c>
      <c r="K58" s="41" t="s">
        <v>930</v>
      </c>
      <c r="L58" s="41" t="s">
        <v>931</v>
      </c>
      <c r="M58" s="41" t="s">
        <v>932</v>
      </c>
      <c r="N58" s="41" t="s">
        <v>933</v>
      </c>
      <c r="O58" s="41" t="s">
        <v>934</v>
      </c>
      <c r="P58" s="41" t="s">
        <v>935</v>
      </c>
      <c r="Q58" s="41" t="s">
        <v>936</v>
      </c>
      <c r="R58" s="41" t="s">
        <v>937</v>
      </c>
      <c r="S58" s="101"/>
      <c r="T58" s="105" t="s">
        <v>1065</v>
      </c>
      <c r="U58" s="41" t="s">
        <v>922</v>
      </c>
      <c r="V58" s="41" t="s">
        <v>923</v>
      </c>
      <c r="W58" s="41" t="s">
        <v>924</v>
      </c>
      <c r="X58" s="41" t="s">
        <v>925</v>
      </c>
      <c r="Y58" s="41" t="s">
        <v>926</v>
      </c>
      <c r="Z58" s="41" t="s">
        <v>927</v>
      </c>
      <c r="AA58" s="41" t="s">
        <v>928</v>
      </c>
      <c r="AB58" s="41" t="s">
        <v>929</v>
      </c>
      <c r="AC58" s="41" t="s">
        <v>930</v>
      </c>
      <c r="AD58" s="41" t="s">
        <v>931</v>
      </c>
      <c r="AE58" s="41" t="s">
        <v>932</v>
      </c>
      <c r="AF58" s="41" t="s">
        <v>933</v>
      </c>
      <c r="AG58" s="41" t="s">
        <v>934</v>
      </c>
      <c r="AH58" s="41" t="s">
        <v>935</v>
      </c>
      <c r="AI58" s="41" t="s">
        <v>936</v>
      </c>
      <c r="AJ58" s="41" t="s">
        <v>937</v>
      </c>
    </row>
    <row r="59" spans="2:36" x14ac:dyDescent="0.15">
      <c r="B59" s="106" t="s">
        <v>911</v>
      </c>
      <c r="C59" s="104">
        <f>SUMIFS('caseload data'!E:E,'caseload data'!$D:$D,"PO",'caseload data'!$C:$C,'divisional &amp; regional caseload'!$B$57)</f>
        <v>0</v>
      </c>
      <c r="D59" s="104">
        <f>SUMIFS('caseload data'!F:F,'caseload data'!$D:$D,"PO",'caseload data'!$C:$C,'divisional &amp; regional caseload'!$B$57)</f>
        <v>0</v>
      </c>
      <c r="E59" s="104">
        <f>SUMIFS('caseload data'!G:G,'caseload data'!$D:$D,"PO",'caseload data'!$C:$C,'divisional &amp; regional caseload'!$B$57)</f>
        <v>0</v>
      </c>
      <c r="F59" s="104">
        <f>SUMIFS('caseload data'!H:H,'caseload data'!$D:$D,"PO",'caseload data'!$C:$C,'divisional &amp; regional caseload'!$B$57)</f>
        <v>0</v>
      </c>
      <c r="G59" s="104">
        <f>SUMIFS('caseload data'!I:I,'caseload data'!$D:$D,"PO",'caseload data'!$C:$C,'divisional &amp; regional caseload'!$B$57)</f>
        <v>0</v>
      </c>
      <c r="H59" s="104">
        <f>SUMIFS('caseload data'!J:J,'caseload data'!$D:$D,"PO",'caseload data'!$C:$C,'divisional &amp; regional caseload'!$B$57)</f>
        <v>0</v>
      </c>
      <c r="I59" s="104">
        <f>SUMIFS('caseload data'!K:K,'caseload data'!$D:$D,"PO",'caseload data'!$C:$C,'divisional &amp; regional caseload'!$B$57)</f>
        <v>0</v>
      </c>
      <c r="J59" s="104">
        <f>SUMIFS('caseload data'!L:L,'caseload data'!$D:$D,"PO",'caseload data'!$C:$C,'divisional &amp; regional caseload'!$B$57)</f>
        <v>0</v>
      </c>
      <c r="K59" s="104">
        <f>SUMIFS('caseload data'!M:M,'caseload data'!$D:$D,"PO",'caseload data'!$C:$C,'divisional &amp; regional caseload'!$B$57)</f>
        <v>0</v>
      </c>
      <c r="L59" s="104">
        <f>SUMIFS('caseload data'!N:N,'caseload data'!$D:$D,"PO",'caseload data'!$C:$C,'divisional &amp; regional caseload'!$B$57)</f>
        <v>0</v>
      </c>
      <c r="M59" s="104">
        <f>SUMIFS('caseload data'!O:O,'caseload data'!$D:$D,"PO",'caseload data'!$C:$C,'divisional &amp; regional caseload'!$B$57)</f>
        <v>0</v>
      </c>
      <c r="N59" s="104">
        <f>SUMIFS('caseload data'!P:P,'caseload data'!$D:$D,"PO",'caseload data'!$C:$C,'divisional &amp; regional caseload'!$B$57)</f>
        <v>0</v>
      </c>
      <c r="O59" s="104">
        <f>SUMIFS('caseload data'!Q:Q,'caseload data'!$D:$D,"PO",'caseload data'!$C:$C,'divisional &amp; regional caseload'!$B$57)</f>
        <v>0</v>
      </c>
      <c r="P59" s="104">
        <f>SUMIFS('caseload data'!R:R,'caseload data'!$D:$D,"PO",'caseload data'!$C:$C,'divisional &amp; regional caseload'!$B$57)</f>
        <v>0</v>
      </c>
      <c r="Q59" s="104">
        <f>SUMIFS('caseload data'!S:S,'caseload data'!$D:$D,"PO",'caseload data'!$C:$C,'divisional &amp; regional caseload'!$B$57)</f>
        <v>0</v>
      </c>
      <c r="R59" s="104">
        <f>SUMIFS('caseload data'!T:T,'caseload data'!$D:$D,"PO",'caseload data'!$C:$C,'divisional &amp; regional caseload'!$B$57)</f>
        <v>0</v>
      </c>
      <c r="S59" s="101"/>
      <c r="T59" s="106" t="s">
        <v>911</v>
      </c>
      <c r="U59" s="104">
        <f>SUMIFS('caseload data'!E:E,'caseload data'!$D:$D,"PO",'caseload data'!$C:$C,'divisional &amp; regional caseload'!$T$57)</f>
        <v>0</v>
      </c>
      <c r="V59" s="104">
        <f>SUMIFS('caseload data'!F:F,'caseload data'!$D:$D,"PO",'caseload data'!$C:$C,'divisional &amp; regional caseload'!$T$57)</f>
        <v>0</v>
      </c>
      <c r="W59" s="104">
        <f>SUMIFS('caseload data'!G:G,'caseload data'!$D:$D,"PO",'caseload data'!$C:$C,'divisional &amp; regional caseload'!$T$57)</f>
        <v>0</v>
      </c>
      <c r="X59" s="104">
        <f>SUMIFS('caseload data'!H:H,'caseload data'!$D:$D,"PO",'caseload data'!$C:$C,'divisional &amp; regional caseload'!$T$57)</f>
        <v>0</v>
      </c>
      <c r="Y59" s="104">
        <f>SUMIFS('caseload data'!I:I,'caseload data'!$D:$D,"PO",'caseload data'!$C:$C,'divisional &amp; regional caseload'!$T$57)</f>
        <v>0</v>
      </c>
      <c r="Z59" s="104">
        <f>SUMIFS('caseload data'!J:J,'caseload data'!$D:$D,"PO",'caseload data'!$C:$C,'divisional &amp; regional caseload'!$T$57)</f>
        <v>0</v>
      </c>
      <c r="AA59" s="104">
        <f>SUMIFS('caseload data'!K:K,'caseload data'!$D:$D,"PO",'caseload data'!$C:$C,'divisional &amp; regional caseload'!$T$57)</f>
        <v>0</v>
      </c>
      <c r="AB59" s="104">
        <f>SUMIFS('caseload data'!L:L,'caseload data'!$D:$D,"PO",'caseload data'!$C:$C,'divisional &amp; regional caseload'!$T$57)</f>
        <v>0</v>
      </c>
      <c r="AC59" s="104">
        <f>SUMIFS('caseload data'!M:M,'caseload data'!$D:$D,"PO",'caseload data'!$C:$C,'divisional &amp; regional caseload'!$T$57)</f>
        <v>0</v>
      </c>
      <c r="AD59" s="104">
        <f>SUMIFS('caseload data'!N:N,'caseload data'!$D:$D,"PO",'caseload data'!$C:$C,'divisional &amp; regional caseload'!$T$57)</f>
        <v>0</v>
      </c>
      <c r="AE59" s="104">
        <f>SUMIFS('caseload data'!O:O,'caseload data'!$D:$D,"PO",'caseload data'!$C:$C,'divisional &amp; regional caseload'!$T$57)</f>
        <v>0</v>
      </c>
      <c r="AF59" s="104">
        <f>SUMIFS('caseload data'!P:P,'caseload data'!$D:$D,"PO",'caseload data'!$C:$C,'divisional &amp; regional caseload'!$T$57)</f>
        <v>0</v>
      </c>
      <c r="AG59" s="104">
        <f>SUMIFS('caseload data'!Q:Q,'caseload data'!$D:$D,"PO",'caseload data'!$C:$C,'divisional &amp; regional caseload'!$T$57)</f>
        <v>0</v>
      </c>
      <c r="AH59" s="104">
        <f>SUMIFS('caseload data'!R:R,'caseload data'!$D:$D,"PO",'caseload data'!$C:$C,'divisional &amp; regional caseload'!$T$57)</f>
        <v>0</v>
      </c>
      <c r="AI59" s="104">
        <f>SUMIFS('caseload data'!S:S,'caseload data'!$D:$D,"PO",'caseload data'!$C:$C,'divisional &amp; regional caseload'!$T$57)</f>
        <v>0</v>
      </c>
      <c r="AJ59" s="104">
        <f>SUMIFS('caseload data'!T:T,'caseload data'!$D:$D,"PO",'caseload data'!$C:$C,'divisional &amp; regional caseload'!$T$57)</f>
        <v>0</v>
      </c>
    </row>
    <row r="60" spans="2:36" x14ac:dyDescent="0.15">
      <c r="B60" s="107" t="s">
        <v>912</v>
      </c>
      <c r="C60" s="104">
        <f>SUMIFS('caseload data'!E:E,'caseload data'!$D:$D,"PSO",'caseload data'!$C:$C,'divisional &amp; regional caseload'!$B$57)</f>
        <v>0</v>
      </c>
      <c r="D60" s="104">
        <f>SUMIFS('caseload data'!F:F,'caseload data'!$D:$D,"PSO",'caseload data'!$C:$C,'divisional &amp; regional caseload'!$B$57)</f>
        <v>0</v>
      </c>
      <c r="E60" s="104">
        <f>SUMIFS('caseload data'!G:G,'caseload data'!$D:$D,"PSO",'caseload data'!$C:$C,'divisional &amp; regional caseload'!$B$57)</f>
        <v>0</v>
      </c>
      <c r="F60" s="104">
        <f>SUMIFS('caseload data'!H:H,'caseload data'!$D:$D,"PSO",'caseload data'!$C:$C,'divisional &amp; regional caseload'!$B$57)</f>
        <v>0</v>
      </c>
      <c r="G60" s="104">
        <f>SUMIFS('caseload data'!I:I,'caseload data'!$D:$D,"PSO",'caseload data'!$C:$C,'divisional &amp; regional caseload'!$B$57)</f>
        <v>0</v>
      </c>
      <c r="H60" s="104">
        <f>SUMIFS('caseload data'!J:J,'caseload data'!$D:$D,"PSO",'caseload data'!$C:$C,'divisional &amp; regional caseload'!$B$57)</f>
        <v>0</v>
      </c>
      <c r="I60" s="104">
        <f>SUMIFS('caseload data'!K:K,'caseload data'!$D:$D,"PSO",'caseload data'!$C:$C,'divisional &amp; regional caseload'!$B$57)</f>
        <v>0</v>
      </c>
      <c r="J60" s="104">
        <f>SUMIFS('caseload data'!L:L,'caseload data'!$D:$D,"PSO",'caseload data'!$C:$C,'divisional &amp; regional caseload'!$B$57)</f>
        <v>0</v>
      </c>
      <c r="K60" s="104">
        <f>SUMIFS('caseload data'!M:M,'caseload data'!$D:$D,"PSO",'caseload data'!$C:$C,'divisional &amp; regional caseload'!$B$57)</f>
        <v>0</v>
      </c>
      <c r="L60" s="104">
        <f>SUMIFS('caseload data'!N:N,'caseload data'!$D:$D,"PSO",'caseload data'!$C:$C,'divisional &amp; regional caseload'!$B$57)</f>
        <v>0</v>
      </c>
      <c r="M60" s="104">
        <f>SUMIFS('caseload data'!O:O,'caseload data'!$D:$D,"PSO",'caseload data'!$C:$C,'divisional &amp; regional caseload'!$B$57)</f>
        <v>0</v>
      </c>
      <c r="N60" s="104">
        <f>SUMIFS('caseload data'!P:P,'caseload data'!$D:$D,"PSO",'caseload data'!$C:$C,'divisional &amp; regional caseload'!$B$57)</f>
        <v>0</v>
      </c>
      <c r="O60" s="104">
        <f>SUMIFS('caseload data'!Q:Q,'caseload data'!$D:$D,"PSO",'caseload data'!$C:$C,'divisional &amp; regional caseload'!$B$57)</f>
        <v>0</v>
      </c>
      <c r="P60" s="104">
        <f>SUMIFS('caseload data'!R:R,'caseload data'!$D:$D,"PSO",'caseload data'!$C:$C,'divisional &amp; regional caseload'!$B$57)</f>
        <v>0</v>
      </c>
      <c r="Q60" s="104">
        <f>SUMIFS('caseload data'!S:S,'caseload data'!$D:$D,"PSO",'caseload data'!$C:$C,'divisional &amp; regional caseload'!$B$57)</f>
        <v>0</v>
      </c>
      <c r="R60" s="104">
        <f>SUMIFS('caseload data'!T:T,'caseload data'!$D:$D,"PSO",'caseload data'!$C:$C,'divisional &amp; regional caseload'!$B$57)</f>
        <v>0</v>
      </c>
      <c r="S60" s="101"/>
      <c r="T60" s="107" t="s">
        <v>912</v>
      </c>
      <c r="U60" s="104">
        <f>SUMIFS('caseload data'!E:E,'caseload data'!$D:$D,"PSO",'caseload data'!$C:$C,'divisional &amp; regional caseload'!$T$57)</f>
        <v>0</v>
      </c>
      <c r="V60" s="104">
        <f>SUMIFS('caseload data'!F:F,'caseload data'!$D:$D,"PSO",'caseload data'!$C:$C,'divisional &amp; regional caseload'!$T$57)</f>
        <v>0</v>
      </c>
      <c r="W60" s="104">
        <f>SUMIFS('caseload data'!G:G,'caseload data'!$D:$D,"PSO",'caseload data'!$C:$C,'divisional &amp; regional caseload'!$T$57)</f>
        <v>0</v>
      </c>
      <c r="X60" s="104">
        <f>SUMIFS('caseload data'!H:H,'caseload data'!$D:$D,"PSO",'caseload data'!$C:$C,'divisional &amp; regional caseload'!$T$57)</f>
        <v>0</v>
      </c>
      <c r="Y60" s="104">
        <f>SUMIFS('caseload data'!I:I,'caseload data'!$D:$D,"PSO",'caseload data'!$C:$C,'divisional &amp; regional caseload'!$T$57)</f>
        <v>0</v>
      </c>
      <c r="Z60" s="104">
        <f>SUMIFS('caseload data'!J:J,'caseload data'!$D:$D,"PSO",'caseload data'!$C:$C,'divisional &amp; regional caseload'!$T$57)</f>
        <v>0</v>
      </c>
      <c r="AA60" s="104">
        <f>SUMIFS('caseload data'!K:K,'caseload data'!$D:$D,"PSO",'caseload data'!$C:$C,'divisional &amp; regional caseload'!$T$57)</f>
        <v>0</v>
      </c>
      <c r="AB60" s="104">
        <f>SUMIFS('caseload data'!L:L,'caseload data'!$D:$D,"PSO",'caseload data'!$C:$C,'divisional &amp; regional caseload'!$T$57)</f>
        <v>0</v>
      </c>
      <c r="AC60" s="104">
        <f>SUMIFS('caseload data'!M:M,'caseload data'!$D:$D,"PSO",'caseload data'!$C:$C,'divisional &amp; regional caseload'!$T$57)</f>
        <v>0</v>
      </c>
      <c r="AD60" s="104">
        <f>SUMIFS('caseload data'!N:N,'caseload data'!$D:$D,"PSO",'caseload data'!$C:$C,'divisional &amp; regional caseload'!$T$57)</f>
        <v>0</v>
      </c>
      <c r="AE60" s="104">
        <f>SUMIFS('caseload data'!O:O,'caseload data'!$D:$D,"PSO",'caseload data'!$C:$C,'divisional &amp; regional caseload'!$T$57)</f>
        <v>0</v>
      </c>
      <c r="AF60" s="104">
        <f>SUMIFS('caseload data'!P:P,'caseload data'!$D:$D,"PSO",'caseload data'!$C:$C,'divisional &amp; regional caseload'!$T$57)</f>
        <v>0</v>
      </c>
      <c r="AG60" s="104">
        <f>SUMIFS('caseload data'!Q:Q,'caseload data'!$D:$D,"PSO",'caseload data'!$C:$C,'divisional &amp; regional caseload'!$T$57)</f>
        <v>0</v>
      </c>
      <c r="AH60" s="104">
        <f>SUMIFS('caseload data'!R:R,'caseload data'!$D:$D,"PSO",'caseload data'!$C:$C,'divisional &amp; regional caseload'!$T$57)</f>
        <v>0</v>
      </c>
      <c r="AI60" s="104">
        <f>SUMIFS('caseload data'!S:S,'caseload data'!$D:$D,"PSO",'caseload data'!$C:$C,'divisional &amp; regional caseload'!$T$57)</f>
        <v>0</v>
      </c>
      <c r="AJ60" s="104">
        <f>SUMIFS('caseload data'!T:T,'caseload data'!$D:$D,"PSO",'caseload data'!$C:$C,'divisional &amp; regional caseload'!$T$57)</f>
        <v>0</v>
      </c>
    </row>
    <row r="61" spans="2:36" x14ac:dyDescent="0.15">
      <c r="B61" s="107" t="s">
        <v>913</v>
      </c>
      <c r="C61" s="104">
        <f>SUMIFS('caseload data'!E:E,'caseload data'!$D:$D,"TPO",'caseload data'!$C:$C,'divisional &amp; regional caseload'!$B$57)</f>
        <v>0</v>
      </c>
      <c r="D61" s="104">
        <f>SUMIFS('caseload data'!F:F,'caseload data'!$D:$D,"TPO",'caseload data'!$C:$C,'divisional &amp; regional caseload'!$B$57)</f>
        <v>0</v>
      </c>
      <c r="E61" s="104">
        <f>SUMIFS('caseload data'!G:G,'caseload data'!$D:$D,"TPO",'caseload data'!$C:$C,'divisional &amp; regional caseload'!$B$57)</f>
        <v>0</v>
      </c>
      <c r="F61" s="104">
        <f>SUMIFS('caseload data'!H:H,'caseload data'!$D:$D,"TPO",'caseload data'!$C:$C,'divisional &amp; regional caseload'!$B$57)</f>
        <v>0</v>
      </c>
      <c r="G61" s="104">
        <f>SUMIFS('caseload data'!I:I,'caseload data'!$D:$D,"TPO",'caseload data'!$C:$C,'divisional &amp; regional caseload'!$B$57)</f>
        <v>0</v>
      </c>
      <c r="H61" s="104">
        <f>SUMIFS('caseload data'!J:J,'caseload data'!$D:$D,"TPO",'caseload data'!$C:$C,'divisional &amp; regional caseload'!$B$57)</f>
        <v>0</v>
      </c>
      <c r="I61" s="104">
        <f>SUMIFS('caseload data'!K:K,'caseload data'!$D:$D,"TPO",'caseload data'!$C:$C,'divisional &amp; regional caseload'!$B$57)</f>
        <v>0</v>
      </c>
      <c r="J61" s="104">
        <f>SUMIFS('caseload data'!L:L,'caseload data'!$D:$D,"TPO",'caseload data'!$C:$C,'divisional &amp; regional caseload'!$B$57)</f>
        <v>0</v>
      </c>
      <c r="K61" s="104">
        <f>SUMIFS('caseload data'!M:M,'caseload data'!$D:$D,"TPO",'caseload data'!$C:$C,'divisional &amp; regional caseload'!$B$57)</f>
        <v>0</v>
      </c>
      <c r="L61" s="104">
        <f>SUMIFS('caseload data'!N:N,'caseload data'!$D:$D,"TPO",'caseload data'!$C:$C,'divisional &amp; regional caseload'!$B$57)</f>
        <v>0</v>
      </c>
      <c r="M61" s="104">
        <f>SUMIFS('caseload data'!O:O,'caseload data'!$D:$D,"TPO",'caseload data'!$C:$C,'divisional &amp; regional caseload'!$B$57)</f>
        <v>0</v>
      </c>
      <c r="N61" s="104">
        <f>SUMIFS('caseload data'!P:P,'caseload data'!$D:$D,"TPO",'caseload data'!$C:$C,'divisional &amp; regional caseload'!$B$57)</f>
        <v>0</v>
      </c>
      <c r="O61" s="104">
        <f>SUMIFS('caseload data'!Q:Q,'caseload data'!$D:$D,"TPO",'caseload data'!$C:$C,'divisional &amp; regional caseload'!$B$57)</f>
        <v>0</v>
      </c>
      <c r="P61" s="104">
        <f>SUMIFS('caseload data'!R:R,'caseload data'!$D:$D,"TPO",'caseload data'!$C:$C,'divisional &amp; regional caseload'!$B$57)</f>
        <v>0</v>
      </c>
      <c r="Q61" s="104">
        <f>SUMIFS('caseload data'!S:S,'caseload data'!$D:$D,"TPO",'caseload data'!$C:$C,'divisional &amp; regional caseload'!$B$57)</f>
        <v>0</v>
      </c>
      <c r="R61" s="104">
        <f>SUMIFS('caseload data'!T:T,'caseload data'!$D:$D,"TPO",'caseload data'!$C:$C,'divisional &amp; regional caseload'!$B$57)</f>
        <v>0</v>
      </c>
      <c r="S61" s="101"/>
      <c r="T61" s="107" t="s">
        <v>913</v>
      </c>
      <c r="U61" s="104">
        <f>SUMIFS('caseload data'!E:E,'caseload data'!$D:$D,"TPO",'caseload data'!$C:$C,'divisional &amp; regional caseload'!$T$57)</f>
        <v>0</v>
      </c>
      <c r="V61" s="104">
        <f>SUMIFS('caseload data'!F:F,'caseload data'!$D:$D,"TPO",'caseload data'!$C:$C,'divisional &amp; regional caseload'!$T$57)</f>
        <v>0</v>
      </c>
      <c r="W61" s="104">
        <f>SUMIFS('caseload data'!G:G,'caseload data'!$D:$D,"TPO",'caseload data'!$C:$C,'divisional &amp; regional caseload'!$T$57)</f>
        <v>0</v>
      </c>
      <c r="X61" s="104">
        <f>SUMIFS('caseload data'!H:H,'caseload data'!$D:$D,"TPO",'caseload data'!$C:$C,'divisional &amp; regional caseload'!$T$57)</f>
        <v>0</v>
      </c>
      <c r="Y61" s="104">
        <f>SUMIFS('caseload data'!I:I,'caseload data'!$D:$D,"TPO",'caseload data'!$C:$C,'divisional &amp; regional caseload'!$T$57)</f>
        <v>0</v>
      </c>
      <c r="Z61" s="104">
        <f>SUMIFS('caseload data'!J:J,'caseload data'!$D:$D,"TPO",'caseload data'!$C:$C,'divisional &amp; regional caseload'!$T$57)</f>
        <v>0</v>
      </c>
      <c r="AA61" s="104">
        <f>SUMIFS('caseload data'!K:K,'caseload data'!$D:$D,"TPO",'caseload data'!$C:$C,'divisional &amp; regional caseload'!$T$57)</f>
        <v>0</v>
      </c>
      <c r="AB61" s="104">
        <f>SUMIFS('caseload data'!L:L,'caseload data'!$D:$D,"TPO",'caseload data'!$C:$C,'divisional &amp; regional caseload'!$T$57)</f>
        <v>0</v>
      </c>
      <c r="AC61" s="104">
        <f>SUMIFS('caseload data'!M:M,'caseload data'!$D:$D,"TPO",'caseload data'!$C:$C,'divisional &amp; regional caseload'!$T$57)</f>
        <v>0</v>
      </c>
      <c r="AD61" s="104">
        <f>SUMIFS('caseload data'!N:N,'caseload data'!$D:$D,"TPO",'caseload data'!$C:$C,'divisional &amp; regional caseload'!$T$57)</f>
        <v>0</v>
      </c>
      <c r="AE61" s="104">
        <f>SUMIFS('caseload data'!O:O,'caseload data'!$D:$D,"TPO",'caseload data'!$C:$C,'divisional &amp; regional caseload'!$T$57)</f>
        <v>0</v>
      </c>
      <c r="AF61" s="104">
        <f>SUMIFS('caseload data'!P:P,'caseload data'!$D:$D,"TPO",'caseload data'!$C:$C,'divisional &amp; regional caseload'!$T$57)</f>
        <v>0</v>
      </c>
      <c r="AG61" s="104">
        <f>SUMIFS('caseload data'!Q:Q,'caseload data'!$D:$D,"TPO",'caseload data'!$C:$C,'divisional &amp; regional caseload'!$T$57)</f>
        <v>0</v>
      </c>
      <c r="AH61" s="104">
        <f>SUMIFS('caseload data'!R:R,'caseload data'!$D:$D,"TPO",'caseload data'!$C:$C,'divisional &amp; regional caseload'!$T$57)</f>
        <v>0</v>
      </c>
      <c r="AI61" s="104">
        <f>SUMIFS('caseload data'!S:S,'caseload data'!$D:$D,"TPO",'caseload data'!$C:$C,'divisional &amp; regional caseload'!$T$57)</f>
        <v>0</v>
      </c>
      <c r="AJ61" s="104">
        <f>SUMIFS('caseload data'!T:T,'caseload data'!$D:$D,"TPO",'caseload data'!$C:$C,'divisional &amp; regional caseload'!$T$57)</f>
        <v>0</v>
      </c>
    </row>
    <row r="62" spans="2:36" x14ac:dyDescent="0.15">
      <c r="B62" s="108" t="s">
        <v>914</v>
      </c>
      <c r="C62" s="104">
        <f>SUMIFS('caseload data'!E:E,'caseload data'!$D:$D,"SPO",'caseload data'!$C:$C,'divisional &amp; regional caseload'!$B$57)</f>
        <v>0</v>
      </c>
      <c r="D62" s="104">
        <f>SUMIFS('caseload data'!F:F,'caseload data'!$D:$D,"SPO",'caseload data'!$C:$C,'divisional &amp; regional caseload'!$B$57)</f>
        <v>0</v>
      </c>
      <c r="E62" s="104">
        <f>SUMIFS('caseload data'!G:G,'caseload data'!$D:$D,"SPO",'caseload data'!$C:$C,'divisional &amp; regional caseload'!$B$57)</f>
        <v>0</v>
      </c>
      <c r="F62" s="104">
        <f>SUMIFS('caseload data'!H:H,'caseload data'!$D:$D,"SPO",'caseload data'!$C:$C,'divisional &amp; regional caseload'!$B$57)</f>
        <v>0</v>
      </c>
      <c r="G62" s="104">
        <f>SUMIFS('caseload data'!I:I,'caseload data'!$D:$D,"SPO",'caseload data'!$C:$C,'divisional &amp; regional caseload'!$B$57)</f>
        <v>0</v>
      </c>
      <c r="H62" s="104">
        <f>SUMIFS('caseload data'!J:J,'caseload data'!$D:$D,"SPO",'caseload data'!$C:$C,'divisional &amp; regional caseload'!$B$57)</f>
        <v>0</v>
      </c>
      <c r="I62" s="104">
        <f>SUMIFS('caseload data'!K:K,'caseload data'!$D:$D,"SPO",'caseload data'!$C:$C,'divisional &amp; regional caseload'!$B$57)</f>
        <v>0</v>
      </c>
      <c r="J62" s="104">
        <f>SUMIFS('caseload data'!L:L,'caseload data'!$D:$D,"SPO",'caseload data'!$C:$C,'divisional &amp; regional caseload'!$B$57)</f>
        <v>0</v>
      </c>
      <c r="K62" s="104">
        <f>SUMIFS('caseload data'!M:M,'caseload data'!$D:$D,"SPO",'caseload data'!$C:$C,'divisional &amp; regional caseload'!$B$57)</f>
        <v>0</v>
      </c>
      <c r="L62" s="104">
        <f>SUMIFS('caseload data'!N:N,'caseload data'!$D:$D,"SPO",'caseload data'!$C:$C,'divisional &amp; regional caseload'!$B$57)</f>
        <v>0</v>
      </c>
      <c r="M62" s="104">
        <f>SUMIFS('caseload data'!O:O,'caseload data'!$D:$D,"SPO",'caseload data'!$C:$C,'divisional &amp; regional caseload'!$B$57)</f>
        <v>0</v>
      </c>
      <c r="N62" s="104">
        <f>SUMIFS('caseload data'!P:P,'caseload data'!$D:$D,"SPO",'caseload data'!$C:$C,'divisional &amp; regional caseload'!$B$57)</f>
        <v>0</v>
      </c>
      <c r="O62" s="104">
        <f>SUMIFS('caseload data'!Q:Q,'caseload data'!$D:$D,"SPO",'caseload data'!$C:$C,'divisional &amp; regional caseload'!$B$57)</f>
        <v>0</v>
      </c>
      <c r="P62" s="104">
        <f>SUMIFS('caseload data'!R:R,'caseload data'!$D:$D,"SPO",'caseload data'!$C:$C,'divisional &amp; regional caseload'!$B$57)</f>
        <v>0</v>
      </c>
      <c r="Q62" s="104">
        <f>SUMIFS('caseload data'!S:S,'caseload data'!$D:$D,"SPO",'caseload data'!$C:$C,'divisional &amp; regional caseload'!$B$57)</f>
        <v>0</v>
      </c>
      <c r="R62" s="104">
        <f>SUMIFS('caseload data'!T:T,'caseload data'!$D:$D,"SPO",'caseload data'!$C:$C,'divisional &amp; regional caseload'!$B$57)</f>
        <v>0</v>
      </c>
      <c r="S62" s="101"/>
      <c r="T62" s="108" t="s">
        <v>914</v>
      </c>
      <c r="U62" s="104">
        <f>SUMIFS('caseload data'!E:E,'caseload data'!$D:$D,"SPO",'caseload data'!$C:$C,'divisional &amp; regional caseload'!$T$57)</f>
        <v>0</v>
      </c>
      <c r="V62" s="104">
        <f>SUMIFS('caseload data'!F:F,'caseload data'!$D:$D,"SPO",'caseload data'!$C:$C,'divisional &amp; regional caseload'!$T$57)</f>
        <v>0</v>
      </c>
      <c r="W62" s="104">
        <f>SUMIFS('caseload data'!G:G,'caseload data'!$D:$D,"SPO",'caseload data'!$C:$C,'divisional &amp; regional caseload'!$T$57)</f>
        <v>0</v>
      </c>
      <c r="X62" s="104">
        <f>SUMIFS('caseload data'!H:H,'caseload data'!$D:$D,"SPO",'caseload data'!$C:$C,'divisional &amp; regional caseload'!$T$57)</f>
        <v>0</v>
      </c>
      <c r="Y62" s="104">
        <f>SUMIFS('caseload data'!I:I,'caseload data'!$D:$D,"SPO",'caseload data'!$C:$C,'divisional &amp; regional caseload'!$T$57)</f>
        <v>0</v>
      </c>
      <c r="Z62" s="104">
        <f>SUMIFS('caseload data'!J:J,'caseload data'!$D:$D,"SPO",'caseload data'!$C:$C,'divisional &amp; regional caseload'!$T$57)</f>
        <v>0</v>
      </c>
      <c r="AA62" s="104">
        <f>SUMIFS('caseload data'!K:K,'caseload data'!$D:$D,"SPO",'caseload data'!$C:$C,'divisional &amp; regional caseload'!$T$57)</f>
        <v>0</v>
      </c>
      <c r="AB62" s="104">
        <f>SUMIFS('caseload data'!L:L,'caseload data'!$D:$D,"SPO",'caseload data'!$C:$C,'divisional &amp; regional caseload'!$T$57)</f>
        <v>0</v>
      </c>
      <c r="AC62" s="104">
        <f>SUMIFS('caseload data'!M:M,'caseload data'!$D:$D,"SPO",'caseload data'!$C:$C,'divisional &amp; regional caseload'!$T$57)</f>
        <v>0</v>
      </c>
      <c r="AD62" s="104">
        <f>SUMIFS('caseload data'!N:N,'caseload data'!$D:$D,"SPO",'caseload data'!$C:$C,'divisional &amp; regional caseload'!$T$57)</f>
        <v>0</v>
      </c>
      <c r="AE62" s="104">
        <f>SUMIFS('caseload data'!O:O,'caseload data'!$D:$D,"SPO",'caseload data'!$C:$C,'divisional &amp; regional caseload'!$T$57)</f>
        <v>0</v>
      </c>
      <c r="AF62" s="104">
        <f>SUMIFS('caseload data'!P:P,'caseload data'!$D:$D,"SPO",'caseload data'!$C:$C,'divisional &amp; regional caseload'!$T$57)</f>
        <v>0</v>
      </c>
      <c r="AG62" s="104">
        <f>SUMIFS('caseload data'!Q:Q,'caseload data'!$D:$D,"SPO",'caseload data'!$C:$C,'divisional &amp; regional caseload'!$T$57)</f>
        <v>0</v>
      </c>
      <c r="AH62" s="104">
        <f>SUMIFS('caseload data'!R:R,'caseload data'!$D:$D,"SPO",'caseload data'!$C:$C,'divisional &amp; regional caseload'!$T$57)</f>
        <v>0</v>
      </c>
      <c r="AI62" s="104">
        <f>SUMIFS('caseload data'!S:S,'caseload data'!$D:$D,"SPO",'caseload data'!$C:$C,'divisional &amp; regional caseload'!$T$57)</f>
        <v>0</v>
      </c>
      <c r="AJ62" s="104">
        <f>SUMIFS('caseload data'!T:T,'caseload data'!$D:$D,"SPO",'caseload data'!$C:$C,'divisional &amp; regional caseload'!$T$57)</f>
        <v>0</v>
      </c>
    </row>
    <row r="64" spans="2:36" ht="32.25" customHeight="1" x14ac:dyDescent="0.15">
      <c r="B64" s="156" t="str">
        <f>HLOOKUP($B$5,Region_Table,18,0)</f>
        <v>Newham - N07</v>
      </c>
      <c r="C64" s="367" t="s">
        <v>1130</v>
      </c>
      <c r="D64" s="368"/>
      <c r="E64" s="368"/>
      <c r="F64" s="368"/>
      <c r="G64" s="368"/>
      <c r="H64" s="368"/>
      <c r="I64" s="368"/>
      <c r="J64" s="368"/>
      <c r="K64" s="368"/>
      <c r="L64" s="368"/>
      <c r="M64" s="369"/>
      <c r="N64" s="369"/>
      <c r="O64" s="370"/>
      <c r="P64" s="371">
        <f>SUMIF('caseload data'!$C:$C,'divisional &amp; regional caseload'!B64,'caseload data'!V:V)</f>
        <v>0</v>
      </c>
      <c r="Q64" s="372"/>
      <c r="R64" s="373"/>
      <c r="S64" s="101"/>
      <c r="T64" s="156" t="str">
        <f>HLOOKUP($B$5,Region_Table,19,0)</f>
        <v>Public Protection London</v>
      </c>
      <c r="U64" s="367" t="s">
        <v>1130</v>
      </c>
      <c r="V64" s="369"/>
      <c r="W64" s="369"/>
      <c r="X64" s="370"/>
      <c r="Y64" s="371">
        <f>SUMIF('caseload data'!$C:$C,'divisional &amp; regional caseload'!T64,'caseload data'!V:V)</f>
        <v>0</v>
      </c>
      <c r="Z64" s="372"/>
      <c r="AA64" s="373"/>
    </row>
    <row r="65" spans="2:36" x14ac:dyDescent="0.15">
      <c r="B65" s="105" t="s">
        <v>1065</v>
      </c>
      <c r="C65" s="41" t="s">
        <v>922</v>
      </c>
      <c r="D65" s="41" t="s">
        <v>923</v>
      </c>
      <c r="E65" s="41" t="s">
        <v>924</v>
      </c>
      <c r="F65" s="41" t="s">
        <v>925</v>
      </c>
      <c r="G65" s="41" t="s">
        <v>926</v>
      </c>
      <c r="H65" s="41" t="s">
        <v>927</v>
      </c>
      <c r="I65" s="41" t="s">
        <v>928</v>
      </c>
      <c r="J65" s="41" t="s">
        <v>929</v>
      </c>
      <c r="K65" s="41" t="s">
        <v>930</v>
      </c>
      <c r="L65" s="41" t="s">
        <v>931</v>
      </c>
      <c r="M65" s="41" t="s">
        <v>932</v>
      </c>
      <c r="N65" s="41" t="s">
        <v>933</v>
      </c>
      <c r="O65" s="41" t="s">
        <v>934</v>
      </c>
      <c r="P65" s="41" t="s">
        <v>935</v>
      </c>
      <c r="Q65" s="41" t="s">
        <v>936</v>
      </c>
      <c r="R65" s="41" t="s">
        <v>937</v>
      </c>
      <c r="S65" s="101"/>
      <c r="T65" s="105" t="s">
        <v>1065</v>
      </c>
      <c r="U65" s="41" t="s">
        <v>922</v>
      </c>
      <c r="V65" s="41" t="s">
        <v>923</v>
      </c>
      <c r="W65" s="41" t="s">
        <v>924</v>
      </c>
      <c r="X65" s="41" t="s">
        <v>925</v>
      </c>
      <c r="Y65" s="41" t="s">
        <v>926</v>
      </c>
      <c r="Z65" s="41" t="s">
        <v>927</v>
      </c>
      <c r="AA65" s="41" t="s">
        <v>928</v>
      </c>
      <c r="AB65" s="41" t="s">
        <v>929</v>
      </c>
      <c r="AC65" s="41" t="s">
        <v>930</v>
      </c>
      <c r="AD65" s="41" t="s">
        <v>931</v>
      </c>
      <c r="AE65" s="41" t="s">
        <v>932</v>
      </c>
      <c r="AF65" s="41" t="s">
        <v>933</v>
      </c>
      <c r="AG65" s="41" t="s">
        <v>934</v>
      </c>
      <c r="AH65" s="41" t="s">
        <v>935</v>
      </c>
      <c r="AI65" s="41" t="s">
        <v>936</v>
      </c>
      <c r="AJ65" s="41" t="s">
        <v>937</v>
      </c>
    </row>
    <row r="66" spans="2:36" x14ac:dyDescent="0.15">
      <c r="B66" s="106" t="s">
        <v>911</v>
      </c>
      <c r="C66" s="104">
        <f>SUMIFS('caseload data'!E:E,'caseload data'!$D:$D,"PO",'caseload data'!$C:$C,'divisional &amp; regional caseload'!$B$64)</f>
        <v>0</v>
      </c>
      <c r="D66" s="104">
        <f>SUMIFS('caseload data'!F:F,'caseload data'!$D:$D,"PO",'caseload data'!$C:$C,'divisional &amp; regional caseload'!$B$64)</f>
        <v>0</v>
      </c>
      <c r="E66" s="104">
        <f>SUMIFS('caseload data'!G:G,'caseload data'!$D:$D,"PO",'caseload data'!$C:$C,'divisional &amp; regional caseload'!$B$64)</f>
        <v>0</v>
      </c>
      <c r="F66" s="104">
        <f>SUMIFS('caseload data'!H:H,'caseload data'!$D:$D,"PO",'caseload data'!$C:$C,'divisional &amp; regional caseload'!$B$64)</f>
        <v>0</v>
      </c>
      <c r="G66" s="104">
        <f>SUMIFS('caseload data'!I:I,'caseload data'!$D:$D,"PO",'caseload data'!$C:$C,'divisional &amp; regional caseload'!$B$64)</f>
        <v>0</v>
      </c>
      <c r="H66" s="104">
        <f>SUMIFS('caseload data'!J:J,'caseload data'!$D:$D,"PO",'caseload data'!$C:$C,'divisional &amp; regional caseload'!$B$64)</f>
        <v>0</v>
      </c>
      <c r="I66" s="104">
        <f>SUMIFS('caseload data'!K:K,'caseload data'!$D:$D,"PO",'caseload data'!$C:$C,'divisional &amp; regional caseload'!$B$64)</f>
        <v>0</v>
      </c>
      <c r="J66" s="104">
        <f>SUMIFS('caseload data'!L:L,'caseload data'!$D:$D,"PO",'caseload data'!$C:$C,'divisional &amp; regional caseload'!$B$64)</f>
        <v>0</v>
      </c>
      <c r="K66" s="104">
        <f>SUMIFS('caseload data'!M:M,'caseload data'!$D:$D,"PO",'caseload data'!$C:$C,'divisional &amp; regional caseload'!$B$64)</f>
        <v>0</v>
      </c>
      <c r="L66" s="104">
        <f>SUMIFS('caseload data'!N:N,'caseload data'!$D:$D,"PO",'caseload data'!$C:$C,'divisional &amp; regional caseload'!$B$64)</f>
        <v>0</v>
      </c>
      <c r="M66" s="104">
        <f>SUMIFS('caseload data'!O:O,'caseload data'!$D:$D,"PO",'caseload data'!$C:$C,'divisional &amp; regional caseload'!$B$64)</f>
        <v>0</v>
      </c>
      <c r="N66" s="104">
        <f>SUMIFS('caseload data'!P:P,'caseload data'!$D:$D,"PO",'caseload data'!$C:$C,'divisional &amp; regional caseload'!$B$64)</f>
        <v>0</v>
      </c>
      <c r="O66" s="104">
        <f>SUMIFS('caseload data'!Q:Q,'caseload data'!$D:$D,"PO",'caseload data'!$C:$C,'divisional &amp; regional caseload'!$B$64)</f>
        <v>0</v>
      </c>
      <c r="P66" s="104">
        <f>SUMIFS('caseload data'!R:R,'caseload data'!$D:$D,"PO",'caseload data'!$C:$C,'divisional &amp; regional caseload'!$B$64)</f>
        <v>0</v>
      </c>
      <c r="Q66" s="104">
        <f>SUMIFS('caseload data'!S:S,'caseload data'!$D:$D,"PO",'caseload data'!$C:$C,'divisional &amp; regional caseload'!$B$64)</f>
        <v>0</v>
      </c>
      <c r="R66" s="104">
        <f>SUMIFS('caseload data'!T:T,'caseload data'!$D:$D,"PO",'caseload data'!$C:$C,'divisional &amp; regional caseload'!$B$64)</f>
        <v>0</v>
      </c>
      <c r="S66" s="101"/>
      <c r="T66" s="106" t="s">
        <v>911</v>
      </c>
      <c r="U66" s="104">
        <f>SUMIFS('caseload data'!E:E,'caseload data'!$D:$D,"PO",'caseload data'!$C:$C,'divisional &amp; regional caseload'!$T$64)</f>
        <v>0</v>
      </c>
      <c r="V66" s="104">
        <f>SUMIFS('caseload data'!F:F,'caseload data'!$D:$D,"PO",'caseload data'!$C:$C,'divisional &amp; regional caseload'!$T$64)</f>
        <v>0</v>
      </c>
      <c r="W66" s="104">
        <f>SUMIFS('caseload data'!G:G,'caseload data'!$D:$D,"PO",'caseload data'!$C:$C,'divisional &amp; regional caseload'!$T$64)</f>
        <v>0</v>
      </c>
      <c r="X66" s="104">
        <f>SUMIFS('caseload data'!H:H,'caseload data'!$D:$D,"PO",'caseload data'!$C:$C,'divisional &amp; regional caseload'!$T$64)</f>
        <v>0</v>
      </c>
      <c r="Y66" s="104">
        <f>SUMIFS('caseload data'!I:I,'caseload data'!$D:$D,"PO",'caseload data'!$C:$C,'divisional &amp; regional caseload'!$T$64)</f>
        <v>0</v>
      </c>
      <c r="Z66" s="104">
        <f>SUMIFS('caseload data'!J:J,'caseload data'!$D:$D,"PO",'caseload data'!$C:$C,'divisional &amp; regional caseload'!$T$64)</f>
        <v>0</v>
      </c>
      <c r="AA66" s="104">
        <f>SUMIFS('caseload data'!K:K,'caseload data'!$D:$D,"PO",'caseload data'!$C:$C,'divisional &amp; regional caseload'!$T$64)</f>
        <v>0</v>
      </c>
      <c r="AB66" s="104">
        <f>SUMIFS('caseload data'!L:L,'caseload data'!$D:$D,"PO",'caseload data'!$C:$C,'divisional &amp; regional caseload'!$T$64)</f>
        <v>0</v>
      </c>
      <c r="AC66" s="104">
        <f>SUMIFS('caseload data'!M:M,'caseload data'!$D:$D,"PO",'caseload data'!$C:$C,'divisional &amp; regional caseload'!$T$64)</f>
        <v>0</v>
      </c>
      <c r="AD66" s="104">
        <f>SUMIFS('caseload data'!N:N,'caseload data'!$D:$D,"PO",'caseload data'!$C:$C,'divisional &amp; regional caseload'!$T$64)</f>
        <v>0</v>
      </c>
      <c r="AE66" s="104">
        <f>SUMIFS('caseload data'!O:O,'caseload data'!$D:$D,"PO",'caseload data'!$C:$C,'divisional &amp; regional caseload'!$T$64)</f>
        <v>0</v>
      </c>
      <c r="AF66" s="104">
        <f>SUMIFS('caseload data'!P:P,'caseload data'!$D:$D,"PO",'caseload data'!$C:$C,'divisional &amp; regional caseload'!$T$64)</f>
        <v>0</v>
      </c>
      <c r="AG66" s="104">
        <f>SUMIFS('caseload data'!Q:Q,'caseload data'!$D:$D,"PO",'caseload data'!$C:$C,'divisional &amp; regional caseload'!$T$64)</f>
        <v>0</v>
      </c>
      <c r="AH66" s="104">
        <f>SUMIFS('caseload data'!R:R,'caseload data'!$D:$D,"PO",'caseload data'!$C:$C,'divisional &amp; regional caseload'!$T$64)</f>
        <v>0</v>
      </c>
      <c r="AI66" s="104">
        <f>SUMIFS('caseload data'!S:S,'caseload data'!$D:$D,"PO",'caseload data'!$C:$C,'divisional &amp; regional caseload'!$T$64)</f>
        <v>0</v>
      </c>
      <c r="AJ66" s="104">
        <f>SUMIFS('caseload data'!T:T,'caseload data'!$D:$D,"PO",'caseload data'!$C:$C,'divisional &amp; regional caseload'!$T$64)</f>
        <v>0</v>
      </c>
    </row>
    <row r="67" spans="2:36" x14ac:dyDescent="0.15">
      <c r="B67" s="107" t="s">
        <v>912</v>
      </c>
      <c r="C67" s="104">
        <f>SUMIFS('caseload data'!E:E,'caseload data'!$D:$D,"PSO",'caseload data'!$C:$C,'divisional &amp; regional caseload'!$B$64)</f>
        <v>0</v>
      </c>
      <c r="D67" s="104">
        <f>SUMIFS('caseload data'!F:F,'caseload data'!$D:$D,"PSO",'caseload data'!$C:$C,'divisional &amp; regional caseload'!$B$64)</f>
        <v>0</v>
      </c>
      <c r="E67" s="104">
        <f>SUMIFS('caseload data'!G:G,'caseload data'!$D:$D,"PSO",'caseload data'!$C:$C,'divisional &amp; regional caseload'!$B$64)</f>
        <v>0</v>
      </c>
      <c r="F67" s="104">
        <f>SUMIFS('caseload data'!H:H,'caseload data'!$D:$D,"PSO",'caseload data'!$C:$C,'divisional &amp; regional caseload'!$B$64)</f>
        <v>0</v>
      </c>
      <c r="G67" s="104">
        <f>SUMIFS('caseload data'!I:I,'caseload data'!$D:$D,"PSO",'caseload data'!$C:$C,'divisional &amp; regional caseload'!$B$64)</f>
        <v>0</v>
      </c>
      <c r="H67" s="104">
        <f>SUMIFS('caseload data'!J:J,'caseload data'!$D:$D,"PSO",'caseload data'!$C:$C,'divisional &amp; regional caseload'!$B$64)</f>
        <v>0</v>
      </c>
      <c r="I67" s="104">
        <f>SUMIFS('caseload data'!K:K,'caseload data'!$D:$D,"PSO",'caseload data'!$C:$C,'divisional &amp; regional caseload'!$B$64)</f>
        <v>0</v>
      </c>
      <c r="J67" s="104">
        <f>SUMIFS('caseload data'!L:L,'caseload data'!$D:$D,"PSO",'caseload data'!$C:$C,'divisional &amp; regional caseload'!$B$64)</f>
        <v>0</v>
      </c>
      <c r="K67" s="104">
        <f>SUMIFS('caseload data'!M:M,'caseload data'!$D:$D,"PSO",'caseload data'!$C:$C,'divisional &amp; regional caseload'!$B$64)</f>
        <v>0</v>
      </c>
      <c r="L67" s="104">
        <f>SUMIFS('caseload data'!N:N,'caseload data'!$D:$D,"PSO",'caseload data'!$C:$C,'divisional &amp; regional caseload'!$B$64)</f>
        <v>0</v>
      </c>
      <c r="M67" s="104">
        <f>SUMIFS('caseload data'!O:O,'caseload data'!$D:$D,"PSO",'caseload data'!$C:$C,'divisional &amp; regional caseload'!$B$64)</f>
        <v>0</v>
      </c>
      <c r="N67" s="104">
        <f>SUMIFS('caseload data'!P:P,'caseload data'!$D:$D,"PSO",'caseload data'!$C:$C,'divisional &amp; regional caseload'!$B$64)</f>
        <v>0</v>
      </c>
      <c r="O67" s="104">
        <f>SUMIFS('caseload data'!Q:Q,'caseload data'!$D:$D,"PSO",'caseload data'!$C:$C,'divisional &amp; regional caseload'!$B$64)</f>
        <v>0</v>
      </c>
      <c r="P67" s="104">
        <f>SUMIFS('caseload data'!R:R,'caseload data'!$D:$D,"PSO",'caseload data'!$C:$C,'divisional &amp; regional caseload'!$B$64)</f>
        <v>0</v>
      </c>
      <c r="Q67" s="104">
        <f>SUMIFS('caseload data'!S:S,'caseload data'!$D:$D,"PSO",'caseload data'!$C:$C,'divisional &amp; regional caseload'!$B$64)</f>
        <v>0</v>
      </c>
      <c r="R67" s="104">
        <f>SUMIFS('caseload data'!T:T,'caseload data'!$D:$D,"PSO",'caseload data'!$C:$C,'divisional &amp; regional caseload'!$B$64)</f>
        <v>0</v>
      </c>
      <c r="S67" s="101"/>
      <c r="T67" s="107" t="s">
        <v>912</v>
      </c>
      <c r="U67" s="104">
        <f>SUMIFS('caseload data'!E:E,'caseload data'!$D:$D,"PSO",'caseload data'!$C:$C,'divisional &amp; regional caseload'!$T$64)</f>
        <v>0</v>
      </c>
      <c r="V67" s="104">
        <f>SUMIFS('caseload data'!F:F,'caseload data'!$D:$D,"PSO",'caseload data'!$C:$C,'divisional &amp; regional caseload'!$T$64)</f>
        <v>0</v>
      </c>
      <c r="W67" s="104">
        <f>SUMIFS('caseload data'!G:G,'caseload data'!$D:$D,"PSO",'caseload data'!$C:$C,'divisional &amp; regional caseload'!$T$64)</f>
        <v>0</v>
      </c>
      <c r="X67" s="104">
        <f>SUMIFS('caseload data'!H:H,'caseload data'!$D:$D,"PSO",'caseload data'!$C:$C,'divisional &amp; regional caseload'!$T$64)</f>
        <v>0</v>
      </c>
      <c r="Y67" s="104">
        <f>SUMIFS('caseload data'!I:I,'caseload data'!$D:$D,"PSO",'caseload data'!$C:$C,'divisional &amp; regional caseload'!$T$64)</f>
        <v>0</v>
      </c>
      <c r="Z67" s="104">
        <f>SUMIFS('caseload data'!J:J,'caseload data'!$D:$D,"PSO",'caseload data'!$C:$C,'divisional &amp; regional caseload'!$T$64)</f>
        <v>0</v>
      </c>
      <c r="AA67" s="104">
        <f>SUMIFS('caseload data'!K:K,'caseload data'!$D:$D,"PSO",'caseload data'!$C:$C,'divisional &amp; regional caseload'!$T$64)</f>
        <v>0</v>
      </c>
      <c r="AB67" s="104">
        <f>SUMIFS('caseload data'!L:L,'caseload data'!$D:$D,"PSO",'caseload data'!$C:$C,'divisional &amp; regional caseload'!$T$64)</f>
        <v>0</v>
      </c>
      <c r="AC67" s="104">
        <f>SUMIFS('caseload data'!M:M,'caseload data'!$D:$D,"PSO",'caseload data'!$C:$C,'divisional &amp; regional caseload'!$T$64)</f>
        <v>0</v>
      </c>
      <c r="AD67" s="104">
        <f>SUMIFS('caseload data'!N:N,'caseload data'!$D:$D,"PSO",'caseload data'!$C:$C,'divisional &amp; regional caseload'!$T$64)</f>
        <v>0</v>
      </c>
      <c r="AE67" s="104">
        <f>SUMIFS('caseload data'!O:O,'caseload data'!$D:$D,"PSO",'caseload data'!$C:$C,'divisional &amp; regional caseload'!$T$64)</f>
        <v>0</v>
      </c>
      <c r="AF67" s="104">
        <f>SUMIFS('caseload data'!P:P,'caseload data'!$D:$D,"PSO",'caseload data'!$C:$C,'divisional &amp; regional caseload'!$T$64)</f>
        <v>0</v>
      </c>
      <c r="AG67" s="104">
        <f>SUMIFS('caseload data'!Q:Q,'caseload data'!$D:$D,"PSO",'caseload data'!$C:$C,'divisional &amp; regional caseload'!$T$64)</f>
        <v>0</v>
      </c>
      <c r="AH67" s="104">
        <f>SUMIFS('caseload data'!R:R,'caseload data'!$D:$D,"PSO",'caseload data'!$C:$C,'divisional &amp; regional caseload'!$T$64)</f>
        <v>0</v>
      </c>
      <c r="AI67" s="104">
        <f>SUMIFS('caseload data'!S:S,'caseload data'!$D:$D,"PSO",'caseload data'!$C:$C,'divisional &amp; regional caseload'!$T$64)</f>
        <v>0</v>
      </c>
      <c r="AJ67" s="104">
        <f>SUMIFS('caseload data'!T:T,'caseload data'!$D:$D,"PSO",'caseload data'!$C:$C,'divisional &amp; regional caseload'!$T$64)</f>
        <v>0</v>
      </c>
    </row>
    <row r="68" spans="2:36" x14ac:dyDescent="0.15">
      <c r="B68" s="107" t="s">
        <v>913</v>
      </c>
      <c r="C68" s="104">
        <f>SUMIFS('caseload data'!E:E,'caseload data'!$D:$D,"TPO",'caseload data'!$C:$C,'divisional &amp; regional caseload'!$B$64)</f>
        <v>0</v>
      </c>
      <c r="D68" s="104">
        <f>SUMIFS('caseload data'!F:F,'caseload data'!$D:$D,"TPO",'caseload data'!$C:$C,'divisional &amp; regional caseload'!$B$64)</f>
        <v>0</v>
      </c>
      <c r="E68" s="104">
        <f>SUMIFS('caseload data'!G:G,'caseload data'!$D:$D,"TPO",'caseload data'!$C:$C,'divisional &amp; regional caseload'!$B$64)</f>
        <v>0</v>
      </c>
      <c r="F68" s="104">
        <f>SUMIFS('caseload data'!H:H,'caseload data'!$D:$D,"TPO",'caseload data'!$C:$C,'divisional &amp; regional caseload'!$B$64)</f>
        <v>0</v>
      </c>
      <c r="G68" s="104">
        <f>SUMIFS('caseload data'!I:I,'caseload data'!$D:$D,"TPO",'caseload data'!$C:$C,'divisional &amp; regional caseload'!$B$64)</f>
        <v>0</v>
      </c>
      <c r="H68" s="104">
        <f>SUMIFS('caseload data'!J:J,'caseload data'!$D:$D,"TPO",'caseload data'!$C:$C,'divisional &amp; regional caseload'!$B$64)</f>
        <v>0</v>
      </c>
      <c r="I68" s="104">
        <f>SUMIFS('caseload data'!K:K,'caseload data'!$D:$D,"TPO",'caseload data'!$C:$C,'divisional &amp; regional caseload'!$B$64)</f>
        <v>0</v>
      </c>
      <c r="J68" s="104">
        <f>SUMIFS('caseload data'!L:L,'caseload data'!$D:$D,"TPO",'caseload data'!$C:$C,'divisional &amp; regional caseload'!$B$64)</f>
        <v>0</v>
      </c>
      <c r="K68" s="104">
        <f>SUMIFS('caseload data'!M:M,'caseload data'!$D:$D,"TPO",'caseload data'!$C:$C,'divisional &amp; regional caseload'!$B$64)</f>
        <v>0</v>
      </c>
      <c r="L68" s="104">
        <f>SUMIFS('caseload data'!N:N,'caseload data'!$D:$D,"TPO",'caseload data'!$C:$C,'divisional &amp; regional caseload'!$B$64)</f>
        <v>0</v>
      </c>
      <c r="M68" s="104">
        <f>SUMIFS('caseload data'!O:O,'caseload data'!$D:$D,"TPO",'caseload data'!$C:$C,'divisional &amp; regional caseload'!$B$64)</f>
        <v>0</v>
      </c>
      <c r="N68" s="104">
        <f>SUMIFS('caseload data'!P:P,'caseload data'!$D:$D,"TPO",'caseload data'!$C:$C,'divisional &amp; regional caseload'!$B$64)</f>
        <v>0</v>
      </c>
      <c r="O68" s="104">
        <f>SUMIFS('caseload data'!Q:Q,'caseload data'!$D:$D,"TPO",'caseload data'!$C:$C,'divisional &amp; regional caseload'!$B$64)</f>
        <v>0</v>
      </c>
      <c r="P68" s="104">
        <f>SUMIFS('caseload data'!R:R,'caseload data'!$D:$D,"TPO",'caseload data'!$C:$C,'divisional &amp; regional caseload'!$B$64)</f>
        <v>0</v>
      </c>
      <c r="Q68" s="104">
        <f>SUMIFS('caseload data'!S:S,'caseload data'!$D:$D,"TPO",'caseload data'!$C:$C,'divisional &amp; regional caseload'!$B$64)</f>
        <v>0</v>
      </c>
      <c r="R68" s="104">
        <f>SUMIFS('caseload data'!T:T,'caseload data'!$D:$D,"TPO",'caseload data'!$C:$C,'divisional &amp; regional caseload'!$B$64)</f>
        <v>0</v>
      </c>
      <c r="S68" s="101"/>
      <c r="T68" s="107" t="s">
        <v>913</v>
      </c>
      <c r="U68" s="104">
        <f>SUMIFS('caseload data'!E:E,'caseload data'!$D:$D,"TPO",'caseload data'!$C:$C,'divisional &amp; regional caseload'!$T$64)</f>
        <v>0</v>
      </c>
      <c r="V68" s="104">
        <f>SUMIFS('caseload data'!F:F,'caseload data'!$D:$D,"TPO",'caseload data'!$C:$C,'divisional &amp; regional caseload'!$T$64)</f>
        <v>0</v>
      </c>
      <c r="W68" s="104">
        <f>SUMIFS('caseload data'!G:G,'caseload data'!$D:$D,"TPO",'caseload data'!$C:$C,'divisional &amp; regional caseload'!$T$64)</f>
        <v>0</v>
      </c>
      <c r="X68" s="104">
        <f>SUMIFS('caseload data'!H:H,'caseload data'!$D:$D,"TPO",'caseload data'!$C:$C,'divisional &amp; regional caseload'!$T$64)</f>
        <v>0</v>
      </c>
      <c r="Y68" s="104">
        <f>SUMIFS('caseload data'!I:I,'caseload data'!$D:$D,"TPO",'caseload data'!$C:$C,'divisional &amp; regional caseload'!$T$64)</f>
        <v>0</v>
      </c>
      <c r="Z68" s="104">
        <f>SUMIFS('caseload data'!J:J,'caseload data'!$D:$D,"TPO",'caseload data'!$C:$C,'divisional &amp; regional caseload'!$T$64)</f>
        <v>0</v>
      </c>
      <c r="AA68" s="104">
        <f>SUMIFS('caseload data'!K:K,'caseload data'!$D:$D,"TPO",'caseload data'!$C:$C,'divisional &amp; regional caseload'!$T$64)</f>
        <v>0</v>
      </c>
      <c r="AB68" s="104">
        <f>SUMIFS('caseload data'!L:L,'caseload data'!$D:$D,"TPO",'caseload data'!$C:$C,'divisional &amp; regional caseload'!$T$64)</f>
        <v>0</v>
      </c>
      <c r="AC68" s="104">
        <f>SUMIFS('caseload data'!M:M,'caseload data'!$D:$D,"TPO",'caseload data'!$C:$C,'divisional &amp; regional caseload'!$T$64)</f>
        <v>0</v>
      </c>
      <c r="AD68" s="104">
        <f>SUMIFS('caseload data'!N:N,'caseload data'!$D:$D,"TPO",'caseload data'!$C:$C,'divisional &amp; regional caseload'!$T$64)</f>
        <v>0</v>
      </c>
      <c r="AE68" s="104">
        <f>SUMIFS('caseload data'!O:O,'caseload data'!$D:$D,"TPO",'caseload data'!$C:$C,'divisional &amp; regional caseload'!$T$64)</f>
        <v>0</v>
      </c>
      <c r="AF68" s="104">
        <f>SUMIFS('caseload data'!P:P,'caseload data'!$D:$D,"TPO",'caseload data'!$C:$C,'divisional &amp; regional caseload'!$T$64)</f>
        <v>0</v>
      </c>
      <c r="AG68" s="104">
        <f>SUMIFS('caseload data'!Q:Q,'caseload data'!$D:$D,"TPO",'caseload data'!$C:$C,'divisional &amp; regional caseload'!$T$64)</f>
        <v>0</v>
      </c>
      <c r="AH68" s="104">
        <f>SUMIFS('caseload data'!R:R,'caseload data'!$D:$D,"TPO",'caseload data'!$C:$C,'divisional &amp; regional caseload'!$T$64)</f>
        <v>0</v>
      </c>
      <c r="AI68" s="104">
        <f>SUMIFS('caseload data'!S:S,'caseload data'!$D:$D,"TPO",'caseload data'!$C:$C,'divisional &amp; regional caseload'!$T$64)</f>
        <v>0</v>
      </c>
      <c r="AJ68" s="104">
        <f>SUMIFS('caseload data'!T:T,'caseload data'!$D:$D,"TPO",'caseload data'!$C:$C,'divisional &amp; regional caseload'!$T$64)</f>
        <v>0</v>
      </c>
    </row>
    <row r="69" spans="2:36" x14ac:dyDescent="0.15">
      <c r="B69" s="108" t="s">
        <v>914</v>
      </c>
      <c r="C69" s="104">
        <f>SUMIFS('caseload data'!E:E,'caseload data'!$D:$D,"SPO",'caseload data'!$C:$C,'divisional &amp; regional caseload'!$B$64)</f>
        <v>0</v>
      </c>
      <c r="D69" s="104">
        <f>SUMIFS('caseload data'!F:F,'caseload data'!$D:$D,"SPO",'caseload data'!$C:$C,'divisional &amp; regional caseload'!$B$64)</f>
        <v>0</v>
      </c>
      <c r="E69" s="104">
        <f>SUMIFS('caseload data'!G:G,'caseload data'!$D:$D,"SPO",'caseload data'!$C:$C,'divisional &amp; regional caseload'!$B$64)</f>
        <v>0</v>
      </c>
      <c r="F69" s="104">
        <f>SUMIFS('caseload data'!H:H,'caseload data'!$D:$D,"SPO",'caseload data'!$C:$C,'divisional &amp; regional caseload'!$B$64)</f>
        <v>0</v>
      </c>
      <c r="G69" s="104">
        <f>SUMIFS('caseload data'!I:I,'caseload data'!$D:$D,"SPO",'caseload data'!$C:$C,'divisional &amp; regional caseload'!$B$64)</f>
        <v>0</v>
      </c>
      <c r="H69" s="104">
        <f>SUMIFS('caseload data'!J:J,'caseload data'!$D:$D,"SPO",'caseload data'!$C:$C,'divisional &amp; regional caseload'!$B$64)</f>
        <v>0</v>
      </c>
      <c r="I69" s="104">
        <f>SUMIFS('caseload data'!K:K,'caseload data'!$D:$D,"SPO",'caseload data'!$C:$C,'divisional &amp; regional caseload'!$B$64)</f>
        <v>0</v>
      </c>
      <c r="J69" s="104">
        <f>SUMIFS('caseload data'!L:L,'caseload data'!$D:$D,"SPO",'caseload data'!$C:$C,'divisional &amp; regional caseload'!$B$64)</f>
        <v>0</v>
      </c>
      <c r="K69" s="104">
        <f>SUMIFS('caseload data'!M:M,'caseload data'!$D:$D,"SPO",'caseload data'!$C:$C,'divisional &amp; regional caseload'!$B$64)</f>
        <v>0</v>
      </c>
      <c r="L69" s="104">
        <f>SUMIFS('caseload data'!N:N,'caseload data'!$D:$D,"SPO",'caseload data'!$C:$C,'divisional &amp; regional caseload'!$B$64)</f>
        <v>0</v>
      </c>
      <c r="M69" s="104">
        <f>SUMIFS('caseload data'!O:O,'caseload data'!$D:$D,"SPO",'caseload data'!$C:$C,'divisional &amp; regional caseload'!$B$64)</f>
        <v>0</v>
      </c>
      <c r="N69" s="104">
        <f>SUMIFS('caseload data'!P:P,'caseload data'!$D:$D,"SPO",'caseload data'!$C:$C,'divisional &amp; regional caseload'!$B$64)</f>
        <v>0</v>
      </c>
      <c r="O69" s="104">
        <f>SUMIFS('caseload data'!Q:Q,'caseload data'!$D:$D,"SPO",'caseload data'!$C:$C,'divisional &amp; regional caseload'!$B$64)</f>
        <v>0</v>
      </c>
      <c r="P69" s="104">
        <f>SUMIFS('caseload data'!R:R,'caseload data'!$D:$D,"SPO",'caseload data'!$C:$C,'divisional &amp; regional caseload'!$B$64)</f>
        <v>0</v>
      </c>
      <c r="Q69" s="104">
        <f>SUMIFS('caseload data'!S:S,'caseload data'!$D:$D,"SPO",'caseload data'!$C:$C,'divisional &amp; regional caseload'!$B$64)</f>
        <v>0</v>
      </c>
      <c r="R69" s="104">
        <f>SUMIFS('caseload data'!T:T,'caseload data'!$D:$D,"SPO",'caseload data'!$C:$C,'divisional &amp; regional caseload'!$B$64)</f>
        <v>0</v>
      </c>
      <c r="S69" s="101"/>
      <c r="T69" s="108" t="s">
        <v>914</v>
      </c>
      <c r="U69" s="104">
        <f>SUMIFS('caseload data'!E:E,'caseload data'!$D:$D,"SPO",'caseload data'!$C:$C,'divisional &amp; regional caseload'!$T$64)</f>
        <v>0</v>
      </c>
      <c r="V69" s="104">
        <f>SUMIFS('caseload data'!F:F,'caseload data'!$D:$D,"SPO",'caseload data'!$C:$C,'divisional &amp; regional caseload'!$T$64)</f>
        <v>0</v>
      </c>
      <c r="W69" s="104">
        <f>SUMIFS('caseload data'!G:G,'caseload data'!$D:$D,"SPO",'caseload data'!$C:$C,'divisional &amp; regional caseload'!$T$64)</f>
        <v>0</v>
      </c>
      <c r="X69" s="104">
        <f>SUMIFS('caseload data'!H:H,'caseload data'!$D:$D,"SPO",'caseload data'!$C:$C,'divisional &amp; regional caseload'!$T$64)</f>
        <v>0</v>
      </c>
      <c r="Y69" s="104">
        <f>SUMIFS('caseload data'!I:I,'caseload data'!$D:$D,"SPO",'caseload data'!$C:$C,'divisional &amp; regional caseload'!$T$64)</f>
        <v>0</v>
      </c>
      <c r="Z69" s="104">
        <f>SUMIFS('caseload data'!J:J,'caseload data'!$D:$D,"SPO",'caseload data'!$C:$C,'divisional &amp; regional caseload'!$T$64)</f>
        <v>0</v>
      </c>
      <c r="AA69" s="104">
        <f>SUMIFS('caseload data'!K:K,'caseload data'!$D:$D,"SPO",'caseload data'!$C:$C,'divisional &amp; regional caseload'!$T$64)</f>
        <v>0</v>
      </c>
      <c r="AB69" s="104">
        <f>SUMIFS('caseload data'!L:L,'caseload data'!$D:$D,"SPO",'caseload data'!$C:$C,'divisional &amp; regional caseload'!$T$64)</f>
        <v>0</v>
      </c>
      <c r="AC69" s="104">
        <f>SUMIFS('caseload data'!M:M,'caseload data'!$D:$D,"SPO",'caseload data'!$C:$C,'divisional &amp; regional caseload'!$T$64)</f>
        <v>0</v>
      </c>
      <c r="AD69" s="104">
        <f>SUMIFS('caseload data'!N:N,'caseload data'!$D:$D,"SPO",'caseload data'!$C:$C,'divisional &amp; regional caseload'!$T$64)</f>
        <v>0</v>
      </c>
      <c r="AE69" s="104">
        <f>SUMIFS('caseload data'!O:O,'caseload data'!$D:$D,"SPO",'caseload data'!$C:$C,'divisional &amp; regional caseload'!$T$64)</f>
        <v>0</v>
      </c>
      <c r="AF69" s="104">
        <f>SUMIFS('caseload data'!P:P,'caseload data'!$D:$D,"SPO",'caseload data'!$C:$C,'divisional &amp; regional caseload'!$T$64)</f>
        <v>0</v>
      </c>
      <c r="AG69" s="104">
        <f>SUMIFS('caseload data'!Q:Q,'caseload data'!$D:$D,"SPO",'caseload data'!$C:$C,'divisional &amp; regional caseload'!$T$64)</f>
        <v>0</v>
      </c>
      <c r="AH69" s="104">
        <f>SUMIFS('caseload data'!R:R,'caseload data'!$D:$D,"SPO",'caseload data'!$C:$C,'divisional &amp; regional caseload'!$T$64)</f>
        <v>0</v>
      </c>
      <c r="AI69" s="104">
        <f>SUMIFS('caseload data'!S:S,'caseload data'!$D:$D,"SPO",'caseload data'!$C:$C,'divisional &amp; regional caseload'!$T$64)</f>
        <v>0</v>
      </c>
      <c r="AJ69" s="104">
        <f>SUMIFS('caseload data'!T:T,'caseload data'!$D:$D,"SPO",'caseload data'!$C:$C,'divisional &amp; regional caseload'!$T$64)</f>
        <v>0</v>
      </c>
    </row>
    <row r="71" spans="2:36" ht="41.25" customHeight="1" x14ac:dyDescent="0.15">
      <c r="B71" s="156" t="str">
        <f>HLOOKUP($B$5,Region_Table,20,0)</f>
        <v>Redbridge and Waltham Forest</v>
      </c>
      <c r="C71" s="367" t="s">
        <v>1130</v>
      </c>
      <c r="D71" s="368"/>
      <c r="E71" s="368"/>
      <c r="F71" s="368"/>
      <c r="G71" s="368"/>
      <c r="H71" s="368"/>
      <c r="I71" s="368"/>
      <c r="J71" s="368"/>
      <c r="K71" s="368"/>
      <c r="L71" s="368"/>
      <c r="M71" s="369"/>
      <c r="N71" s="369"/>
      <c r="O71" s="370"/>
      <c r="P71" s="371">
        <f>SUMIF('caseload data'!$C:$C,'divisional &amp; regional caseload'!B71,'caseload data'!V:V)</f>
        <v>0</v>
      </c>
      <c r="Q71" s="372"/>
      <c r="R71" s="373"/>
      <c r="T71" s="156" t="str">
        <f>HLOOKUP($B$5,Region_Table,21,0)</f>
        <v>Southwark - N07</v>
      </c>
      <c r="U71" s="367" t="s">
        <v>1130</v>
      </c>
      <c r="V71" s="368"/>
      <c r="W71" s="368"/>
      <c r="X71" s="374"/>
      <c r="Y71" s="371">
        <f>SUMIF('caseload data'!$C:$C,'divisional &amp; regional caseload'!T71,'caseload data'!V:V)</f>
        <v>0</v>
      </c>
      <c r="Z71" s="375"/>
      <c r="AA71" s="376"/>
    </row>
    <row r="72" spans="2:36" x14ac:dyDescent="0.15">
      <c r="B72" s="105" t="s">
        <v>1065</v>
      </c>
      <c r="C72" s="41" t="s">
        <v>922</v>
      </c>
      <c r="D72" s="41" t="s">
        <v>923</v>
      </c>
      <c r="E72" s="41" t="s">
        <v>924</v>
      </c>
      <c r="F72" s="41" t="s">
        <v>925</v>
      </c>
      <c r="G72" s="41" t="s">
        <v>926</v>
      </c>
      <c r="H72" s="41" t="s">
        <v>927</v>
      </c>
      <c r="I72" s="41" t="s">
        <v>928</v>
      </c>
      <c r="J72" s="41" t="s">
        <v>929</v>
      </c>
      <c r="K72" s="41" t="s">
        <v>930</v>
      </c>
      <c r="L72" s="41" t="s">
        <v>931</v>
      </c>
      <c r="M72" s="41" t="s">
        <v>932</v>
      </c>
      <c r="N72" s="41" t="s">
        <v>933</v>
      </c>
      <c r="O72" s="41" t="s">
        <v>934</v>
      </c>
      <c r="P72" s="41" t="s">
        <v>935</v>
      </c>
      <c r="Q72" s="41" t="s">
        <v>936</v>
      </c>
      <c r="R72" s="41" t="s">
        <v>937</v>
      </c>
      <c r="T72" s="105" t="s">
        <v>1065</v>
      </c>
      <c r="U72" s="41" t="s">
        <v>922</v>
      </c>
      <c r="V72" s="41" t="s">
        <v>923</v>
      </c>
      <c r="W72" s="41" t="s">
        <v>924</v>
      </c>
      <c r="X72" s="41" t="s">
        <v>925</v>
      </c>
      <c r="Y72" s="41" t="s">
        <v>926</v>
      </c>
      <c r="Z72" s="41" t="s">
        <v>927</v>
      </c>
      <c r="AA72" s="41" t="s">
        <v>928</v>
      </c>
      <c r="AB72" s="41" t="s">
        <v>929</v>
      </c>
      <c r="AC72" s="41" t="s">
        <v>930</v>
      </c>
      <c r="AD72" s="41" t="s">
        <v>931</v>
      </c>
      <c r="AE72" s="41" t="s">
        <v>932</v>
      </c>
      <c r="AF72" s="41" t="s">
        <v>933</v>
      </c>
      <c r="AG72" s="41" t="s">
        <v>934</v>
      </c>
      <c r="AH72" s="41" t="s">
        <v>935</v>
      </c>
      <c r="AI72" s="41" t="s">
        <v>936</v>
      </c>
      <c r="AJ72" s="41" t="s">
        <v>937</v>
      </c>
    </row>
    <row r="73" spans="2:36" x14ac:dyDescent="0.15">
      <c r="B73" s="106" t="s">
        <v>911</v>
      </c>
      <c r="C73" s="104">
        <f>SUMIFS('caseload data'!E:E,'caseload data'!$D:$D,"PO",'caseload data'!$C:$C,'divisional &amp; regional caseload'!$B$71)</f>
        <v>0</v>
      </c>
      <c r="D73" s="104">
        <f>SUMIFS('caseload data'!F:F,'caseload data'!$D:$D,"PO",'caseload data'!$C:$C,'divisional &amp; regional caseload'!$B$71)</f>
        <v>0</v>
      </c>
      <c r="E73" s="104">
        <f>SUMIFS('caseload data'!G:G,'caseload data'!$D:$D,"PO",'caseload data'!$C:$C,'divisional &amp; regional caseload'!$B$71)</f>
        <v>0</v>
      </c>
      <c r="F73" s="104">
        <f>SUMIFS('caseload data'!H:H,'caseload data'!$D:$D,"PO",'caseload data'!$C:$C,'divisional &amp; regional caseload'!$B$71)</f>
        <v>0</v>
      </c>
      <c r="G73" s="104">
        <f>SUMIFS('caseload data'!I:I,'caseload data'!$D:$D,"PO",'caseload data'!$C:$C,'divisional &amp; regional caseload'!$B$71)</f>
        <v>0</v>
      </c>
      <c r="H73" s="104">
        <f>SUMIFS('caseload data'!J:J,'caseload data'!$D:$D,"PO",'caseload data'!$C:$C,'divisional &amp; regional caseload'!$B$71)</f>
        <v>0</v>
      </c>
      <c r="I73" s="104">
        <f>SUMIFS('caseload data'!K:K,'caseload data'!$D:$D,"PO",'caseload data'!$C:$C,'divisional &amp; regional caseload'!$B$71)</f>
        <v>0</v>
      </c>
      <c r="J73" s="104">
        <f>SUMIFS('caseload data'!L:L,'caseload data'!$D:$D,"PO",'caseload data'!$C:$C,'divisional &amp; regional caseload'!$B$71)</f>
        <v>0</v>
      </c>
      <c r="K73" s="104">
        <f>SUMIFS('caseload data'!M:M,'caseload data'!$D:$D,"PO",'caseload data'!$C:$C,'divisional &amp; regional caseload'!$B$71)</f>
        <v>0</v>
      </c>
      <c r="L73" s="104">
        <f>SUMIFS('caseload data'!N:N,'caseload data'!$D:$D,"PO",'caseload data'!$C:$C,'divisional &amp; regional caseload'!$B$71)</f>
        <v>0</v>
      </c>
      <c r="M73" s="104">
        <f>SUMIFS('caseload data'!O:O,'caseload data'!$D:$D,"PO",'caseload data'!$C:$C,'divisional &amp; regional caseload'!$B$71)</f>
        <v>0</v>
      </c>
      <c r="N73" s="104">
        <f>SUMIFS('caseload data'!P:P,'caseload data'!$D:$D,"PO",'caseload data'!$C:$C,'divisional &amp; regional caseload'!$B$71)</f>
        <v>0</v>
      </c>
      <c r="O73" s="104">
        <f>SUMIFS('caseload data'!Q:Q,'caseload data'!$D:$D,"PO",'caseload data'!$C:$C,'divisional &amp; regional caseload'!$B$71)</f>
        <v>0</v>
      </c>
      <c r="P73" s="104">
        <f>SUMIFS('caseload data'!R:R,'caseload data'!$D:$D,"PO",'caseload data'!$C:$C,'divisional &amp; regional caseload'!$B$71)</f>
        <v>0</v>
      </c>
      <c r="Q73" s="104">
        <f>SUMIFS('caseload data'!S:S,'caseload data'!$D:$D,"PO",'caseload data'!$C:$C,'divisional &amp; regional caseload'!$B$71)</f>
        <v>0</v>
      </c>
      <c r="R73" s="104">
        <f>SUMIFS('caseload data'!T:T,'caseload data'!$D:$D,"PO",'caseload data'!$C:$C,'divisional &amp; regional caseload'!$B$71)</f>
        <v>0</v>
      </c>
      <c r="T73" s="106" t="s">
        <v>911</v>
      </c>
      <c r="U73" s="104">
        <f>SUMIFS('caseload data'!E:E,'caseload data'!$D:$D,"PO",'caseload data'!$C:$C,'divisional &amp; regional caseload'!$T$71)</f>
        <v>0</v>
      </c>
      <c r="V73" s="104">
        <f>SUMIFS('caseload data'!F:F,'caseload data'!$D:$D,"PO",'caseload data'!$C:$C,'divisional &amp; regional caseload'!$T$71)</f>
        <v>0</v>
      </c>
      <c r="W73" s="104">
        <f>SUMIFS('caseload data'!G:G,'caseload data'!$D:$D,"PO",'caseload data'!$C:$C,'divisional &amp; regional caseload'!$T$71)</f>
        <v>0</v>
      </c>
      <c r="X73" s="104">
        <f>SUMIFS('caseload data'!H:H,'caseload data'!$D:$D,"PO",'caseload data'!$C:$C,'divisional &amp; regional caseload'!$T$71)</f>
        <v>0</v>
      </c>
      <c r="Y73" s="104">
        <f>SUMIFS('caseload data'!I:I,'caseload data'!$D:$D,"PO",'caseload data'!$C:$C,'divisional &amp; regional caseload'!$T$71)</f>
        <v>0</v>
      </c>
      <c r="Z73" s="104">
        <f>SUMIFS('caseload data'!J:J,'caseload data'!$D:$D,"PO",'caseload data'!$C:$C,'divisional &amp; regional caseload'!$T$71)</f>
        <v>0</v>
      </c>
      <c r="AA73" s="104">
        <f>SUMIFS('caseload data'!K:K,'caseload data'!$D:$D,"PO",'caseload data'!$C:$C,'divisional &amp; regional caseload'!$T$71)</f>
        <v>0</v>
      </c>
      <c r="AB73" s="104">
        <f>SUMIFS('caseload data'!L:L,'caseload data'!$D:$D,"PO",'caseload data'!$C:$C,'divisional &amp; regional caseload'!$T$71)</f>
        <v>0</v>
      </c>
      <c r="AC73" s="104">
        <f>SUMIFS('caseload data'!M:M,'caseload data'!$D:$D,"PO",'caseload data'!$C:$C,'divisional &amp; regional caseload'!$T$71)</f>
        <v>0</v>
      </c>
      <c r="AD73" s="104">
        <f>SUMIFS('caseload data'!N:N,'caseload data'!$D:$D,"PO",'caseload data'!$C:$C,'divisional &amp; regional caseload'!$T$71)</f>
        <v>0</v>
      </c>
      <c r="AE73" s="104">
        <f>SUMIFS('caseload data'!O:O,'caseload data'!$D:$D,"PO",'caseload data'!$C:$C,'divisional &amp; regional caseload'!$T$71)</f>
        <v>0</v>
      </c>
      <c r="AF73" s="104">
        <f>SUMIFS('caseload data'!P:P,'caseload data'!$D:$D,"PO",'caseload data'!$C:$C,'divisional &amp; regional caseload'!$T$71)</f>
        <v>0</v>
      </c>
      <c r="AG73" s="104">
        <f>SUMIFS('caseload data'!Q:Q,'caseload data'!$D:$D,"PO",'caseload data'!$C:$C,'divisional &amp; regional caseload'!$T$71)</f>
        <v>0</v>
      </c>
      <c r="AH73" s="104">
        <f>SUMIFS('caseload data'!R:R,'caseload data'!$D:$D,"PO",'caseload data'!$C:$C,'divisional &amp; regional caseload'!$T$71)</f>
        <v>0</v>
      </c>
      <c r="AI73" s="104">
        <f>SUMIFS('caseload data'!S:S,'caseload data'!$D:$D,"PO",'caseload data'!$C:$C,'divisional &amp; regional caseload'!$T$71)</f>
        <v>0</v>
      </c>
      <c r="AJ73" s="104">
        <f>SUMIFS('caseload data'!T:T,'caseload data'!$D:$D,"PO",'caseload data'!$C:$C,'divisional &amp; regional caseload'!$T$71)</f>
        <v>0</v>
      </c>
    </row>
    <row r="74" spans="2:36" x14ac:dyDescent="0.15">
      <c r="B74" s="107" t="s">
        <v>912</v>
      </c>
      <c r="C74" s="104">
        <f>SUMIFS('caseload data'!E:E,'caseload data'!$D:$D,"PSO",'caseload data'!$C:$C,'divisional &amp; regional caseload'!$B$71)</f>
        <v>0</v>
      </c>
      <c r="D74" s="104">
        <f>SUMIFS('caseload data'!F:F,'caseload data'!$D:$D,"PSO",'caseload data'!$C:$C,'divisional &amp; regional caseload'!$B$71)</f>
        <v>0</v>
      </c>
      <c r="E74" s="104">
        <f>SUMIFS('caseload data'!G:G,'caseload data'!$D:$D,"PSO",'caseload data'!$C:$C,'divisional &amp; regional caseload'!$B$71)</f>
        <v>0</v>
      </c>
      <c r="F74" s="104">
        <f>SUMIFS('caseload data'!H:H,'caseload data'!$D:$D,"PSO",'caseload data'!$C:$C,'divisional &amp; regional caseload'!$B$71)</f>
        <v>0</v>
      </c>
      <c r="G74" s="104">
        <f>SUMIFS('caseload data'!I:I,'caseload data'!$D:$D,"PSO",'caseload data'!$C:$C,'divisional &amp; regional caseload'!$B$71)</f>
        <v>0</v>
      </c>
      <c r="H74" s="104">
        <f>SUMIFS('caseload data'!J:J,'caseload data'!$D:$D,"PSO",'caseload data'!$C:$C,'divisional &amp; regional caseload'!$B$71)</f>
        <v>0</v>
      </c>
      <c r="I74" s="104">
        <f>SUMIFS('caseload data'!K:K,'caseload data'!$D:$D,"PSO",'caseload data'!$C:$C,'divisional &amp; regional caseload'!$B$71)</f>
        <v>0</v>
      </c>
      <c r="J74" s="104">
        <f>SUMIFS('caseload data'!L:L,'caseload data'!$D:$D,"PSO",'caseload data'!$C:$C,'divisional &amp; regional caseload'!$B$71)</f>
        <v>0</v>
      </c>
      <c r="K74" s="104">
        <f>SUMIFS('caseload data'!M:M,'caseload data'!$D:$D,"PSO",'caseload data'!$C:$C,'divisional &amp; regional caseload'!$B$71)</f>
        <v>0</v>
      </c>
      <c r="L74" s="104">
        <f>SUMIFS('caseload data'!N:N,'caseload data'!$D:$D,"PSO",'caseload data'!$C:$C,'divisional &amp; regional caseload'!$B$71)</f>
        <v>0</v>
      </c>
      <c r="M74" s="104">
        <f>SUMIFS('caseload data'!O:O,'caseload data'!$D:$D,"PSO",'caseload data'!$C:$C,'divisional &amp; regional caseload'!$B$71)</f>
        <v>0</v>
      </c>
      <c r="N74" s="104">
        <f>SUMIFS('caseload data'!P:P,'caseload data'!$D:$D,"PSO",'caseload data'!$C:$C,'divisional &amp; regional caseload'!$B$71)</f>
        <v>0</v>
      </c>
      <c r="O74" s="104">
        <f>SUMIFS('caseload data'!Q:Q,'caseload data'!$D:$D,"PSO",'caseload data'!$C:$C,'divisional &amp; regional caseload'!$B$71)</f>
        <v>0</v>
      </c>
      <c r="P74" s="104">
        <f>SUMIFS('caseload data'!R:R,'caseload data'!$D:$D,"PSO",'caseload data'!$C:$C,'divisional &amp; regional caseload'!$B$71)</f>
        <v>0</v>
      </c>
      <c r="Q74" s="104">
        <f>SUMIFS('caseload data'!S:S,'caseload data'!$D:$D,"PSO",'caseload data'!$C:$C,'divisional &amp; regional caseload'!$B$71)</f>
        <v>0</v>
      </c>
      <c r="R74" s="104">
        <f>SUMIFS('caseload data'!T:T,'caseload data'!$D:$D,"PSO",'caseload data'!$C:$C,'divisional &amp; regional caseload'!$B$71)</f>
        <v>0</v>
      </c>
      <c r="T74" s="107" t="s">
        <v>912</v>
      </c>
      <c r="U74" s="104">
        <f>SUMIFS('caseload data'!E:E,'caseload data'!$D:$D,"PSO",'caseload data'!$C:$C,'divisional &amp; regional caseload'!$T$71)</f>
        <v>0</v>
      </c>
      <c r="V74" s="104">
        <f>SUMIFS('caseload data'!F:F,'caseload data'!$D:$D,"PSO",'caseload data'!$C:$C,'divisional &amp; regional caseload'!$T$71)</f>
        <v>0</v>
      </c>
      <c r="W74" s="104">
        <f>SUMIFS('caseload data'!G:G,'caseload data'!$D:$D,"PSO",'caseload data'!$C:$C,'divisional &amp; regional caseload'!$T$71)</f>
        <v>0</v>
      </c>
      <c r="X74" s="104">
        <f>SUMIFS('caseload data'!H:H,'caseload data'!$D:$D,"PSO",'caseload data'!$C:$C,'divisional &amp; regional caseload'!$T$71)</f>
        <v>0</v>
      </c>
      <c r="Y74" s="104">
        <f>SUMIFS('caseload data'!I:I,'caseload data'!$D:$D,"PSO",'caseload data'!$C:$C,'divisional &amp; regional caseload'!$T$71)</f>
        <v>0</v>
      </c>
      <c r="Z74" s="104">
        <f>SUMIFS('caseload data'!J:J,'caseload data'!$D:$D,"PSO",'caseload data'!$C:$C,'divisional &amp; regional caseload'!$T$71)</f>
        <v>0</v>
      </c>
      <c r="AA74" s="104">
        <f>SUMIFS('caseload data'!K:K,'caseload data'!$D:$D,"PSO",'caseload data'!$C:$C,'divisional &amp; regional caseload'!$T$71)</f>
        <v>0</v>
      </c>
      <c r="AB74" s="104">
        <f>SUMIFS('caseload data'!L:L,'caseload data'!$D:$D,"PSO",'caseload data'!$C:$C,'divisional &amp; regional caseload'!$T$71)</f>
        <v>0</v>
      </c>
      <c r="AC74" s="104">
        <f>SUMIFS('caseload data'!M:M,'caseload data'!$D:$D,"PSO",'caseload data'!$C:$C,'divisional &amp; regional caseload'!$T$71)</f>
        <v>0</v>
      </c>
      <c r="AD74" s="104">
        <f>SUMIFS('caseload data'!N:N,'caseload data'!$D:$D,"PSO",'caseload data'!$C:$C,'divisional &amp; regional caseload'!$T$71)</f>
        <v>0</v>
      </c>
      <c r="AE74" s="104">
        <f>SUMIFS('caseload data'!O:O,'caseload data'!$D:$D,"PSO",'caseload data'!$C:$C,'divisional &amp; regional caseload'!$T$71)</f>
        <v>0</v>
      </c>
      <c r="AF74" s="104">
        <f>SUMIFS('caseload data'!P:P,'caseload data'!$D:$D,"PSO",'caseload data'!$C:$C,'divisional &amp; regional caseload'!$T$71)</f>
        <v>0</v>
      </c>
      <c r="AG74" s="104">
        <f>SUMIFS('caseload data'!Q:Q,'caseload data'!$D:$D,"PSO",'caseload data'!$C:$C,'divisional &amp; regional caseload'!$T$71)</f>
        <v>0</v>
      </c>
      <c r="AH74" s="104">
        <f>SUMIFS('caseload data'!R:R,'caseload data'!$D:$D,"PSO",'caseload data'!$C:$C,'divisional &amp; regional caseload'!$T$71)</f>
        <v>0</v>
      </c>
      <c r="AI74" s="104">
        <f>SUMIFS('caseload data'!S:S,'caseload data'!$D:$D,"PSO",'caseload data'!$C:$C,'divisional &amp; regional caseload'!$T$71)</f>
        <v>0</v>
      </c>
      <c r="AJ74" s="104">
        <f>SUMIFS('caseload data'!T:T,'caseload data'!$D:$D,"PSO",'caseload data'!$C:$C,'divisional &amp; regional caseload'!$T$71)</f>
        <v>0</v>
      </c>
    </row>
    <row r="75" spans="2:36" x14ac:dyDescent="0.15">
      <c r="B75" s="107" t="s">
        <v>913</v>
      </c>
      <c r="C75" s="104">
        <f>SUMIFS('caseload data'!E:E,'caseload data'!$D:$D,"TPO",'caseload data'!$C:$C,'divisional &amp; regional caseload'!$B$71)</f>
        <v>0</v>
      </c>
      <c r="D75" s="104">
        <f>SUMIFS('caseload data'!F:F,'caseload data'!$D:$D,"TPO",'caseload data'!$C:$C,'divisional &amp; regional caseload'!$B$71)</f>
        <v>0</v>
      </c>
      <c r="E75" s="104">
        <f>SUMIFS('caseload data'!G:G,'caseload data'!$D:$D,"TPO",'caseload data'!$C:$C,'divisional &amp; regional caseload'!$B$71)</f>
        <v>0</v>
      </c>
      <c r="F75" s="104">
        <f>SUMIFS('caseload data'!H:H,'caseload data'!$D:$D,"TPO",'caseload data'!$C:$C,'divisional &amp; regional caseload'!$B$71)</f>
        <v>0</v>
      </c>
      <c r="G75" s="104">
        <f>SUMIFS('caseload data'!I:I,'caseload data'!$D:$D,"TPO",'caseload data'!$C:$C,'divisional &amp; regional caseload'!$B$71)</f>
        <v>0</v>
      </c>
      <c r="H75" s="104">
        <f>SUMIFS('caseload data'!J:J,'caseload data'!$D:$D,"TPO",'caseload data'!$C:$C,'divisional &amp; regional caseload'!$B$71)</f>
        <v>0</v>
      </c>
      <c r="I75" s="104">
        <f>SUMIFS('caseload data'!K:K,'caseload data'!$D:$D,"TPO",'caseload data'!$C:$C,'divisional &amp; regional caseload'!$B$71)</f>
        <v>0</v>
      </c>
      <c r="J75" s="104">
        <f>SUMIFS('caseload data'!L:L,'caseload data'!$D:$D,"TPO",'caseload data'!$C:$C,'divisional &amp; regional caseload'!$B$71)</f>
        <v>0</v>
      </c>
      <c r="K75" s="104">
        <f>SUMIFS('caseload data'!M:M,'caseload data'!$D:$D,"TPO",'caseload data'!$C:$C,'divisional &amp; regional caseload'!$B$71)</f>
        <v>0</v>
      </c>
      <c r="L75" s="104">
        <f>SUMIFS('caseload data'!N:N,'caseload data'!$D:$D,"TPO",'caseload data'!$C:$C,'divisional &amp; regional caseload'!$B$71)</f>
        <v>0</v>
      </c>
      <c r="M75" s="104">
        <f>SUMIFS('caseload data'!O:O,'caseload data'!$D:$D,"TPO",'caseload data'!$C:$C,'divisional &amp; regional caseload'!$B$71)</f>
        <v>0</v>
      </c>
      <c r="N75" s="104">
        <f>SUMIFS('caseload data'!P:P,'caseload data'!$D:$D,"TPO",'caseload data'!$C:$C,'divisional &amp; regional caseload'!$B$71)</f>
        <v>0</v>
      </c>
      <c r="O75" s="104">
        <f>SUMIFS('caseload data'!Q:Q,'caseload data'!$D:$D,"TPO",'caseload data'!$C:$C,'divisional &amp; regional caseload'!$B$71)</f>
        <v>0</v>
      </c>
      <c r="P75" s="104">
        <f>SUMIFS('caseload data'!R:R,'caseload data'!$D:$D,"TPO",'caseload data'!$C:$C,'divisional &amp; regional caseload'!$B$71)</f>
        <v>0</v>
      </c>
      <c r="Q75" s="104">
        <f>SUMIFS('caseload data'!S:S,'caseload data'!$D:$D,"TPO",'caseload data'!$C:$C,'divisional &amp; regional caseload'!$B$71)</f>
        <v>0</v>
      </c>
      <c r="R75" s="104">
        <f>SUMIFS('caseload data'!T:T,'caseload data'!$D:$D,"TPO",'caseload data'!$C:$C,'divisional &amp; regional caseload'!$B$71)</f>
        <v>0</v>
      </c>
      <c r="T75" s="107" t="s">
        <v>913</v>
      </c>
      <c r="U75" s="104">
        <f>SUMIFS('caseload data'!E:E,'caseload data'!$D:$D,"TPO",'caseload data'!$C:$C,'divisional &amp; regional caseload'!$T$71)</f>
        <v>0</v>
      </c>
      <c r="V75" s="104">
        <f>SUMIFS('caseload data'!F:F,'caseload data'!$D:$D,"TPO",'caseload data'!$C:$C,'divisional &amp; regional caseload'!$T$71)</f>
        <v>0</v>
      </c>
      <c r="W75" s="104">
        <f>SUMIFS('caseload data'!G:G,'caseload data'!$D:$D,"TPO",'caseload data'!$C:$C,'divisional &amp; regional caseload'!$T$71)</f>
        <v>0</v>
      </c>
      <c r="X75" s="104">
        <f>SUMIFS('caseload data'!H:H,'caseload data'!$D:$D,"TPO",'caseload data'!$C:$C,'divisional &amp; regional caseload'!$T$71)</f>
        <v>0</v>
      </c>
      <c r="Y75" s="104">
        <f>SUMIFS('caseload data'!I:I,'caseload data'!$D:$D,"TPO",'caseload data'!$C:$C,'divisional &amp; regional caseload'!$T$71)</f>
        <v>0</v>
      </c>
      <c r="Z75" s="104">
        <f>SUMIFS('caseload data'!J:J,'caseload data'!$D:$D,"TPO",'caseload data'!$C:$C,'divisional &amp; regional caseload'!$T$71)</f>
        <v>0</v>
      </c>
      <c r="AA75" s="104">
        <f>SUMIFS('caseload data'!K:K,'caseload data'!$D:$D,"TPO",'caseload data'!$C:$C,'divisional &amp; regional caseload'!$T$71)</f>
        <v>0</v>
      </c>
      <c r="AB75" s="104">
        <f>SUMIFS('caseload data'!L:L,'caseload data'!$D:$D,"TPO",'caseload data'!$C:$C,'divisional &amp; regional caseload'!$T$71)</f>
        <v>0</v>
      </c>
      <c r="AC75" s="104">
        <f>SUMIFS('caseload data'!M:M,'caseload data'!$D:$D,"TPO",'caseload data'!$C:$C,'divisional &amp; regional caseload'!$T$71)</f>
        <v>0</v>
      </c>
      <c r="AD75" s="104">
        <f>SUMIFS('caseload data'!N:N,'caseload data'!$D:$D,"TPO",'caseload data'!$C:$C,'divisional &amp; regional caseload'!$T$71)</f>
        <v>0</v>
      </c>
      <c r="AE75" s="104">
        <f>SUMIFS('caseload data'!O:O,'caseload data'!$D:$D,"TPO",'caseload data'!$C:$C,'divisional &amp; regional caseload'!$T$71)</f>
        <v>0</v>
      </c>
      <c r="AF75" s="104">
        <f>SUMIFS('caseload data'!P:P,'caseload data'!$D:$D,"TPO",'caseload data'!$C:$C,'divisional &amp; regional caseload'!$T$71)</f>
        <v>0</v>
      </c>
      <c r="AG75" s="104">
        <f>SUMIFS('caseload data'!Q:Q,'caseload data'!$D:$D,"TPO",'caseload data'!$C:$C,'divisional &amp; regional caseload'!$T$71)</f>
        <v>0</v>
      </c>
      <c r="AH75" s="104">
        <f>SUMIFS('caseload data'!R:R,'caseload data'!$D:$D,"TPO",'caseload data'!$C:$C,'divisional &amp; regional caseload'!$T$71)</f>
        <v>0</v>
      </c>
      <c r="AI75" s="104">
        <f>SUMIFS('caseload data'!S:S,'caseload data'!$D:$D,"TPO",'caseload data'!$C:$C,'divisional &amp; regional caseload'!$T$71)</f>
        <v>0</v>
      </c>
      <c r="AJ75" s="104">
        <f>SUMIFS('caseload data'!T:T,'caseload data'!$D:$D,"TPO",'caseload data'!$C:$C,'divisional &amp; regional caseload'!$T$71)</f>
        <v>0</v>
      </c>
    </row>
    <row r="76" spans="2:36" x14ac:dyDescent="0.15">
      <c r="B76" s="108" t="s">
        <v>914</v>
      </c>
      <c r="C76" s="104">
        <f>SUMIFS('caseload data'!E:E,'caseload data'!$D:$D,"SPO",'caseload data'!$C:$C,'divisional &amp; regional caseload'!$B$71)</f>
        <v>0</v>
      </c>
      <c r="D76" s="104">
        <f>SUMIFS('caseload data'!F:F,'caseload data'!$D:$D,"SPO",'caseload data'!$C:$C,'divisional &amp; regional caseload'!$B$71)</f>
        <v>0</v>
      </c>
      <c r="E76" s="104">
        <f>SUMIFS('caseload data'!G:G,'caseload data'!$D:$D,"SPO",'caseload data'!$C:$C,'divisional &amp; regional caseload'!$B$71)</f>
        <v>0</v>
      </c>
      <c r="F76" s="104">
        <f>SUMIFS('caseload data'!H:H,'caseload data'!$D:$D,"SPO",'caseload data'!$C:$C,'divisional &amp; regional caseload'!$B$71)</f>
        <v>0</v>
      </c>
      <c r="G76" s="104">
        <f>SUMIFS('caseload data'!I:I,'caseload data'!$D:$D,"SPO",'caseload data'!$C:$C,'divisional &amp; regional caseload'!$B$71)</f>
        <v>0</v>
      </c>
      <c r="H76" s="104">
        <f>SUMIFS('caseload data'!J:J,'caseload data'!$D:$D,"SPO",'caseload data'!$C:$C,'divisional &amp; regional caseload'!$B$71)</f>
        <v>0</v>
      </c>
      <c r="I76" s="104">
        <f>SUMIFS('caseload data'!K:K,'caseload data'!$D:$D,"SPO",'caseload data'!$C:$C,'divisional &amp; regional caseload'!$B$71)</f>
        <v>0</v>
      </c>
      <c r="J76" s="104">
        <f>SUMIFS('caseload data'!L:L,'caseload data'!$D:$D,"SPO",'caseload data'!$C:$C,'divisional &amp; regional caseload'!$B$71)</f>
        <v>0</v>
      </c>
      <c r="K76" s="104">
        <f>SUMIFS('caseload data'!M:M,'caseload data'!$D:$D,"SPO",'caseload data'!$C:$C,'divisional &amp; regional caseload'!$B$71)</f>
        <v>0</v>
      </c>
      <c r="L76" s="104">
        <f>SUMIFS('caseload data'!N:N,'caseload data'!$D:$D,"SPO",'caseload data'!$C:$C,'divisional &amp; regional caseload'!$B$71)</f>
        <v>0</v>
      </c>
      <c r="M76" s="104">
        <f>SUMIFS('caseload data'!O:O,'caseload data'!$D:$D,"SPO",'caseload data'!$C:$C,'divisional &amp; regional caseload'!$B$71)</f>
        <v>0</v>
      </c>
      <c r="N76" s="104">
        <f>SUMIFS('caseload data'!P:P,'caseload data'!$D:$D,"SPO",'caseload data'!$C:$C,'divisional &amp; regional caseload'!$B$71)</f>
        <v>0</v>
      </c>
      <c r="O76" s="104">
        <f>SUMIFS('caseload data'!Q:Q,'caseload data'!$D:$D,"SPO",'caseload data'!$C:$C,'divisional &amp; regional caseload'!$B$71)</f>
        <v>0</v>
      </c>
      <c r="P76" s="104">
        <f>SUMIFS('caseload data'!R:R,'caseload data'!$D:$D,"SPO",'caseload data'!$C:$C,'divisional &amp; regional caseload'!$B$71)</f>
        <v>0</v>
      </c>
      <c r="Q76" s="104">
        <f>SUMIFS('caseload data'!S:S,'caseload data'!$D:$D,"SPO",'caseload data'!$C:$C,'divisional &amp; regional caseload'!$B$71)</f>
        <v>0</v>
      </c>
      <c r="R76" s="104">
        <f>SUMIFS('caseload data'!T:T,'caseload data'!$D:$D,"SPO",'caseload data'!$C:$C,'divisional &amp; regional caseload'!$B$71)</f>
        <v>0</v>
      </c>
      <c r="T76" s="108" t="s">
        <v>914</v>
      </c>
      <c r="U76" s="104">
        <f>SUMIFS('caseload data'!E:E,'caseload data'!$D:$D,"SPO",'caseload data'!$C:$C,'divisional &amp; regional caseload'!$T$71)</f>
        <v>0</v>
      </c>
      <c r="V76" s="104">
        <f>SUMIFS('caseload data'!F:F,'caseload data'!$D:$D,"SPO",'caseload data'!$C:$C,'divisional &amp; regional caseload'!$T$71)</f>
        <v>0</v>
      </c>
      <c r="W76" s="104">
        <f>SUMIFS('caseload data'!G:G,'caseload data'!$D:$D,"SPO",'caseload data'!$C:$C,'divisional &amp; regional caseload'!$T$71)</f>
        <v>0</v>
      </c>
      <c r="X76" s="104">
        <f>SUMIFS('caseload data'!H:H,'caseload data'!$D:$D,"SPO",'caseload data'!$C:$C,'divisional &amp; regional caseload'!$T$71)</f>
        <v>0</v>
      </c>
      <c r="Y76" s="104">
        <f>SUMIFS('caseload data'!I:I,'caseload data'!$D:$D,"SPO",'caseload data'!$C:$C,'divisional &amp; regional caseload'!$T$71)</f>
        <v>0</v>
      </c>
      <c r="Z76" s="104">
        <f>SUMIFS('caseload data'!J:J,'caseload data'!$D:$D,"SPO",'caseload data'!$C:$C,'divisional &amp; regional caseload'!$T$71)</f>
        <v>0</v>
      </c>
      <c r="AA76" s="104">
        <f>SUMIFS('caseload data'!K:K,'caseload data'!$D:$D,"SPO",'caseload data'!$C:$C,'divisional &amp; regional caseload'!$T$71)</f>
        <v>0</v>
      </c>
      <c r="AB76" s="104">
        <f>SUMIFS('caseload data'!L:L,'caseload data'!$D:$D,"SPO",'caseload data'!$C:$C,'divisional &amp; regional caseload'!$T$71)</f>
        <v>0</v>
      </c>
      <c r="AC76" s="104">
        <f>SUMIFS('caseload data'!M:M,'caseload data'!$D:$D,"SPO",'caseload data'!$C:$C,'divisional &amp; regional caseload'!$T$71)</f>
        <v>0</v>
      </c>
      <c r="AD76" s="104">
        <f>SUMIFS('caseload data'!N:N,'caseload data'!$D:$D,"SPO",'caseload data'!$C:$C,'divisional &amp; regional caseload'!$T$71)</f>
        <v>0</v>
      </c>
      <c r="AE76" s="104">
        <f>SUMIFS('caseload data'!O:O,'caseload data'!$D:$D,"SPO",'caseload data'!$C:$C,'divisional &amp; regional caseload'!$T$71)</f>
        <v>0</v>
      </c>
      <c r="AF76" s="104">
        <f>SUMIFS('caseload data'!P:P,'caseload data'!$D:$D,"SPO",'caseload data'!$C:$C,'divisional &amp; regional caseload'!$T$71)</f>
        <v>0</v>
      </c>
      <c r="AG76" s="104">
        <f>SUMIFS('caseload data'!Q:Q,'caseload data'!$D:$D,"SPO",'caseload data'!$C:$C,'divisional &amp; regional caseload'!$T$71)</f>
        <v>0</v>
      </c>
      <c r="AH76" s="104">
        <f>SUMIFS('caseload data'!R:R,'caseload data'!$D:$D,"SPO",'caseload data'!$C:$C,'divisional &amp; regional caseload'!$T$71)</f>
        <v>0</v>
      </c>
      <c r="AI76" s="104">
        <f>SUMIFS('caseload data'!S:S,'caseload data'!$D:$D,"SPO",'caseload data'!$C:$C,'divisional &amp; regional caseload'!$T$71)</f>
        <v>0</v>
      </c>
      <c r="AJ76" s="104">
        <f>SUMIFS('caseload data'!T:T,'caseload data'!$D:$D,"SPO",'caseload data'!$C:$C,'divisional &amp; regional caseload'!$T$71)</f>
        <v>0</v>
      </c>
    </row>
    <row r="78" spans="2:36" x14ac:dyDescent="0.15">
      <c r="B78" s="156" t="str">
        <f>HLOOKUP($B$5,Region_Table,22,0)</f>
        <v>Tower Hamlets</v>
      </c>
      <c r="C78" s="367" t="s">
        <v>1130</v>
      </c>
      <c r="D78" s="368"/>
      <c r="E78" s="368"/>
      <c r="F78" s="368"/>
      <c r="G78" s="368"/>
      <c r="H78" s="368"/>
      <c r="I78" s="368"/>
      <c r="J78" s="368"/>
      <c r="K78" s="368"/>
      <c r="L78" s="368"/>
      <c r="M78" s="369"/>
      <c r="N78" s="369"/>
      <c r="O78" s="370"/>
      <c r="P78" s="371">
        <f>SUMIF('caseload data'!$C:$C,'divisional &amp; regional caseload'!B78,'caseload data'!V:V)</f>
        <v>0</v>
      </c>
      <c r="Q78" s="372"/>
      <c r="R78" s="373"/>
      <c r="T78" s="156" t="str">
        <f>HLOOKUP($B$5,Region_Table,23,0)</f>
        <v>Unallocated Level 2(N07)</v>
      </c>
      <c r="U78" s="367" t="s">
        <v>1130</v>
      </c>
      <c r="V78" s="368"/>
      <c r="W78" s="368"/>
      <c r="X78" s="374"/>
      <c r="Y78" s="371">
        <f>SUMIF('caseload data'!$C:$C,'divisional &amp; regional caseload'!T78,'caseload data'!V:V)</f>
        <v>0</v>
      </c>
      <c r="Z78" s="375"/>
      <c r="AA78" s="376"/>
    </row>
    <row r="79" spans="2:36" x14ac:dyDescent="0.15">
      <c r="B79" s="105" t="s">
        <v>1065</v>
      </c>
      <c r="C79" s="41" t="s">
        <v>922</v>
      </c>
      <c r="D79" s="41" t="s">
        <v>923</v>
      </c>
      <c r="E79" s="41" t="s">
        <v>924</v>
      </c>
      <c r="F79" s="41" t="s">
        <v>925</v>
      </c>
      <c r="G79" s="41" t="s">
        <v>926</v>
      </c>
      <c r="H79" s="41" t="s">
        <v>927</v>
      </c>
      <c r="I79" s="41" t="s">
        <v>928</v>
      </c>
      <c r="J79" s="41" t="s">
        <v>929</v>
      </c>
      <c r="K79" s="41" t="s">
        <v>930</v>
      </c>
      <c r="L79" s="41" t="s">
        <v>931</v>
      </c>
      <c r="M79" s="41" t="s">
        <v>932</v>
      </c>
      <c r="N79" s="41" t="s">
        <v>933</v>
      </c>
      <c r="O79" s="41" t="s">
        <v>934</v>
      </c>
      <c r="P79" s="41" t="s">
        <v>935</v>
      </c>
      <c r="Q79" s="41" t="s">
        <v>936</v>
      </c>
      <c r="R79" s="41" t="s">
        <v>937</v>
      </c>
      <c r="T79" s="105" t="s">
        <v>1065</v>
      </c>
      <c r="U79" s="41" t="s">
        <v>922</v>
      </c>
      <c r="V79" s="41" t="s">
        <v>923</v>
      </c>
      <c r="W79" s="41" t="s">
        <v>924</v>
      </c>
      <c r="X79" s="41" t="s">
        <v>925</v>
      </c>
      <c r="Y79" s="41" t="s">
        <v>926</v>
      </c>
      <c r="Z79" s="41" t="s">
        <v>927</v>
      </c>
      <c r="AA79" s="41" t="s">
        <v>928</v>
      </c>
      <c r="AB79" s="41" t="s">
        <v>929</v>
      </c>
      <c r="AC79" s="41" t="s">
        <v>930</v>
      </c>
      <c r="AD79" s="41" t="s">
        <v>931</v>
      </c>
      <c r="AE79" s="41" t="s">
        <v>932</v>
      </c>
      <c r="AF79" s="41" t="s">
        <v>933</v>
      </c>
      <c r="AG79" s="41" t="s">
        <v>934</v>
      </c>
      <c r="AH79" s="41" t="s">
        <v>935</v>
      </c>
      <c r="AI79" s="41" t="s">
        <v>936</v>
      </c>
      <c r="AJ79" s="41" t="s">
        <v>937</v>
      </c>
    </row>
    <row r="80" spans="2:36" x14ac:dyDescent="0.15">
      <c r="B80" s="106" t="s">
        <v>911</v>
      </c>
      <c r="C80" s="104">
        <f>SUMIFS('caseload data'!E:E,'caseload data'!$D:$D,"PO",'caseload data'!$C:$C,'divisional &amp; regional caseload'!$B$78)</f>
        <v>0</v>
      </c>
      <c r="D80" s="104">
        <f>SUMIFS('caseload data'!F:F,'caseload data'!$D:$D,"PO",'caseload data'!$C:$C,'divisional &amp; regional caseload'!$B$78)</f>
        <v>0</v>
      </c>
      <c r="E80" s="104">
        <f>SUMIFS('caseload data'!G:G,'caseload data'!$D:$D,"PO",'caseload data'!$C:$C,'divisional &amp; regional caseload'!$B$78)</f>
        <v>0</v>
      </c>
      <c r="F80" s="104">
        <f>SUMIFS('caseload data'!H:H,'caseload data'!$D:$D,"PO",'caseload data'!$C:$C,'divisional &amp; regional caseload'!$B$78)</f>
        <v>0</v>
      </c>
      <c r="G80" s="104">
        <f>SUMIFS('caseload data'!I:I,'caseload data'!$D:$D,"PO",'caseload data'!$C:$C,'divisional &amp; regional caseload'!$B$78)</f>
        <v>0</v>
      </c>
      <c r="H80" s="104">
        <f>SUMIFS('caseload data'!J:J,'caseload data'!$D:$D,"PO",'caseload data'!$C:$C,'divisional &amp; regional caseload'!$B$78)</f>
        <v>0</v>
      </c>
      <c r="I80" s="104">
        <f>SUMIFS('caseload data'!K:K,'caseload data'!$D:$D,"PO",'caseload data'!$C:$C,'divisional &amp; regional caseload'!$B$78)</f>
        <v>0</v>
      </c>
      <c r="J80" s="104">
        <f>SUMIFS('caseload data'!L:L,'caseload data'!$D:$D,"PO",'caseload data'!$C:$C,'divisional &amp; regional caseload'!$B$78)</f>
        <v>0</v>
      </c>
      <c r="K80" s="104">
        <f>SUMIFS('caseload data'!M:M,'caseload data'!$D:$D,"PO",'caseload data'!$C:$C,'divisional &amp; regional caseload'!$B$78)</f>
        <v>0</v>
      </c>
      <c r="L80" s="104">
        <f>SUMIFS('caseload data'!N:N,'caseload data'!$D:$D,"PO",'caseload data'!$C:$C,'divisional &amp; regional caseload'!$B$78)</f>
        <v>0</v>
      </c>
      <c r="M80" s="104">
        <f>SUMIFS('caseload data'!O:O,'caseload data'!$D:$D,"PO",'caseload data'!$C:$C,'divisional &amp; regional caseload'!$B$78)</f>
        <v>0</v>
      </c>
      <c r="N80" s="104">
        <f>SUMIFS('caseload data'!P:P,'caseload data'!$D:$D,"PO",'caseload data'!$C:$C,'divisional &amp; regional caseload'!$B$78)</f>
        <v>0</v>
      </c>
      <c r="O80" s="104">
        <f>SUMIFS('caseload data'!Q:Q,'caseload data'!$D:$D,"PO",'caseload data'!$C:$C,'divisional &amp; regional caseload'!$B$78)</f>
        <v>0</v>
      </c>
      <c r="P80" s="104">
        <f>SUMIFS('caseload data'!R:R,'caseload data'!$D:$D,"PO",'caseload data'!$C:$C,'divisional &amp; regional caseload'!$B$78)</f>
        <v>0</v>
      </c>
      <c r="Q80" s="104">
        <f>SUMIFS('caseload data'!S:S,'caseload data'!$D:$D,"PO",'caseload data'!$C:$C,'divisional &amp; regional caseload'!$B$78)</f>
        <v>0</v>
      </c>
      <c r="R80" s="104">
        <f>SUMIFS('caseload data'!T:T,'caseload data'!$D:$D,"PO",'caseload data'!$C:$C,'divisional &amp; regional caseload'!$B$78)</f>
        <v>0</v>
      </c>
      <c r="T80" s="106" t="s">
        <v>911</v>
      </c>
      <c r="U80" s="104">
        <f>SUMIFS('caseload data'!E:E,'caseload data'!$D:$D,"PO",'caseload data'!$C:$C,'divisional &amp; regional caseload'!$T$64)</f>
        <v>0</v>
      </c>
      <c r="V80" s="104">
        <f>SUMIFS('caseload data'!F:F,'caseload data'!$D:$D,"PO",'caseload data'!$C:$C,'divisional &amp; regional caseload'!$T$64)</f>
        <v>0</v>
      </c>
      <c r="W80" s="104">
        <f>SUMIFS('caseload data'!G:G,'caseload data'!$D:$D,"PO",'caseload data'!$C:$C,'divisional &amp; regional caseload'!$T$64)</f>
        <v>0</v>
      </c>
      <c r="X80" s="104">
        <f>SUMIFS('caseload data'!H:H,'caseload data'!$D:$D,"PO",'caseload data'!$C:$C,'divisional &amp; regional caseload'!$T$64)</f>
        <v>0</v>
      </c>
      <c r="Y80" s="104">
        <f>SUMIFS('caseload data'!I:I,'caseload data'!$D:$D,"PO",'caseload data'!$C:$C,'divisional &amp; regional caseload'!$T$64)</f>
        <v>0</v>
      </c>
      <c r="Z80" s="104">
        <f>SUMIFS('caseload data'!J:J,'caseload data'!$D:$D,"PO",'caseload data'!$C:$C,'divisional &amp; regional caseload'!$T$64)</f>
        <v>0</v>
      </c>
      <c r="AA80" s="104">
        <f>SUMIFS('caseload data'!K:K,'caseload data'!$D:$D,"PO",'caseload data'!$C:$C,'divisional &amp; regional caseload'!$T$64)</f>
        <v>0</v>
      </c>
      <c r="AB80" s="104">
        <f>SUMIFS('caseload data'!L:L,'caseload data'!$D:$D,"PO",'caseload data'!$C:$C,'divisional &amp; regional caseload'!$T$64)</f>
        <v>0</v>
      </c>
      <c r="AC80" s="104">
        <f>SUMIFS('caseload data'!M:M,'caseload data'!$D:$D,"PO",'caseload data'!$C:$C,'divisional &amp; regional caseload'!$T$64)</f>
        <v>0</v>
      </c>
      <c r="AD80" s="104">
        <f>SUMIFS('caseload data'!N:N,'caseload data'!$D:$D,"PO",'caseload data'!$C:$C,'divisional &amp; regional caseload'!$T$64)</f>
        <v>0</v>
      </c>
      <c r="AE80" s="104">
        <f>SUMIFS('caseload data'!O:O,'caseload data'!$D:$D,"PO",'caseload data'!$C:$C,'divisional &amp; regional caseload'!$T$64)</f>
        <v>0</v>
      </c>
      <c r="AF80" s="104">
        <f>SUMIFS('caseload data'!P:P,'caseload data'!$D:$D,"PO",'caseload data'!$C:$C,'divisional &amp; regional caseload'!$T$64)</f>
        <v>0</v>
      </c>
      <c r="AG80" s="104">
        <f>SUMIFS('caseload data'!Q:Q,'caseload data'!$D:$D,"PO",'caseload data'!$C:$C,'divisional &amp; regional caseload'!$T$64)</f>
        <v>0</v>
      </c>
      <c r="AH80" s="104">
        <f>SUMIFS('caseload data'!R:R,'caseload data'!$D:$D,"PO",'caseload data'!$C:$C,'divisional &amp; regional caseload'!$T$64)</f>
        <v>0</v>
      </c>
      <c r="AI80" s="104">
        <f>SUMIFS('caseload data'!S:S,'caseload data'!$D:$D,"PO",'caseload data'!$C:$C,'divisional &amp; regional caseload'!$T$64)</f>
        <v>0</v>
      </c>
      <c r="AJ80" s="104">
        <f>SUMIFS('caseload data'!T:T,'caseload data'!$D:$D,"PO",'caseload data'!$C:$C,'divisional &amp; regional caseload'!$T$64)</f>
        <v>0</v>
      </c>
    </row>
    <row r="81" spans="2:36" x14ac:dyDescent="0.15">
      <c r="B81" s="107" t="s">
        <v>912</v>
      </c>
      <c r="C81" s="104">
        <f>SUMIFS('caseload data'!E:E,'caseload data'!$D:$D,"PSO",'caseload data'!$C:$C,'divisional &amp; regional caseload'!$B$78)</f>
        <v>0</v>
      </c>
      <c r="D81" s="104">
        <f>SUMIFS('caseload data'!F:F,'caseload data'!$D:$D,"PSO",'caseload data'!$C:$C,'divisional &amp; regional caseload'!$B$78)</f>
        <v>0</v>
      </c>
      <c r="E81" s="104">
        <f>SUMIFS('caseload data'!G:G,'caseload data'!$D:$D,"PSO",'caseload data'!$C:$C,'divisional &amp; regional caseload'!$B$78)</f>
        <v>0</v>
      </c>
      <c r="F81" s="104">
        <f>SUMIFS('caseload data'!H:H,'caseload data'!$D:$D,"PSO",'caseload data'!$C:$C,'divisional &amp; regional caseload'!$B$78)</f>
        <v>0</v>
      </c>
      <c r="G81" s="104">
        <f>SUMIFS('caseload data'!I:I,'caseload data'!$D:$D,"PSO",'caseload data'!$C:$C,'divisional &amp; regional caseload'!$B$78)</f>
        <v>0</v>
      </c>
      <c r="H81" s="104">
        <f>SUMIFS('caseload data'!J:J,'caseload data'!$D:$D,"PSO",'caseload data'!$C:$C,'divisional &amp; regional caseload'!$B$78)</f>
        <v>0</v>
      </c>
      <c r="I81" s="104">
        <f>SUMIFS('caseload data'!K:K,'caseload data'!$D:$D,"PSO",'caseload data'!$C:$C,'divisional &amp; regional caseload'!$B$78)</f>
        <v>0</v>
      </c>
      <c r="J81" s="104">
        <f>SUMIFS('caseload data'!L:L,'caseload data'!$D:$D,"PSO",'caseload data'!$C:$C,'divisional &amp; regional caseload'!$B$78)</f>
        <v>0</v>
      </c>
      <c r="K81" s="104">
        <f>SUMIFS('caseload data'!M:M,'caseload data'!$D:$D,"PSO",'caseload data'!$C:$C,'divisional &amp; regional caseload'!$B$78)</f>
        <v>0</v>
      </c>
      <c r="L81" s="104">
        <f>SUMIFS('caseload data'!N:N,'caseload data'!$D:$D,"PSO",'caseload data'!$C:$C,'divisional &amp; regional caseload'!$B$78)</f>
        <v>0</v>
      </c>
      <c r="M81" s="104">
        <f>SUMIFS('caseload data'!O:O,'caseload data'!$D:$D,"PSO",'caseload data'!$C:$C,'divisional &amp; regional caseload'!$B$78)</f>
        <v>0</v>
      </c>
      <c r="N81" s="104">
        <f>SUMIFS('caseload data'!P:P,'caseload data'!$D:$D,"PSO",'caseload data'!$C:$C,'divisional &amp; regional caseload'!$B$78)</f>
        <v>0</v>
      </c>
      <c r="O81" s="104">
        <f>SUMIFS('caseload data'!Q:Q,'caseload data'!$D:$D,"PSO",'caseload data'!$C:$C,'divisional &amp; regional caseload'!$B$78)</f>
        <v>0</v>
      </c>
      <c r="P81" s="104">
        <f>SUMIFS('caseload data'!R:R,'caseload data'!$D:$D,"PSO",'caseload data'!$C:$C,'divisional &amp; regional caseload'!$B$78)</f>
        <v>0</v>
      </c>
      <c r="Q81" s="104">
        <f>SUMIFS('caseload data'!S:S,'caseload data'!$D:$D,"PSO",'caseload data'!$C:$C,'divisional &amp; regional caseload'!$B$78)</f>
        <v>0</v>
      </c>
      <c r="R81" s="104">
        <f>SUMIFS('caseload data'!T:T,'caseload data'!$D:$D,"PSO",'caseload data'!$C:$C,'divisional &amp; regional caseload'!$B$78)</f>
        <v>0</v>
      </c>
      <c r="T81" s="107" t="s">
        <v>912</v>
      </c>
      <c r="U81" s="104">
        <f>SUMIFS('caseload data'!E:E,'caseload data'!$D:$D,"PSO",'caseload data'!$C:$C,'divisional &amp; regional caseload'!$T$64)</f>
        <v>0</v>
      </c>
      <c r="V81" s="104">
        <f>SUMIFS('caseload data'!F:F,'caseload data'!$D:$D,"PSO",'caseload data'!$C:$C,'divisional &amp; regional caseload'!$T$64)</f>
        <v>0</v>
      </c>
      <c r="W81" s="104">
        <f>SUMIFS('caseload data'!G:G,'caseload data'!$D:$D,"PSO",'caseload data'!$C:$C,'divisional &amp; regional caseload'!$T$64)</f>
        <v>0</v>
      </c>
      <c r="X81" s="104">
        <f>SUMIFS('caseload data'!H:H,'caseload data'!$D:$D,"PSO",'caseload data'!$C:$C,'divisional &amp; regional caseload'!$T$64)</f>
        <v>0</v>
      </c>
      <c r="Y81" s="104">
        <f>SUMIFS('caseload data'!I:I,'caseload data'!$D:$D,"PSO",'caseload data'!$C:$C,'divisional &amp; regional caseload'!$T$64)</f>
        <v>0</v>
      </c>
      <c r="Z81" s="104">
        <f>SUMIFS('caseload data'!J:J,'caseload data'!$D:$D,"PSO",'caseload data'!$C:$C,'divisional &amp; regional caseload'!$T$64)</f>
        <v>0</v>
      </c>
      <c r="AA81" s="104">
        <f>SUMIFS('caseload data'!K:K,'caseload data'!$D:$D,"PSO",'caseload data'!$C:$C,'divisional &amp; regional caseload'!$T$64)</f>
        <v>0</v>
      </c>
      <c r="AB81" s="104">
        <f>SUMIFS('caseload data'!L:L,'caseload data'!$D:$D,"PSO",'caseload data'!$C:$C,'divisional &amp; regional caseload'!$T$64)</f>
        <v>0</v>
      </c>
      <c r="AC81" s="104">
        <f>SUMIFS('caseload data'!M:M,'caseload data'!$D:$D,"PSO",'caseload data'!$C:$C,'divisional &amp; regional caseload'!$T$64)</f>
        <v>0</v>
      </c>
      <c r="AD81" s="104">
        <f>SUMIFS('caseload data'!N:N,'caseload data'!$D:$D,"PSO",'caseload data'!$C:$C,'divisional &amp; regional caseload'!$T$64)</f>
        <v>0</v>
      </c>
      <c r="AE81" s="104">
        <f>SUMIFS('caseload data'!O:O,'caseload data'!$D:$D,"PSO",'caseload data'!$C:$C,'divisional &amp; regional caseload'!$T$64)</f>
        <v>0</v>
      </c>
      <c r="AF81" s="104">
        <f>SUMIFS('caseload data'!P:P,'caseload data'!$D:$D,"PSO",'caseload data'!$C:$C,'divisional &amp; regional caseload'!$T$64)</f>
        <v>0</v>
      </c>
      <c r="AG81" s="104">
        <f>SUMIFS('caseload data'!Q:Q,'caseload data'!$D:$D,"PSO",'caseload data'!$C:$C,'divisional &amp; regional caseload'!$T$64)</f>
        <v>0</v>
      </c>
      <c r="AH81" s="104">
        <f>SUMIFS('caseload data'!R:R,'caseload data'!$D:$D,"PSO",'caseload data'!$C:$C,'divisional &amp; regional caseload'!$T$64)</f>
        <v>0</v>
      </c>
      <c r="AI81" s="104">
        <f>SUMIFS('caseload data'!S:S,'caseload data'!$D:$D,"PSO",'caseload data'!$C:$C,'divisional &amp; regional caseload'!$T$64)</f>
        <v>0</v>
      </c>
      <c r="AJ81" s="104">
        <f>SUMIFS('caseload data'!T:T,'caseload data'!$D:$D,"PSO",'caseload data'!$C:$C,'divisional &amp; regional caseload'!$T$64)</f>
        <v>0</v>
      </c>
    </row>
    <row r="82" spans="2:36" x14ac:dyDescent="0.15">
      <c r="B82" s="107" t="s">
        <v>913</v>
      </c>
      <c r="C82" s="104">
        <f>SUMIFS('caseload data'!E:E,'caseload data'!$D:$D,"TPO",'caseload data'!$C:$C,'divisional &amp; regional caseload'!$B$78)</f>
        <v>0</v>
      </c>
      <c r="D82" s="104">
        <f>SUMIFS('caseload data'!F:F,'caseload data'!$D:$D,"TPO",'caseload data'!$C:$C,'divisional &amp; regional caseload'!$B$78)</f>
        <v>0</v>
      </c>
      <c r="E82" s="104">
        <f>SUMIFS('caseload data'!G:G,'caseload data'!$D:$D,"TPO",'caseload data'!$C:$C,'divisional &amp; regional caseload'!$B$78)</f>
        <v>0</v>
      </c>
      <c r="F82" s="104">
        <f>SUMIFS('caseload data'!H:H,'caseload data'!$D:$D,"TPO",'caseload data'!$C:$C,'divisional &amp; regional caseload'!$B$78)</f>
        <v>0</v>
      </c>
      <c r="G82" s="104">
        <f>SUMIFS('caseload data'!I:I,'caseload data'!$D:$D,"TPO",'caseload data'!$C:$C,'divisional &amp; regional caseload'!$B$78)</f>
        <v>0</v>
      </c>
      <c r="H82" s="104">
        <f>SUMIFS('caseload data'!J:J,'caseload data'!$D:$D,"TPO",'caseload data'!$C:$C,'divisional &amp; regional caseload'!$B$78)</f>
        <v>0</v>
      </c>
      <c r="I82" s="104">
        <f>SUMIFS('caseload data'!K:K,'caseload data'!$D:$D,"TPO",'caseload data'!$C:$C,'divisional &amp; regional caseload'!$B$78)</f>
        <v>0</v>
      </c>
      <c r="J82" s="104">
        <f>SUMIFS('caseload data'!L:L,'caseload data'!$D:$D,"TPO",'caseload data'!$C:$C,'divisional &amp; regional caseload'!$B$78)</f>
        <v>0</v>
      </c>
      <c r="K82" s="104">
        <f>SUMIFS('caseload data'!M:M,'caseload data'!$D:$D,"TPO",'caseload data'!$C:$C,'divisional &amp; regional caseload'!$B$78)</f>
        <v>0</v>
      </c>
      <c r="L82" s="104">
        <f>SUMIFS('caseload data'!N:N,'caseload data'!$D:$D,"TPO",'caseload data'!$C:$C,'divisional &amp; regional caseload'!$B$78)</f>
        <v>0</v>
      </c>
      <c r="M82" s="104">
        <f>SUMIFS('caseload data'!O:O,'caseload data'!$D:$D,"TPO",'caseload data'!$C:$C,'divisional &amp; regional caseload'!$B$78)</f>
        <v>0</v>
      </c>
      <c r="N82" s="104">
        <f>SUMIFS('caseload data'!P:P,'caseload data'!$D:$D,"TPO",'caseload data'!$C:$C,'divisional &amp; regional caseload'!$B$78)</f>
        <v>0</v>
      </c>
      <c r="O82" s="104">
        <f>SUMIFS('caseload data'!Q:Q,'caseload data'!$D:$D,"TPO",'caseload data'!$C:$C,'divisional &amp; regional caseload'!$B$78)</f>
        <v>0</v>
      </c>
      <c r="P82" s="104">
        <f>SUMIFS('caseload data'!R:R,'caseload data'!$D:$D,"TPO",'caseload data'!$C:$C,'divisional &amp; regional caseload'!$B$78)</f>
        <v>0</v>
      </c>
      <c r="Q82" s="104">
        <f>SUMIFS('caseload data'!S:S,'caseload data'!$D:$D,"TPO",'caseload data'!$C:$C,'divisional &amp; regional caseload'!$B$78)</f>
        <v>0</v>
      </c>
      <c r="R82" s="104">
        <f>SUMIFS('caseload data'!T:T,'caseload data'!$D:$D,"TPO",'caseload data'!$C:$C,'divisional &amp; regional caseload'!$B$78)</f>
        <v>0</v>
      </c>
      <c r="T82" s="107" t="s">
        <v>913</v>
      </c>
      <c r="U82" s="104">
        <f>SUMIFS('caseload data'!E:E,'caseload data'!$D:$D,"TPO",'caseload data'!$C:$C,'divisional &amp; regional caseload'!$T$64)</f>
        <v>0</v>
      </c>
      <c r="V82" s="104">
        <f>SUMIFS('caseload data'!F:F,'caseload data'!$D:$D,"TPO",'caseload data'!$C:$C,'divisional &amp; regional caseload'!$T$64)</f>
        <v>0</v>
      </c>
      <c r="W82" s="104">
        <f>SUMIFS('caseload data'!G:G,'caseload data'!$D:$D,"TPO",'caseload data'!$C:$C,'divisional &amp; regional caseload'!$T$64)</f>
        <v>0</v>
      </c>
      <c r="X82" s="104">
        <f>SUMIFS('caseload data'!H:H,'caseload data'!$D:$D,"TPO",'caseload data'!$C:$C,'divisional &amp; regional caseload'!$T$64)</f>
        <v>0</v>
      </c>
      <c r="Y82" s="104">
        <f>SUMIFS('caseload data'!I:I,'caseload data'!$D:$D,"TPO",'caseload data'!$C:$C,'divisional &amp; regional caseload'!$T$64)</f>
        <v>0</v>
      </c>
      <c r="Z82" s="104">
        <f>SUMIFS('caseload data'!J:J,'caseload data'!$D:$D,"TPO",'caseload data'!$C:$C,'divisional &amp; regional caseload'!$T$64)</f>
        <v>0</v>
      </c>
      <c r="AA82" s="104">
        <f>SUMIFS('caseload data'!K:K,'caseload data'!$D:$D,"TPO",'caseload data'!$C:$C,'divisional &amp; regional caseload'!$T$64)</f>
        <v>0</v>
      </c>
      <c r="AB82" s="104">
        <f>SUMIFS('caseload data'!L:L,'caseload data'!$D:$D,"TPO",'caseload data'!$C:$C,'divisional &amp; regional caseload'!$T$64)</f>
        <v>0</v>
      </c>
      <c r="AC82" s="104">
        <f>SUMIFS('caseload data'!M:M,'caseload data'!$D:$D,"TPO",'caseload data'!$C:$C,'divisional &amp; regional caseload'!$T$64)</f>
        <v>0</v>
      </c>
      <c r="AD82" s="104">
        <f>SUMIFS('caseload data'!N:N,'caseload data'!$D:$D,"TPO",'caseload data'!$C:$C,'divisional &amp; regional caseload'!$T$64)</f>
        <v>0</v>
      </c>
      <c r="AE82" s="104">
        <f>SUMIFS('caseload data'!O:O,'caseload data'!$D:$D,"TPO",'caseload data'!$C:$C,'divisional &amp; regional caseload'!$T$64)</f>
        <v>0</v>
      </c>
      <c r="AF82" s="104">
        <f>SUMIFS('caseload data'!P:P,'caseload data'!$D:$D,"TPO",'caseload data'!$C:$C,'divisional &amp; regional caseload'!$T$64)</f>
        <v>0</v>
      </c>
      <c r="AG82" s="104">
        <f>SUMIFS('caseload data'!Q:Q,'caseload data'!$D:$D,"TPO",'caseload data'!$C:$C,'divisional &amp; regional caseload'!$T$64)</f>
        <v>0</v>
      </c>
      <c r="AH82" s="104">
        <f>SUMIFS('caseload data'!R:R,'caseload data'!$D:$D,"TPO",'caseload data'!$C:$C,'divisional &amp; regional caseload'!$T$64)</f>
        <v>0</v>
      </c>
      <c r="AI82" s="104">
        <f>SUMIFS('caseload data'!S:S,'caseload data'!$D:$D,"TPO",'caseload data'!$C:$C,'divisional &amp; regional caseload'!$T$64)</f>
        <v>0</v>
      </c>
      <c r="AJ82" s="104">
        <f>SUMIFS('caseload data'!T:T,'caseload data'!$D:$D,"TPO",'caseload data'!$C:$C,'divisional &amp; regional caseload'!$T$64)</f>
        <v>0</v>
      </c>
    </row>
    <row r="83" spans="2:36" x14ac:dyDescent="0.15">
      <c r="B83" s="108" t="s">
        <v>914</v>
      </c>
      <c r="C83" s="104">
        <f>SUMIFS('caseload data'!E:E,'caseload data'!$D:$D,"SPO",'caseload data'!$C:$C,'divisional &amp; regional caseload'!$B$78)</f>
        <v>0</v>
      </c>
      <c r="D83" s="104">
        <f>SUMIFS('caseload data'!F:F,'caseload data'!$D:$D,"SPO",'caseload data'!$C:$C,'divisional &amp; regional caseload'!$B$78)</f>
        <v>0</v>
      </c>
      <c r="E83" s="104">
        <f>SUMIFS('caseload data'!G:G,'caseload data'!$D:$D,"SPO",'caseload data'!$C:$C,'divisional &amp; regional caseload'!$B$78)</f>
        <v>0</v>
      </c>
      <c r="F83" s="104">
        <f>SUMIFS('caseload data'!H:H,'caseload data'!$D:$D,"SPO",'caseload data'!$C:$C,'divisional &amp; regional caseload'!$B$78)</f>
        <v>0</v>
      </c>
      <c r="G83" s="104">
        <f>SUMIFS('caseload data'!I:I,'caseload data'!$D:$D,"SPO",'caseload data'!$C:$C,'divisional &amp; regional caseload'!$B$78)</f>
        <v>0</v>
      </c>
      <c r="H83" s="104">
        <f>SUMIFS('caseload data'!J:J,'caseload data'!$D:$D,"SPO",'caseload data'!$C:$C,'divisional &amp; regional caseload'!$B$78)</f>
        <v>0</v>
      </c>
      <c r="I83" s="104">
        <f>SUMIFS('caseload data'!K:K,'caseload data'!$D:$D,"SPO",'caseload data'!$C:$C,'divisional &amp; regional caseload'!$B$78)</f>
        <v>0</v>
      </c>
      <c r="J83" s="104">
        <f>SUMIFS('caseload data'!L:L,'caseload data'!$D:$D,"SPO",'caseload data'!$C:$C,'divisional &amp; regional caseload'!$B$78)</f>
        <v>0</v>
      </c>
      <c r="K83" s="104">
        <f>SUMIFS('caseload data'!M:M,'caseload data'!$D:$D,"SPO",'caseload data'!$C:$C,'divisional &amp; regional caseload'!$B$78)</f>
        <v>0</v>
      </c>
      <c r="L83" s="104">
        <f>SUMIFS('caseload data'!N:N,'caseload data'!$D:$D,"SPO",'caseload data'!$C:$C,'divisional &amp; regional caseload'!$B$78)</f>
        <v>0</v>
      </c>
      <c r="M83" s="104">
        <f>SUMIFS('caseload data'!O:O,'caseload data'!$D:$D,"SPO",'caseload data'!$C:$C,'divisional &amp; regional caseload'!$B$78)</f>
        <v>0</v>
      </c>
      <c r="N83" s="104">
        <f>SUMIFS('caseload data'!P:P,'caseload data'!$D:$D,"SPO",'caseload data'!$C:$C,'divisional &amp; regional caseload'!$B$78)</f>
        <v>0</v>
      </c>
      <c r="O83" s="104">
        <f>SUMIFS('caseload data'!Q:Q,'caseload data'!$D:$D,"SPO",'caseload data'!$C:$C,'divisional &amp; regional caseload'!$B$78)</f>
        <v>0</v>
      </c>
      <c r="P83" s="104">
        <f>SUMIFS('caseload data'!R:R,'caseload data'!$D:$D,"SPO",'caseload data'!$C:$C,'divisional &amp; regional caseload'!$B$78)</f>
        <v>0</v>
      </c>
      <c r="Q83" s="104">
        <f>SUMIFS('caseload data'!S:S,'caseload data'!$D:$D,"SPO",'caseload data'!$C:$C,'divisional &amp; regional caseload'!$B$78)</f>
        <v>0</v>
      </c>
      <c r="R83" s="104">
        <f>SUMIFS('caseload data'!T:T,'caseload data'!$D:$D,"SPO",'caseload data'!$C:$C,'divisional &amp; regional caseload'!$B$78)</f>
        <v>0</v>
      </c>
      <c r="T83" s="108" t="s">
        <v>914</v>
      </c>
      <c r="U83" s="104">
        <f>SUMIFS('caseload data'!E:E,'caseload data'!$D:$D,"SPO",'caseload data'!$C:$C,'divisional &amp; regional caseload'!$T$64)</f>
        <v>0</v>
      </c>
      <c r="V83" s="104">
        <f>SUMIFS('caseload data'!F:F,'caseload data'!$D:$D,"SPO",'caseload data'!$C:$C,'divisional &amp; regional caseload'!$T$64)</f>
        <v>0</v>
      </c>
      <c r="W83" s="104">
        <f>SUMIFS('caseload data'!G:G,'caseload data'!$D:$D,"SPO",'caseload data'!$C:$C,'divisional &amp; regional caseload'!$T$64)</f>
        <v>0</v>
      </c>
      <c r="X83" s="104">
        <f>SUMIFS('caseload data'!H:H,'caseload data'!$D:$D,"SPO",'caseload data'!$C:$C,'divisional &amp; regional caseload'!$T$64)</f>
        <v>0</v>
      </c>
      <c r="Y83" s="104">
        <f>SUMIFS('caseload data'!I:I,'caseload data'!$D:$D,"SPO",'caseload data'!$C:$C,'divisional &amp; regional caseload'!$T$64)</f>
        <v>0</v>
      </c>
      <c r="Z83" s="104">
        <f>SUMIFS('caseload data'!J:J,'caseload data'!$D:$D,"SPO",'caseload data'!$C:$C,'divisional &amp; regional caseload'!$T$64)</f>
        <v>0</v>
      </c>
      <c r="AA83" s="104">
        <f>SUMIFS('caseload data'!K:K,'caseload data'!$D:$D,"SPO",'caseload data'!$C:$C,'divisional &amp; regional caseload'!$T$64)</f>
        <v>0</v>
      </c>
      <c r="AB83" s="104">
        <f>SUMIFS('caseload data'!L:L,'caseload data'!$D:$D,"SPO",'caseload data'!$C:$C,'divisional &amp; regional caseload'!$T$64)</f>
        <v>0</v>
      </c>
      <c r="AC83" s="104">
        <f>SUMIFS('caseload data'!M:M,'caseload data'!$D:$D,"SPO",'caseload data'!$C:$C,'divisional &amp; regional caseload'!$T$64)</f>
        <v>0</v>
      </c>
      <c r="AD83" s="104">
        <f>SUMIFS('caseload data'!N:N,'caseload data'!$D:$D,"SPO",'caseload data'!$C:$C,'divisional &amp; regional caseload'!$T$64)</f>
        <v>0</v>
      </c>
      <c r="AE83" s="104">
        <f>SUMIFS('caseload data'!O:O,'caseload data'!$D:$D,"SPO",'caseload data'!$C:$C,'divisional &amp; regional caseload'!$T$64)</f>
        <v>0</v>
      </c>
      <c r="AF83" s="104">
        <f>SUMIFS('caseload data'!P:P,'caseload data'!$D:$D,"SPO",'caseload data'!$C:$C,'divisional &amp; regional caseload'!$T$64)</f>
        <v>0</v>
      </c>
      <c r="AG83" s="104">
        <f>SUMIFS('caseload data'!Q:Q,'caseload data'!$D:$D,"SPO",'caseload data'!$C:$C,'divisional &amp; regional caseload'!$T$64)</f>
        <v>0</v>
      </c>
      <c r="AH83" s="104">
        <f>SUMIFS('caseload data'!R:R,'caseload data'!$D:$D,"SPO",'caseload data'!$C:$C,'divisional &amp; regional caseload'!$T$64)</f>
        <v>0</v>
      </c>
      <c r="AI83" s="104">
        <f>SUMIFS('caseload data'!S:S,'caseload data'!$D:$D,"SPO",'caseload data'!$C:$C,'divisional &amp; regional caseload'!$T$64)</f>
        <v>0</v>
      </c>
      <c r="AJ83" s="104">
        <f>SUMIFS('caseload data'!T:T,'caseload data'!$D:$D,"SPO",'caseload data'!$C:$C,'divisional &amp; regional caseload'!$T$64)</f>
        <v>0</v>
      </c>
    </row>
    <row r="85" spans="2:36" x14ac:dyDescent="0.15">
      <c r="B85" s="156" t="str">
        <f>HLOOKUP($B$5,Region_Table,24,0)</f>
        <v>Unpaid Work and Attendance Centres - N07</v>
      </c>
      <c r="C85" s="367" t="s">
        <v>1130</v>
      </c>
      <c r="D85" s="368"/>
      <c r="E85" s="368"/>
      <c r="F85" s="368"/>
      <c r="G85" s="368"/>
      <c r="H85" s="368"/>
      <c r="I85" s="368"/>
      <c r="J85" s="368"/>
      <c r="K85" s="368"/>
      <c r="L85" s="368"/>
      <c r="M85" s="369"/>
      <c r="N85" s="369"/>
      <c r="O85" s="370"/>
      <c r="P85" s="371">
        <f>SUMIF('caseload data'!$C:$C,'divisional &amp; regional caseload'!B85,'caseload data'!V:V)</f>
        <v>0</v>
      </c>
      <c r="Q85" s="372"/>
      <c r="R85" s="373"/>
      <c r="T85" s="156" t="str">
        <f>HLOOKUP($B$5,Region_Table,25,0)</f>
        <v>Wandsworth, Merton and Sutton</v>
      </c>
      <c r="U85" s="367" t="s">
        <v>1130</v>
      </c>
      <c r="V85" s="368"/>
      <c r="W85" s="368"/>
      <c r="X85" s="374"/>
      <c r="Y85" s="371">
        <f>SUMIF('caseload data'!$C:$C,'divisional &amp; regional caseload'!T85,'caseload data'!V:V)</f>
        <v>0</v>
      </c>
      <c r="Z85" s="375"/>
      <c r="AA85" s="376"/>
    </row>
    <row r="86" spans="2:36" x14ac:dyDescent="0.15">
      <c r="B86" s="105" t="s">
        <v>1065</v>
      </c>
      <c r="C86" s="41" t="s">
        <v>922</v>
      </c>
      <c r="D86" s="41" t="s">
        <v>923</v>
      </c>
      <c r="E86" s="41" t="s">
        <v>924</v>
      </c>
      <c r="F86" s="41" t="s">
        <v>925</v>
      </c>
      <c r="G86" s="41" t="s">
        <v>926</v>
      </c>
      <c r="H86" s="41" t="s">
        <v>927</v>
      </c>
      <c r="I86" s="41" t="s">
        <v>928</v>
      </c>
      <c r="J86" s="41" t="s">
        <v>929</v>
      </c>
      <c r="K86" s="41" t="s">
        <v>930</v>
      </c>
      <c r="L86" s="41" t="s">
        <v>931</v>
      </c>
      <c r="M86" s="41" t="s">
        <v>932</v>
      </c>
      <c r="N86" s="41" t="s">
        <v>933</v>
      </c>
      <c r="O86" s="41" t="s">
        <v>934</v>
      </c>
      <c r="P86" s="41" t="s">
        <v>935</v>
      </c>
      <c r="Q86" s="41" t="s">
        <v>936</v>
      </c>
      <c r="R86" s="41" t="s">
        <v>937</v>
      </c>
      <c r="T86" s="105" t="s">
        <v>1065</v>
      </c>
      <c r="U86" s="41" t="s">
        <v>922</v>
      </c>
      <c r="V86" s="41" t="s">
        <v>923</v>
      </c>
      <c r="W86" s="41" t="s">
        <v>924</v>
      </c>
      <c r="X86" s="41" t="s">
        <v>925</v>
      </c>
      <c r="Y86" s="41" t="s">
        <v>926</v>
      </c>
      <c r="Z86" s="41" t="s">
        <v>927</v>
      </c>
      <c r="AA86" s="41" t="s">
        <v>928</v>
      </c>
      <c r="AB86" s="41" t="s">
        <v>929</v>
      </c>
      <c r="AC86" s="41" t="s">
        <v>930</v>
      </c>
      <c r="AD86" s="41" t="s">
        <v>931</v>
      </c>
      <c r="AE86" s="41" t="s">
        <v>932</v>
      </c>
      <c r="AF86" s="41" t="s">
        <v>933</v>
      </c>
      <c r="AG86" s="41" t="s">
        <v>934</v>
      </c>
      <c r="AH86" s="41" t="s">
        <v>935</v>
      </c>
      <c r="AI86" s="41" t="s">
        <v>936</v>
      </c>
      <c r="AJ86" s="41" t="s">
        <v>937</v>
      </c>
    </row>
    <row r="87" spans="2:36" x14ac:dyDescent="0.15">
      <c r="B87" s="106" t="s">
        <v>911</v>
      </c>
      <c r="C87" s="104">
        <f>SUMIFS('caseload data'!E:E,'caseload data'!$D:$D,"PO",'caseload data'!$C:$C,'divisional &amp; regional caseload'!$B$85)</f>
        <v>0</v>
      </c>
      <c r="D87" s="104">
        <f>SUMIFS('caseload data'!F:F,'caseload data'!$D:$D,"PO",'caseload data'!$C:$C,'divisional &amp; regional caseload'!$B$85)</f>
        <v>0</v>
      </c>
      <c r="E87" s="104">
        <f>SUMIFS('caseload data'!G:G,'caseload data'!$D:$D,"PO",'caseload data'!$C:$C,'divisional &amp; regional caseload'!$B$85)</f>
        <v>0</v>
      </c>
      <c r="F87" s="104">
        <f>SUMIFS('caseload data'!H:H,'caseload data'!$D:$D,"PO",'caseload data'!$C:$C,'divisional &amp; regional caseload'!$B$85)</f>
        <v>0</v>
      </c>
      <c r="G87" s="104">
        <f>SUMIFS('caseload data'!I:I,'caseload data'!$D:$D,"PO",'caseload data'!$C:$C,'divisional &amp; regional caseload'!$B$85)</f>
        <v>0</v>
      </c>
      <c r="H87" s="104">
        <f>SUMIFS('caseload data'!J:J,'caseload data'!$D:$D,"PO",'caseload data'!$C:$C,'divisional &amp; regional caseload'!$B$85)</f>
        <v>0</v>
      </c>
      <c r="I87" s="104">
        <f>SUMIFS('caseload data'!K:K,'caseload data'!$D:$D,"PO",'caseload data'!$C:$C,'divisional &amp; regional caseload'!$B$85)</f>
        <v>0</v>
      </c>
      <c r="J87" s="104">
        <f>SUMIFS('caseload data'!L:L,'caseload data'!$D:$D,"PO",'caseload data'!$C:$C,'divisional &amp; regional caseload'!$B$85)</f>
        <v>0</v>
      </c>
      <c r="K87" s="104">
        <f>SUMIFS('caseload data'!M:M,'caseload data'!$D:$D,"PO",'caseload data'!$C:$C,'divisional &amp; regional caseload'!$B$85)</f>
        <v>0</v>
      </c>
      <c r="L87" s="104">
        <f>SUMIFS('caseload data'!N:N,'caseload data'!$D:$D,"PO",'caseload data'!$C:$C,'divisional &amp; regional caseload'!$B$85)</f>
        <v>0</v>
      </c>
      <c r="M87" s="104">
        <f>SUMIFS('caseload data'!O:O,'caseload data'!$D:$D,"PO",'caseload data'!$C:$C,'divisional &amp; regional caseload'!$B$85)</f>
        <v>0</v>
      </c>
      <c r="N87" s="104">
        <f>SUMIFS('caseload data'!P:P,'caseload data'!$D:$D,"PO",'caseload data'!$C:$C,'divisional &amp; regional caseload'!$B$85)</f>
        <v>0</v>
      </c>
      <c r="O87" s="104">
        <f>SUMIFS('caseload data'!Q:Q,'caseload data'!$D:$D,"PO",'caseload data'!$C:$C,'divisional &amp; regional caseload'!$B$85)</f>
        <v>0</v>
      </c>
      <c r="P87" s="104">
        <f>SUMIFS('caseload data'!R:R,'caseload data'!$D:$D,"PO",'caseload data'!$C:$C,'divisional &amp; regional caseload'!$B$85)</f>
        <v>0</v>
      </c>
      <c r="Q87" s="104">
        <f>SUMIFS('caseload data'!S:S,'caseload data'!$D:$D,"PO",'caseload data'!$C:$C,'divisional &amp; regional caseload'!$B$85)</f>
        <v>0</v>
      </c>
      <c r="R87" s="104">
        <f>SUMIFS('caseload data'!T:T,'caseload data'!$D:$D,"PO",'caseload data'!$C:$C,'divisional &amp; regional caseload'!$B$85)</f>
        <v>0</v>
      </c>
      <c r="T87" s="106" t="s">
        <v>911</v>
      </c>
      <c r="U87" s="104">
        <f>SUMIFS('caseload data'!E:E,'caseload data'!$D:$D,"PO",'caseload data'!$C:$C,'divisional &amp; regional caseload'!$T$64)</f>
        <v>0</v>
      </c>
      <c r="V87" s="104">
        <f>SUMIFS('caseload data'!F:F,'caseload data'!$D:$D,"PO",'caseload data'!$C:$C,'divisional &amp; regional caseload'!$T$64)</f>
        <v>0</v>
      </c>
      <c r="W87" s="104">
        <f>SUMIFS('caseload data'!G:G,'caseload data'!$D:$D,"PO",'caseload data'!$C:$C,'divisional &amp; regional caseload'!$T$64)</f>
        <v>0</v>
      </c>
      <c r="X87" s="104">
        <f>SUMIFS('caseload data'!H:H,'caseload data'!$D:$D,"PO",'caseload data'!$C:$C,'divisional &amp; regional caseload'!$T$64)</f>
        <v>0</v>
      </c>
      <c r="Y87" s="104">
        <f>SUMIFS('caseload data'!I:I,'caseload data'!$D:$D,"PO",'caseload data'!$C:$C,'divisional &amp; regional caseload'!$T$64)</f>
        <v>0</v>
      </c>
      <c r="Z87" s="104">
        <f>SUMIFS('caseload data'!J:J,'caseload data'!$D:$D,"PO",'caseload data'!$C:$C,'divisional &amp; regional caseload'!$T$64)</f>
        <v>0</v>
      </c>
      <c r="AA87" s="104">
        <f>SUMIFS('caseload data'!K:K,'caseload data'!$D:$D,"PO",'caseload data'!$C:$C,'divisional &amp; regional caseload'!$T$64)</f>
        <v>0</v>
      </c>
      <c r="AB87" s="104">
        <f>SUMIFS('caseload data'!L:L,'caseload data'!$D:$D,"PO",'caseload data'!$C:$C,'divisional &amp; regional caseload'!$T$64)</f>
        <v>0</v>
      </c>
      <c r="AC87" s="104">
        <f>SUMIFS('caseload data'!M:M,'caseload data'!$D:$D,"PO",'caseload data'!$C:$C,'divisional &amp; regional caseload'!$T$64)</f>
        <v>0</v>
      </c>
      <c r="AD87" s="104">
        <f>SUMIFS('caseload data'!N:N,'caseload data'!$D:$D,"PO",'caseload data'!$C:$C,'divisional &amp; regional caseload'!$T$64)</f>
        <v>0</v>
      </c>
      <c r="AE87" s="104">
        <f>SUMIFS('caseload data'!O:O,'caseload data'!$D:$D,"PO",'caseload data'!$C:$C,'divisional &amp; regional caseload'!$T$64)</f>
        <v>0</v>
      </c>
      <c r="AF87" s="104">
        <f>SUMIFS('caseload data'!P:P,'caseload data'!$D:$D,"PO",'caseload data'!$C:$C,'divisional &amp; regional caseload'!$T$64)</f>
        <v>0</v>
      </c>
      <c r="AG87" s="104">
        <f>SUMIFS('caseload data'!Q:Q,'caseload data'!$D:$D,"PO",'caseload data'!$C:$C,'divisional &amp; regional caseload'!$T$64)</f>
        <v>0</v>
      </c>
      <c r="AH87" s="104">
        <f>SUMIFS('caseload data'!R:R,'caseload data'!$D:$D,"PO",'caseload data'!$C:$C,'divisional &amp; regional caseload'!$T$64)</f>
        <v>0</v>
      </c>
      <c r="AI87" s="104">
        <f>SUMIFS('caseload data'!S:S,'caseload data'!$D:$D,"PO",'caseload data'!$C:$C,'divisional &amp; regional caseload'!$T$64)</f>
        <v>0</v>
      </c>
      <c r="AJ87" s="104">
        <f>SUMIFS('caseload data'!T:T,'caseload data'!$D:$D,"PO",'caseload data'!$C:$C,'divisional &amp; regional caseload'!$T$64)</f>
        <v>0</v>
      </c>
    </row>
    <row r="88" spans="2:36" x14ac:dyDescent="0.15">
      <c r="B88" s="107" t="s">
        <v>912</v>
      </c>
      <c r="C88" s="104">
        <f>SUMIFS('caseload data'!E:E,'caseload data'!$D:$D,"PSO",'caseload data'!$C:$C,'divisional &amp; regional caseload'!$B$85)</f>
        <v>0</v>
      </c>
      <c r="D88" s="104">
        <f>SUMIFS('caseload data'!F:F,'caseload data'!$D:$D,"PSO",'caseload data'!$C:$C,'divisional &amp; regional caseload'!$B$85)</f>
        <v>0</v>
      </c>
      <c r="E88" s="104">
        <f>SUMIFS('caseload data'!G:G,'caseload data'!$D:$D,"PSO",'caseload data'!$C:$C,'divisional &amp; regional caseload'!$B$85)</f>
        <v>0</v>
      </c>
      <c r="F88" s="104">
        <f>SUMIFS('caseload data'!H:H,'caseload data'!$D:$D,"PSO",'caseload data'!$C:$C,'divisional &amp; regional caseload'!$B$85)</f>
        <v>0</v>
      </c>
      <c r="G88" s="104">
        <f>SUMIFS('caseload data'!I:I,'caseload data'!$D:$D,"PSO",'caseload data'!$C:$C,'divisional &amp; regional caseload'!$B$85)</f>
        <v>0</v>
      </c>
      <c r="H88" s="104">
        <f>SUMIFS('caseload data'!J:J,'caseload data'!$D:$D,"PSO",'caseload data'!$C:$C,'divisional &amp; regional caseload'!$B$85)</f>
        <v>0</v>
      </c>
      <c r="I88" s="104">
        <f>SUMIFS('caseload data'!K:K,'caseload data'!$D:$D,"PSO",'caseload data'!$C:$C,'divisional &amp; regional caseload'!$B$85)</f>
        <v>0</v>
      </c>
      <c r="J88" s="104">
        <f>SUMIFS('caseload data'!L:L,'caseload data'!$D:$D,"PSO",'caseload data'!$C:$C,'divisional &amp; regional caseload'!$B$85)</f>
        <v>0</v>
      </c>
      <c r="K88" s="104">
        <f>SUMIFS('caseload data'!M:M,'caseload data'!$D:$D,"PSO",'caseload data'!$C:$C,'divisional &amp; regional caseload'!$B$85)</f>
        <v>0</v>
      </c>
      <c r="L88" s="104">
        <f>SUMIFS('caseload data'!N:N,'caseload data'!$D:$D,"PSO",'caseload data'!$C:$C,'divisional &amp; regional caseload'!$B$85)</f>
        <v>0</v>
      </c>
      <c r="M88" s="104">
        <f>SUMIFS('caseload data'!O:O,'caseload data'!$D:$D,"PSO",'caseload data'!$C:$C,'divisional &amp; regional caseload'!$B$85)</f>
        <v>0</v>
      </c>
      <c r="N88" s="104">
        <f>SUMIFS('caseload data'!P:P,'caseload data'!$D:$D,"PSO",'caseload data'!$C:$C,'divisional &amp; regional caseload'!$B$85)</f>
        <v>0</v>
      </c>
      <c r="O88" s="104">
        <f>SUMIFS('caseload data'!Q:Q,'caseload data'!$D:$D,"PSO",'caseload data'!$C:$C,'divisional &amp; regional caseload'!$B$85)</f>
        <v>0</v>
      </c>
      <c r="P88" s="104">
        <f>SUMIFS('caseload data'!R:R,'caseload data'!$D:$D,"PSO",'caseload data'!$C:$C,'divisional &amp; regional caseload'!$B$85)</f>
        <v>0</v>
      </c>
      <c r="Q88" s="104">
        <f>SUMIFS('caseload data'!S:S,'caseload data'!$D:$D,"PSO",'caseload data'!$C:$C,'divisional &amp; regional caseload'!$B$85)</f>
        <v>0</v>
      </c>
      <c r="R88" s="104">
        <f>SUMIFS('caseload data'!T:T,'caseload data'!$D:$D,"PSO",'caseload data'!$C:$C,'divisional &amp; regional caseload'!$B$85)</f>
        <v>0</v>
      </c>
      <c r="T88" s="107" t="s">
        <v>912</v>
      </c>
      <c r="U88" s="104">
        <f>SUMIFS('caseload data'!E:E,'caseload data'!$D:$D,"PSO",'caseload data'!$C:$C,'divisional &amp; regional caseload'!$T$64)</f>
        <v>0</v>
      </c>
      <c r="V88" s="104">
        <f>SUMIFS('caseload data'!F:F,'caseload data'!$D:$D,"PSO",'caseload data'!$C:$C,'divisional &amp; regional caseload'!$T$64)</f>
        <v>0</v>
      </c>
      <c r="W88" s="104">
        <f>SUMIFS('caseload data'!G:G,'caseload data'!$D:$D,"PSO",'caseload data'!$C:$C,'divisional &amp; regional caseload'!$T$64)</f>
        <v>0</v>
      </c>
      <c r="X88" s="104">
        <f>SUMIFS('caseload data'!H:H,'caseload data'!$D:$D,"PSO",'caseload data'!$C:$C,'divisional &amp; regional caseload'!$T$64)</f>
        <v>0</v>
      </c>
      <c r="Y88" s="104">
        <f>SUMIFS('caseload data'!I:I,'caseload data'!$D:$D,"PSO",'caseload data'!$C:$C,'divisional &amp; regional caseload'!$T$64)</f>
        <v>0</v>
      </c>
      <c r="Z88" s="104">
        <f>SUMIFS('caseload data'!J:J,'caseload data'!$D:$D,"PSO",'caseload data'!$C:$C,'divisional &amp; regional caseload'!$T$64)</f>
        <v>0</v>
      </c>
      <c r="AA88" s="104">
        <f>SUMIFS('caseload data'!K:K,'caseload data'!$D:$D,"PSO",'caseload data'!$C:$C,'divisional &amp; regional caseload'!$T$64)</f>
        <v>0</v>
      </c>
      <c r="AB88" s="104">
        <f>SUMIFS('caseload data'!L:L,'caseload data'!$D:$D,"PSO",'caseload data'!$C:$C,'divisional &amp; regional caseload'!$T$64)</f>
        <v>0</v>
      </c>
      <c r="AC88" s="104">
        <f>SUMIFS('caseload data'!M:M,'caseload data'!$D:$D,"PSO",'caseload data'!$C:$C,'divisional &amp; regional caseload'!$T$64)</f>
        <v>0</v>
      </c>
      <c r="AD88" s="104">
        <f>SUMIFS('caseload data'!N:N,'caseload data'!$D:$D,"PSO",'caseload data'!$C:$C,'divisional &amp; regional caseload'!$T$64)</f>
        <v>0</v>
      </c>
      <c r="AE88" s="104">
        <f>SUMIFS('caseload data'!O:O,'caseload data'!$D:$D,"PSO",'caseload data'!$C:$C,'divisional &amp; regional caseload'!$T$64)</f>
        <v>0</v>
      </c>
      <c r="AF88" s="104">
        <f>SUMIFS('caseload data'!P:P,'caseload data'!$D:$D,"PSO",'caseload data'!$C:$C,'divisional &amp; regional caseload'!$T$64)</f>
        <v>0</v>
      </c>
      <c r="AG88" s="104">
        <f>SUMIFS('caseload data'!Q:Q,'caseload data'!$D:$D,"PSO",'caseload data'!$C:$C,'divisional &amp; regional caseload'!$T$64)</f>
        <v>0</v>
      </c>
      <c r="AH88" s="104">
        <f>SUMIFS('caseload data'!R:R,'caseload data'!$D:$D,"PSO",'caseload data'!$C:$C,'divisional &amp; regional caseload'!$T$64)</f>
        <v>0</v>
      </c>
      <c r="AI88" s="104">
        <f>SUMIFS('caseload data'!S:S,'caseload data'!$D:$D,"PSO",'caseload data'!$C:$C,'divisional &amp; regional caseload'!$T$64)</f>
        <v>0</v>
      </c>
      <c r="AJ88" s="104">
        <f>SUMIFS('caseload data'!T:T,'caseload data'!$D:$D,"PSO",'caseload data'!$C:$C,'divisional &amp; regional caseload'!$T$64)</f>
        <v>0</v>
      </c>
    </row>
    <row r="89" spans="2:36" x14ac:dyDescent="0.15">
      <c r="B89" s="107" t="s">
        <v>913</v>
      </c>
      <c r="C89" s="104">
        <f>SUMIFS('caseload data'!E:E,'caseload data'!$D:$D,"TPO",'caseload data'!$C:$C,'divisional &amp; regional caseload'!$B$85)</f>
        <v>0</v>
      </c>
      <c r="D89" s="104">
        <f>SUMIFS('caseload data'!F:F,'caseload data'!$D:$D,"TPO",'caseload data'!$C:$C,'divisional &amp; regional caseload'!$B$85)</f>
        <v>0</v>
      </c>
      <c r="E89" s="104">
        <f>SUMIFS('caseload data'!G:G,'caseload data'!$D:$D,"TPO",'caseload data'!$C:$C,'divisional &amp; regional caseload'!$B$85)</f>
        <v>0</v>
      </c>
      <c r="F89" s="104">
        <f>SUMIFS('caseload data'!H:H,'caseload data'!$D:$D,"TPO",'caseload data'!$C:$C,'divisional &amp; regional caseload'!$B$85)</f>
        <v>0</v>
      </c>
      <c r="G89" s="104">
        <f>SUMIFS('caseload data'!I:I,'caseload data'!$D:$D,"TPO",'caseload data'!$C:$C,'divisional &amp; regional caseload'!$B$85)</f>
        <v>0</v>
      </c>
      <c r="H89" s="104">
        <f>SUMIFS('caseload data'!J:J,'caseload data'!$D:$D,"TPO",'caseload data'!$C:$C,'divisional &amp; regional caseload'!$B$85)</f>
        <v>0</v>
      </c>
      <c r="I89" s="104">
        <f>SUMIFS('caseload data'!K:K,'caseload data'!$D:$D,"TPO",'caseload data'!$C:$C,'divisional &amp; regional caseload'!$B$85)</f>
        <v>0</v>
      </c>
      <c r="J89" s="104">
        <f>SUMIFS('caseload data'!L:L,'caseload data'!$D:$D,"TPO",'caseload data'!$C:$C,'divisional &amp; regional caseload'!$B$85)</f>
        <v>0</v>
      </c>
      <c r="K89" s="104">
        <f>SUMIFS('caseload data'!M:M,'caseload data'!$D:$D,"TPO",'caseload data'!$C:$C,'divisional &amp; regional caseload'!$B$85)</f>
        <v>0</v>
      </c>
      <c r="L89" s="104">
        <f>SUMIFS('caseload data'!N:N,'caseload data'!$D:$D,"TPO",'caseload data'!$C:$C,'divisional &amp; regional caseload'!$B$85)</f>
        <v>0</v>
      </c>
      <c r="M89" s="104">
        <f>SUMIFS('caseload data'!O:O,'caseload data'!$D:$D,"TPO",'caseload data'!$C:$C,'divisional &amp; regional caseload'!$B$85)</f>
        <v>0</v>
      </c>
      <c r="N89" s="104">
        <f>SUMIFS('caseload data'!P:P,'caseload data'!$D:$D,"TPO",'caseload data'!$C:$C,'divisional &amp; regional caseload'!$B$85)</f>
        <v>0</v>
      </c>
      <c r="O89" s="104">
        <f>SUMIFS('caseload data'!Q:Q,'caseload data'!$D:$D,"TPO",'caseload data'!$C:$C,'divisional &amp; regional caseload'!$B$85)</f>
        <v>0</v>
      </c>
      <c r="P89" s="104">
        <f>SUMIFS('caseload data'!R:R,'caseload data'!$D:$D,"TPO",'caseload data'!$C:$C,'divisional &amp; regional caseload'!$B$85)</f>
        <v>0</v>
      </c>
      <c r="Q89" s="104">
        <f>SUMIFS('caseload data'!S:S,'caseload data'!$D:$D,"TPO",'caseload data'!$C:$C,'divisional &amp; regional caseload'!$B$85)</f>
        <v>0</v>
      </c>
      <c r="R89" s="104">
        <f>SUMIFS('caseload data'!T:T,'caseload data'!$D:$D,"TPO",'caseload data'!$C:$C,'divisional &amp; regional caseload'!$B$85)</f>
        <v>0</v>
      </c>
      <c r="T89" s="107" t="s">
        <v>913</v>
      </c>
      <c r="U89" s="104">
        <f>SUMIFS('caseload data'!E:E,'caseload data'!$D:$D,"TPO",'caseload data'!$C:$C,'divisional &amp; regional caseload'!$T$64)</f>
        <v>0</v>
      </c>
      <c r="V89" s="104">
        <f>SUMIFS('caseload data'!F:F,'caseload data'!$D:$D,"TPO",'caseload data'!$C:$C,'divisional &amp; regional caseload'!$T$64)</f>
        <v>0</v>
      </c>
      <c r="W89" s="104">
        <f>SUMIFS('caseload data'!G:G,'caseload data'!$D:$D,"TPO",'caseload data'!$C:$C,'divisional &amp; regional caseload'!$T$64)</f>
        <v>0</v>
      </c>
      <c r="X89" s="104">
        <f>SUMIFS('caseload data'!H:H,'caseload data'!$D:$D,"TPO",'caseload data'!$C:$C,'divisional &amp; regional caseload'!$T$64)</f>
        <v>0</v>
      </c>
      <c r="Y89" s="104">
        <f>SUMIFS('caseload data'!I:I,'caseload data'!$D:$D,"TPO",'caseload data'!$C:$C,'divisional &amp; regional caseload'!$T$64)</f>
        <v>0</v>
      </c>
      <c r="Z89" s="104">
        <f>SUMIFS('caseload data'!J:J,'caseload data'!$D:$D,"TPO",'caseload data'!$C:$C,'divisional &amp; regional caseload'!$T$64)</f>
        <v>0</v>
      </c>
      <c r="AA89" s="104">
        <f>SUMIFS('caseload data'!K:K,'caseload data'!$D:$D,"TPO",'caseload data'!$C:$C,'divisional &amp; regional caseload'!$T$64)</f>
        <v>0</v>
      </c>
      <c r="AB89" s="104">
        <f>SUMIFS('caseload data'!L:L,'caseload data'!$D:$D,"TPO",'caseload data'!$C:$C,'divisional &amp; regional caseload'!$T$64)</f>
        <v>0</v>
      </c>
      <c r="AC89" s="104">
        <f>SUMIFS('caseload data'!M:M,'caseload data'!$D:$D,"TPO",'caseload data'!$C:$C,'divisional &amp; regional caseload'!$T$64)</f>
        <v>0</v>
      </c>
      <c r="AD89" s="104">
        <f>SUMIFS('caseload data'!N:N,'caseload data'!$D:$D,"TPO",'caseload data'!$C:$C,'divisional &amp; regional caseload'!$T$64)</f>
        <v>0</v>
      </c>
      <c r="AE89" s="104">
        <f>SUMIFS('caseload data'!O:O,'caseload data'!$D:$D,"TPO",'caseload data'!$C:$C,'divisional &amp; regional caseload'!$T$64)</f>
        <v>0</v>
      </c>
      <c r="AF89" s="104">
        <f>SUMIFS('caseload data'!P:P,'caseload data'!$D:$D,"TPO",'caseload data'!$C:$C,'divisional &amp; regional caseload'!$T$64)</f>
        <v>0</v>
      </c>
      <c r="AG89" s="104">
        <f>SUMIFS('caseload data'!Q:Q,'caseload data'!$D:$D,"TPO",'caseload data'!$C:$C,'divisional &amp; regional caseload'!$T$64)</f>
        <v>0</v>
      </c>
      <c r="AH89" s="104">
        <f>SUMIFS('caseload data'!R:R,'caseload data'!$D:$D,"TPO",'caseload data'!$C:$C,'divisional &amp; regional caseload'!$T$64)</f>
        <v>0</v>
      </c>
      <c r="AI89" s="104">
        <f>SUMIFS('caseload data'!S:S,'caseload data'!$D:$D,"TPO",'caseload data'!$C:$C,'divisional &amp; regional caseload'!$T$64)</f>
        <v>0</v>
      </c>
      <c r="AJ89" s="104">
        <f>SUMIFS('caseload data'!T:T,'caseload data'!$D:$D,"TPO",'caseload data'!$C:$C,'divisional &amp; regional caseload'!$T$64)</f>
        <v>0</v>
      </c>
    </row>
    <row r="90" spans="2:36" x14ac:dyDescent="0.15">
      <c r="B90" s="108" t="s">
        <v>914</v>
      </c>
      <c r="C90" s="104">
        <f>SUMIFS('caseload data'!E:E,'caseload data'!$D:$D,"SPO",'caseload data'!$C:$C,'divisional &amp; regional caseload'!$B$85)</f>
        <v>0</v>
      </c>
      <c r="D90" s="104">
        <f>SUMIFS('caseload data'!F:F,'caseload data'!$D:$D,"SPO",'caseload data'!$C:$C,'divisional &amp; regional caseload'!$B$85)</f>
        <v>0</v>
      </c>
      <c r="E90" s="104">
        <f>SUMIFS('caseload data'!G:G,'caseload data'!$D:$D,"SPO",'caseload data'!$C:$C,'divisional &amp; regional caseload'!$B$85)</f>
        <v>0</v>
      </c>
      <c r="F90" s="104">
        <f>SUMIFS('caseload data'!H:H,'caseload data'!$D:$D,"SPO",'caseload data'!$C:$C,'divisional &amp; regional caseload'!$B$85)</f>
        <v>0</v>
      </c>
      <c r="G90" s="104">
        <f>SUMIFS('caseload data'!I:I,'caseload data'!$D:$D,"SPO",'caseload data'!$C:$C,'divisional &amp; regional caseload'!$B$85)</f>
        <v>0</v>
      </c>
      <c r="H90" s="104">
        <f>SUMIFS('caseload data'!J:J,'caseload data'!$D:$D,"SPO",'caseload data'!$C:$C,'divisional &amp; regional caseload'!$B$85)</f>
        <v>0</v>
      </c>
      <c r="I90" s="104">
        <f>SUMIFS('caseload data'!K:K,'caseload data'!$D:$D,"SPO",'caseload data'!$C:$C,'divisional &amp; regional caseload'!$B$85)</f>
        <v>0</v>
      </c>
      <c r="J90" s="104">
        <f>SUMIFS('caseload data'!L:L,'caseload data'!$D:$D,"SPO",'caseload data'!$C:$C,'divisional &amp; regional caseload'!$B$85)</f>
        <v>0</v>
      </c>
      <c r="K90" s="104">
        <f>SUMIFS('caseload data'!M:M,'caseload data'!$D:$D,"SPO",'caseload data'!$C:$C,'divisional &amp; regional caseload'!$B$85)</f>
        <v>0</v>
      </c>
      <c r="L90" s="104">
        <f>SUMIFS('caseload data'!N:N,'caseload data'!$D:$D,"SPO",'caseload data'!$C:$C,'divisional &amp; regional caseload'!$B$85)</f>
        <v>0</v>
      </c>
      <c r="M90" s="104">
        <f>SUMIFS('caseload data'!O:O,'caseload data'!$D:$D,"SPO",'caseload data'!$C:$C,'divisional &amp; regional caseload'!$B$85)</f>
        <v>0</v>
      </c>
      <c r="N90" s="104">
        <f>SUMIFS('caseload data'!P:P,'caseload data'!$D:$D,"SPO",'caseload data'!$C:$C,'divisional &amp; regional caseload'!$B$85)</f>
        <v>0</v>
      </c>
      <c r="O90" s="104">
        <f>SUMIFS('caseload data'!Q:Q,'caseload data'!$D:$D,"SPO",'caseload data'!$C:$C,'divisional &amp; regional caseload'!$B$85)</f>
        <v>0</v>
      </c>
      <c r="P90" s="104">
        <f>SUMIFS('caseload data'!R:R,'caseload data'!$D:$D,"SPO",'caseload data'!$C:$C,'divisional &amp; regional caseload'!$B$85)</f>
        <v>0</v>
      </c>
      <c r="Q90" s="104">
        <f>SUMIFS('caseload data'!S:S,'caseload data'!$D:$D,"SPO",'caseload data'!$C:$C,'divisional &amp; regional caseload'!$B$85)</f>
        <v>0</v>
      </c>
      <c r="R90" s="104">
        <f>SUMIFS('caseload data'!T:T,'caseload data'!$D:$D,"SPO",'caseload data'!$C:$C,'divisional &amp; regional caseload'!$B$85)</f>
        <v>0</v>
      </c>
      <c r="T90" s="108" t="s">
        <v>914</v>
      </c>
      <c r="U90" s="104">
        <f>SUMIFS('caseload data'!E:E,'caseload data'!$D:$D,"SPO",'caseload data'!$C:$C,'divisional &amp; regional caseload'!$T$64)</f>
        <v>0</v>
      </c>
      <c r="V90" s="104">
        <f>SUMIFS('caseload data'!F:F,'caseload data'!$D:$D,"SPO",'caseload data'!$C:$C,'divisional &amp; regional caseload'!$T$64)</f>
        <v>0</v>
      </c>
      <c r="W90" s="104">
        <f>SUMIFS('caseload data'!G:G,'caseload data'!$D:$D,"SPO",'caseload data'!$C:$C,'divisional &amp; regional caseload'!$T$64)</f>
        <v>0</v>
      </c>
      <c r="X90" s="104">
        <f>SUMIFS('caseload data'!H:H,'caseload data'!$D:$D,"SPO",'caseload data'!$C:$C,'divisional &amp; regional caseload'!$T$64)</f>
        <v>0</v>
      </c>
      <c r="Y90" s="104">
        <f>SUMIFS('caseload data'!I:I,'caseload data'!$D:$D,"SPO",'caseload data'!$C:$C,'divisional &amp; regional caseload'!$T$64)</f>
        <v>0</v>
      </c>
      <c r="Z90" s="104">
        <f>SUMIFS('caseload data'!J:J,'caseload data'!$D:$D,"SPO",'caseload data'!$C:$C,'divisional &amp; regional caseload'!$T$64)</f>
        <v>0</v>
      </c>
      <c r="AA90" s="104">
        <f>SUMIFS('caseload data'!K:K,'caseload data'!$D:$D,"SPO",'caseload data'!$C:$C,'divisional &amp; regional caseload'!$T$64)</f>
        <v>0</v>
      </c>
      <c r="AB90" s="104">
        <f>SUMIFS('caseload data'!L:L,'caseload data'!$D:$D,"SPO",'caseload data'!$C:$C,'divisional &amp; regional caseload'!$T$64)</f>
        <v>0</v>
      </c>
      <c r="AC90" s="104">
        <f>SUMIFS('caseload data'!M:M,'caseload data'!$D:$D,"SPO",'caseload data'!$C:$C,'divisional &amp; regional caseload'!$T$64)</f>
        <v>0</v>
      </c>
      <c r="AD90" s="104">
        <f>SUMIFS('caseload data'!N:N,'caseload data'!$D:$D,"SPO",'caseload data'!$C:$C,'divisional &amp; regional caseload'!$T$64)</f>
        <v>0</v>
      </c>
      <c r="AE90" s="104">
        <f>SUMIFS('caseload data'!O:O,'caseload data'!$D:$D,"SPO",'caseload data'!$C:$C,'divisional &amp; regional caseload'!$T$64)</f>
        <v>0</v>
      </c>
      <c r="AF90" s="104">
        <f>SUMIFS('caseload data'!P:P,'caseload data'!$D:$D,"SPO",'caseload data'!$C:$C,'divisional &amp; regional caseload'!$T$64)</f>
        <v>0</v>
      </c>
      <c r="AG90" s="104">
        <f>SUMIFS('caseload data'!Q:Q,'caseload data'!$D:$D,"SPO",'caseload data'!$C:$C,'divisional &amp; regional caseload'!$T$64)</f>
        <v>0</v>
      </c>
      <c r="AH90" s="104">
        <f>SUMIFS('caseload data'!R:R,'caseload data'!$D:$D,"SPO",'caseload data'!$C:$C,'divisional &amp; regional caseload'!$T$64)</f>
        <v>0</v>
      </c>
      <c r="AI90" s="104">
        <f>SUMIFS('caseload data'!S:S,'caseload data'!$D:$D,"SPO",'caseload data'!$C:$C,'divisional &amp; regional caseload'!$T$64)</f>
        <v>0</v>
      </c>
      <c r="AJ90" s="104">
        <f>SUMIFS('caseload data'!T:T,'caseload data'!$D:$D,"SPO",'caseload data'!$C:$C,'divisional &amp; regional caseload'!$T$64)</f>
        <v>0</v>
      </c>
    </row>
    <row r="92" spans="2:36" x14ac:dyDescent="0.15">
      <c r="B92" s="156">
        <f>HLOOKUP($B$5,Region_Table,26,0)</f>
        <v>0</v>
      </c>
      <c r="C92" s="367" t="s">
        <v>1130</v>
      </c>
      <c r="D92" s="368"/>
      <c r="E92" s="368"/>
      <c r="F92" s="368"/>
      <c r="G92" s="368"/>
      <c r="H92" s="368"/>
      <c r="I92" s="368"/>
      <c r="J92" s="368"/>
      <c r="K92" s="368"/>
      <c r="L92" s="368"/>
      <c r="M92" s="369"/>
      <c r="N92" s="369"/>
      <c r="O92" s="370"/>
      <c r="P92" s="371">
        <f>SUMIF('caseload data'!$C:$C,'divisional &amp; regional caseload'!B92,'caseload data'!V:V)</f>
        <v>0</v>
      </c>
      <c r="Q92" s="372"/>
      <c r="R92" s="373"/>
      <c r="T92" s="156">
        <f>HLOOKUP($B$5,Region_Table,27,0)</f>
        <v>0</v>
      </c>
      <c r="U92" s="367" t="s">
        <v>1130</v>
      </c>
      <c r="V92" s="368"/>
      <c r="W92" s="368"/>
      <c r="X92" s="374"/>
      <c r="Y92" s="371">
        <f>SUMIF('caseload data'!$C:$C,'divisional &amp; regional caseload'!T92,'caseload data'!V:V)</f>
        <v>0</v>
      </c>
      <c r="Z92" s="375"/>
      <c r="AA92" s="376"/>
    </row>
    <row r="93" spans="2:36" x14ac:dyDescent="0.15">
      <c r="B93" s="105" t="s">
        <v>1065</v>
      </c>
      <c r="C93" s="41" t="s">
        <v>922</v>
      </c>
      <c r="D93" s="41" t="s">
        <v>923</v>
      </c>
      <c r="E93" s="41" t="s">
        <v>924</v>
      </c>
      <c r="F93" s="41" t="s">
        <v>925</v>
      </c>
      <c r="G93" s="41" t="s">
        <v>926</v>
      </c>
      <c r="H93" s="41" t="s">
        <v>927</v>
      </c>
      <c r="I93" s="41" t="s">
        <v>928</v>
      </c>
      <c r="J93" s="41" t="s">
        <v>929</v>
      </c>
      <c r="K93" s="41" t="s">
        <v>930</v>
      </c>
      <c r="L93" s="41" t="s">
        <v>931</v>
      </c>
      <c r="M93" s="41" t="s">
        <v>932</v>
      </c>
      <c r="N93" s="41" t="s">
        <v>933</v>
      </c>
      <c r="O93" s="41" t="s">
        <v>934</v>
      </c>
      <c r="P93" s="41" t="s">
        <v>935</v>
      </c>
      <c r="Q93" s="41" t="s">
        <v>936</v>
      </c>
      <c r="R93" s="41" t="s">
        <v>937</v>
      </c>
      <c r="T93" s="105" t="s">
        <v>1065</v>
      </c>
      <c r="U93" s="41" t="s">
        <v>922</v>
      </c>
      <c r="V93" s="41" t="s">
        <v>923</v>
      </c>
      <c r="W93" s="41" t="s">
        <v>924</v>
      </c>
      <c r="X93" s="41" t="s">
        <v>925</v>
      </c>
      <c r="Y93" s="41" t="s">
        <v>926</v>
      </c>
      <c r="Z93" s="41" t="s">
        <v>927</v>
      </c>
      <c r="AA93" s="41" t="s">
        <v>928</v>
      </c>
      <c r="AB93" s="41" t="s">
        <v>929</v>
      </c>
      <c r="AC93" s="41" t="s">
        <v>930</v>
      </c>
      <c r="AD93" s="41" t="s">
        <v>931</v>
      </c>
      <c r="AE93" s="41" t="s">
        <v>932</v>
      </c>
      <c r="AF93" s="41" t="s">
        <v>933</v>
      </c>
      <c r="AG93" s="41" t="s">
        <v>934</v>
      </c>
      <c r="AH93" s="41" t="s">
        <v>935</v>
      </c>
      <c r="AI93" s="41" t="s">
        <v>936</v>
      </c>
      <c r="AJ93" s="41" t="s">
        <v>937</v>
      </c>
    </row>
    <row r="94" spans="2:36" x14ac:dyDescent="0.15">
      <c r="B94" s="106" t="s">
        <v>911</v>
      </c>
      <c r="C94" s="104">
        <f>SUMIFS('caseload data'!E:E,'caseload data'!$D:$D,"PO",'caseload data'!$C:$C,'divisional &amp; regional caseload'!$B$92)</f>
        <v>0</v>
      </c>
      <c r="D94" s="104">
        <f>SUMIFS('caseload data'!F:F,'caseload data'!$D:$D,"PO",'caseload data'!$C:$C,'divisional &amp; regional caseload'!$B$92)</f>
        <v>0</v>
      </c>
      <c r="E94" s="104">
        <f>SUMIFS('caseload data'!G:G,'caseload data'!$D:$D,"PO",'caseload data'!$C:$C,'divisional &amp; regional caseload'!$B$92)</f>
        <v>0</v>
      </c>
      <c r="F94" s="104">
        <f>SUMIFS('caseload data'!H:H,'caseload data'!$D:$D,"PO",'caseload data'!$C:$C,'divisional &amp; regional caseload'!$B$92)</f>
        <v>0</v>
      </c>
      <c r="G94" s="104">
        <f>SUMIFS('caseload data'!I:I,'caseload data'!$D:$D,"PO",'caseload data'!$C:$C,'divisional &amp; regional caseload'!$B$92)</f>
        <v>0</v>
      </c>
      <c r="H94" s="104">
        <f>SUMIFS('caseload data'!J:J,'caseload data'!$D:$D,"PO",'caseload data'!$C:$C,'divisional &amp; regional caseload'!$B$92)</f>
        <v>0</v>
      </c>
      <c r="I94" s="104">
        <f>SUMIFS('caseload data'!K:K,'caseload data'!$D:$D,"PO",'caseload data'!$C:$C,'divisional &amp; regional caseload'!$B$92)</f>
        <v>0</v>
      </c>
      <c r="J94" s="104">
        <f>SUMIFS('caseload data'!L:L,'caseload data'!$D:$D,"PO",'caseload data'!$C:$C,'divisional &amp; regional caseload'!$B$92)</f>
        <v>0</v>
      </c>
      <c r="K94" s="104">
        <f>SUMIFS('caseload data'!M:M,'caseload data'!$D:$D,"PO",'caseload data'!$C:$C,'divisional &amp; regional caseload'!$B$92)</f>
        <v>0</v>
      </c>
      <c r="L94" s="104">
        <f>SUMIFS('caseload data'!N:N,'caseload data'!$D:$D,"PO",'caseload data'!$C:$C,'divisional &amp; regional caseload'!$B$92)</f>
        <v>0</v>
      </c>
      <c r="M94" s="104">
        <f>SUMIFS('caseload data'!O:O,'caseload data'!$D:$D,"PO",'caseload data'!$C:$C,'divisional &amp; regional caseload'!$B$92)</f>
        <v>0</v>
      </c>
      <c r="N94" s="104">
        <f>SUMIFS('caseload data'!P:P,'caseload data'!$D:$D,"PO",'caseload data'!$C:$C,'divisional &amp; regional caseload'!$B$92)</f>
        <v>0</v>
      </c>
      <c r="O94" s="104">
        <f>SUMIFS('caseload data'!Q:Q,'caseload data'!$D:$D,"PO",'caseload data'!$C:$C,'divisional &amp; regional caseload'!$B$92)</f>
        <v>0</v>
      </c>
      <c r="P94" s="104">
        <f>SUMIFS('caseload data'!R:R,'caseload data'!$D:$D,"PO",'caseload data'!$C:$C,'divisional &amp; regional caseload'!$B$92)</f>
        <v>0</v>
      </c>
      <c r="Q94" s="104">
        <f>SUMIFS('caseload data'!S:S,'caseload data'!$D:$D,"PO",'caseload data'!$C:$C,'divisional &amp; regional caseload'!$B$92)</f>
        <v>0</v>
      </c>
      <c r="R94" s="104">
        <f>SUMIFS('caseload data'!T:T,'caseload data'!$D:$D,"PO",'caseload data'!$C:$C,'divisional &amp; regional caseload'!$B$92)</f>
        <v>0</v>
      </c>
      <c r="T94" s="106" t="s">
        <v>911</v>
      </c>
      <c r="U94" s="104">
        <f>SUMIFS('caseload data'!E:E,'caseload data'!$D:$D,"PO",'caseload data'!$C:$C,'divisional &amp; regional caseload'!$T$64)</f>
        <v>0</v>
      </c>
      <c r="V94" s="104">
        <f>SUMIFS('caseload data'!F:F,'caseload data'!$D:$D,"PO",'caseload data'!$C:$C,'divisional &amp; regional caseload'!$T$64)</f>
        <v>0</v>
      </c>
      <c r="W94" s="104">
        <f>SUMIFS('caseload data'!G:G,'caseload data'!$D:$D,"PO",'caseload data'!$C:$C,'divisional &amp; regional caseload'!$T$64)</f>
        <v>0</v>
      </c>
      <c r="X94" s="104">
        <f>SUMIFS('caseload data'!H:H,'caseload data'!$D:$D,"PO",'caseload data'!$C:$C,'divisional &amp; regional caseload'!$T$64)</f>
        <v>0</v>
      </c>
      <c r="Y94" s="104">
        <f>SUMIFS('caseload data'!I:I,'caseload data'!$D:$D,"PO",'caseload data'!$C:$C,'divisional &amp; regional caseload'!$T$64)</f>
        <v>0</v>
      </c>
      <c r="Z94" s="104">
        <f>SUMIFS('caseload data'!J:J,'caseload data'!$D:$D,"PO",'caseload data'!$C:$C,'divisional &amp; regional caseload'!$T$64)</f>
        <v>0</v>
      </c>
      <c r="AA94" s="104">
        <f>SUMIFS('caseload data'!K:K,'caseload data'!$D:$D,"PO",'caseload data'!$C:$C,'divisional &amp; regional caseload'!$T$64)</f>
        <v>0</v>
      </c>
      <c r="AB94" s="104">
        <f>SUMIFS('caseload data'!L:L,'caseload data'!$D:$D,"PO",'caseload data'!$C:$C,'divisional &amp; regional caseload'!$T$64)</f>
        <v>0</v>
      </c>
      <c r="AC94" s="104">
        <f>SUMIFS('caseload data'!M:M,'caseload data'!$D:$D,"PO",'caseload data'!$C:$C,'divisional &amp; regional caseload'!$T$64)</f>
        <v>0</v>
      </c>
      <c r="AD94" s="104">
        <f>SUMIFS('caseload data'!N:N,'caseload data'!$D:$D,"PO",'caseload data'!$C:$C,'divisional &amp; regional caseload'!$T$64)</f>
        <v>0</v>
      </c>
      <c r="AE94" s="104">
        <f>SUMIFS('caseload data'!O:O,'caseload data'!$D:$D,"PO",'caseload data'!$C:$C,'divisional &amp; regional caseload'!$T$64)</f>
        <v>0</v>
      </c>
      <c r="AF94" s="104">
        <f>SUMIFS('caseload data'!P:P,'caseload data'!$D:$D,"PO",'caseload data'!$C:$C,'divisional &amp; regional caseload'!$T$64)</f>
        <v>0</v>
      </c>
      <c r="AG94" s="104">
        <f>SUMIFS('caseload data'!Q:Q,'caseload data'!$D:$D,"PO",'caseload data'!$C:$C,'divisional &amp; regional caseload'!$T$64)</f>
        <v>0</v>
      </c>
      <c r="AH94" s="104">
        <f>SUMIFS('caseload data'!R:R,'caseload data'!$D:$D,"PO",'caseload data'!$C:$C,'divisional &amp; regional caseload'!$T$64)</f>
        <v>0</v>
      </c>
      <c r="AI94" s="104">
        <f>SUMIFS('caseload data'!S:S,'caseload data'!$D:$D,"PO",'caseload data'!$C:$C,'divisional &amp; regional caseload'!$T$64)</f>
        <v>0</v>
      </c>
      <c r="AJ94" s="104">
        <f>SUMIFS('caseload data'!T:T,'caseload data'!$D:$D,"PO",'caseload data'!$C:$C,'divisional &amp; regional caseload'!$T$64)</f>
        <v>0</v>
      </c>
    </row>
    <row r="95" spans="2:36" x14ac:dyDescent="0.15">
      <c r="B95" s="107" t="s">
        <v>912</v>
      </c>
      <c r="C95" s="104">
        <f>SUMIFS('caseload data'!E:E,'caseload data'!$D:$D,"PSO",'caseload data'!$C:$C,'divisional &amp; regional caseload'!$B$92)</f>
        <v>0</v>
      </c>
      <c r="D95" s="104">
        <f>SUMIFS('caseload data'!F:F,'caseload data'!$D:$D,"PSO",'caseload data'!$C:$C,'divisional &amp; regional caseload'!$B$92)</f>
        <v>0</v>
      </c>
      <c r="E95" s="104">
        <f>SUMIFS('caseload data'!G:G,'caseload data'!$D:$D,"PSO",'caseload data'!$C:$C,'divisional &amp; regional caseload'!$B$92)</f>
        <v>0</v>
      </c>
      <c r="F95" s="104">
        <f>SUMIFS('caseload data'!H:H,'caseload data'!$D:$D,"PSO",'caseload data'!$C:$C,'divisional &amp; regional caseload'!$B$92)</f>
        <v>0</v>
      </c>
      <c r="G95" s="104">
        <f>SUMIFS('caseload data'!I:I,'caseload data'!$D:$D,"PSO",'caseload data'!$C:$C,'divisional &amp; regional caseload'!$B$92)</f>
        <v>0</v>
      </c>
      <c r="H95" s="104">
        <f>SUMIFS('caseload data'!J:J,'caseload data'!$D:$D,"PSO",'caseload data'!$C:$C,'divisional &amp; regional caseload'!$B$92)</f>
        <v>0</v>
      </c>
      <c r="I95" s="104">
        <f>SUMIFS('caseload data'!K:K,'caseload data'!$D:$D,"PSO",'caseload data'!$C:$C,'divisional &amp; regional caseload'!$B$92)</f>
        <v>0</v>
      </c>
      <c r="J95" s="104">
        <f>SUMIFS('caseload data'!L:L,'caseload data'!$D:$D,"PSO",'caseload data'!$C:$C,'divisional &amp; regional caseload'!$B$92)</f>
        <v>0</v>
      </c>
      <c r="K95" s="104">
        <f>SUMIFS('caseload data'!M:M,'caseload data'!$D:$D,"PSO",'caseload data'!$C:$C,'divisional &amp; regional caseload'!$B$92)</f>
        <v>0</v>
      </c>
      <c r="L95" s="104">
        <f>SUMIFS('caseload data'!N:N,'caseload data'!$D:$D,"PSO",'caseload data'!$C:$C,'divisional &amp; regional caseload'!$B$92)</f>
        <v>0</v>
      </c>
      <c r="M95" s="104">
        <f>SUMIFS('caseload data'!O:O,'caseload data'!$D:$D,"PSO",'caseload data'!$C:$C,'divisional &amp; regional caseload'!$B$92)</f>
        <v>0</v>
      </c>
      <c r="N95" s="104">
        <f>SUMIFS('caseload data'!P:P,'caseload data'!$D:$D,"PSO",'caseload data'!$C:$C,'divisional &amp; regional caseload'!$B$92)</f>
        <v>0</v>
      </c>
      <c r="O95" s="104">
        <f>SUMIFS('caseload data'!Q:Q,'caseload data'!$D:$D,"PSO",'caseload data'!$C:$C,'divisional &amp; regional caseload'!$B$92)</f>
        <v>0</v>
      </c>
      <c r="P95" s="104">
        <f>SUMIFS('caseload data'!R:R,'caseload data'!$D:$D,"PSO",'caseload data'!$C:$C,'divisional &amp; regional caseload'!$B$92)</f>
        <v>0</v>
      </c>
      <c r="Q95" s="104">
        <f>SUMIFS('caseload data'!S:S,'caseload data'!$D:$D,"PSO",'caseload data'!$C:$C,'divisional &amp; regional caseload'!$B$92)</f>
        <v>0</v>
      </c>
      <c r="R95" s="104">
        <f>SUMIFS('caseload data'!T:T,'caseload data'!$D:$D,"PSO",'caseload data'!$C:$C,'divisional &amp; regional caseload'!$B$92)</f>
        <v>0</v>
      </c>
      <c r="T95" s="107" t="s">
        <v>912</v>
      </c>
      <c r="U95" s="104">
        <f>SUMIFS('caseload data'!E:E,'caseload data'!$D:$D,"PSO",'caseload data'!$C:$C,'divisional &amp; regional caseload'!$T$64)</f>
        <v>0</v>
      </c>
      <c r="V95" s="104">
        <f>SUMIFS('caseload data'!F:F,'caseload data'!$D:$D,"PSO",'caseload data'!$C:$C,'divisional &amp; regional caseload'!$T$64)</f>
        <v>0</v>
      </c>
      <c r="W95" s="104">
        <f>SUMIFS('caseload data'!G:G,'caseload data'!$D:$D,"PSO",'caseload data'!$C:$C,'divisional &amp; regional caseload'!$T$64)</f>
        <v>0</v>
      </c>
      <c r="X95" s="104">
        <f>SUMIFS('caseload data'!H:H,'caseload data'!$D:$D,"PSO",'caseload data'!$C:$C,'divisional &amp; regional caseload'!$T$64)</f>
        <v>0</v>
      </c>
      <c r="Y95" s="104">
        <f>SUMIFS('caseload data'!I:I,'caseload data'!$D:$D,"PSO",'caseload data'!$C:$C,'divisional &amp; regional caseload'!$T$64)</f>
        <v>0</v>
      </c>
      <c r="Z95" s="104">
        <f>SUMIFS('caseload data'!J:J,'caseload data'!$D:$D,"PSO",'caseload data'!$C:$C,'divisional &amp; regional caseload'!$T$64)</f>
        <v>0</v>
      </c>
      <c r="AA95" s="104">
        <f>SUMIFS('caseload data'!K:K,'caseload data'!$D:$D,"PSO",'caseload data'!$C:$C,'divisional &amp; regional caseload'!$T$64)</f>
        <v>0</v>
      </c>
      <c r="AB95" s="104">
        <f>SUMIFS('caseload data'!L:L,'caseload data'!$D:$D,"PSO",'caseload data'!$C:$C,'divisional &amp; regional caseload'!$T$64)</f>
        <v>0</v>
      </c>
      <c r="AC95" s="104">
        <f>SUMIFS('caseload data'!M:M,'caseload data'!$D:$D,"PSO",'caseload data'!$C:$C,'divisional &amp; regional caseload'!$T$64)</f>
        <v>0</v>
      </c>
      <c r="AD95" s="104">
        <f>SUMIFS('caseload data'!N:N,'caseload data'!$D:$D,"PSO",'caseload data'!$C:$C,'divisional &amp; regional caseload'!$T$64)</f>
        <v>0</v>
      </c>
      <c r="AE95" s="104">
        <f>SUMIFS('caseload data'!O:O,'caseload data'!$D:$D,"PSO",'caseload data'!$C:$C,'divisional &amp; regional caseload'!$T$64)</f>
        <v>0</v>
      </c>
      <c r="AF95" s="104">
        <f>SUMIFS('caseload data'!P:P,'caseload data'!$D:$D,"PSO",'caseload data'!$C:$C,'divisional &amp; regional caseload'!$T$64)</f>
        <v>0</v>
      </c>
      <c r="AG95" s="104">
        <f>SUMIFS('caseload data'!Q:Q,'caseload data'!$D:$D,"PSO",'caseload data'!$C:$C,'divisional &amp; regional caseload'!$T$64)</f>
        <v>0</v>
      </c>
      <c r="AH95" s="104">
        <f>SUMIFS('caseload data'!R:R,'caseload data'!$D:$D,"PSO",'caseload data'!$C:$C,'divisional &amp; regional caseload'!$T$64)</f>
        <v>0</v>
      </c>
      <c r="AI95" s="104">
        <f>SUMIFS('caseload data'!S:S,'caseload data'!$D:$D,"PSO",'caseload data'!$C:$C,'divisional &amp; regional caseload'!$T$64)</f>
        <v>0</v>
      </c>
      <c r="AJ95" s="104">
        <f>SUMIFS('caseload data'!T:T,'caseload data'!$D:$D,"PSO",'caseload data'!$C:$C,'divisional &amp; regional caseload'!$T$64)</f>
        <v>0</v>
      </c>
    </row>
    <row r="96" spans="2:36" x14ac:dyDescent="0.15">
      <c r="B96" s="107" t="s">
        <v>913</v>
      </c>
      <c r="C96" s="104">
        <f>SUMIFS('caseload data'!E:E,'caseload data'!$D:$D,"TPO",'caseload data'!$C:$C,'divisional &amp; regional caseload'!$B$92)</f>
        <v>0</v>
      </c>
      <c r="D96" s="104">
        <f>SUMIFS('caseload data'!F:F,'caseload data'!$D:$D,"TPO",'caseload data'!$C:$C,'divisional &amp; regional caseload'!$B$92)</f>
        <v>0</v>
      </c>
      <c r="E96" s="104">
        <f>SUMIFS('caseload data'!G:G,'caseload data'!$D:$D,"TPO",'caseload data'!$C:$C,'divisional &amp; regional caseload'!$B$92)</f>
        <v>0</v>
      </c>
      <c r="F96" s="104">
        <f>SUMIFS('caseload data'!H:H,'caseload data'!$D:$D,"TPO",'caseload data'!$C:$C,'divisional &amp; regional caseload'!$B$92)</f>
        <v>0</v>
      </c>
      <c r="G96" s="104">
        <f>SUMIFS('caseload data'!I:I,'caseload data'!$D:$D,"TPO",'caseload data'!$C:$C,'divisional &amp; regional caseload'!$B$92)</f>
        <v>0</v>
      </c>
      <c r="H96" s="104">
        <f>SUMIFS('caseload data'!J:J,'caseload data'!$D:$D,"TPO",'caseload data'!$C:$C,'divisional &amp; regional caseload'!$B$92)</f>
        <v>0</v>
      </c>
      <c r="I96" s="104">
        <f>SUMIFS('caseload data'!K:K,'caseload data'!$D:$D,"TPO",'caseload data'!$C:$C,'divisional &amp; regional caseload'!$B$92)</f>
        <v>0</v>
      </c>
      <c r="J96" s="104">
        <f>SUMIFS('caseload data'!L:L,'caseload data'!$D:$D,"TPO",'caseload data'!$C:$C,'divisional &amp; regional caseload'!$B$92)</f>
        <v>0</v>
      </c>
      <c r="K96" s="104">
        <f>SUMIFS('caseload data'!M:M,'caseload data'!$D:$D,"TPO",'caseload data'!$C:$C,'divisional &amp; regional caseload'!$B$92)</f>
        <v>0</v>
      </c>
      <c r="L96" s="104">
        <f>SUMIFS('caseload data'!N:N,'caseload data'!$D:$D,"TPO",'caseload data'!$C:$C,'divisional &amp; regional caseload'!$B$92)</f>
        <v>0</v>
      </c>
      <c r="M96" s="104">
        <f>SUMIFS('caseload data'!O:O,'caseload data'!$D:$D,"TPO",'caseload data'!$C:$C,'divisional &amp; regional caseload'!$B$92)</f>
        <v>0</v>
      </c>
      <c r="N96" s="104">
        <f>SUMIFS('caseload data'!P:P,'caseload data'!$D:$D,"TPO",'caseload data'!$C:$C,'divisional &amp; regional caseload'!$B$92)</f>
        <v>0</v>
      </c>
      <c r="O96" s="104">
        <f>SUMIFS('caseload data'!Q:Q,'caseload data'!$D:$D,"TPO",'caseload data'!$C:$C,'divisional &amp; regional caseload'!$B$92)</f>
        <v>0</v>
      </c>
      <c r="P96" s="104">
        <f>SUMIFS('caseload data'!R:R,'caseload data'!$D:$D,"TPO",'caseload data'!$C:$C,'divisional &amp; regional caseload'!$B$92)</f>
        <v>0</v>
      </c>
      <c r="Q96" s="104">
        <f>SUMIFS('caseload data'!S:S,'caseload data'!$D:$D,"TPO",'caseload data'!$C:$C,'divisional &amp; regional caseload'!$B$92)</f>
        <v>0</v>
      </c>
      <c r="R96" s="104">
        <f>SUMIFS('caseload data'!T:T,'caseload data'!$D:$D,"TPO",'caseload data'!$C:$C,'divisional &amp; regional caseload'!$B$92)</f>
        <v>0</v>
      </c>
      <c r="T96" s="107" t="s">
        <v>913</v>
      </c>
      <c r="U96" s="104">
        <f>SUMIFS('caseload data'!E:E,'caseload data'!$D:$D,"TPO",'caseload data'!$C:$C,'divisional &amp; regional caseload'!$T$64)</f>
        <v>0</v>
      </c>
      <c r="V96" s="104">
        <f>SUMIFS('caseload data'!F:F,'caseload data'!$D:$D,"TPO",'caseload data'!$C:$C,'divisional &amp; regional caseload'!$T$64)</f>
        <v>0</v>
      </c>
      <c r="W96" s="104">
        <f>SUMIFS('caseload data'!G:G,'caseload data'!$D:$D,"TPO",'caseload data'!$C:$C,'divisional &amp; regional caseload'!$T$64)</f>
        <v>0</v>
      </c>
      <c r="X96" s="104">
        <f>SUMIFS('caseload data'!H:H,'caseload data'!$D:$D,"TPO",'caseload data'!$C:$C,'divisional &amp; regional caseload'!$T$64)</f>
        <v>0</v>
      </c>
      <c r="Y96" s="104">
        <f>SUMIFS('caseload data'!I:I,'caseload data'!$D:$D,"TPO",'caseload data'!$C:$C,'divisional &amp; regional caseload'!$T$64)</f>
        <v>0</v>
      </c>
      <c r="Z96" s="104">
        <f>SUMIFS('caseload data'!J:J,'caseload data'!$D:$D,"TPO",'caseload data'!$C:$C,'divisional &amp; regional caseload'!$T$64)</f>
        <v>0</v>
      </c>
      <c r="AA96" s="104">
        <f>SUMIFS('caseload data'!K:K,'caseload data'!$D:$D,"TPO",'caseload data'!$C:$C,'divisional &amp; regional caseload'!$T$64)</f>
        <v>0</v>
      </c>
      <c r="AB96" s="104">
        <f>SUMIFS('caseload data'!L:L,'caseload data'!$D:$D,"TPO",'caseload data'!$C:$C,'divisional &amp; regional caseload'!$T$64)</f>
        <v>0</v>
      </c>
      <c r="AC96" s="104">
        <f>SUMIFS('caseload data'!M:M,'caseload data'!$D:$D,"TPO",'caseload data'!$C:$C,'divisional &amp; regional caseload'!$T$64)</f>
        <v>0</v>
      </c>
      <c r="AD96" s="104">
        <f>SUMIFS('caseload data'!N:N,'caseload data'!$D:$D,"TPO",'caseload data'!$C:$C,'divisional &amp; regional caseload'!$T$64)</f>
        <v>0</v>
      </c>
      <c r="AE96" s="104">
        <f>SUMIFS('caseload data'!O:O,'caseload data'!$D:$D,"TPO",'caseload data'!$C:$C,'divisional &amp; regional caseload'!$T$64)</f>
        <v>0</v>
      </c>
      <c r="AF96" s="104">
        <f>SUMIFS('caseload data'!P:P,'caseload data'!$D:$D,"TPO",'caseload data'!$C:$C,'divisional &amp; regional caseload'!$T$64)</f>
        <v>0</v>
      </c>
      <c r="AG96" s="104">
        <f>SUMIFS('caseload data'!Q:Q,'caseload data'!$D:$D,"TPO",'caseload data'!$C:$C,'divisional &amp; regional caseload'!$T$64)</f>
        <v>0</v>
      </c>
      <c r="AH96" s="104">
        <f>SUMIFS('caseload data'!R:R,'caseload data'!$D:$D,"TPO",'caseload data'!$C:$C,'divisional &amp; regional caseload'!$T$64)</f>
        <v>0</v>
      </c>
      <c r="AI96" s="104">
        <f>SUMIFS('caseload data'!S:S,'caseload data'!$D:$D,"TPO",'caseload data'!$C:$C,'divisional &amp; regional caseload'!$T$64)</f>
        <v>0</v>
      </c>
      <c r="AJ96" s="104">
        <f>SUMIFS('caseload data'!T:T,'caseload data'!$D:$D,"TPO",'caseload data'!$C:$C,'divisional &amp; regional caseload'!$T$64)</f>
        <v>0</v>
      </c>
    </row>
    <row r="97" spans="2:36" x14ac:dyDescent="0.15">
      <c r="B97" s="108" t="s">
        <v>914</v>
      </c>
      <c r="C97" s="104">
        <f>SUMIFS('caseload data'!E:E,'caseload data'!$D:$D,"SPO",'caseload data'!$C:$C,'divisional &amp; regional caseload'!$B$92)</f>
        <v>0</v>
      </c>
      <c r="D97" s="104">
        <f>SUMIFS('caseload data'!F:F,'caseload data'!$D:$D,"SPO",'caseload data'!$C:$C,'divisional &amp; regional caseload'!$B$92)</f>
        <v>0</v>
      </c>
      <c r="E97" s="104">
        <f>SUMIFS('caseload data'!G:G,'caseload data'!$D:$D,"SPO",'caseload data'!$C:$C,'divisional &amp; regional caseload'!$B$92)</f>
        <v>0</v>
      </c>
      <c r="F97" s="104">
        <f>SUMIFS('caseload data'!H:H,'caseload data'!$D:$D,"SPO",'caseload data'!$C:$C,'divisional &amp; regional caseload'!$B$92)</f>
        <v>0</v>
      </c>
      <c r="G97" s="104">
        <f>SUMIFS('caseload data'!I:I,'caseload data'!$D:$D,"SPO",'caseload data'!$C:$C,'divisional &amp; regional caseload'!$B$92)</f>
        <v>0</v>
      </c>
      <c r="H97" s="104">
        <f>SUMIFS('caseload data'!J:J,'caseload data'!$D:$D,"SPO",'caseload data'!$C:$C,'divisional &amp; regional caseload'!$B$92)</f>
        <v>0</v>
      </c>
      <c r="I97" s="104">
        <f>SUMIFS('caseload data'!K:K,'caseload data'!$D:$D,"SPO",'caseload data'!$C:$C,'divisional &amp; regional caseload'!$B$92)</f>
        <v>0</v>
      </c>
      <c r="J97" s="104">
        <f>SUMIFS('caseload data'!L:L,'caseload data'!$D:$D,"SPO",'caseload data'!$C:$C,'divisional &amp; regional caseload'!$B$92)</f>
        <v>0</v>
      </c>
      <c r="K97" s="104">
        <f>SUMIFS('caseload data'!M:M,'caseload data'!$D:$D,"SPO",'caseload data'!$C:$C,'divisional &amp; regional caseload'!$B$92)</f>
        <v>0</v>
      </c>
      <c r="L97" s="104">
        <f>SUMIFS('caseload data'!N:N,'caseload data'!$D:$D,"SPO",'caseload data'!$C:$C,'divisional &amp; regional caseload'!$B$92)</f>
        <v>0</v>
      </c>
      <c r="M97" s="104">
        <f>SUMIFS('caseload data'!O:O,'caseload data'!$D:$D,"SPO",'caseload data'!$C:$C,'divisional &amp; regional caseload'!$B$92)</f>
        <v>0</v>
      </c>
      <c r="N97" s="104">
        <f>SUMIFS('caseload data'!P:P,'caseload data'!$D:$D,"SPO",'caseload data'!$C:$C,'divisional &amp; regional caseload'!$B$92)</f>
        <v>0</v>
      </c>
      <c r="O97" s="104">
        <f>SUMIFS('caseload data'!Q:Q,'caseload data'!$D:$D,"SPO",'caseload data'!$C:$C,'divisional &amp; regional caseload'!$B$92)</f>
        <v>0</v>
      </c>
      <c r="P97" s="104">
        <f>SUMIFS('caseload data'!R:R,'caseload data'!$D:$D,"SPO",'caseload data'!$C:$C,'divisional &amp; regional caseload'!$B$92)</f>
        <v>0</v>
      </c>
      <c r="Q97" s="104">
        <f>SUMIFS('caseload data'!S:S,'caseload data'!$D:$D,"SPO",'caseload data'!$C:$C,'divisional &amp; regional caseload'!$B$92)</f>
        <v>0</v>
      </c>
      <c r="R97" s="104">
        <f>SUMIFS('caseload data'!T:T,'caseload data'!$D:$D,"SPO",'caseload data'!$C:$C,'divisional &amp; regional caseload'!$B$92)</f>
        <v>0</v>
      </c>
      <c r="T97" s="108" t="s">
        <v>914</v>
      </c>
      <c r="U97" s="104">
        <f>SUMIFS('caseload data'!E:E,'caseload data'!$D:$D,"SPO",'caseload data'!$C:$C,'divisional &amp; regional caseload'!$T$64)</f>
        <v>0</v>
      </c>
      <c r="V97" s="104">
        <f>SUMIFS('caseload data'!F:F,'caseload data'!$D:$D,"SPO",'caseload data'!$C:$C,'divisional &amp; regional caseload'!$T$64)</f>
        <v>0</v>
      </c>
      <c r="W97" s="104">
        <f>SUMIFS('caseload data'!G:G,'caseload data'!$D:$D,"SPO",'caseload data'!$C:$C,'divisional &amp; regional caseload'!$T$64)</f>
        <v>0</v>
      </c>
      <c r="X97" s="104">
        <f>SUMIFS('caseload data'!H:H,'caseload data'!$D:$D,"SPO",'caseload data'!$C:$C,'divisional &amp; regional caseload'!$T$64)</f>
        <v>0</v>
      </c>
      <c r="Y97" s="104">
        <f>SUMIFS('caseload data'!I:I,'caseload data'!$D:$D,"SPO",'caseload data'!$C:$C,'divisional &amp; regional caseload'!$T$64)</f>
        <v>0</v>
      </c>
      <c r="Z97" s="104">
        <f>SUMIFS('caseload data'!J:J,'caseload data'!$D:$D,"SPO",'caseload data'!$C:$C,'divisional &amp; regional caseload'!$T$64)</f>
        <v>0</v>
      </c>
      <c r="AA97" s="104">
        <f>SUMIFS('caseload data'!K:K,'caseload data'!$D:$D,"SPO",'caseload data'!$C:$C,'divisional &amp; regional caseload'!$T$64)</f>
        <v>0</v>
      </c>
      <c r="AB97" s="104">
        <f>SUMIFS('caseload data'!L:L,'caseload data'!$D:$D,"SPO",'caseload data'!$C:$C,'divisional &amp; regional caseload'!$T$64)</f>
        <v>0</v>
      </c>
      <c r="AC97" s="104">
        <f>SUMIFS('caseload data'!M:M,'caseload data'!$D:$D,"SPO",'caseload data'!$C:$C,'divisional &amp; regional caseload'!$T$64)</f>
        <v>0</v>
      </c>
      <c r="AD97" s="104">
        <f>SUMIFS('caseload data'!N:N,'caseload data'!$D:$D,"SPO",'caseload data'!$C:$C,'divisional &amp; regional caseload'!$T$64)</f>
        <v>0</v>
      </c>
      <c r="AE97" s="104">
        <f>SUMIFS('caseload data'!O:O,'caseload data'!$D:$D,"SPO",'caseload data'!$C:$C,'divisional &amp; regional caseload'!$T$64)</f>
        <v>0</v>
      </c>
      <c r="AF97" s="104">
        <f>SUMIFS('caseload data'!P:P,'caseload data'!$D:$D,"SPO",'caseload data'!$C:$C,'divisional &amp; regional caseload'!$T$64)</f>
        <v>0</v>
      </c>
      <c r="AG97" s="104">
        <f>SUMIFS('caseload data'!Q:Q,'caseload data'!$D:$D,"SPO",'caseload data'!$C:$C,'divisional &amp; regional caseload'!$T$64)</f>
        <v>0</v>
      </c>
      <c r="AH97" s="104">
        <f>SUMIFS('caseload data'!R:R,'caseload data'!$D:$D,"SPO",'caseload data'!$C:$C,'divisional &amp; regional caseload'!$T$64)</f>
        <v>0</v>
      </c>
      <c r="AI97" s="104">
        <f>SUMIFS('caseload data'!S:S,'caseload data'!$D:$D,"SPO",'caseload data'!$C:$C,'divisional &amp; regional caseload'!$T$64)</f>
        <v>0</v>
      </c>
      <c r="AJ97" s="104">
        <f>SUMIFS('caseload data'!T:T,'caseload data'!$D:$D,"SPO",'caseload data'!$C:$C,'divisional &amp; regional caseload'!$T$64)</f>
        <v>0</v>
      </c>
    </row>
    <row r="99" spans="2:36" x14ac:dyDescent="0.15">
      <c r="B99" s="156">
        <f>HLOOKUP($B$5,Region_Table,28,0)</f>
        <v>0</v>
      </c>
      <c r="C99" s="367" t="s">
        <v>1130</v>
      </c>
      <c r="D99" s="368"/>
      <c r="E99" s="368"/>
      <c r="F99" s="368"/>
      <c r="G99" s="368"/>
      <c r="H99" s="368"/>
      <c r="I99" s="368"/>
      <c r="J99" s="368"/>
      <c r="K99" s="368"/>
      <c r="L99" s="368"/>
      <c r="M99" s="369"/>
      <c r="N99" s="369"/>
      <c r="O99" s="370"/>
      <c r="P99" s="371">
        <f>SUMIF('caseload data'!$C:$C,'divisional &amp; regional caseload'!B99,'caseload data'!V:V)</f>
        <v>0</v>
      </c>
      <c r="Q99" s="372"/>
      <c r="R99" s="373"/>
      <c r="T99" s="156">
        <f>HLOOKUP($B$5,Region_Table,29,0)</f>
        <v>0</v>
      </c>
      <c r="U99" s="367" t="s">
        <v>1130</v>
      </c>
      <c r="V99" s="368"/>
      <c r="W99" s="368"/>
      <c r="X99" s="374"/>
      <c r="Y99" s="371">
        <f>SUMIF('caseload data'!$C:$C,'divisional &amp; regional caseload'!T99,'caseload data'!V:V)</f>
        <v>0</v>
      </c>
      <c r="Z99" s="375"/>
      <c r="AA99" s="376"/>
    </row>
    <row r="100" spans="2:36" x14ac:dyDescent="0.15">
      <c r="B100" s="105" t="s">
        <v>1065</v>
      </c>
      <c r="C100" s="41" t="s">
        <v>922</v>
      </c>
      <c r="D100" s="41" t="s">
        <v>923</v>
      </c>
      <c r="E100" s="41" t="s">
        <v>924</v>
      </c>
      <c r="F100" s="41" t="s">
        <v>925</v>
      </c>
      <c r="G100" s="41" t="s">
        <v>926</v>
      </c>
      <c r="H100" s="41" t="s">
        <v>927</v>
      </c>
      <c r="I100" s="41" t="s">
        <v>928</v>
      </c>
      <c r="J100" s="41" t="s">
        <v>929</v>
      </c>
      <c r="K100" s="41" t="s">
        <v>930</v>
      </c>
      <c r="L100" s="41" t="s">
        <v>931</v>
      </c>
      <c r="M100" s="41" t="s">
        <v>932</v>
      </c>
      <c r="N100" s="41" t="s">
        <v>933</v>
      </c>
      <c r="O100" s="41" t="s">
        <v>934</v>
      </c>
      <c r="P100" s="41" t="s">
        <v>935</v>
      </c>
      <c r="Q100" s="41" t="s">
        <v>936</v>
      </c>
      <c r="R100" s="41" t="s">
        <v>937</v>
      </c>
      <c r="T100" s="105" t="s">
        <v>1065</v>
      </c>
      <c r="U100" s="41" t="s">
        <v>922</v>
      </c>
      <c r="V100" s="41" t="s">
        <v>923</v>
      </c>
      <c r="W100" s="41" t="s">
        <v>924</v>
      </c>
      <c r="X100" s="41" t="s">
        <v>925</v>
      </c>
      <c r="Y100" s="41" t="s">
        <v>926</v>
      </c>
      <c r="Z100" s="41" t="s">
        <v>927</v>
      </c>
      <c r="AA100" s="41" t="s">
        <v>928</v>
      </c>
      <c r="AB100" s="41" t="s">
        <v>929</v>
      </c>
      <c r="AC100" s="41" t="s">
        <v>930</v>
      </c>
      <c r="AD100" s="41" t="s">
        <v>931</v>
      </c>
      <c r="AE100" s="41" t="s">
        <v>932</v>
      </c>
      <c r="AF100" s="41" t="s">
        <v>933</v>
      </c>
      <c r="AG100" s="41" t="s">
        <v>934</v>
      </c>
      <c r="AH100" s="41" t="s">
        <v>935</v>
      </c>
      <c r="AI100" s="41" t="s">
        <v>936</v>
      </c>
      <c r="AJ100" s="41" t="s">
        <v>937</v>
      </c>
    </row>
    <row r="101" spans="2:36" x14ac:dyDescent="0.15">
      <c r="B101" s="106" t="s">
        <v>911</v>
      </c>
      <c r="C101" s="104">
        <f>SUMIFS('caseload data'!E:E,'caseload data'!$D:$D,"PO",'caseload data'!$C:$C,'divisional &amp; regional caseload'!$B$71)</f>
        <v>0</v>
      </c>
      <c r="D101" s="104">
        <f>SUMIFS('caseload data'!F:F,'caseload data'!$D:$D,"PO",'caseload data'!$C:$C,'divisional &amp; regional caseload'!$B$71)</f>
        <v>0</v>
      </c>
      <c r="E101" s="104">
        <f>SUMIFS('caseload data'!G:G,'caseload data'!$D:$D,"PO",'caseload data'!$C:$C,'divisional &amp; regional caseload'!$B$71)</f>
        <v>0</v>
      </c>
      <c r="F101" s="104">
        <f>SUMIFS('caseload data'!H:H,'caseload data'!$D:$D,"PO",'caseload data'!$C:$C,'divisional &amp; regional caseload'!$B$71)</f>
        <v>0</v>
      </c>
      <c r="G101" s="104">
        <f>SUMIFS('caseload data'!I:I,'caseload data'!$D:$D,"PO",'caseload data'!$C:$C,'divisional &amp; regional caseload'!$B$71)</f>
        <v>0</v>
      </c>
      <c r="H101" s="104">
        <f>SUMIFS('caseload data'!J:J,'caseload data'!$D:$D,"PO",'caseload data'!$C:$C,'divisional &amp; regional caseload'!$B$71)</f>
        <v>0</v>
      </c>
      <c r="I101" s="104">
        <f>SUMIFS('caseload data'!K:K,'caseload data'!$D:$D,"PO",'caseload data'!$C:$C,'divisional &amp; regional caseload'!$B$71)</f>
        <v>0</v>
      </c>
      <c r="J101" s="104">
        <f>SUMIFS('caseload data'!L:L,'caseload data'!$D:$D,"PO",'caseload data'!$C:$C,'divisional &amp; regional caseload'!$B$71)</f>
        <v>0</v>
      </c>
      <c r="K101" s="104">
        <f>SUMIFS('caseload data'!M:M,'caseload data'!$D:$D,"PO",'caseload data'!$C:$C,'divisional &amp; regional caseload'!$B$71)</f>
        <v>0</v>
      </c>
      <c r="L101" s="104">
        <f>SUMIFS('caseload data'!N:N,'caseload data'!$D:$D,"PO",'caseload data'!$C:$C,'divisional &amp; regional caseload'!$B$71)</f>
        <v>0</v>
      </c>
      <c r="M101" s="104">
        <f>SUMIFS('caseload data'!O:O,'caseload data'!$D:$D,"PO",'caseload data'!$C:$C,'divisional &amp; regional caseload'!$B$71)</f>
        <v>0</v>
      </c>
      <c r="N101" s="104">
        <f>SUMIFS('caseload data'!P:P,'caseload data'!$D:$D,"PO",'caseload data'!$C:$C,'divisional &amp; regional caseload'!$B$71)</f>
        <v>0</v>
      </c>
      <c r="O101" s="104">
        <f>SUMIFS('caseload data'!Q:Q,'caseload data'!$D:$D,"PO",'caseload data'!$C:$C,'divisional &amp; regional caseload'!$B$71)</f>
        <v>0</v>
      </c>
      <c r="P101" s="104">
        <f>SUMIFS('caseload data'!R:R,'caseload data'!$D:$D,"PO",'caseload data'!$C:$C,'divisional &amp; regional caseload'!$B$71)</f>
        <v>0</v>
      </c>
      <c r="Q101" s="104">
        <f>SUMIFS('caseload data'!S:S,'caseload data'!$D:$D,"PO",'caseload data'!$C:$C,'divisional &amp; regional caseload'!$B$71)</f>
        <v>0</v>
      </c>
      <c r="R101" s="104">
        <f>SUMIFS('caseload data'!T:T,'caseload data'!$D:$D,"PO",'caseload data'!$C:$C,'divisional &amp; regional caseload'!$B$71)</f>
        <v>0</v>
      </c>
      <c r="T101" s="106" t="s">
        <v>911</v>
      </c>
      <c r="U101" s="104">
        <f>SUMIFS('caseload data'!E:E,'caseload data'!$D:$D,"PO",'caseload data'!$C:$C,'divisional &amp; regional caseload'!$T$99)</f>
        <v>0</v>
      </c>
      <c r="V101" s="104">
        <f>SUMIFS('caseload data'!F:F,'caseload data'!$D:$D,"PO",'caseload data'!$C:$C,'divisional &amp; regional caseload'!$T$99)</f>
        <v>0</v>
      </c>
      <c r="W101" s="104">
        <f>SUMIFS('caseload data'!G:G,'caseload data'!$D:$D,"PO",'caseload data'!$C:$C,'divisional &amp; regional caseload'!$T$99)</f>
        <v>0</v>
      </c>
      <c r="X101" s="104">
        <f>SUMIFS('caseload data'!H:H,'caseload data'!$D:$D,"PO",'caseload data'!$C:$C,'divisional &amp; regional caseload'!$T$99)</f>
        <v>0</v>
      </c>
      <c r="Y101" s="104">
        <f>SUMIFS('caseload data'!I:I,'caseload data'!$D:$D,"PO",'caseload data'!$C:$C,'divisional &amp; regional caseload'!$T$99)</f>
        <v>0</v>
      </c>
      <c r="Z101" s="104">
        <f>SUMIFS('caseload data'!J:J,'caseload data'!$D:$D,"PO",'caseload data'!$C:$C,'divisional &amp; regional caseload'!$T$99)</f>
        <v>0</v>
      </c>
      <c r="AA101" s="104">
        <f>SUMIFS('caseload data'!K:K,'caseload data'!$D:$D,"PO",'caseload data'!$C:$C,'divisional &amp; regional caseload'!$T$99)</f>
        <v>0</v>
      </c>
      <c r="AB101" s="104">
        <f>SUMIFS('caseload data'!L:L,'caseload data'!$D:$D,"PO",'caseload data'!$C:$C,'divisional &amp; regional caseload'!$T$99)</f>
        <v>0</v>
      </c>
      <c r="AC101" s="104">
        <f>SUMIFS('caseload data'!M:M,'caseload data'!$D:$D,"PO",'caseload data'!$C:$C,'divisional &amp; regional caseload'!$T$99)</f>
        <v>0</v>
      </c>
      <c r="AD101" s="104">
        <f>SUMIFS('caseload data'!N:N,'caseload data'!$D:$D,"PO",'caseload data'!$C:$C,'divisional &amp; regional caseload'!$T$99)</f>
        <v>0</v>
      </c>
      <c r="AE101" s="104">
        <f>SUMIFS('caseload data'!O:O,'caseload data'!$D:$D,"PO",'caseload data'!$C:$C,'divisional &amp; regional caseload'!$T$99)</f>
        <v>0</v>
      </c>
      <c r="AF101" s="104">
        <f>SUMIFS('caseload data'!P:P,'caseload data'!$D:$D,"PO",'caseload data'!$C:$C,'divisional &amp; regional caseload'!$T$99)</f>
        <v>0</v>
      </c>
      <c r="AG101" s="104">
        <f>SUMIFS('caseload data'!Q:Q,'caseload data'!$D:$D,"PO",'caseload data'!$C:$C,'divisional &amp; regional caseload'!$T$99)</f>
        <v>0</v>
      </c>
      <c r="AH101" s="104">
        <f>SUMIFS('caseload data'!R:R,'caseload data'!$D:$D,"PO",'caseload data'!$C:$C,'divisional &amp; regional caseload'!$T$99)</f>
        <v>0</v>
      </c>
      <c r="AI101" s="104">
        <f>SUMIFS('caseload data'!S:S,'caseload data'!$D:$D,"PO",'caseload data'!$C:$C,'divisional &amp; regional caseload'!$T$99)</f>
        <v>0</v>
      </c>
      <c r="AJ101" s="104">
        <f>SUMIFS('caseload data'!T:T,'caseload data'!$D:$D,"PO",'caseload data'!$C:$C,'divisional &amp; regional caseload'!$T$99)</f>
        <v>0</v>
      </c>
    </row>
    <row r="102" spans="2:36" x14ac:dyDescent="0.15">
      <c r="B102" s="107" t="s">
        <v>912</v>
      </c>
      <c r="C102" s="104">
        <f>SUMIFS('caseload data'!E:E,'caseload data'!$D:$D,"PSO",'caseload data'!$C:$C,'divisional &amp; regional caseload'!$B$71)</f>
        <v>0</v>
      </c>
      <c r="D102" s="104">
        <f>SUMIFS('caseload data'!F:F,'caseload data'!$D:$D,"PSO",'caseload data'!$C:$C,'divisional &amp; regional caseload'!$B$71)</f>
        <v>0</v>
      </c>
      <c r="E102" s="104">
        <f>SUMIFS('caseload data'!G:G,'caseload data'!$D:$D,"PSO",'caseload data'!$C:$C,'divisional &amp; regional caseload'!$B$71)</f>
        <v>0</v>
      </c>
      <c r="F102" s="104">
        <f>SUMIFS('caseload data'!H:H,'caseload data'!$D:$D,"PSO",'caseload data'!$C:$C,'divisional &amp; regional caseload'!$B$71)</f>
        <v>0</v>
      </c>
      <c r="G102" s="104">
        <f>SUMIFS('caseload data'!I:I,'caseload data'!$D:$D,"PSO",'caseload data'!$C:$C,'divisional &amp; regional caseload'!$B$71)</f>
        <v>0</v>
      </c>
      <c r="H102" s="104">
        <f>SUMIFS('caseload data'!J:J,'caseload data'!$D:$D,"PSO",'caseload data'!$C:$C,'divisional &amp; regional caseload'!$B$71)</f>
        <v>0</v>
      </c>
      <c r="I102" s="104">
        <f>SUMIFS('caseload data'!K:K,'caseload data'!$D:$D,"PSO",'caseload data'!$C:$C,'divisional &amp; regional caseload'!$B$71)</f>
        <v>0</v>
      </c>
      <c r="J102" s="104">
        <f>SUMIFS('caseload data'!L:L,'caseload data'!$D:$D,"PSO",'caseload data'!$C:$C,'divisional &amp; regional caseload'!$B$71)</f>
        <v>0</v>
      </c>
      <c r="K102" s="104">
        <f>SUMIFS('caseload data'!M:M,'caseload data'!$D:$D,"PSO",'caseload data'!$C:$C,'divisional &amp; regional caseload'!$B$71)</f>
        <v>0</v>
      </c>
      <c r="L102" s="104">
        <f>SUMIFS('caseload data'!N:N,'caseload data'!$D:$D,"PSO",'caseload data'!$C:$C,'divisional &amp; regional caseload'!$B$71)</f>
        <v>0</v>
      </c>
      <c r="M102" s="104">
        <f>SUMIFS('caseload data'!O:O,'caseload data'!$D:$D,"PSO",'caseload data'!$C:$C,'divisional &amp; regional caseload'!$B$71)</f>
        <v>0</v>
      </c>
      <c r="N102" s="104">
        <f>SUMIFS('caseload data'!P:P,'caseload data'!$D:$D,"PSO",'caseload data'!$C:$C,'divisional &amp; regional caseload'!$B$71)</f>
        <v>0</v>
      </c>
      <c r="O102" s="104">
        <f>SUMIFS('caseload data'!Q:Q,'caseload data'!$D:$D,"PSO",'caseload data'!$C:$C,'divisional &amp; regional caseload'!$B$71)</f>
        <v>0</v>
      </c>
      <c r="P102" s="104">
        <f>SUMIFS('caseload data'!R:R,'caseload data'!$D:$D,"PSO",'caseload data'!$C:$C,'divisional &amp; regional caseload'!$B$71)</f>
        <v>0</v>
      </c>
      <c r="Q102" s="104">
        <f>SUMIFS('caseload data'!S:S,'caseload data'!$D:$D,"PSO",'caseload data'!$C:$C,'divisional &amp; regional caseload'!$B$71)</f>
        <v>0</v>
      </c>
      <c r="R102" s="104">
        <f>SUMIFS('caseload data'!T:T,'caseload data'!$D:$D,"PSO",'caseload data'!$C:$C,'divisional &amp; regional caseload'!$B$71)</f>
        <v>0</v>
      </c>
      <c r="T102" s="107" t="s">
        <v>912</v>
      </c>
      <c r="U102" s="104">
        <f>SUMIFS('caseload data'!E:E,'caseload data'!$D:$D,"PSO",'caseload data'!$C:$C,'divisional &amp; regional caseload'!$T$99)</f>
        <v>0</v>
      </c>
      <c r="V102" s="104">
        <f>SUMIFS('caseload data'!F:F,'caseload data'!$D:$D,"PSO",'caseload data'!$C:$C,'divisional &amp; regional caseload'!$T$99)</f>
        <v>0</v>
      </c>
      <c r="W102" s="104">
        <f>SUMIFS('caseload data'!G:G,'caseload data'!$D:$D,"PSO",'caseload data'!$C:$C,'divisional &amp; regional caseload'!$T$99)</f>
        <v>0</v>
      </c>
      <c r="X102" s="104">
        <f>SUMIFS('caseload data'!H:H,'caseload data'!$D:$D,"PSO",'caseload data'!$C:$C,'divisional &amp; regional caseload'!$T$99)</f>
        <v>0</v>
      </c>
      <c r="Y102" s="104">
        <f>SUMIFS('caseload data'!I:I,'caseload data'!$D:$D,"PSO",'caseload data'!$C:$C,'divisional &amp; regional caseload'!$T$99)</f>
        <v>0</v>
      </c>
      <c r="Z102" s="104">
        <f>SUMIFS('caseload data'!J:J,'caseload data'!$D:$D,"PSO",'caseload data'!$C:$C,'divisional &amp; regional caseload'!$T$99)</f>
        <v>0</v>
      </c>
      <c r="AA102" s="104">
        <f>SUMIFS('caseload data'!K:K,'caseload data'!$D:$D,"PSO",'caseload data'!$C:$C,'divisional &amp; regional caseload'!$T$99)</f>
        <v>0</v>
      </c>
      <c r="AB102" s="104">
        <f>SUMIFS('caseload data'!L:L,'caseload data'!$D:$D,"PSO",'caseload data'!$C:$C,'divisional &amp; regional caseload'!$T$99)</f>
        <v>0</v>
      </c>
      <c r="AC102" s="104">
        <f>SUMIFS('caseload data'!M:M,'caseload data'!$D:$D,"PSO",'caseload data'!$C:$C,'divisional &amp; regional caseload'!$T$99)</f>
        <v>0</v>
      </c>
      <c r="AD102" s="104">
        <f>SUMIFS('caseload data'!N:N,'caseload data'!$D:$D,"PSO",'caseload data'!$C:$C,'divisional &amp; regional caseload'!$T$99)</f>
        <v>0</v>
      </c>
      <c r="AE102" s="104">
        <f>SUMIFS('caseload data'!O:O,'caseload data'!$D:$D,"PSO",'caseload data'!$C:$C,'divisional &amp; regional caseload'!$T$99)</f>
        <v>0</v>
      </c>
      <c r="AF102" s="104">
        <f>SUMIFS('caseload data'!P:P,'caseload data'!$D:$D,"PSO",'caseload data'!$C:$C,'divisional &amp; regional caseload'!$T$99)</f>
        <v>0</v>
      </c>
      <c r="AG102" s="104">
        <f>SUMIFS('caseload data'!Q:Q,'caseload data'!$D:$D,"PSO",'caseload data'!$C:$C,'divisional &amp; regional caseload'!$T$99)</f>
        <v>0</v>
      </c>
      <c r="AH102" s="104">
        <f>SUMIFS('caseload data'!R:R,'caseload data'!$D:$D,"PSO",'caseload data'!$C:$C,'divisional &amp; regional caseload'!$T$99)</f>
        <v>0</v>
      </c>
      <c r="AI102" s="104">
        <f>SUMIFS('caseload data'!S:S,'caseload data'!$D:$D,"PSO",'caseload data'!$C:$C,'divisional &amp; regional caseload'!$T$99)</f>
        <v>0</v>
      </c>
      <c r="AJ102" s="104">
        <f>SUMIFS('caseload data'!T:T,'caseload data'!$D:$D,"PSO",'caseload data'!$C:$C,'divisional &amp; regional caseload'!$T$99)</f>
        <v>0</v>
      </c>
    </row>
    <row r="103" spans="2:36" x14ac:dyDescent="0.15">
      <c r="B103" s="107" t="s">
        <v>913</v>
      </c>
      <c r="C103" s="104">
        <f>SUMIFS('caseload data'!E:E,'caseload data'!$D:$D,"TPO",'caseload data'!$C:$C,'divisional &amp; regional caseload'!$B$71)</f>
        <v>0</v>
      </c>
      <c r="D103" s="104">
        <f>SUMIFS('caseload data'!F:F,'caseload data'!$D:$D,"TPO",'caseload data'!$C:$C,'divisional &amp; regional caseload'!$B$71)</f>
        <v>0</v>
      </c>
      <c r="E103" s="104">
        <f>SUMIFS('caseload data'!G:G,'caseload data'!$D:$D,"TPO",'caseload data'!$C:$C,'divisional &amp; regional caseload'!$B$71)</f>
        <v>0</v>
      </c>
      <c r="F103" s="104">
        <f>SUMIFS('caseload data'!H:H,'caseload data'!$D:$D,"TPO",'caseload data'!$C:$C,'divisional &amp; regional caseload'!$B$71)</f>
        <v>0</v>
      </c>
      <c r="G103" s="104">
        <f>SUMIFS('caseload data'!I:I,'caseload data'!$D:$D,"TPO",'caseload data'!$C:$C,'divisional &amp; regional caseload'!$B$71)</f>
        <v>0</v>
      </c>
      <c r="H103" s="104">
        <f>SUMIFS('caseload data'!J:J,'caseload data'!$D:$D,"TPO",'caseload data'!$C:$C,'divisional &amp; regional caseload'!$B$71)</f>
        <v>0</v>
      </c>
      <c r="I103" s="104">
        <f>SUMIFS('caseload data'!K:K,'caseload data'!$D:$D,"TPO",'caseload data'!$C:$C,'divisional &amp; regional caseload'!$B$71)</f>
        <v>0</v>
      </c>
      <c r="J103" s="104">
        <f>SUMIFS('caseload data'!L:L,'caseload data'!$D:$D,"TPO",'caseload data'!$C:$C,'divisional &amp; regional caseload'!$B$71)</f>
        <v>0</v>
      </c>
      <c r="K103" s="104">
        <f>SUMIFS('caseload data'!M:M,'caseload data'!$D:$D,"TPO",'caseload data'!$C:$C,'divisional &amp; regional caseload'!$B$71)</f>
        <v>0</v>
      </c>
      <c r="L103" s="104">
        <f>SUMIFS('caseload data'!N:N,'caseload data'!$D:$D,"TPO",'caseload data'!$C:$C,'divisional &amp; regional caseload'!$B$71)</f>
        <v>0</v>
      </c>
      <c r="M103" s="104">
        <f>SUMIFS('caseload data'!O:O,'caseload data'!$D:$D,"TPO",'caseload data'!$C:$C,'divisional &amp; regional caseload'!$B$71)</f>
        <v>0</v>
      </c>
      <c r="N103" s="104">
        <f>SUMIFS('caseload data'!P:P,'caseload data'!$D:$D,"TPO",'caseload data'!$C:$C,'divisional &amp; regional caseload'!$B$71)</f>
        <v>0</v>
      </c>
      <c r="O103" s="104">
        <f>SUMIFS('caseload data'!Q:Q,'caseload data'!$D:$D,"TPO",'caseload data'!$C:$C,'divisional &amp; regional caseload'!$B$71)</f>
        <v>0</v>
      </c>
      <c r="P103" s="104">
        <f>SUMIFS('caseload data'!R:R,'caseload data'!$D:$D,"TPO",'caseload data'!$C:$C,'divisional &amp; regional caseload'!$B$71)</f>
        <v>0</v>
      </c>
      <c r="Q103" s="104">
        <f>SUMIFS('caseload data'!S:S,'caseload data'!$D:$D,"TPO",'caseload data'!$C:$C,'divisional &amp; regional caseload'!$B$71)</f>
        <v>0</v>
      </c>
      <c r="R103" s="104">
        <f>SUMIFS('caseload data'!T:T,'caseload data'!$D:$D,"TPO",'caseload data'!$C:$C,'divisional &amp; regional caseload'!$B$71)</f>
        <v>0</v>
      </c>
      <c r="T103" s="107" t="s">
        <v>913</v>
      </c>
      <c r="U103" s="104">
        <f>SUMIFS('caseload data'!E:E,'caseload data'!$D:$D,"TPO",'caseload data'!$C:$C,'divisional &amp; regional caseload'!$T$99)</f>
        <v>0</v>
      </c>
      <c r="V103" s="104">
        <f>SUMIFS('caseload data'!F:F,'caseload data'!$D:$D,"TPO",'caseload data'!$C:$C,'divisional &amp; regional caseload'!$T$99)</f>
        <v>0</v>
      </c>
      <c r="W103" s="104">
        <f>SUMIFS('caseload data'!G:G,'caseload data'!$D:$D,"TPO",'caseload data'!$C:$C,'divisional &amp; regional caseload'!$T$99)</f>
        <v>0</v>
      </c>
      <c r="X103" s="104">
        <f>SUMIFS('caseload data'!H:H,'caseload data'!$D:$D,"TPO",'caseload data'!$C:$C,'divisional &amp; regional caseload'!$T$99)</f>
        <v>0</v>
      </c>
      <c r="Y103" s="104">
        <f>SUMIFS('caseload data'!I:I,'caseload data'!$D:$D,"TPO",'caseload data'!$C:$C,'divisional &amp; regional caseload'!$T$99)</f>
        <v>0</v>
      </c>
      <c r="Z103" s="104">
        <f>SUMIFS('caseload data'!J:J,'caseload data'!$D:$D,"TPO",'caseload data'!$C:$C,'divisional &amp; regional caseload'!$T$99)</f>
        <v>0</v>
      </c>
      <c r="AA103" s="104">
        <f>SUMIFS('caseload data'!K:K,'caseload data'!$D:$D,"TPO",'caseload data'!$C:$C,'divisional &amp; regional caseload'!$T$99)</f>
        <v>0</v>
      </c>
      <c r="AB103" s="104">
        <f>SUMIFS('caseload data'!L:L,'caseload data'!$D:$D,"TPO",'caseload data'!$C:$C,'divisional &amp; regional caseload'!$T$99)</f>
        <v>0</v>
      </c>
      <c r="AC103" s="104">
        <f>SUMIFS('caseload data'!M:M,'caseload data'!$D:$D,"TPO",'caseload data'!$C:$C,'divisional &amp; regional caseload'!$T$99)</f>
        <v>0</v>
      </c>
      <c r="AD103" s="104">
        <f>SUMIFS('caseload data'!N:N,'caseload data'!$D:$D,"TPO",'caseload data'!$C:$C,'divisional &amp; regional caseload'!$T$99)</f>
        <v>0</v>
      </c>
      <c r="AE103" s="104">
        <f>SUMIFS('caseload data'!O:O,'caseload data'!$D:$D,"TPO",'caseload data'!$C:$C,'divisional &amp; regional caseload'!$T$99)</f>
        <v>0</v>
      </c>
      <c r="AF103" s="104">
        <f>SUMIFS('caseload data'!P:P,'caseload data'!$D:$D,"TPO",'caseload data'!$C:$C,'divisional &amp; regional caseload'!$T$99)</f>
        <v>0</v>
      </c>
      <c r="AG103" s="104">
        <f>SUMIFS('caseload data'!Q:Q,'caseload data'!$D:$D,"TPO",'caseload data'!$C:$C,'divisional &amp; regional caseload'!$T$99)</f>
        <v>0</v>
      </c>
      <c r="AH103" s="104">
        <f>SUMIFS('caseload data'!R:R,'caseload data'!$D:$D,"TPO",'caseload data'!$C:$C,'divisional &amp; regional caseload'!$T$99)</f>
        <v>0</v>
      </c>
      <c r="AI103" s="104">
        <f>SUMIFS('caseload data'!S:S,'caseload data'!$D:$D,"TPO",'caseload data'!$C:$C,'divisional &amp; regional caseload'!$T$99)</f>
        <v>0</v>
      </c>
      <c r="AJ103" s="104">
        <f>SUMIFS('caseload data'!T:T,'caseload data'!$D:$D,"TPO",'caseload data'!$C:$C,'divisional &amp; regional caseload'!$T$99)</f>
        <v>0</v>
      </c>
    </row>
    <row r="104" spans="2:36" x14ac:dyDescent="0.15">
      <c r="B104" s="108" t="s">
        <v>914</v>
      </c>
      <c r="C104" s="104">
        <f>SUMIFS('caseload data'!E:E,'caseload data'!$D:$D,"SPO",'caseload data'!$C:$C,'divisional &amp; regional caseload'!$B$71)</f>
        <v>0</v>
      </c>
      <c r="D104" s="104">
        <f>SUMIFS('caseload data'!F:F,'caseload data'!$D:$D,"SPO",'caseload data'!$C:$C,'divisional &amp; regional caseload'!$B$71)</f>
        <v>0</v>
      </c>
      <c r="E104" s="104">
        <f>SUMIFS('caseload data'!G:G,'caseload data'!$D:$D,"SPO",'caseload data'!$C:$C,'divisional &amp; regional caseload'!$B$71)</f>
        <v>0</v>
      </c>
      <c r="F104" s="104">
        <f>SUMIFS('caseload data'!H:H,'caseload data'!$D:$D,"SPO",'caseload data'!$C:$C,'divisional &amp; regional caseload'!$B$71)</f>
        <v>0</v>
      </c>
      <c r="G104" s="104">
        <f>SUMIFS('caseload data'!I:I,'caseload data'!$D:$D,"SPO",'caseload data'!$C:$C,'divisional &amp; regional caseload'!$B$71)</f>
        <v>0</v>
      </c>
      <c r="H104" s="104">
        <f>SUMIFS('caseload data'!J:J,'caseload data'!$D:$D,"SPO",'caseload data'!$C:$C,'divisional &amp; regional caseload'!$B$71)</f>
        <v>0</v>
      </c>
      <c r="I104" s="104">
        <f>SUMIFS('caseload data'!K:K,'caseload data'!$D:$D,"SPO",'caseload data'!$C:$C,'divisional &amp; regional caseload'!$B$71)</f>
        <v>0</v>
      </c>
      <c r="J104" s="104">
        <f>SUMIFS('caseload data'!L:L,'caseload data'!$D:$D,"SPO",'caseload data'!$C:$C,'divisional &amp; regional caseload'!$B$71)</f>
        <v>0</v>
      </c>
      <c r="K104" s="104">
        <f>SUMIFS('caseload data'!M:M,'caseload data'!$D:$D,"SPO",'caseload data'!$C:$C,'divisional &amp; regional caseload'!$B$71)</f>
        <v>0</v>
      </c>
      <c r="L104" s="104">
        <f>SUMIFS('caseload data'!N:N,'caseload data'!$D:$D,"SPO",'caseload data'!$C:$C,'divisional &amp; regional caseload'!$B$71)</f>
        <v>0</v>
      </c>
      <c r="M104" s="104">
        <f>SUMIFS('caseload data'!O:O,'caseload data'!$D:$D,"SPO",'caseload data'!$C:$C,'divisional &amp; regional caseload'!$B$71)</f>
        <v>0</v>
      </c>
      <c r="N104" s="104">
        <f>SUMIFS('caseload data'!P:P,'caseload data'!$D:$D,"SPO",'caseload data'!$C:$C,'divisional &amp; regional caseload'!$B$71)</f>
        <v>0</v>
      </c>
      <c r="O104" s="104">
        <f>SUMIFS('caseload data'!Q:Q,'caseload data'!$D:$D,"SPO",'caseload data'!$C:$C,'divisional &amp; regional caseload'!$B$71)</f>
        <v>0</v>
      </c>
      <c r="P104" s="104">
        <f>SUMIFS('caseload data'!R:R,'caseload data'!$D:$D,"SPO",'caseload data'!$C:$C,'divisional &amp; regional caseload'!$B$71)</f>
        <v>0</v>
      </c>
      <c r="Q104" s="104">
        <f>SUMIFS('caseload data'!S:S,'caseload data'!$D:$D,"SPO",'caseload data'!$C:$C,'divisional &amp; regional caseload'!$B$71)</f>
        <v>0</v>
      </c>
      <c r="R104" s="104">
        <f>SUMIFS('caseload data'!T:T,'caseload data'!$D:$D,"SPO",'caseload data'!$C:$C,'divisional &amp; regional caseload'!$B$71)</f>
        <v>0</v>
      </c>
      <c r="T104" s="108" t="s">
        <v>914</v>
      </c>
      <c r="U104" s="104">
        <f>SUMIFS('caseload data'!E:E,'caseload data'!$D:$D,"SPO",'caseload data'!$C:$C,'divisional &amp; regional caseload'!$T$99)</f>
        <v>0</v>
      </c>
      <c r="V104" s="104">
        <f>SUMIFS('caseload data'!F:F,'caseload data'!$D:$D,"SPO",'caseload data'!$C:$C,'divisional &amp; regional caseload'!$T$99)</f>
        <v>0</v>
      </c>
      <c r="W104" s="104">
        <f>SUMIFS('caseload data'!G:G,'caseload data'!$D:$D,"SPO",'caseload data'!$C:$C,'divisional &amp; regional caseload'!$T$99)</f>
        <v>0</v>
      </c>
      <c r="X104" s="104">
        <f>SUMIFS('caseload data'!H:H,'caseload data'!$D:$D,"SPO",'caseload data'!$C:$C,'divisional &amp; regional caseload'!$T$99)</f>
        <v>0</v>
      </c>
      <c r="Y104" s="104">
        <f>SUMIFS('caseload data'!I:I,'caseload data'!$D:$D,"SPO",'caseload data'!$C:$C,'divisional &amp; regional caseload'!$T$99)</f>
        <v>0</v>
      </c>
      <c r="Z104" s="104">
        <f>SUMIFS('caseload data'!J:J,'caseload data'!$D:$D,"SPO",'caseload data'!$C:$C,'divisional &amp; regional caseload'!$T$99)</f>
        <v>0</v>
      </c>
      <c r="AA104" s="104">
        <f>SUMIFS('caseload data'!K:K,'caseload data'!$D:$D,"SPO",'caseload data'!$C:$C,'divisional &amp; regional caseload'!$T$99)</f>
        <v>0</v>
      </c>
      <c r="AB104" s="104">
        <f>SUMIFS('caseload data'!L:L,'caseload data'!$D:$D,"SPO",'caseload data'!$C:$C,'divisional &amp; regional caseload'!$T$99)</f>
        <v>0</v>
      </c>
      <c r="AC104" s="104">
        <f>SUMIFS('caseload data'!M:M,'caseload data'!$D:$D,"SPO",'caseload data'!$C:$C,'divisional &amp; regional caseload'!$T$99)</f>
        <v>0</v>
      </c>
      <c r="AD104" s="104">
        <f>SUMIFS('caseload data'!N:N,'caseload data'!$D:$D,"SPO",'caseload data'!$C:$C,'divisional &amp; regional caseload'!$T$99)</f>
        <v>0</v>
      </c>
      <c r="AE104" s="104">
        <f>SUMIFS('caseload data'!O:O,'caseload data'!$D:$D,"SPO",'caseload data'!$C:$C,'divisional &amp; regional caseload'!$T$99)</f>
        <v>0</v>
      </c>
      <c r="AF104" s="104">
        <f>SUMIFS('caseload data'!P:P,'caseload data'!$D:$D,"SPO",'caseload data'!$C:$C,'divisional &amp; regional caseload'!$T$99)</f>
        <v>0</v>
      </c>
      <c r="AG104" s="104">
        <f>SUMIFS('caseload data'!Q:Q,'caseload data'!$D:$D,"SPO",'caseload data'!$C:$C,'divisional &amp; regional caseload'!$T$99)</f>
        <v>0</v>
      </c>
      <c r="AH104" s="104">
        <f>SUMIFS('caseload data'!R:R,'caseload data'!$D:$D,"SPO",'caseload data'!$C:$C,'divisional &amp; regional caseload'!$T$99)</f>
        <v>0</v>
      </c>
      <c r="AI104" s="104">
        <f>SUMIFS('caseload data'!S:S,'caseload data'!$D:$D,"SPO",'caseload data'!$C:$C,'divisional &amp; regional caseload'!$T$99)</f>
        <v>0</v>
      </c>
      <c r="AJ104" s="104">
        <f>SUMIFS('caseload data'!T:T,'caseload data'!$D:$D,"SPO",'caseload data'!$C:$C,'divisional &amp; regional caseload'!$T$99)</f>
        <v>0</v>
      </c>
    </row>
  </sheetData>
  <mergeCells count="58">
    <mergeCell ref="C64:O64"/>
    <mergeCell ref="P64:R64"/>
    <mergeCell ref="U64:X64"/>
    <mergeCell ref="Y64:AA64"/>
    <mergeCell ref="C71:O71"/>
    <mergeCell ref="P71:R71"/>
    <mergeCell ref="U71:X71"/>
    <mergeCell ref="Y71:AA71"/>
    <mergeCell ref="A1:AO1"/>
    <mergeCell ref="A2:AO2"/>
    <mergeCell ref="U57:X57"/>
    <mergeCell ref="C8:O8"/>
    <mergeCell ref="P8:R8"/>
    <mergeCell ref="C15:O15"/>
    <mergeCell ref="P15:R15"/>
    <mergeCell ref="C22:O22"/>
    <mergeCell ref="P22:R22"/>
    <mergeCell ref="C29:O29"/>
    <mergeCell ref="P29:R29"/>
    <mergeCell ref="C50:O50"/>
    <mergeCell ref="P50:R50"/>
    <mergeCell ref="C57:O57"/>
    <mergeCell ref="C36:O36"/>
    <mergeCell ref="P36:R36"/>
    <mergeCell ref="U29:X29"/>
    <mergeCell ref="Y29:AA29"/>
    <mergeCell ref="U36:X36"/>
    <mergeCell ref="Y36:AA36"/>
    <mergeCell ref="U43:X43"/>
    <mergeCell ref="Y43:AA43"/>
    <mergeCell ref="U8:X8"/>
    <mergeCell ref="Y8:AA8"/>
    <mergeCell ref="U15:X15"/>
    <mergeCell ref="Y15:AA15"/>
    <mergeCell ref="U22:X22"/>
    <mergeCell ref="Y22:AA22"/>
    <mergeCell ref="U50:X50"/>
    <mergeCell ref="Y50:AA50"/>
    <mergeCell ref="C43:O43"/>
    <mergeCell ref="P43:R43"/>
    <mergeCell ref="Y57:AA57"/>
    <mergeCell ref="P57:R57"/>
    <mergeCell ref="C78:O78"/>
    <mergeCell ref="P78:R78"/>
    <mergeCell ref="U78:X78"/>
    <mergeCell ref="Y78:AA78"/>
    <mergeCell ref="C85:O85"/>
    <mergeCell ref="P85:R85"/>
    <mergeCell ref="U85:X85"/>
    <mergeCell ref="Y85:AA85"/>
    <mergeCell ref="C92:O92"/>
    <mergeCell ref="P92:R92"/>
    <mergeCell ref="U92:X92"/>
    <mergeCell ref="Y92:AA92"/>
    <mergeCell ref="C99:O99"/>
    <mergeCell ref="P99:R99"/>
    <mergeCell ref="U99:X99"/>
    <mergeCell ref="Y99:AA99"/>
  </mergeCells>
  <conditionalFormatting sqref="C11:C12">
    <cfRule type="cellIs" dxfId="4701" priority="639" operator="equal">
      <formula>0</formula>
    </cfRule>
    <cfRule type="cellIs" dxfId="4700" priority="640" operator="notEqual">
      <formula>0</formula>
    </cfRule>
  </conditionalFormatting>
  <conditionalFormatting sqref="D11:D12">
    <cfRule type="cellIs" dxfId="4699" priority="637" operator="equal">
      <formula>0</formula>
    </cfRule>
    <cfRule type="cellIs" dxfId="4698" priority="638" operator="notEqual">
      <formula>0</formula>
    </cfRule>
  </conditionalFormatting>
  <conditionalFormatting sqref="E11:E12">
    <cfRule type="cellIs" dxfId="4697" priority="635" operator="equal">
      <formula>0</formula>
    </cfRule>
    <cfRule type="cellIs" dxfId="4696" priority="636" operator="notEqual">
      <formula>0</formula>
    </cfRule>
  </conditionalFormatting>
  <conditionalFormatting sqref="F11:F12">
    <cfRule type="cellIs" dxfId="4695" priority="633" operator="equal">
      <formula>0</formula>
    </cfRule>
    <cfRule type="cellIs" dxfId="4694" priority="634" operator="notEqual">
      <formula>0</formula>
    </cfRule>
  </conditionalFormatting>
  <conditionalFormatting sqref="G11:G12">
    <cfRule type="cellIs" dxfId="4693" priority="631" operator="equal">
      <formula>0</formula>
    </cfRule>
    <cfRule type="cellIs" dxfId="4692" priority="632" operator="notEqual">
      <formula>0</formula>
    </cfRule>
  </conditionalFormatting>
  <conditionalFormatting sqref="H11:H12">
    <cfRule type="cellIs" dxfId="4691" priority="629" operator="equal">
      <formula>0</formula>
    </cfRule>
    <cfRule type="cellIs" dxfId="4690" priority="630" operator="notEqual">
      <formula>0</formula>
    </cfRule>
  </conditionalFormatting>
  <conditionalFormatting sqref="I11:I12">
    <cfRule type="cellIs" dxfId="4689" priority="627" operator="equal">
      <formula>0</formula>
    </cfRule>
    <cfRule type="cellIs" dxfId="4688" priority="628" operator="notEqual">
      <formula>0</formula>
    </cfRule>
  </conditionalFormatting>
  <conditionalFormatting sqref="J11:J12">
    <cfRule type="cellIs" dxfId="4687" priority="625" operator="equal">
      <formula>0</formula>
    </cfRule>
    <cfRule type="cellIs" dxfId="4686" priority="626" operator="notEqual">
      <formula>0</formula>
    </cfRule>
  </conditionalFormatting>
  <conditionalFormatting sqref="O10">
    <cfRule type="cellIs" dxfId="4685" priority="623" operator="equal">
      <formula>0</formula>
    </cfRule>
    <cfRule type="cellIs" dxfId="4684" priority="624" operator="notEqual">
      <formula>0</formula>
    </cfRule>
  </conditionalFormatting>
  <conditionalFormatting sqref="O13">
    <cfRule type="cellIs" dxfId="4683" priority="621" operator="equal">
      <formula>0</formula>
    </cfRule>
    <cfRule type="cellIs" dxfId="4682" priority="622" operator="notEqual">
      <formula>0</formula>
    </cfRule>
  </conditionalFormatting>
  <conditionalFormatting sqref="P10">
    <cfRule type="cellIs" dxfId="4681" priority="619" operator="equal">
      <formula>0</formula>
    </cfRule>
    <cfRule type="cellIs" dxfId="4680" priority="620" operator="notEqual">
      <formula>0</formula>
    </cfRule>
  </conditionalFormatting>
  <conditionalFormatting sqref="P13">
    <cfRule type="cellIs" dxfId="4679" priority="617" operator="equal">
      <formula>0</formula>
    </cfRule>
    <cfRule type="cellIs" dxfId="4678" priority="618" operator="notEqual">
      <formula>0</formula>
    </cfRule>
  </conditionalFormatting>
  <conditionalFormatting sqref="Q10">
    <cfRule type="cellIs" dxfId="4677" priority="615" operator="equal">
      <formula>0</formula>
    </cfRule>
    <cfRule type="cellIs" dxfId="4676" priority="616" operator="notEqual">
      <formula>0</formula>
    </cfRule>
  </conditionalFormatting>
  <conditionalFormatting sqref="Q13">
    <cfRule type="cellIs" dxfId="4675" priority="613" operator="equal">
      <formula>0</formula>
    </cfRule>
    <cfRule type="cellIs" dxfId="4674" priority="614" operator="notEqual">
      <formula>0</formula>
    </cfRule>
  </conditionalFormatting>
  <conditionalFormatting sqref="R10">
    <cfRule type="cellIs" dxfId="4673" priority="611" operator="equal">
      <formula>0</formula>
    </cfRule>
    <cfRule type="cellIs" dxfId="4672" priority="612" operator="notEqual">
      <formula>0</formula>
    </cfRule>
  </conditionalFormatting>
  <conditionalFormatting sqref="R13">
    <cfRule type="cellIs" dxfId="4671" priority="609" operator="equal">
      <formula>0</formula>
    </cfRule>
    <cfRule type="cellIs" dxfId="4670" priority="610" operator="notEqual">
      <formula>0</formula>
    </cfRule>
  </conditionalFormatting>
  <conditionalFormatting sqref="C18:C19">
    <cfRule type="cellIs" dxfId="4669" priority="575" operator="equal">
      <formula>0</formula>
    </cfRule>
    <cfRule type="cellIs" dxfId="4668" priority="576" operator="notEqual">
      <formula>0</formula>
    </cfRule>
  </conditionalFormatting>
  <conditionalFormatting sqref="D18:D19">
    <cfRule type="cellIs" dxfId="4667" priority="573" operator="equal">
      <formula>0</formula>
    </cfRule>
    <cfRule type="cellIs" dxfId="4666" priority="574" operator="notEqual">
      <formula>0</formula>
    </cfRule>
  </conditionalFormatting>
  <conditionalFormatting sqref="E18:E19">
    <cfRule type="cellIs" dxfId="4665" priority="571" operator="equal">
      <formula>0</formula>
    </cfRule>
    <cfRule type="cellIs" dxfId="4664" priority="572" operator="notEqual">
      <formula>0</formula>
    </cfRule>
  </conditionalFormatting>
  <conditionalFormatting sqref="F18:F19">
    <cfRule type="cellIs" dxfId="4663" priority="569" operator="equal">
      <formula>0</formula>
    </cfRule>
    <cfRule type="cellIs" dxfId="4662" priority="570" operator="notEqual">
      <formula>0</formula>
    </cfRule>
  </conditionalFormatting>
  <conditionalFormatting sqref="G18:G19">
    <cfRule type="cellIs" dxfId="4661" priority="567" operator="equal">
      <formula>0</formula>
    </cfRule>
    <cfRule type="cellIs" dxfId="4660" priority="568" operator="notEqual">
      <formula>0</formula>
    </cfRule>
  </conditionalFormatting>
  <conditionalFormatting sqref="H18:H19">
    <cfRule type="cellIs" dxfId="4659" priority="565" operator="equal">
      <formula>0</formula>
    </cfRule>
    <cfRule type="cellIs" dxfId="4658" priority="566" operator="notEqual">
      <formula>0</formula>
    </cfRule>
  </conditionalFormatting>
  <conditionalFormatting sqref="I18:I19">
    <cfRule type="cellIs" dxfId="4657" priority="563" operator="equal">
      <formula>0</formula>
    </cfRule>
    <cfRule type="cellIs" dxfId="4656" priority="564" operator="notEqual">
      <formula>0</formula>
    </cfRule>
  </conditionalFormatting>
  <conditionalFormatting sqref="J18:J19">
    <cfRule type="cellIs" dxfId="4655" priority="561" operator="equal">
      <formula>0</formula>
    </cfRule>
    <cfRule type="cellIs" dxfId="4654" priority="562" operator="notEqual">
      <formula>0</formula>
    </cfRule>
  </conditionalFormatting>
  <conditionalFormatting sqref="O17">
    <cfRule type="cellIs" dxfId="4653" priority="559" operator="equal">
      <formula>0</formula>
    </cfRule>
    <cfRule type="cellIs" dxfId="4652" priority="560" operator="notEqual">
      <formula>0</formula>
    </cfRule>
  </conditionalFormatting>
  <conditionalFormatting sqref="O20">
    <cfRule type="cellIs" dxfId="4651" priority="557" operator="equal">
      <formula>0</formula>
    </cfRule>
    <cfRule type="cellIs" dxfId="4650" priority="558" operator="notEqual">
      <formula>0</formula>
    </cfRule>
  </conditionalFormatting>
  <conditionalFormatting sqref="P17">
    <cfRule type="cellIs" dxfId="4649" priority="555" operator="equal">
      <formula>0</formula>
    </cfRule>
    <cfRule type="cellIs" dxfId="4648" priority="556" operator="notEqual">
      <formula>0</formula>
    </cfRule>
  </conditionalFormatting>
  <conditionalFormatting sqref="P20">
    <cfRule type="cellIs" dxfId="4647" priority="553" operator="equal">
      <formula>0</formula>
    </cfRule>
    <cfRule type="cellIs" dxfId="4646" priority="554" operator="notEqual">
      <formula>0</formula>
    </cfRule>
  </conditionalFormatting>
  <conditionalFormatting sqref="Q17">
    <cfRule type="cellIs" dxfId="4645" priority="551" operator="equal">
      <formula>0</formula>
    </cfRule>
    <cfRule type="cellIs" dxfId="4644" priority="552" operator="notEqual">
      <formula>0</formula>
    </cfRule>
  </conditionalFormatting>
  <conditionalFormatting sqref="Q20">
    <cfRule type="cellIs" dxfId="4643" priority="549" operator="equal">
      <formula>0</formula>
    </cfRule>
    <cfRule type="cellIs" dxfId="4642" priority="550" operator="notEqual">
      <formula>0</formula>
    </cfRule>
  </conditionalFormatting>
  <conditionalFormatting sqref="R17">
    <cfRule type="cellIs" dxfId="4641" priority="547" operator="equal">
      <formula>0</formula>
    </cfRule>
    <cfRule type="cellIs" dxfId="4640" priority="548" operator="notEqual">
      <formula>0</formula>
    </cfRule>
  </conditionalFormatting>
  <conditionalFormatting sqref="R20">
    <cfRule type="cellIs" dxfId="4639" priority="545" operator="equal">
      <formula>0</formula>
    </cfRule>
    <cfRule type="cellIs" dxfId="4638" priority="546" operator="notEqual">
      <formula>0</formula>
    </cfRule>
  </conditionalFormatting>
  <conditionalFormatting sqref="C25:C26">
    <cfRule type="cellIs" dxfId="4637" priority="543" operator="equal">
      <formula>0</formula>
    </cfRule>
    <cfRule type="cellIs" dxfId="4636" priority="544" operator="notEqual">
      <formula>0</formula>
    </cfRule>
  </conditionalFormatting>
  <conditionalFormatting sqref="D25:D26">
    <cfRule type="cellIs" dxfId="4635" priority="541" operator="equal">
      <formula>0</formula>
    </cfRule>
    <cfRule type="cellIs" dxfId="4634" priority="542" operator="notEqual">
      <formula>0</formula>
    </cfRule>
  </conditionalFormatting>
  <conditionalFormatting sqref="E25:E26">
    <cfRule type="cellIs" dxfId="4633" priority="539" operator="equal">
      <formula>0</formula>
    </cfRule>
    <cfRule type="cellIs" dxfId="4632" priority="540" operator="notEqual">
      <formula>0</formula>
    </cfRule>
  </conditionalFormatting>
  <conditionalFormatting sqref="F25:F26">
    <cfRule type="cellIs" dxfId="4631" priority="537" operator="equal">
      <formula>0</formula>
    </cfRule>
    <cfRule type="cellIs" dxfId="4630" priority="538" operator="notEqual">
      <formula>0</formula>
    </cfRule>
  </conditionalFormatting>
  <conditionalFormatting sqref="G25:G26">
    <cfRule type="cellIs" dxfId="4629" priority="535" operator="equal">
      <formula>0</formula>
    </cfRule>
    <cfRule type="cellIs" dxfId="4628" priority="536" operator="notEqual">
      <formula>0</formula>
    </cfRule>
  </conditionalFormatting>
  <conditionalFormatting sqref="H25:H26">
    <cfRule type="cellIs" dxfId="4627" priority="533" operator="equal">
      <formula>0</formula>
    </cfRule>
    <cfRule type="cellIs" dxfId="4626" priority="534" operator="notEqual">
      <formula>0</formula>
    </cfRule>
  </conditionalFormatting>
  <conditionalFormatting sqref="I25:I26">
    <cfRule type="cellIs" dxfId="4625" priority="531" operator="equal">
      <formula>0</formula>
    </cfRule>
    <cfRule type="cellIs" dxfId="4624" priority="532" operator="notEqual">
      <formula>0</formula>
    </cfRule>
  </conditionalFormatting>
  <conditionalFormatting sqref="J25:J26">
    <cfRule type="cellIs" dxfId="4623" priority="529" operator="equal">
      <formula>0</formula>
    </cfRule>
    <cfRule type="cellIs" dxfId="4622" priority="530" operator="notEqual">
      <formula>0</formula>
    </cfRule>
  </conditionalFormatting>
  <conditionalFormatting sqref="O24">
    <cfRule type="cellIs" dxfId="4621" priority="527" operator="equal">
      <formula>0</formula>
    </cfRule>
    <cfRule type="cellIs" dxfId="4620" priority="528" operator="notEqual">
      <formula>0</formula>
    </cfRule>
  </conditionalFormatting>
  <conditionalFormatting sqref="O27">
    <cfRule type="cellIs" dxfId="4619" priority="525" operator="equal">
      <formula>0</formula>
    </cfRule>
    <cfRule type="cellIs" dxfId="4618" priority="526" operator="notEqual">
      <formula>0</formula>
    </cfRule>
  </conditionalFormatting>
  <conditionalFormatting sqref="P24">
    <cfRule type="cellIs" dxfId="4617" priority="523" operator="equal">
      <formula>0</formula>
    </cfRule>
    <cfRule type="cellIs" dxfId="4616" priority="524" operator="notEqual">
      <formula>0</formula>
    </cfRule>
  </conditionalFormatting>
  <conditionalFormatting sqref="P27">
    <cfRule type="cellIs" dxfId="4615" priority="521" operator="equal">
      <formula>0</formula>
    </cfRule>
    <cfRule type="cellIs" dxfId="4614" priority="522" operator="notEqual">
      <formula>0</formula>
    </cfRule>
  </conditionalFormatting>
  <conditionalFormatting sqref="Q24">
    <cfRule type="cellIs" dxfId="4613" priority="519" operator="equal">
      <formula>0</formula>
    </cfRule>
    <cfRule type="cellIs" dxfId="4612" priority="520" operator="notEqual">
      <formula>0</formula>
    </cfRule>
  </conditionalFormatting>
  <conditionalFormatting sqref="Q27">
    <cfRule type="cellIs" dxfId="4611" priority="517" operator="equal">
      <formula>0</formula>
    </cfRule>
    <cfRule type="cellIs" dxfId="4610" priority="518" operator="notEqual">
      <formula>0</formula>
    </cfRule>
  </conditionalFormatting>
  <conditionalFormatting sqref="R24">
    <cfRule type="cellIs" dxfId="4609" priority="515" operator="equal">
      <formula>0</formula>
    </cfRule>
    <cfRule type="cellIs" dxfId="4608" priority="516" operator="notEqual">
      <formula>0</formula>
    </cfRule>
  </conditionalFormatting>
  <conditionalFormatting sqref="R27">
    <cfRule type="cellIs" dxfId="4607" priority="513" operator="equal">
      <formula>0</formula>
    </cfRule>
    <cfRule type="cellIs" dxfId="4606" priority="514" operator="notEqual">
      <formula>0</formula>
    </cfRule>
  </conditionalFormatting>
  <conditionalFormatting sqref="C32:C33">
    <cfRule type="cellIs" dxfId="4605" priority="511" operator="equal">
      <formula>0</formula>
    </cfRule>
    <cfRule type="cellIs" dxfId="4604" priority="512" operator="notEqual">
      <formula>0</formula>
    </cfRule>
  </conditionalFormatting>
  <conditionalFormatting sqref="D32:D33">
    <cfRule type="cellIs" dxfId="4603" priority="509" operator="equal">
      <formula>0</formula>
    </cfRule>
    <cfRule type="cellIs" dxfId="4602" priority="510" operator="notEqual">
      <formula>0</formula>
    </cfRule>
  </conditionalFormatting>
  <conditionalFormatting sqref="E32:E33">
    <cfRule type="cellIs" dxfId="4601" priority="507" operator="equal">
      <formula>0</formula>
    </cfRule>
    <cfRule type="cellIs" dxfId="4600" priority="508" operator="notEqual">
      <formula>0</formula>
    </cfRule>
  </conditionalFormatting>
  <conditionalFormatting sqref="F32:F33">
    <cfRule type="cellIs" dxfId="4599" priority="505" operator="equal">
      <formula>0</formula>
    </cfRule>
    <cfRule type="cellIs" dxfId="4598" priority="506" operator="notEqual">
      <formula>0</formula>
    </cfRule>
  </conditionalFormatting>
  <conditionalFormatting sqref="G32:G33">
    <cfRule type="cellIs" dxfId="4597" priority="503" operator="equal">
      <formula>0</formula>
    </cfRule>
    <cfRule type="cellIs" dxfId="4596" priority="504" operator="notEqual">
      <formula>0</formula>
    </cfRule>
  </conditionalFormatting>
  <conditionalFormatting sqref="H32:H33">
    <cfRule type="cellIs" dxfId="4595" priority="501" operator="equal">
      <formula>0</formula>
    </cfRule>
    <cfRule type="cellIs" dxfId="4594" priority="502" operator="notEqual">
      <formula>0</formula>
    </cfRule>
  </conditionalFormatting>
  <conditionalFormatting sqref="I32:I33">
    <cfRule type="cellIs" dxfId="4593" priority="499" operator="equal">
      <formula>0</formula>
    </cfRule>
    <cfRule type="cellIs" dxfId="4592" priority="500" operator="notEqual">
      <formula>0</formula>
    </cfRule>
  </conditionalFormatting>
  <conditionalFormatting sqref="J32:J33">
    <cfRule type="cellIs" dxfId="4591" priority="497" operator="equal">
      <formula>0</formula>
    </cfRule>
    <cfRule type="cellIs" dxfId="4590" priority="498" operator="notEqual">
      <formula>0</formula>
    </cfRule>
  </conditionalFormatting>
  <conditionalFormatting sqref="O31">
    <cfRule type="cellIs" dxfId="4589" priority="495" operator="equal">
      <formula>0</formula>
    </cfRule>
    <cfRule type="cellIs" dxfId="4588" priority="496" operator="notEqual">
      <formula>0</formula>
    </cfRule>
  </conditionalFormatting>
  <conditionalFormatting sqref="O34">
    <cfRule type="cellIs" dxfId="4587" priority="493" operator="equal">
      <formula>0</formula>
    </cfRule>
    <cfRule type="cellIs" dxfId="4586" priority="494" operator="notEqual">
      <formula>0</formula>
    </cfRule>
  </conditionalFormatting>
  <conditionalFormatting sqref="P31">
    <cfRule type="cellIs" dxfId="4585" priority="491" operator="equal">
      <formula>0</formula>
    </cfRule>
    <cfRule type="cellIs" dxfId="4584" priority="492" operator="notEqual">
      <formula>0</formula>
    </cfRule>
  </conditionalFormatting>
  <conditionalFormatting sqref="P34">
    <cfRule type="cellIs" dxfId="4583" priority="489" operator="equal">
      <formula>0</formula>
    </cfRule>
    <cfRule type="cellIs" dxfId="4582" priority="490" operator="notEqual">
      <formula>0</formula>
    </cfRule>
  </conditionalFormatting>
  <conditionalFormatting sqref="Q31">
    <cfRule type="cellIs" dxfId="4581" priority="487" operator="equal">
      <formula>0</formula>
    </cfRule>
    <cfRule type="cellIs" dxfId="4580" priority="488" operator="notEqual">
      <formula>0</formula>
    </cfRule>
  </conditionalFormatting>
  <conditionalFormatting sqref="Q34">
    <cfRule type="cellIs" dxfId="4579" priority="485" operator="equal">
      <formula>0</formula>
    </cfRule>
    <cfRule type="cellIs" dxfId="4578" priority="486" operator="notEqual">
      <formula>0</formula>
    </cfRule>
  </conditionalFormatting>
  <conditionalFormatting sqref="R31">
    <cfRule type="cellIs" dxfId="4577" priority="483" operator="equal">
      <formula>0</formula>
    </cfRule>
    <cfRule type="cellIs" dxfId="4576" priority="484" operator="notEqual">
      <formula>0</formula>
    </cfRule>
  </conditionalFormatting>
  <conditionalFormatting sqref="R34">
    <cfRule type="cellIs" dxfId="4575" priority="481" operator="equal">
      <formula>0</formula>
    </cfRule>
    <cfRule type="cellIs" dxfId="4574" priority="482" operator="notEqual">
      <formula>0</formula>
    </cfRule>
  </conditionalFormatting>
  <conditionalFormatting sqref="C39:C40">
    <cfRule type="cellIs" dxfId="4573" priority="479" operator="equal">
      <formula>0</formula>
    </cfRule>
    <cfRule type="cellIs" dxfId="4572" priority="480" operator="notEqual">
      <formula>0</formula>
    </cfRule>
  </conditionalFormatting>
  <conditionalFormatting sqref="D39:D40">
    <cfRule type="cellIs" dxfId="4571" priority="477" operator="equal">
      <formula>0</formula>
    </cfRule>
    <cfRule type="cellIs" dxfId="4570" priority="478" operator="notEqual">
      <formula>0</formula>
    </cfRule>
  </conditionalFormatting>
  <conditionalFormatting sqref="E39:E40">
    <cfRule type="cellIs" dxfId="4569" priority="475" operator="equal">
      <formula>0</formula>
    </cfRule>
    <cfRule type="cellIs" dxfId="4568" priority="476" operator="notEqual">
      <formula>0</formula>
    </cfRule>
  </conditionalFormatting>
  <conditionalFormatting sqref="F39:F40">
    <cfRule type="cellIs" dxfId="4567" priority="473" operator="equal">
      <formula>0</formula>
    </cfRule>
    <cfRule type="cellIs" dxfId="4566" priority="474" operator="notEqual">
      <formula>0</formula>
    </cfRule>
  </conditionalFormatting>
  <conditionalFormatting sqref="G39:G40">
    <cfRule type="cellIs" dxfId="4565" priority="471" operator="equal">
      <formula>0</formula>
    </cfRule>
    <cfRule type="cellIs" dxfId="4564" priority="472" operator="notEqual">
      <formula>0</formula>
    </cfRule>
  </conditionalFormatting>
  <conditionalFormatting sqref="H39:H40">
    <cfRule type="cellIs" dxfId="4563" priority="469" operator="equal">
      <formula>0</formula>
    </cfRule>
    <cfRule type="cellIs" dxfId="4562" priority="470" operator="notEqual">
      <formula>0</formula>
    </cfRule>
  </conditionalFormatting>
  <conditionalFormatting sqref="I39:I40">
    <cfRule type="cellIs" dxfId="4561" priority="467" operator="equal">
      <formula>0</formula>
    </cfRule>
    <cfRule type="cellIs" dxfId="4560" priority="468" operator="notEqual">
      <formula>0</formula>
    </cfRule>
  </conditionalFormatting>
  <conditionalFormatting sqref="J39:J40">
    <cfRule type="cellIs" dxfId="4559" priority="465" operator="equal">
      <formula>0</formula>
    </cfRule>
    <cfRule type="cellIs" dxfId="4558" priority="466" operator="notEqual">
      <formula>0</formula>
    </cfRule>
  </conditionalFormatting>
  <conditionalFormatting sqref="O38">
    <cfRule type="cellIs" dxfId="4557" priority="463" operator="equal">
      <formula>0</formula>
    </cfRule>
    <cfRule type="cellIs" dxfId="4556" priority="464" operator="notEqual">
      <formula>0</formula>
    </cfRule>
  </conditionalFormatting>
  <conditionalFormatting sqref="O41">
    <cfRule type="cellIs" dxfId="4555" priority="461" operator="equal">
      <formula>0</formula>
    </cfRule>
    <cfRule type="cellIs" dxfId="4554" priority="462" operator="notEqual">
      <formula>0</formula>
    </cfRule>
  </conditionalFormatting>
  <conditionalFormatting sqref="P38">
    <cfRule type="cellIs" dxfId="4553" priority="459" operator="equal">
      <formula>0</formula>
    </cfRule>
    <cfRule type="cellIs" dxfId="4552" priority="460" operator="notEqual">
      <formula>0</formula>
    </cfRule>
  </conditionalFormatting>
  <conditionalFormatting sqref="P41">
    <cfRule type="cellIs" dxfId="4551" priority="457" operator="equal">
      <formula>0</formula>
    </cfRule>
    <cfRule type="cellIs" dxfId="4550" priority="458" operator="notEqual">
      <formula>0</formula>
    </cfRule>
  </conditionalFormatting>
  <conditionalFormatting sqref="Q38">
    <cfRule type="cellIs" dxfId="4549" priority="455" operator="equal">
      <formula>0</formula>
    </cfRule>
    <cfRule type="cellIs" dxfId="4548" priority="456" operator="notEqual">
      <formula>0</formula>
    </cfRule>
  </conditionalFormatting>
  <conditionalFormatting sqref="Q41">
    <cfRule type="cellIs" dxfId="4547" priority="453" operator="equal">
      <formula>0</formula>
    </cfRule>
    <cfRule type="cellIs" dxfId="4546" priority="454" operator="notEqual">
      <formula>0</formula>
    </cfRule>
  </conditionalFormatting>
  <conditionalFormatting sqref="R38">
    <cfRule type="cellIs" dxfId="4545" priority="451" operator="equal">
      <formula>0</formula>
    </cfRule>
    <cfRule type="cellIs" dxfId="4544" priority="452" operator="notEqual">
      <formula>0</formula>
    </cfRule>
  </conditionalFormatting>
  <conditionalFormatting sqref="R41">
    <cfRule type="cellIs" dxfId="4543" priority="449" operator="equal">
      <formula>0</formula>
    </cfRule>
    <cfRule type="cellIs" dxfId="4542" priority="450" operator="notEqual">
      <formula>0</formula>
    </cfRule>
  </conditionalFormatting>
  <conditionalFormatting sqref="C46:C47">
    <cfRule type="cellIs" dxfId="4541" priority="447" operator="equal">
      <formula>0</formula>
    </cfRule>
    <cfRule type="cellIs" dxfId="4540" priority="448" operator="notEqual">
      <formula>0</formula>
    </cfRule>
  </conditionalFormatting>
  <conditionalFormatting sqref="D46:D47">
    <cfRule type="cellIs" dxfId="4539" priority="445" operator="equal">
      <formula>0</formula>
    </cfRule>
    <cfRule type="cellIs" dxfId="4538" priority="446" operator="notEqual">
      <formula>0</formula>
    </cfRule>
  </conditionalFormatting>
  <conditionalFormatting sqref="E46:E47">
    <cfRule type="cellIs" dxfId="4537" priority="443" operator="equal">
      <formula>0</formula>
    </cfRule>
    <cfRule type="cellIs" dxfId="4536" priority="444" operator="notEqual">
      <formula>0</formula>
    </cfRule>
  </conditionalFormatting>
  <conditionalFormatting sqref="F46:F47">
    <cfRule type="cellIs" dxfId="4535" priority="441" operator="equal">
      <formula>0</formula>
    </cfRule>
    <cfRule type="cellIs" dxfId="4534" priority="442" operator="notEqual">
      <formula>0</formula>
    </cfRule>
  </conditionalFormatting>
  <conditionalFormatting sqref="G46:G47">
    <cfRule type="cellIs" dxfId="4533" priority="439" operator="equal">
      <formula>0</formula>
    </cfRule>
    <cfRule type="cellIs" dxfId="4532" priority="440" operator="notEqual">
      <formula>0</formula>
    </cfRule>
  </conditionalFormatting>
  <conditionalFormatting sqref="H46:H47">
    <cfRule type="cellIs" dxfId="4531" priority="437" operator="equal">
      <formula>0</formula>
    </cfRule>
    <cfRule type="cellIs" dxfId="4530" priority="438" operator="notEqual">
      <formula>0</formula>
    </cfRule>
  </conditionalFormatting>
  <conditionalFormatting sqref="I46:I47">
    <cfRule type="cellIs" dxfId="4529" priority="435" operator="equal">
      <formula>0</formula>
    </cfRule>
    <cfRule type="cellIs" dxfId="4528" priority="436" operator="notEqual">
      <formula>0</formula>
    </cfRule>
  </conditionalFormatting>
  <conditionalFormatting sqref="J46:J47">
    <cfRule type="cellIs" dxfId="4527" priority="433" operator="equal">
      <formula>0</formula>
    </cfRule>
    <cfRule type="cellIs" dxfId="4526" priority="434" operator="notEqual">
      <formula>0</formula>
    </cfRule>
  </conditionalFormatting>
  <conditionalFormatting sqref="O45">
    <cfRule type="cellIs" dxfId="4525" priority="431" operator="equal">
      <formula>0</formula>
    </cfRule>
    <cfRule type="cellIs" dxfId="4524" priority="432" operator="notEqual">
      <formula>0</formula>
    </cfRule>
  </conditionalFormatting>
  <conditionalFormatting sqref="O48">
    <cfRule type="cellIs" dxfId="4523" priority="429" operator="equal">
      <formula>0</formula>
    </cfRule>
    <cfRule type="cellIs" dxfId="4522" priority="430" operator="notEqual">
      <formula>0</formula>
    </cfRule>
  </conditionalFormatting>
  <conditionalFormatting sqref="P45">
    <cfRule type="cellIs" dxfId="4521" priority="427" operator="equal">
      <formula>0</formula>
    </cfRule>
    <cfRule type="cellIs" dxfId="4520" priority="428" operator="notEqual">
      <formula>0</formula>
    </cfRule>
  </conditionalFormatting>
  <conditionalFormatting sqref="P48">
    <cfRule type="cellIs" dxfId="4519" priority="425" operator="equal">
      <formula>0</formula>
    </cfRule>
    <cfRule type="cellIs" dxfId="4518" priority="426" operator="notEqual">
      <formula>0</formula>
    </cfRule>
  </conditionalFormatting>
  <conditionalFormatting sqref="Q45">
    <cfRule type="cellIs" dxfId="4517" priority="423" operator="equal">
      <formula>0</formula>
    </cfRule>
    <cfRule type="cellIs" dxfId="4516" priority="424" operator="notEqual">
      <formula>0</formula>
    </cfRule>
  </conditionalFormatting>
  <conditionalFormatting sqref="Q48">
    <cfRule type="cellIs" dxfId="4515" priority="421" operator="equal">
      <formula>0</formula>
    </cfRule>
    <cfRule type="cellIs" dxfId="4514" priority="422" operator="notEqual">
      <formula>0</formula>
    </cfRule>
  </conditionalFormatting>
  <conditionalFormatting sqref="R45">
    <cfRule type="cellIs" dxfId="4513" priority="419" operator="equal">
      <formula>0</formula>
    </cfRule>
    <cfRule type="cellIs" dxfId="4512" priority="420" operator="notEqual">
      <formula>0</formula>
    </cfRule>
  </conditionalFormatting>
  <conditionalFormatting sqref="R48">
    <cfRule type="cellIs" dxfId="4511" priority="417" operator="equal">
      <formula>0</formula>
    </cfRule>
    <cfRule type="cellIs" dxfId="4510" priority="418" operator="notEqual">
      <formula>0</formula>
    </cfRule>
  </conditionalFormatting>
  <conditionalFormatting sqref="C53:C54">
    <cfRule type="cellIs" dxfId="4509" priority="415" operator="equal">
      <formula>0</formula>
    </cfRule>
    <cfRule type="cellIs" dxfId="4508" priority="416" operator="notEqual">
      <formula>0</formula>
    </cfRule>
  </conditionalFormatting>
  <conditionalFormatting sqref="D53:D54">
    <cfRule type="cellIs" dxfId="4507" priority="413" operator="equal">
      <formula>0</formula>
    </cfRule>
    <cfRule type="cellIs" dxfId="4506" priority="414" operator="notEqual">
      <formula>0</formula>
    </cfRule>
  </conditionalFormatting>
  <conditionalFormatting sqref="E53:E54">
    <cfRule type="cellIs" dxfId="4505" priority="411" operator="equal">
      <formula>0</formula>
    </cfRule>
    <cfRule type="cellIs" dxfId="4504" priority="412" operator="notEqual">
      <formula>0</formula>
    </cfRule>
  </conditionalFormatting>
  <conditionalFormatting sqref="F53:F54">
    <cfRule type="cellIs" dxfId="4503" priority="409" operator="equal">
      <formula>0</formula>
    </cfRule>
    <cfRule type="cellIs" dxfId="4502" priority="410" operator="notEqual">
      <formula>0</formula>
    </cfRule>
  </conditionalFormatting>
  <conditionalFormatting sqref="G53:G54">
    <cfRule type="cellIs" dxfId="4501" priority="407" operator="equal">
      <formula>0</formula>
    </cfRule>
    <cfRule type="cellIs" dxfId="4500" priority="408" operator="notEqual">
      <formula>0</formula>
    </cfRule>
  </conditionalFormatting>
  <conditionalFormatting sqref="H53:H54">
    <cfRule type="cellIs" dxfId="4499" priority="405" operator="equal">
      <formula>0</formula>
    </cfRule>
    <cfRule type="cellIs" dxfId="4498" priority="406" operator="notEqual">
      <formula>0</formula>
    </cfRule>
  </conditionalFormatting>
  <conditionalFormatting sqref="I53:I54">
    <cfRule type="cellIs" dxfId="4497" priority="403" operator="equal">
      <formula>0</formula>
    </cfRule>
    <cfRule type="cellIs" dxfId="4496" priority="404" operator="notEqual">
      <formula>0</formula>
    </cfRule>
  </conditionalFormatting>
  <conditionalFormatting sqref="J53:J54">
    <cfRule type="cellIs" dxfId="4495" priority="401" operator="equal">
      <formula>0</formula>
    </cfRule>
    <cfRule type="cellIs" dxfId="4494" priority="402" operator="notEqual">
      <formula>0</formula>
    </cfRule>
  </conditionalFormatting>
  <conditionalFormatting sqref="O52">
    <cfRule type="cellIs" dxfId="4493" priority="399" operator="equal">
      <formula>0</formula>
    </cfRule>
    <cfRule type="cellIs" dxfId="4492" priority="400" operator="notEqual">
      <formula>0</formula>
    </cfRule>
  </conditionalFormatting>
  <conditionalFormatting sqref="O55">
    <cfRule type="cellIs" dxfId="4491" priority="397" operator="equal">
      <formula>0</formula>
    </cfRule>
    <cfRule type="cellIs" dxfId="4490" priority="398" operator="notEqual">
      <formula>0</formula>
    </cfRule>
  </conditionalFormatting>
  <conditionalFormatting sqref="P52">
    <cfRule type="cellIs" dxfId="4489" priority="395" operator="equal">
      <formula>0</formula>
    </cfRule>
    <cfRule type="cellIs" dxfId="4488" priority="396" operator="notEqual">
      <formula>0</formula>
    </cfRule>
  </conditionalFormatting>
  <conditionalFormatting sqref="P55">
    <cfRule type="cellIs" dxfId="4487" priority="393" operator="equal">
      <formula>0</formula>
    </cfRule>
    <cfRule type="cellIs" dxfId="4486" priority="394" operator="notEqual">
      <formula>0</formula>
    </cfRule>
  </conditionalFormatting>
  <conditionalFormatting sqref="Q52">
    <cfRule type="cellIs" dxfId="4485" priority="391" operator="equal">
      <formula>0</formula>
    </cfRule>
    <cfRule type="cellIs" dxfId="4484" priority="392" operator="notEqual">
      <formula>0</formula>
    </cfRule>
  </conditionalFormatting>
  <conditionalFormatting sqref="Q55">
    <cfRule type="cellIs" dxfId="4483" priority="389" operator="equal">
      <formula>0</formula>
    </cfRule>
    <cfRule type="cellIs" dxfId="4482" priority="390" operator="notEqual">
      <formula>0</formula>
    </cfRule>
  </conditionalFormatting>
  <conditionalFormatting sqref="R52">
    <cfRule type="cellIs" dxfId="4481" priority="387" operator="equal">
      <formula>0</formula>
    </cfRule>
    <cfRule type="cellIs" dxfId="4480" priority="388" operator="notEqual">
      <formula>0</formula>
    </cfRule>
  </conditionalFormatting>
  <conditionalFormatting sqref="R55">
    <cfRule type="cellIs" dxfId="4479" priority="385" operator="equal">
      <formula>0</formula>
    </cfRule>
    <cfRule type="cellIs" dxfId="4478" priority="386" operator="notEqual">
      <formula>0</formula>
    </cfRule>
  </conditionalFormatting>
  <conditionalFormatting sqref="C60:C61">
    <cfRule type="cellIs" dxfId="4477" priority="383" operator="equal">
      <formula>0</formula>
    </cfRule>
    <cfRule type="cellIs" dxfId="4476" priority="384" operator="notEqual">
      <formula>0</formula>
    </cfRule>
  </conditionalFormatting>
  <conditionalFormatting sqref="D60:D61">
    <cfRule type="cellIs" dxfId="4475" priority="381" operator="equal">
      <formula>0</formula>
    </cfRule>
    <cfRule type="cellIs" dxfId="4474" priority="382" operator="notEqual">
      <formula>0</formula>
    </cfRule>
  </conditionalFormatting>
  <conditionalFormatting sqref="E60:E61">
    <cfRule type="cellIs" dxfId="4473" priority="379" operator="equal">
      <formula>0</formula>
    </cfRule>
    <cfRule type="cellIs" dxfId="4472" priority="380" operator="notEqual">
      <formula>0</formula>
    </cfRule>
  </conditionalFormatting>
  <conditionalFormatting sqref="F60:F61">
    <cfRule type="cellIs" dxfId="4471" priority="377" operator="equal">
      <formula>0</formula>
    </cfRule>
    <cfRule type="cellIs" dxfId="4470" priority="378" operator="notEqual">
      <formula>0</formula>
    </cfRule>
  </conditionalFormatting>
  <conditionalFormatting sqref="G60:G61">
    <cfRule type="cellIs" dxfId="4469" priority="375" operator="equal">
      <formula>0</formula>
    </cfRule>
    <cfRule type="cellIs" dxfId="4468" priority="376" operator="notEqual">
      <formula>0</formula>
    </cfRule>
  </conditionalFormatting>
  <conditionalFormatting sqref="H60:H61">
    <cfRule type="cellIs" dxfId="4467" priority="373" operator="equal">
      <formula>0</formula>
    </cfRule>
    <cfRule type="cellIs" dxfId="4466" priority="374" operator="notEqual">
      <formula>0</formula>
    </cfRule>
  </conditionalFormatting>
  <conditionalFormatting sqref="I60:I61">
    <cfRule type="cellIs" dxfId="4465" priority="371" operator="equal">
      <formula>0</formula>
    </cfRule>
    <cfRule type="cellIs" dxfId="4464" priority="372" operator="notEqual">
      <formula>0</formula>
    </cfRule>
  </conditionalFormatting>
  <conditionalFormatting sqref="J60:J61">
    <cfRule type="cellIs" dxfId="4463" priority="369" operator="equal">
      <formula>0</formula>
    </cfRule>
    <cfRule type="cellIs" dxfId="4462" priority="370" operator="notEqual">
      <formula>0</formula>
    </cfRule>
  </conditionalFormatting>
  <conditionalFormatting sqref="O59">
    <cfRule type="cellIs" dxfId="4461" priority="367" operator="equal">
      <formula>0</formula>
    </cfRule>
    <cfRule type="cellIs" dxfId="4460" priority="368" operator="notEqual">
      <formula>0</formula>
    </cfRule>
  </conditionalFormatting>
  <conditionalFormatting sqref="O62">
    <cfRule type="cellIs" dxfId="4459" priority="365" operator="equal">
      <formula>0</formula>
    </cfRule>
    <cfRule type="cellIs" dxfId="4458" priority="366" operator="notEqual">
      <formula>0</formula>
    </cfRule>
  </conditionalFormatting>
  <conditionalFormatting sqref="P59">
    <cfRule type="cellIs" dxfId="4457" priority="363" operator="equal">
      <formula>0</formula>
    </cfRule>
    <cfRule type="cellIs" dxfId="4456" priority="364" operator="notEqual">
      <formula>0</formula>
    </cfRule>
  </conditionalFormatting>
  <conditionalFormatting sqref="P62">
    <cfRule type="cellIs" dxfId="4455" priority="361" operator="equal">
      <formula>0</formula>
    </cfRule>
    <cfRule type="cellIs" dxfId="4454" priority="362" operator="notEqual">
      <formula>0</formula>
    </cfRule>
  </conditionalFormatting>
  <conditionalFormatting sqref="Q59">
    <cfRule type="cellIs" dxfId="4453" priority="359" operator="equal">
      <formula>0</formula>
    </cfRule>
    <cfRule type="cellIs" dxfId="4452" priority="360" operator="notEqual">
      <formula>0</formula>
    </cfRule>
  </conditionalFormatting>
  <conditionalFormatting sqref="Q62">
    <cfRule type="cellIs" dxfId="4451" priority="357" operator="equal">
      <formula>0</formula>
    </cfRule>
    <cfRule type="cellIs" dxfId="4450" priority="358" operator="notEqual">
      <formula>0</formula>
    </cfRule>
  </conditionalFormatting>
  <conditionalFormatting sqref="R59">
    <cfRule type="cellIs" dxfId="4449" priority="355" operator="equal">
      <formula>0</formula>
    </cfRule>
    <cfRule type="cellIs" dxfId="4448" priority="356" operator="notEqual">
      <formula>0</formula>
    </cfRule>
  </conditionalFormatting>
  <conditionalFormatting sqref="R62">
    <cfRule type="cellIs" dxfId="4447" priority="353" operator="equal">
      <formula>0</formula>
    </cfRule>
    <cfRule type="cellIs" dxfId="4446" priority="354" operator="notEqual">
      <formula>0</formula>
    </cfRule>
  </conditionalFormatting>
  <conditionalFormatting sqref="C67:C68">
    <cfRule type="cellIs" dxfId="4445" priority="351" operator="equal">
      <formula>0</formula>
    </cfRule>
    <cfRule type="cellIs" dxfId="4444" priority="352" operator="notEqual">
      <formula>0</formula>
    </cfRule>
  </conditionalFormatting>
  <conditionalFormatting sqref="D67:D68">
    <cfRule type="cellIs" dxfId="4443" priority="349" operator="equal">
      <formula>0</formula>
    </cfRule>
    <cfRule type="cellIs" dxfId="4442" priority="350" operator="notEqual">
      <formula>0</formula>
    </cfRule>
  </conditionalFormatting>
  <conditionalFormatting sqref="E67:E68">
    <cfRule type="cellIs" dxfId="4441" priority="347" operator="equal">
      <formula>0</formula>
    </cfRule>
    <cfRule type="cellIs" dxfId="4440" priority="348" operator="notEqual">
      <formula>0</formula>
    </cfRule>
  </conditionalFormatting>
  <conditionalFormatting sqref="F67:F68">
    <cfRule type="cellIs" dxfId="4439" priority="345" operator="equal">
      <formula>0</formula>
    </cfRule>
    <cfRule type="cellIs" dxfId="4438" priority="346" operator="notEqual">
      <formula>0</formula>
    </cfRule>
  </conditionalFormatting>
  <conditionalFormatting sqref="G67:G68">
    <cfRule type="cellIs" dxfId="4437" priority="343" operator="equal">
      <formula>0</formula>
    </cfRule>
    <cfRule type="cellIs" dxfId="4436" priority="344" operator="notEqual">
      <formula>0</formula>
    </cfRule>
  </conditionalFormatting>
  <conditionalFormatting sqref="H67:H68">
    <cfRule type="cellIs" dxfId="4435" priority="341" operator="equal">
      <formula>0</formula>
    </cfRule>
    <cfRule type="cellIs" dxfId="4434" priority="342" operator="notEqual">
      <formula>0</formula>
    </cfRule>
  </conditionalFormatting>
  <conditionalFormatting sqref="I67:I68">
    <cfRule type="cellIs" dxfId="4433" priority="339" operator="equal">
      <formula>0</formula>
    </cfRule>
    <cfRule type="cellIs" dxfId="4432" priority="340" operator="notEqual">
      <formula>0</formula>
    </cfRule>
  </conditionalFormatting>
  <conditionalFormatting sqref="J67:J68">
    <cfRule type="cellIs" dxfId="4431" priority="337" operator="equal">
      <formula>0</formula>
    </cfRule>
    <cfRule type="cellIs" dxfId="4430" priority="338" operator="notEqual">
      <formula>0</formula>
    </cfRule>
  </conditionalFormatting>
  <conditionalFormatting sqref="O66">
    <cfRule type="cellIs" dxfId="4429" priority="335" operator="equal">
      <formula>0</formula>
    </cfRule>
    <cfRule type="cellIs" dxfId="4428" priority="336" operator="notEqual">
      <formula>0</formula>
    </cfRule>
  </conditionalFormatting>
  <conditionalFormatting sqref="O69">
    <cfRule type="cellIs" dxfId="4427" priority="333" operator="equal">
      <formula>0</formula>
    </cfRule>
    <cfRule type="cellIs" dxfId="4426" priority="334" operator="notEqual">
      <formula>0</formula>
    </cfRule>
  </conditionalFormatting>
  <conditionalFormatting sqref="P66">
    <cfRule type="cellIs" dxfId="4425" priority="331" operator="equal">
      <formula>0</formula>
    </cfRule>
    <cfRule type="cellIs" dxfId="4424" priority="332" operator="notEqual">
      <formula>0</formula>
    </cfRule>
  </conditionalFormatting>
  <conditionalFormatting sqref="P69">
    <cfRule type="cellIs" dxfId="4423" priority="329" operator="equal">
      <formula>0</formula>
    </cfRule>
    <cfRule type="cellIs" dxfId="4422" priority="330" operator="notEqual">
      <formula>0</formula>
    </cfRule>
  </conditionalFormatting>
  <conditionalFormatting sqref="Q66">
    <cfRule type="cellIs" dxfId="4421" priority="327" operator="equal">
      <formula>0</formula>
    </cfRule>
    <cfRule type="cellIs" dxfId="4420" priority="328" operator="notEqual">
      <formula>0</formula>
    </cfRule>
  </conditionalFormatting>
  <conditionalFormatting sqref="Q69">
    <cfRule type="cellIs" dxfId="4419" priority="325" operator="equal">
      <formula>0</formula>
    </cfRule>
    <cfRule type="cellIs" dxfId="4418" priority="326" operator="notEqual">
      <formula>0</formula>
    </cfRule>
  </conditionalFormatting>
  <conditionalFormatting sqref="R66">
    <cfRule type="cellIs" dxfId="4417" priority="323" operator="equal">
      <formula>0</formula>
    </cfRule>
    <cfRule type="cellIs" dxfId="4416" priority="324" operator="notEqual">
      <formula>0</formula>
    </cfRule>
  </conditionalFormatting>
  <conditionalFormatting sqref="R69">
    <cfRule type="cellIs" dxfId="4415" priority="321" operator="equal">
      <formula>0</formula>
    </cfRule>
    <cfRule type="cellIs" dxfId="4414" priority="322" operator="notEqual">
      <formula>0</formula>
    </cfRule>
  </conditionalFormatting>
  <conditionalFormatting sqref="C74:C75 C81:C82 C88:C89 C95:C96 C102:C103">
    <cfRule type="cellIs" dxfId="4413" priority="319" operator="equal">
      <formula>0</formula>
    </cfRule>
    <cfRule type="cellIs" dxfId="4412" priority="320" operator="notEqual">
      <formula>0</formula>
    </cfRule>
  </conditionalFormatting>
  <conditionalFormatting sqref="D74:D75 D81:D82 D88:D89 D95:D96 D102:D103">
    <cfRule type="cellIs" dxfId="4411" priority="317" operator="equal">
      <formula>0</formula>
    </cfRule>
    <cfRule type="cellIs" dxfId="4410" priority="318" operator="notEqual">
      <formula>0</formula>
    </cfRule>
  </conditionalFormatting>
  <conditionalFormatting sqref="E74:E75 E81:E82 E88:E89 E95:E96 E102:E103">
    <cfRule type="cellIs" dxfId="4409" priority="315" operator="equal">
      <formula>0</formula>
    </cfRule>
    <cfRule type="cellIs" dxfId="4408" priority="316" operator="notEqual">
      <formula>0</formula>
    </cfRule>
  </conditionalFormatting>
  <conditionalFormatting sqref="F74:F75 F81:F82 F88:F89 F95:F96 F102:F103">
    <cfRule type="cellIs" dxfId="4407" priority="313" operator="equal">
      <formula>0</formula>
    </cfRule>
    <cfRule type="cellIs" dxfId="4406" priority="314" operator="notEqual">
      <formula>0</formula>
    </cfRule>
  </conditionalFormatting>
  <conditionalFormatting sqref="G74:G75 G81:G82 G88:G89 G95:G96 G102:G103">
    <cfRule type="cellIs" dxfId="4405" priority="311" operator="equal">
      <formula>0</formula>
    </cfRule>
    <cfRule type="cellIs" dxfId="4404" priority="312" operator="notEqual">
      <formula>0</formula>
    </cfRule>
  </conditionalFormatting>
  <conditionalFormatting sqref="H74:H75 H81:H82 H88:H89 H95:H96 H102:H103">
    <cfRule type="cellIs" dxfId="4403" priority="309" operator="equal">
      <formula>0</formula>
    </cfRule>
    <cfRule type="cellIs" dxfId="4402" priority="310" operator="notEqual">
      <formula>0</formula>
    </cfRule>
  </conditionalFormatting>
  <conditionalFormatting sqref="I74:I75 I81:I82 I88:I89 I95:I96 I102:I103">
    <cfRule type="cellIs" dxfId="4401" priority="307" operator="equal">
      <formula>0</formula>
    </cfRule>
    <cfRule type="cellIs" dxfId="4400" priority="308" operator="notEqual">
      <formula>0</formula>
    </cfRule>
  </conditionalFormatting>
  <conditionalFormatting sqref="J74:J75 J81:J82 J88:J89 J95:J96 J102:J103">
    <cfRule type="cellIs" dxfId="4399" priority="305" operator="equal">
      <formula>0</formula>
    </cfRule>
    <cfRule type="cellIs" dxfId="4398" priority="306" operator="notEqual">
      <formula>0</formula>
    </cfRule>
  </conditionalFormatting>
  <conditionalFormatting sqref="O73 O80 O87 O94 O101">
    <cfRule type="cellIs" dxfId="4397" priority="303" operator="equal">
      <formula>0</formula>
    </cfRule>
    <cfRule type="cellIs" dxfId="4396" priority="304" operator="notEqual">
      <formula>0</formula>
    </cfRule>
  </conditionalFormatting>
  <conditionalFormatting sqref="O76 O83 O90 O97 O104">
    <cfRule type="cellIs" dxfId="4395" priority="301" operator="equal">
      <formula>0</formula>
    </cfRule>
    <cfRule type="cellIs" dxfId="4394" priority="302" operator="notEqual">
      <formula>0</formula>
    </cfRule>
  </conditionalFormatting>
  <conditionalFormatting sqref="P73 P80 P87 P94 P101">
    <cfRule type="cellIs" dxfId="4393" priority="299" operator="equal">
      <formula>0</formula>
    </cfRule>
    <cfRule type="cellIs" dxfId="4392" priority="300" operator="notEqual">
      <formula>0</formula>
    </cfRule>
  </conditionalFormatting>
  <conditionalFormatting sqref="P76 P83 P90 P97 P104">
    <cfRule type="cellIs" dxfId="4391" priority="297" operator="equal">
      <formula>0</formula>
    </cfRule>
    <cfRule type="cellIs" dxfId="4390" priority="298" operator="notEqual">
      <formula>0</formula>
    </cfRule>
  </conditionalFormatting>
  <conditionalFormatting sqref="Q73 Q80 Q87 Q94 Q101">
    <cfRule type="cellIs" dxfId="4389" priority="295" operator="equal">
      <formula>0</formula>
    </cfRule>
    <cfRule type="cellIs" dxfId="4388" priority="296" operator="notEqual">
      <formula>0</formula>
    </cfRule>
  </conditionalFormatting>
  <conditionalFormatting sqref="Q76 Q83 Q90 Q97 Q104">
    <cfRule type="cellIs" dxfId="4387" priority="293" operator="equal">
      <formula>0</formula>
    </cfRule>
    <cfRule type="cellIs" dxfId="4386" priority="294" operator="notEqual">
      <formula>0</formula>
    </cfRule>
  </conditionalFormatting>
  <conditionalFormatting sqref="R73 R80 R87 R94 R101">
    <cfRule type="cellIs" dxfId="4385" priority="291" operator="equal">
      <formula>0</formula>
    </cfRule>
    <cfRule type="cellIs" dxfId="4384" priority="292" operator="notEqual">
      <formula>0</formula>
    </cfRule>
  </conditionalFormatting>
  <conditionalFormatting sqref="R76 R83 R90 R97 R104">
    <cfRule type="cellIs" dxfId="4383" priority="289" operator="equal">
      <formula>0</formula>
    </cfRule>
    <cfRule type="cellIs" dxfId="4382" priority="290" operator="notEqual">
      <formula>0</formula>
    </cfRule>
  </conditionalFormatting>
  <conditionalFormatting sqref="U67:U68 U74:U75 U81:U82 U88:U89 U95:U96 U102:U103">
    <cfRule type="cellIs" dxfId="4381" priority="287" operator="equal">
      <formula>0</formula>
    </cfRule>
    <cfRule type="cellIs" dxfId="4380" priority="288" operator="notEqual">
      <formula>0</formula>
    </cfRule>
  </conditionalFormatting>
  <conditionalFormatting sqref="V67:V68 V74:V75 V81:V82 V88:V89 V95:V96 V102:V103">
    <cfRule type="cellIs" dxfId="4379" priority="285" operator="equal">
      <formula>0</formula>
    </cfRule>
    <cfRule type="cellIs" dxfId="4378" priority="286" operator="notEqual">
      <formula>0</formula>
    </cfRule>
  </conditionalFormatting>
  <conditionalFormatting sqref="W67:W68 W74:W75 W81:W82 W88:W89 W95:W96 W102:W103">
    <cfRule type="cellIs" dxfId="4377" priority="283" operator="equal">
      <formula>0</formula>
    </cfRule>
    <cfRule type="cellIs" dxfId="4376" priority="284" operator="notEqual">
      <formula>0</formula>
    </cfRule>
  </conditionalFormatting>
  <conditionalFormatting sqref="X67:X68 X74:X75 X81:X82 X88:X89 X95:X96 X102:X103">
    <cfRule type="cellIs" dxfId="4375" priority="281" operator="equal">
      <formula>0</formula>
    </cfRule>
    <cfRule type="cellIs" dxfId="4374" priority="282" operator="notEqual">
      <formula>0</formula>
    </cfRule>
  </conditionalFormatting>
  <conditionalFormatting sqref="Y67:Y68 Y74:Y75 Y81:Y82 Y88:Y89 Y95:Y96 Y102:Y103">
    <cfRule type="cellIs" dxfId="4373" priority="279" operator="equal">
      <formula>0</formula>
    </cfRule>
    <cfRule type="cellIs" dxfId="4372" priority="280" operator="notEqual">
      <formula>0</formula>
    </cfRule>
  </conditionalFormatting>
  <conditionalFormatting sqref="Z67:Z68 Z74:Z75 Z81:Z82 Z88:Z89 Z95:Z96 Z102:Z103">
    <cfRule type="cellIs" dxfId="4371" priority="277" operator="equal">
      <formula>0</formula>
    </cfRule>
    <cfRule type="cellIs" dxfId="4370" priority="278" operator="notEqual">
      <formula>0</formula>
    </cfRule>
  </conditionalFormatting>
  <conditionalFormatting sqref="AA67:AA68 AA74:AA75 AA81:AA82 AA88:AA89 AA95:AA96 AA102:AA103">
    <cfRule type="cellIs" dxfId="4369" priority="275" operator="equal">
      <formula>0</formula>
    </cfRule>
    <cfRule type="cellIs" dxfId="4368" priority="276" operator="notEqual">
      <formula>0</formula>
    </cfRule>
  </conditionalFormatting>
  <conditionalFormatting sqref="AB67:AB68 AB74:AB75 AB81:AB82 AB88:AB89 AB95:AB96 AB102:AB103">
    <cfRule type="cellIs" dxfId="4367" priority="273" operator="equal">
      <formula>0</formula>
    </cfRule>
    <cfRule type="cellIs" dxfId="4366" priority="274" operator="notEqual">
      <formula>0</formula>
    </cfRule>
  </conditionalFormatting>
  <conditionalFormatting sqref="AG66 AG73 AG80 AG87 AG94 AG101">
    <cfRule type="cellIs" dxfId="4365" priority="271" operator="equal">
      <formula>0</formula>
    </cfRule>
    <cfRule type="cellIs" dxfId="4364" priority="272" operator="notEqual">
      <formula>0</formula>
    </cfRule>
  </conditionalFormatting>
  <conditionalFormatting sqref="AG69 AG76 AG83 AG90 AG97 AG104">
    <cfRule type="cellIs" dxfId="4363" priority="269" operator="equal">
      <formula>0</formula>
    </cfRule>
    <cfRule type="cellIs" dxfId="4362" priority="270" operator="notEqual">
      <formula>0</formula>
    </cfRule>
  </conditionalFormatting>
  <conditionalFormatting sqref="AH66 AH73 AH80 AH87 AH94 AH101">
    <cfRule type="cellIs" dxfId="4361" priority="267" operator="equal">
      <formula>0</formula>
    </cfRule>
    <cfRule type="cellIs" dxfId="4360" priority="268" operator="notEqual">
      <formula>0</formula>
    </cfRule>
  </conditionalFormatting>
  <conditionalFormatting sqref="AH69 AH76 AH83 AH90 AH97 AH104">
    <cfRule type="cellIs" dxfId="4359" priority="265" operator="equal">
      <formula>0</formula>
    </cfRule>
    <cfRule type="cellIs" dxfId="4358" priority="266" operator="notEqual">
      <formula>0</formula>
    </cfRule>
  </conditionalFormatting>
  <conditionalFormatting sqref="AI66 AI73 AI80 AI87 AI94 AI101">
    <cfRule type="cellIs" dxfId="4357" priority="263" operator="equal">
      <formula>0</formula>
    </cfRule>
    <cfRule type="cellIs" dxfId="4356" priority="264" operator="notEqual">
      <formula>0</formula>
    </cfRule>
  </conditionalFormatting>
  <conditionalFormatting sqref="AI69 AI76 AI83 AI90 AI97 AI104">
    <cfRule type="cellIs" dxfId="4355" priority="261" operator="equal">
      <formula>0</formula>
    </cfRule>
    <cfRule type="cellIs" dxfId="4354" priority="262" operator="notEqual">
      <formula>0</formula>
    </cfRule>
  </conditionalFormatting>
  <conditionalFormatting sqref="AJ66 AJ73 AJ80 AJ87 AJ94 AJ101">
    <cfRule type="cellIs" dxfId="4353" priority="259" operator="equal">
      <formula>0</formula>
    </cfRule>
    <cfRule type="cellIs" dxfId="4352" priority="260" operator="notEqual">
      <formula>0</formula>
    </cfRule>
  </conditionalFormatting>
  <conditionalFormatting sqref="AJ69 AJ76 AJ83 AJ90 AJ97 AJ104">
    <cfRule type="cellIs" dxfId="4351" priority="257" operator="equal">
      <formula>0</formula>
    </cfRule>
    <cfRule type="cellIs" dxfId="4350" priority="258" operator="notEqual">
      <formula>0</formula>
    </cfRule>
  </conditionalFormatting>
  <conditionalFormatting sqref="U60:U61">
    <cfRule type="cellIs" dxfId="4349" priority="255" operator="equal">
      <formula>0</formula>
    </cfRule>
    <cfRule type="cellIs" dxfId="4348" priority="256" operator="notEqual">
      <formula>0</formula>
    </cfRule>
  </conditionalFormatting>
  <conditionalFormatting sqref="V60:V61">
    <cfRule type="cellIs" dxfId="4347" priority="253" operator="equal">
      <formula>0</formula>
    </cfRule>
    <cfRule type="cellIs" dxfId="4346" priority="254" operator="notEqual">
      <formula>0</formula>
    </cfRule>
  </conditionalFormatting>
  <conditionalFormatting sqref="W60:W61">
    <cfRule type="cellIs" dxfId="4345" priority="251" operator="equal">
      <formula>0</formula>
    </cfRule>
    <cfRule type="cellIs" dxfId="4344" priority="252" operator="notEqual">
      <formula>0</formula>
    </cfRule>
  </conditionalFormatting>
  <conditionalFormatting sqref="X60:X61">
    <cfRule type="cellIs" dxfId="4343" priority="249" operator="equal">
      <formula>0</formula>
    </cfRule>
    <cfRule type="cellIs" dxfId="4342" priority="250" operator="notEqual">
      <formula>0</formula>
    </cfRule>
  </conditionalFormatting>
  <conditionalFormatting sqref="Y60:Y61">
    <cfRule type="cellIs" dxfId="4341" priority="247" operator="equal">
      <formula>0</formula>
    </cfRule>
    <cfRule type="cellIs" dxfId="4340" priority="248" operator="notEqual">
      <formula>0</formula>
    </cfRule>
  </conditionalFormatting>
  <conditionalFormatting sqref="Z60:Z61">
    <cfRule type="cellIs" dxfId="4339" priority="245" operator="equal">
      <formula>0</formula>
    </cfRule>
    <cfRule type="cellIs" dxfId="4338" priority="246" operator="notEqual">
      <formula>0</formula>
    </cfRule>
  </conditionalFormatting>
  <conditionalFormatting sqref="AA60:AA61">
    <cfRule type="cellIs" dxfId="4337" priority="243" operator="equal">
      <formula>0</formula>
    </cfRule>
    <cfRule type="cellIs" dxfId="4336" priority="244" operator="notEqual">
      <formula>0</formula>
    </cfRule>
  </conditionalFormatting>
  <conditionalFormatting sqref="AB60:AB61">
    <cfRule type="cellIs" dxfId="4335" priority="241" operator="equal">
      <formula>0</formula>
    </cfRule>
    <cfRule type="cellIs" dxfId="4334" priority="242" operator="notEqual">
      <formula>0</formula>
    </cfRule>
  </conditionalFormatting>
  <conditionalFormatting sqref="AG59">
    <cfRule type="cellIs" dxfId="4333" priority="239" operator="equal">
      <formula>0</formula>
    </cfRule>
    <cfRule type="cellIs" dxfId="4332" priority="240" operator="notEqual">
      <formula>0</formula>
    </cfRule>
  </conditionalFormatting>
  <conditionalFormatting sqref="AG62">
    <cfRule type="cellIs" dxfId="4331" priority="237" operator="equal">
      <formula>0</formula>
    </cfRule>
    <cfRule type="cellIs" dxfId="4330" priority="238" operator="notEqual">
      <formula>0</formula>
    </cfRule>
  </conditionalFormatting>
  <conditionalFormatting sqref="AH59">
    <cfRule type="cellIs" dxfId="4329" priority="235" operator="equal">
      <formula>0</formula>
    </cfRule>
    <cfRule type="cellIs" dxfId="4328" priority="236" operator="notEqual">
      <formula>0</formula>
    </cfRule>
  </conditionalFormatting>
  <conditionalFormatting sqref="AH62">
    <cfRule type="cellIs" dxfId="4327" priority="233" operator="equal">
      <formula>0</formula>
    </cfRule>
    <cfRule type="cellIs" dxfId="4326" priority="234" operator="notEqual">
      <formula>0</formula>
    </cfRule>
  </conditionalFormatting>
  <conditionalFormatting sqref="AI59">
    <cfRule type="cellIs" dxfId="4325" priority="231" operator="equal">
      <formula>0</formula>
    </cfRule>
    <cfRule type="cellIs" dxfId="4324" priority="232" operator="notEqual">
      <formula>0</formula>
    </cfRule>
  </conditionalFormatting>
  <conditionalFormatting sqref="AI62">
    <cfRule type="cellIs" dxfId="4323" priority="229" operator="equal">
      <formula>0</formula>
    </cfRule>
    <cfRule type="cellIs" dxfId="4322" priority="230" operator="notEqual">
      <formula>0</formula>
    </cfRule>
  </conditionalFormatting>
  <conditionalFormatting sqref="AJ59">
    <cfRule type="cellIs" dxfId="4321" priority="227" operator="equal">
      <formula>0</formula>
    </cfRule>
    <cfRule type="cellIs" dxfId="4320" priority="228" operator="notEqual">
      <formula>0</formula>
    </cfRule>
  </conditionalFormatting>
  <conditionalFormatting sqref="AJ62">
    <cfRule type="cellIs" dxfId="4319" priority="225" operator="equal">
      <formula>0</formula>
    </cfRule>
    <cfRule type="cellIs" dxfId="4318" priority="226" operator="notEqual">
      <formula>0</formula>
    </cfRule>
  </conditionalFormatting>
  <conditionalFormatting sqref="U53:U54">
    <cfRule type="cellIs" dxfId="4317" priority="223" operator="equal">
      <formula>0</formula>
    </cfRule>
    <cfRule type="cellIs" dxfId="4316" priority="224" operator="notEqual">
      <formula>0</formula>
    </cfRule>
  </conditionalFormatting>
  <conditionalFormatting sqref="V53:V54">
    <cfRule type="cellIs" dxfId="4315" priority="221" operator="equal">
      <formula>0</formula>
    </cfRule>
    <cfRule type="cellIs" dxfId="4314" priority="222" operator="notEqual">
      <formula>0</formula>
    </cfRule>
  </conditionalFormatting>
  <conditionalFormatting sqref="W53:W54">
    <cfRule type="cellIs" dxfId="4313" priority="219" operator="equal">
      <formula>0</formula>
    </cfRule>
    <cfRule type="cellIs" dxfId="4312" priority="220" operator="notEqual">
      <formula>0</formula>
    </cfRule>
  </conditionalFormatting>
  <conditionalFormatting sqref="X53:X54">
    <cfRule type="cellIs" dxfId="4311" priority="217" operator="equal">
      <formula>0</formula>
    </cfRule>
    <cfRule type="cellIs" dxfId="4310" priority="218" operator="notEqual">
      <formula>0</formula>
    </cfRule>
  </conditionalFormatting>
  <conditionalFormatting sqref="Y53:Y54">
    <cfRule type="cellIs" dxfId="4309" priority="215" operator="equal">
      <formula>0</formula>
    </cfRule>
    <cfRule type="cellIs" dxfId="4308" priority="216" operator="notEqual">
      <formula>0</formula>
    </cfRule>
  </conditionalFormatting>
  <conditionalFormatting sqref="Z53:Z54">
    <cfRule type="cellIs" dxfId="4307" priority="213" operator="equal">
      <formula>0</formula>
    </cfRule>
    <cfRule type="cellIs" dxfId="4306" priority="214" operator="notEqual">
      <formula>0</formula>
    </cfRule>
  </conditionalFormatting>
  <conditionalFormatting sqref="AA53:AA54">
    <cfRule type="cellIs" dxfId="4305" priority="211" operator="equal">
      <formula>0</formula>
    </cfRule>
    <cfRule type="cellIs" dxfId="4304" priority="212" operator="notEqual">
      <formula>0</formula>
    </cfRule>
  </conditionalFormatting>
  <conditionalFormatting sqref="AB53:AB54">
    <cfRule type="cellIs" dxfId="4303" priority="209" operator="equal">
      <formula>0</formula>
    </cfRule>
    <cfRule type="cellIs" dxfId="4302" priority="210" operator="notEqual">
      <formula>0</formula>
    </cfRule>
  </conditionalFormatting>
  <conditionalFormatting sqref="AG52">
    <cfRule type="cellIs" dxfId="4301" priority="207" operator="equal">
      <formula>0</formula>
    </cfRule>
    <cfRule type="cellIs" dxfId="4300" priority="208" operator="notEqual">
      <formula>0</formula>
    </cfRule>
  </conditionalFormatting>
  <conditionalFormatting sqref="AG55">
    <cfRule type="cellIs" dxfId="4299" priority="205" operator="equal">
      <formula>0</formula>
    </cfRule>
    <cfRule type="cellIs" dxfId="4298" priority="206" operator="notEqual">
      <formula>0</formula>
    </cfRule>
  </conditionalFormatting>
  <conditionalFormatting sqref="AH52">
    <cfRule type="cellIs" dxfId="4297" priority="203" operator="equal">
      <formula>0</formula>
    </cfRule>
    <cfRule type="cellIs" dxfId="4296" priority="204" operator="notEqual">
      <formula>0</formula>
    </cfRule>
  </conditionalFormatting>
  <conditionalFormatting sqref="AH55">
    <cfRule type="cellIs" dxfId="4295" priority="201" operator="equal">
      <formula>0</formula>
    </cfRule>
    <cfRule type="cellIs" dxfId="4294" priority="202" operator="notEqual">
      <formula>0</formula>
    </cfRule>
  </conditionalFormatting>
  <conditionalFormatting sqref="AI52">
    <cfRule type="cellIs" dxfId="4293" priority="199" operator="equal">
      <formula>0</formula>
    </cfRule>
    <cfRule type="cellIs" dxfId="4292" priority="200" operator="notEqual">
      <formula>0</formula>
    </cfRule>
  </conditionalFormatting>
  <conditionalFormatting sqref="AI55">
    <cfRule type="cellIs" dxfId="4291" priority="197" operator="equal">
      <formula>0</formula>
    </cfRule>
    <cfRule type="cellIs" dxfId="4290" priority="198" operator="notEqual">
      <formula>0</formula>
    </cfRule>
  </conditionalFormatting>
  <conditionalFormatting sqref="AJ52">
    <cfRule type="cellIs" dxfId="4289" priority="195" operator="equal">
      <formula>0</formula>
    </cfRule>
    <cfRule type="cellIs" dxfId="4288" priority="196" operator="notEqual">
      <formula>0</formula>
    </cfRule>
  </conditionalFormatting>
  <conditionalFormatting sqref="AJ55">
    <cfRule type="cellIs" dxfId="4287" priority="193" operator="equal">
      <formula>0</formula>
    </cfRule>
    <cfRule type="cellIs" dxfId="4286" priority="194" operator="notEqual">
      <formula>0</formula>
    </cfRule>
  </conditionalFormatting>
  <conditionalFormatting sqref="U46:U47">
    <cfRule type="cellIs" dxfId="4285" priority="191" operator="equal">
      <formula>0</formula>
    </cfRule>
    <cfRule type="cellIs" dxfId="4284" priority="192" operator="notEqual">
      <formula>0</formula>
    </cfRule>
  </conditionalFormatting>
  <conditionalFormatting sqref="V46:V47">
    <cfRule type="cellIs" dxfId="4283" priority="189" operator="equal">
      <formula>0</formula>
    </cfRule>
    <cfRule type="cellIs" dxfId="4282" priority="190" operator="notEqual">
      <formula>0</formula>
    </cfRule>
  </conditionalFormatting>
  <conditionalFormatting sqref="W46:W47">
    <cfRule type="cellIs" dxfId="4281" priority="187" operator="equal">
      <formula>0</formula>
    </cfRule>
    <cfRule type="cellIs" dxfId="4280" priority="188" operator="notEqual">
      <formula>0</formula>
    </cfRule>
  </conditionalFormatting>
  <conditionalFormatting sqref="X46:X47">
    <cfRule type="cellIs" dxfId="4279" priority="185" operator="equal">
      <formula>0</formula>
    </cfRule>
    <cfRule type="cellIs" dxfId="4278" priority="186" operator="notEqual">
      <formula>0</formula>
    </cfRule>
  </conditionalFormatting>
  <conditionalFormatting sqref="Y46:Y47">
    <cfRule type="cellIs" dxfId="4277" priority="183" operator="equal">
      <formula>0</formula>
    </cfRule>
    <cfRule type="cellIs" dxfId="4276" priority="184" operator="notEqual">
      <formula>0</formula>
    </cfRule>
  </conditionalFormatting>
  <conditionalFormatting sqref="Z46:Z47">
    <cfRule type="cellIs" dxfId="4275" priority="181" operator="equal">
      <formula>0</formula>
    </cfRule>
    <cfRule type="cellIs" dxfId="4274" priority="182" operator="notEqual">
      <formula>0</formula>
    </cfRule>
  </conditionalFormatting>
  <conditionalFormatting sqref="AA46:AA47">
    <cfRule type="cellIs" dxfId="4273" priority="179" operator="equal">
      <formula>0</formula>
    </cfRule>
    <cfRule type="cellIs" dxfId="4272" priority="180" operator="notEqual">
      <formula>0</formula>
    </cfRule>
  </conditionalFormatting>
  <conditionalFormatting sqref="AB46:AB47">
    <cfRule type="cellIs" dxfId="4271" priority="177" operator="equal">
      <formula>0</formula>
    </cfRule>
    <cfRule type="cellIs" dxfId="4270" priority="178" operator="notEqual">
      <formula>0</formula>
    </cfRule>
  </conditionalFormatting>
  <conditionalFormatting sqref="AG45">
    <cfRule type="cellIs" dxfId="4269" priority="175" operator="equal">
      <formula>0</formula>
    </cfRule>
    <cfRule type="cellIs" dxfId="4268" priority="176" operator="notEqual">
      <formula>0</formula>
    </cfRule>
  </conditionalFormatting>
  <conditionalFormatting sqref="AG48">
    <cfRule type="cellIs" dxfId="4267" priority="173" operator="equal">
      <formula>0</formula>
    </cfRule>
    <cfRule type="cellIs" dxfId="4266" priority="174" operator="notEqual">
      <formula>0</formula>
    </cfRule>
  </conditionalFormatting>
  <conditionalFormatting sqref="AH45">
    <cfRule type="cellIs" dxfId="4265" priority="171" operator="equal">
      <formula>0</formula>
    </cfRule>
    <cfRule type="cellIs" dxfId="4264" priority="172" operator="notEqual">
      <formula>0</formula>
    </cfRule>
  </conditionalFormatting>
  <conditionalFormatting sqref="AH48">
    <cfRule type="cellIs" dxfId="4263" priority="169" operator="equal">
      <formula>0</formula>
    </cfRule>
    <cfRule type="cellIs" dxfId="4262" priority="170" operator="notEqual">
      <formula>0</formula>
    </cfRule>
  </conditionalFormatting>
  <conditionalFormatting sqref="AI45">
    <cfRule type="cellIs" dxfId="4261" priority="167" operator="equal">
      <formula>0</formula>
    </cfRule>
    <cfRule type="cellIs" dxfId="4260" priority="168" operator="notEqual">
      <formula>0</formula>
    </cfRule>
  </conditionalFormatting>
  <conditionalFormatting sqref="AI48">
    <cfRule type="cellIs" dxfId="4259" priority="165" operator="equal">
      <formula>0</formula>
    </cfRule>
    <cfRule type="cellIs" dxfId="4258" priority="166" operator="notEqual">
      <formula>0</formula>
    </cfRule>
  </conditionalFormatting>
  <conditionalFormatting sqref="AJ45">
    <cfRule type="cellIs" dxfId="4257" priority="163" operator="equal">
      <formula>0</formula>
    </cfRule>
    <cfRule type="cellIs" dxfId="4256" priority="164" operator="notEqual">
      <formula>0</formula>
    </cfRule>
  </conditionalFormatting>
  <conditionalFormatting sqref="AJ48">
    <cfRule type="cellIs" dxfId="4255" priority="161" operator="equal">
      <formula>0</formula>
    </cfRule>
    <cfRule type="cellIs" dxfId="4254" priority="162" operator="notEqual">
      <formula>0</formula>
    </cfRule>
  </conditionalFormatting>
  <conditionalFormatting sqref="U39:U40">
    <cfRule type="cellIs" dxfId="4253" priority="159" operator="equal">
      <formula>0</formula>
    </cfRule>
    <cfRule type="cellIs" dxfId="4252" priority="160" operator="notEqual">
      <formula>0</formula>
    </cfRule>
  </conditionalFormatting>
  <conditionalFormatting sqref="V39:V40">
    <cfRule type="cellIs" dxfId="4251" priority="157" operator="equal">
      <formula>0</formula>
    </cfRule>
    <cfRule type="cellIs" dxfId="4250" priority="158" operator="notEqual">
      <formula>0</formula>
    </cfRule>
  </conditionalFormatting>
  <conditionalFormatting sqref="W39:W40">
    <cfRule type="cellIs" dxfId="4249" priority="155" operator="equal">
      <formula>0</formula>
    </cfRule>
    <cfRule type="cellIs" dxfId="4248" priority="156" operator="notEqual">
      <formula>0</formula>
    </cfRule>
  </conditionalFormatting>
  <conditionalFormatting sqref="X39:X40">
    <cfRule type="cellIs" dxfId="4247" priority="153" operator="equal">
      <formula>0</formula>
    </cfRule>
    <cfRule type="cellIs" dxfId="4246" priority="154" operator="notEqual">
      <formula>0</formula>
    </cfRule>
  </conditionalFormatting>
  <conditionalFormatting sqref="Y39:Y40">
    <cfRule type="cellIs" dxfId="4245" priority="151" operator="equal">
      <formula>0</formula>
    </cfRule>
    <cfRule type="cellIs" dxfId="4244" priority="152" operator="notEqual">
      <formula>0</formula>
    </cfRule>
  </conditionalFormatting>
  <conditionalFormatting sqref="Z39:Z40">
    <cfRule type="cellIs" dxfId="4243" priority="149" operator="equal">
      <formula>0</formula>
    </cfRule>
    <cfRule type="cellIs" dxfId="4242" priority="150" operator="notEqual">
      <formula>0</formula>
    </cfRule>
  </conditionalFormatting>
  <conditionalFormatting sqref="AA39:AA40">
    <cfRule type="cellIs" dxfId="4241" priority="147" operator="equal">
      <formula>0</formula>
    </cfRule>
    <cfRule type="cellIs" dxfId="4240" priority="148" operator="notEqual">
      <formula>0</formula>
    </cfRule>
  </conditionalFormatting>
  <conditionalFormatting sqref="AB39:AB40">
    <cfRule type="cellIs" dxfId="4239" priority="145" operator="equal">
      <formula>0</formula>
    </cfRule>
    <cfRule type="cellIs" dxfId="4238" priority="146" operator="notEqual">
      <formula>0</formula>
    </cfRule>
  </conditionalFormatting>
  <conditionalFormatting sqref="AG38">
    <cfRule type="cellIs" dxfId="4237" priority="143" operator="equal">
      <formula>0</formula>
    </cfRule>
    <cfRule type="cellIs" dxfId="4236" priority="144" operator="notEqual">
      <formula>0</formula>
    </cfRule>
  </conditionalFormatting>
  <conditionalFormatting sqref="AG41">
    <cfRule type="cellIs" dxfId="4235" priority="141" operator="equal">
      <formula>0</formula>
    </cfRule>
    <cfRule type="cellIs" dxfId="4234" priority="142" operator="notEqual">
      <formula>0</formula>
    </cfRule>
  </conditionalFormatting>
  <conditionalFormatting sqref="AH38">
    <cfRule type="cellIs" dxfId="4233" priority="139" operator="equal">
      <formula>0</formula>
    </cfRule>
    <cfRule type="cellIs" dxfId="4232" priority="140" operator="notEqual">
      <formula>0</formula>
    </cfRule>
  </conditionalFormatting>
  <conditionalFormatting sqref="AH41">
    <cfRule type="cellIs" dxfId="4231" priority="137" operator="equal">
      <formula>0</formula>
    </cfRule>
    <cfRule type="cellIs" dxfId="4230" priority="138" operator="notEqual">
      <formula>0</formula>
    </cfRule>
  </conditionalFormatting>
  <conditionalFormatting sqref="AI38">
    <cfRule type="cellIs" dxfId="4229" priority="135" operator="equal">
      <formula>0</formula>
    </cfRule>
    <cfRule type="cellIs" dxfId="4228" priority="136" operator="notEqual">
      <formula>0</formula>
    </cfRule>
  </conditionalFormatting>
  <conditionalFormatting sqref="AI41">
    <cfRule type="cellIs" dxfId="4227" priority="133" operator="equal">
      <formula>0</formula>
    </cfRule>
    <cfRule type="cellIs" dxfId="4226" priority="134" operator="notEqual">
      <formula>0</formula>
    </cfRule>
  </conditionalFormatting>
  <conditionalFormatting sqref="AJ38">
    <cfRule type="cellIs" dxfId="4225" priority="131" operator="equal">
      <formula>0</formula>
    </cfRule>
    <cfRule type="cellIs" dxfId="4224" priority="132" operator="notEqual">
      <formula>0</formula>
    </cfRule>
  </conditionalFormatting>
  <conditionalFormatting sqref="AJ41">
    <cfRule type="cellIs" dxfId="4223" priority="129" operator="equal">
      <formula>0</formula>
    </cfRule>
    <cfRule type="cellIs" dxfId="4222" priority="130" operator="notEqual">
      <formula>0</formula>
    </cfRule>
  </conditionalFormatting>
  <conditionalFormatting sqref="U32:U33">
    <cfRule type="cellIs" dxfId="4221" priority="127" operator="equal">
      <formula>0</formula>
    </cfRule>
    <cfRule type="cellIs" dxfId="4220" priority="128" operator="notEqual">
      <formula>0</formula>
    </cfRule>
  </conditionalFormatting>
  <conditionalFormatting sqref="V32:V33">
    <cfRule type="cellIs" dxfId="4219" priority="125" operator="equal">
      <formula>0</formula>
    </cfRule>
    <cfRule type="cellIs" dxfId="4218" priority="126" operator="notEqual">
      <formula>0</formula>
    </cfRule>
  </conditionalFormatting>
  <conditionalFormatting sqref="W32:W33">
    <cfRule type="cellIs" dxfId="4217" priority="123" operator="equal">
      <formula>0</formula>
    </cfRule>
    <cfRule type="cellIs" dxfId="4216" priority="124" operator="notEqual">
      <formula>0</formula>
    </cfRule>
  </conditionalFormatting>
  <conditionalFormatting sqref="X32:X33">
    <cfRule type="cellIs" dxfId="4215" priority="121" operator="equal">
      <formula>0</formula>
    </cfRule>
    <cfRule type="cellIs" dxfId="4214" priority="122" operator="notEqual">
      <formula>0</formula>
    </cfRule>
  </conditionalFormatting>
  <conditionalFormatting sqref="Y32:Y33">
    <cfRule type="cellIs" dxfId="4213" priority="119" operator="equal">
      <formula>0</formula>
    </cfRule>
    <cfRule type="cellIs" dxfId="4212" priority="120" operator="notEqual">
      <formula>0</formula>
    </cfRule>
  </conditionalFormatting>
  <conditionalFormatting sqref="Z32:Z33">
    <cfRule type="cellIs" dxfId="4211" priority="117" operator="equal">
      <formula>0</formula>
    </cfRule>
    <cfRule type="cellIs" dxfId="4210" priority="118" operator="notEqual">
      <formula>0</formula>
    </cfRule>
  </conditionalFormatting>
  <conditionalFormatting sqref="AA32:AA33">
    <cfRule type="cellIs" dxfId="4209" priority="115" operator="equal">
      <formula>0</formula>
    </cfRule>
    <cfRule type="cellIs" dxfId="4208" priority="116" operator="notEqual">
      <formula>0</formula>
    </cfRule>
  </conditionalFormatting>
  <conditionalFormatting sqref="AB32:AB33">
    <cfRule type="cellIs" dxfId="4207" priority="113" operator="equal">
      <formula>0</formula>
    </cfRule>
    <cfRule type="cellIs" dxfId="4206" priority="114" operator="notEqual">
      <formula>0</formula>
    </cfRule>
  </conditionalFormatting>
  <conditionalFormatting sqref="AG31">
    <cfRule type="cellIs" dxfId="4205" priority="111" operator="equal">
      <formula>0</formula>
    </cfRule>
    <cfRule type="cellIs" dxfId="4204" priority="112" operator="notEqual">
      <formula>0</formula>
    </cfRule>
  </conditionalFormatting>
  <conditionalFormatting sqref="AG34">
    <cfRule type="cellIs" dxfId="4203" priority="109" operator="equal">
      <formula>0</formula>
    </cfRule>
    <cfRule type="cellIs" dxfId="4202" priority="110" operator="notEqual">
      <formula>0</formula>
    </cfRule>
  </conditionalFormatting>
  <conditionalFormatting sqref="AH31">
    <cfRule type="cellIs" dxfId="4201" priority="107" operator="equal">
      <formula>0</formula>
    </cfRule>
    <cfRule type="cellIs" dxfId="4200" priority="108" operator="notEqual">
      <formula>0</formula>
    </cfRule>
  </conditionalFormatting>
  <conditionalFormatting sqref="AH34">
    <cfRule type="cellIs" dxfId="4199" priority="105" operator="equal">
      <formula>0</formula>
    </cfRule>
    <cfRule type="cellIs" dxfId="4198" priority="106" operator="notEqual">
      <formula>0</formula>
    </cfRule>
  </conditionalFormatting>
  <conditionalFormatting sqref="AI31">
    <cfRule type="cellIs" dxfId="4197" priority="103" operator="equal">
      <formula>0</formula>
    </cfRule>
    <cfRule type="cellIs" dxfId="4196" priority="104" operator="notEqual">
      <formula>0</formula>
    </cfRule>
  </conditionalFormatting>
  <conditionalFormatting sqref="AI34">
    <cfRule type="cellIs" dxfId="4195" priority="101" operator="equal">
      <formula>0</formula>
    </cfRule>
    <cfRule type="cellIs" dxfId="4194" priority="102" operator="notEqual">
      <formula>0</formula>
    </cfRule>
  </conditionalFormatting>
  <conditionalFormatting sqref="AJ31">
    <cfRule type="cellIs" dxfId="4193" priority="99" operator="equal">
      <formula>0</formula>
    </cfRule>
    <cfRule type="cellIs" dxfId="4192" priority="100" operator="notEqual">
      <formula>0</formula>
    </cfRule>
  </conditionalFormatting>
  <conditionalFormatting sqref="AJ34">
    <cfRule type="cellIs" dxfId="4191" priority="97" operator="equal">
      <formula>0</formula>
    </cfRule>
    <cfRule type="cellIs" dxfId="4190" priority="98" operator="notEqual">
      <formula>0</formula>
    </cfRule>
  </conditionalFormatting>
  <conditionalFormatting sqref="U25:U26">
    <cfRule type="cellIs" dxfId="4189" priority="95" operator="equal">
      <formula>0</formula>
    </cfRule>
    <cfRule type="cellIs" dxfId="4188" priority="96" operator="notEqual">
      <formula>0</formula>
    </cfRule>
  </conditionalFormatting>
  <conditionalFormatting sqref="V25:V26">
    <cfRule type="cellIs" dxfId="4187" priority="93" operator="equal">
      <formula>0</formula>
    </cfRule>
    <cfRule type="cellIs" dxfId="4186" priority="94" operator="notEqual">
      <formula>0</formula>
    </cfRule>
  </conditionalFormatting>
  <conditionalFormatting sqref="W25:W26">
    <cfRule type="cellIs" dxfId="4185" priority="91" operator="equal">
      <formula>0</formula>
    </cfRule>
    <cfRule type="cellIs" dxfId="4184" priority="92" operator="notEqual">
      <formula>0</formula>
    </cfRule>
  </conditionalFormatting>
  <conditionalFormatting sqref="X25:X26">
    <cfRule type="cellIs" dxfId="4183" priority="89" operator="equal">
      <formula>0</formula>
    </cfRule>
    <cfRule type="cellIs" dxfId="4182" priority="90" operator="notEqual">
      <formula>0</formula>
    </cfRule>
  </conditionalFormatting>
  <conditionalFormatting sqref="Y25:Y26">
    <cfRule type="cellIs" dxfId="4181" priority="87" operator="equal">
      <formula>0</formula>
    </cfRule>
    <cfRule type="cellIs" dxfId="4180" priority="88" operator="notEqual">
      <formula>0</formula>
    </cfRule>
  </conditionalFormatting>
  <conditionalFormatting sqref="Z25:Z26">
    <cfRule type="cellIs" dxfId="4179" priority="85" operator="equal">
      <formula>0</formula>
    </cfRule>
    <cfRule type="cellIs" dxfId="4178" priority="86" operator="notEqual">
      <formula>0</formula>
    </cfRule>
  </conditionalFormatting>
  <conditionalFormatting sqref="AA25:AA26">
    <cfRule type="cellIs" dxfId="4177" priority="83" operator="equal">
      <formula>0</formula>
    </cfRule>
    <cfRule type="cellIs" dxfId="4176" priority="84" operator="notEqual">
      <formula>0</formula>
    </cfRule>
  </conditionalFormatting>
  <conditionalFormatting sqref="AB25:AB26">
    <cfRule type="cellIs" dxfId="4175" priority="81" operator="equal">
      <formula>0</formula>
    </cfRule>
    <cfRule type="cellIs" dxfId="4174" priority="82" operator="notEqual">
      <formula>0</formula>
    </cfRule>
  </conditionalFormatting>
  <conditionalFormatting sqref="AG24">
    <cfRule type="cellIs" dxfId="4173" priority="79" operator="equal">
      <formula>0</formula>
    </cfRule>
    <cfRule type="cellIs" dxfId="4172" priority="80" operator="notEqual">
      <formula>0</formula>
    </cfRule>
  </conditionalFormatting>
  <conditionalFormatting sqref="AG27">
    <cfRule type="cellIs" dxfId="4171" priority="77" operator="equal">
      <formula>0</formula>
    </cfRule>
    <cfRule type="cellIs" dxfId="4170" priority="78" operator="notEqual">
      <formula>0</formula>
    </cfRule>
  </conditionalFormatting>
  <conditionalFormatting sqref="AH24">
    <cfRule type="cellIs" dxfId="4169" priority="75" operator="equal">
      <formula>0</formula>
    </cfRule>
    <cfRule type="cellIs" dxfId="4168" priority="76" operator="notEqual">
      <formula>0</formula>
    </cfRule>
  </conditionalFormatting>
  <conditionalFormatting sqref="AH27">
    <cfRule type="cellIs" dxfId="4167" priority="73" operator="equal">
      <formula>0</formula>
    </cfRule>
    <cfRule type="cellIs" dxfId="4166" priority="74" operator="notEqual">
      <formula>0</formula>
    </cfRule>
  </conditionalFormatting>
  <conditionalFormatting sqref="AI24">
    <cfRule type="cellIs" dxfId="4165" priority="71" operator="equal">
      <formula>0</formula>
    </cfRule>
    <cfRule type="cellIs" dxfId="4164" priority="72" operator="notEqual">
      <formula>0</formula>
    </cfRule>
  </conditionalFormatting>
  <conditionalFormatting sqref="AI27">
    <cfRule type="cellIs" dxfId="4163" priority="69" operator="equal">
      <formula>0</formula>
    </cfRule>
    <cfRule type="cellIs" dxfId="4162" priority="70" operator="notEqual">
      <formula>0</formula>
    </cfRule>
  </conditionalFormatting>
  <conditionalFormatting sqref="AJ24">
    <cfRule type="cellIs" dxfId="4161" priority="67" operator="equal">
      <formula>0</formula>
    </cfRule>
    <cfRule type="cellIs" dxfId="4160" priority="68" operator="notEqual">
      <formula>0</formula>
    </cfRule>
  </conditionalFormatting>
  <conditionalFormatting sqref="AJ27">
    <cfRule type="cellIs" dxfId="4159" priority="65" operator="equal">
      <formula>0</formula>
    </cfRule>
    <cfRule type="cellIs" dxfId="4158" priority="66" operator="notEqual">
      <formula>0</formula>
    </cfRule>
  </conditionalFormatting>
  <conditionalFormatting sqref="U18:U19">
    <cfRule type="cellIs" dxfId="4157" priority="63" operator="equal">
      <formula>0</formula>
    </cfRule>
    <cfRule type="cellIs" dxfId="4156" priority="64" operator="notEqual">
      <formula>0</formula>
    </cfRule>
  </conditionalFormatting>
  <conditionalFormatting sqref="V18:V19">
    <cfRule type="cellIs" dxfId="4155" priority="61" operator="equal">
      <formula>0</formula>
    </cfRule>
    <cfRule type="cellIs" dxfId="4154" priority="62" operator="notEqual">
      <formula>0</formula>
    </cfRule>
  </conditionalFormatting>
  <conditionalFormatting sqref="W18:W19">
    <cfRule type="cellIs" dxfId="4153" priority="59" operator="equal">
      <formula>0</formula>
    </cfRule>
    <cfRule type="cellIs" dxfId="4152" priority="60" operator="notEqual">
      <formula>0</formula>
    </cfRule>
  </conditionalFormatting>
  <conditionalFormatting sqref="X18:X19">
    <cfRule type="cellIs" dxfId="4151" priority="57" operator="equal">
      <formula>0</formula>
    </cfRule>
    <cfRule type="cellIs" dxfId="4150" priority="58" operator="notEqual">
      <formula>0</formula>
    </cfRule>
  </conditionalFormatting>
  <conditionalFormatting sqref="Y18:Y19">
    <cfRule type="cellIs" dxfId="4149" priority="55" operator="equal">
      <formula>0</formula>
    </cfRule>
    <cfRule type="cellIs" dxfId="4148" priority="56" operator="notEqual">
      <formula>0</formula>
    </cfRule>
  </conditionalFormatting>
  <conditionalFormatting sqref="Z18:Z19">
    <cfRule type="cellIs" dxfId="4147" priority="53" operator="equal">
      <formula>0</formula>
    </cfRule>
    <cfRule type="cellIs" dxfId="4146" priority="54" operator="notEqual">
      <formula>0</formula>
    </cfRule>
  </conditionalFormatting>
  <conditionalFormatting sqref="AA18:AA19">
    <cfRule type="cellIs" dxfId="4145" priority="51" operator="equal">
      <formula>0</formula>
    </cfRule>
    <cfRule type="cellIs" dxfId="4144" priority="52" operator="notEqual">
      <formula>0</formula>
    </cfRule>
  </conditionalFormatting>
  <conditionalFormatting sqref="AB18:AB19">
    <cfRule type="cellIs" dxfId="4143" priority="49" operator="equal">
      <formula>0</formula>
    </cfRule>
    <cfRule type="cellIs" dxfId="4142" priority="50" operator="notEqual">
      <formula>0</formula>
    </cfRule>
  </conditionalFormatting>
  <conditionalFormatting sqref="AG17">
    <cfRule type="cellIs" dxfId="4141" priority="47" operator="equal">
      <formula>0</formula>
    </cfRule>
    <cfRule type="cellIs" dxfId="4140" priority="48" operator="notEqual">
      <formula>0</formula>
    </cfRule>
  </conditionalFormatting>
  <conditionalFormatting sqref="AG20">
    <cfRule type="cellIs" dxfId="4139" priority="45" operator="equal">
      <formula>0</formula>
    </cfRule>
    <cfRule type="cellIs" dxfId="4138" priority="46" operator="notEqual">
      <formula>0</formula>
    </cfRule>
  </conditionalFormatting>
  <conditionalFormatting sqref="AH17">
    <cfRule type="cellIs" dxfId="4137" priority="43" operator="equal">
      <formula>0</formula>
    </cfRule>
    <cfRule type="cellIs" dxfId="4136" priority="44" operator="notEqual">
      <formula>0</formula>
    </cfRule>
  </conditionalFormatting>
  <conditionalFormatting sqref="AH20">
    <cfRule type="cellIs" dxfId="4135" priority="41" operator="equal">
      <formula>0</formula>
    </cfRule>
    <cfRule type="cellIs" dxfId="4134" priority="42" operator="notEqual">
      <formula>0</formula>
    </cfRule>
  </conditionalFormatting>
  <conditionalFormatting sqref="AI17">
    <cfRule type="cellIs" dxfId="4133" priority="39" operator="equal">
      <formula>0</formula>
    </cfRule>
    <cfRule type="cellIs" dxfId="4132" priority="40" operator="notEqual">
      <formula>0</formula>
    </cfRule>
  </conditionalFormatting>
  <conditionalFormatting sqref="AI20">
    <cfRule type="cellIs" dxfId="4131" priority="37" operator="equal">
      <formula>0</formula>
    </cfRule>
    <cfRule type="cellIs" dxfId="4130" priority="38" operator="notEqual">
      <formula>0</formula>
    </cfRule>
  </conditionalFormatting>
  <conditionalFormatting sqref="AJ17">
    <cfRule type="cellIs" dxfId="4129" priority="35" operator="equal">
      <formula>0</formula>
    </cfRule>
    <cfRule type="cellIs" dxfId="4128" priority="36" operator="notEqual">
      <formula>0</formula>
    </cfRule>
  </conditionalFormatting>
  <conditionalFormatting sqref="AJ20">
    <cfRule type="cellIs" dxfId="4127" priority="33" operator="equal">
      <formula>0</formula>
    </cfRule>
    <cfRule type="cellIs" dxfId="4126" priority="34" operator="notEqual">
      <formula>0</formula>
    </cfRule>
  </conditionalFormatting>
  <conditionalFormatting sqref="U11:U12">
    <cfRule type="cellIs" dxfId="4125" priority="31" operator="equal">
      <formula>0</formula>
    </cfRule>
    <cfRule type="cellIs" dxfId="4124" priority="32" operator="notEqual">
      <formula>0</formula>
    </cfRule>
  </conditionalFormatting>
  <conditionalFormatting sqref="V11:V12">
    <cfRule type="cellIs" dxfId="4123" priority="29" operator="equal">
      <formula>0</formula>
    </cfRule>
    <cfRule type="cellIs" dxfId="4122" priority="30" operator="notEqual">
      <formula>0</formula>
    </cfRule>
  </conditionalFormatting>
  <conditionalFormatting sqref="W11:W12">
    <cfRule type="cellIs" dxfId="4121" priority="27" operator="equal">
      <formula>0</formula>
    </cfRule>
    <cfRule type="cellIs" dxfId="4120" priority="28" operator="notEqual">
      <formula>0</formula>
    </cfRule>
  </conditionalFormatting>
  <conditionalFormatting sqref="X11:X12">
    <cfRule type="cellIs" dxfId="4119" priority="25" operator="equal">
      <formula>0</formula>
    </cfRule>
    <cfRule type="cellIs" dxfId="4118" priority="26" operator="notEqual">
      <formula>0</formula>
    </cfRule>
  </conditionalFormatting>
  <conditionalFormatting sqref="Y11:Y12">
    <cfRule type="cellIs" dxfId="4117" priority="23" operator="equal">
      <formula>0</formula>
    </cfRule>
    <cfRule type="cellIs" dxfId="4116" priority="24" operator="notEqual">
      <formula>0</formula>
    </cfRule>
  </conditionalFormatting>
  <conditionalFormatting sqref="Z11:Z12">
    <cfRule type="cellIs" dxfId="4115" priority="21" operator="equal">
      <formula>0</formula>
    </cfRule>
    <cfRule type="cellIs" dxfId="4114" priority="22" operator="notEqual">
      <formula>0</formula>
    </cfRule>
  </conditionalFormatting>
  <conditionalFormatting sqref="AA11:AA12">
    <cfRule type="cellIs" dxfId="4113" priority="19" operator="equal">
      <formula>0</formula>
    </cfRule>
    <cfRule type="cellIs" dxfId="4112" priority="20" operator="notEqual">
      <formula>0</formula>
    </cfRule>
  </conditionalFormatting>
  <conditionalFormatting sqref="AB11:AB12">
    <cfRule type="cellIs" dxfId="4111" priority="17" operator="equal">
      <formula>0</formula>
    </cfRule>
    <cfRule type="cellIs" dxfId="4110" priority="18" operator="notEqual">
      <formula>0</formula>
    </cfRule>
  </conditionalFormatting>
  <conditionalFormatting sqref="AG10">
    <cfRule type="cellIs" dxfId="4109" priority="15" operator="equal">
      <formula>0</formula>
    </cfRule>
    <cfRule type="cellIs" dxfId="4108" priority="16" operator="notEqual">
      <formula>0</formula>
    </cfRule>
  </conditionalFormatting>
  <conditionalFormatting sqref="AG13">
    <cfRule type="cellIs" dxfId="4107" priority="13" operator="equal">
      <formula>0</formula>
    </cfRule>
    <cfRule type="cellIs" dxfId="4106" priority="14" operator="notEqual">
      <formula>0</formula>
    </cfRule>
  </conditionalFormatting>
  <conditionalFormatting sqref="AH10">
    <cfRule type="cellIs" dxfId="4105" priority="11" operator="equal">
      <formula>0</formula>
    </cfRule>
    <cfRule type="cellIs" dxfId="4104" priority="12" operator="notEqual">
      <formula>0</formula>
    </cfRule>
  </conditionalFormatting>
  <conditionalFormatting sqref="AH13">
    <cfRule type="cellIs" dxfId="4103" priority="9" operator="equal">
      <formula>0</formula>
    </cfRule>
    <cfRule type="cellIs" dxfId="4102" priority="10" operator="notEqual">
      <formula>0</formula>
    </cfRule>
  </conditionalFormatting>
  <conditionalFormatting sqref="AI10">
    <cfRule type="cellIs" dxfId="4101" priority="7" operator="equal">
      <formula>0</formula>
    </cfRule>
    <cfRule type="cellIs" dxfId="4100" priority="8" operator="notEqual">
      <formula>0</formula>
    </cfRule>
  </conditionalFormatting>
  <conditionalFormatting sqref="AI13">
    <cfRule type="cellIs" dxfId="4099" priority="5" operator="equal">
      <formula>0</formula>
    </cfRule>
    <cfRule type="cellIs" dxfId="4098" priority="6" operator="notEqual">
      <formula>0</formula>
    </cfRule>
  </conditionalFormatting>
  <conditionalFormatting sqref="AJ10">
    <cfRule type="cellIs" dxfId="4097" priority="3" operator="equal">
      <formula>0</formula>
    </cfRule>
    <cfRule type="cellIs" dxfId="4096" priority="4" operator="notEqual">
      <formula>0</formula>
    </cfRule>
  </conditionalFormatting>
  <conditionalFormatting sqref="AJ13">
    <cfRule type="cellIs" dxfId="4095" priority="1" operator="equal">
      <formula>0</formula>
    </cfRule>
    <cfRule type="cellIs" dxfId="4094" priority="2" operator="notEqual">
      <formula>0</formula>
    </cfRule>
  </conditionalFormatting>
  <dataValidations count="1">
    <dataValidation type="list" allowBlank="1" showInputMessage="1" showErrorMessage="1" sqref="B5" xr:uid="{FF1A5B65-A890-4375-A47D-14ACB855E01E}">
      <formula1>Regions</formula1>
    </dataValidation>
  </dataValidation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4">
    <pageSetUpPr autoPageBreaks="0"/>
  </sheetPr>
  <dimension ref="A1:AX104"/>
  <sheetViews>
    <sheetView showGridLines="0" topLeftCell="B4" zoomScale="70" zoomScaleNormal="70" workbookViewId="0">
      <selection activeCell="W17" sqref="W17"/>
    </sheetView>
  </sheetViews>
  <sheetFormatPr baseColWidth="10" defaultColWidth="9.1640625" defaultRowHeight="14" x14ac:dyDescent="0.15"/>
  <cols>
    <col min="1" max="1" width="2.1640625" customWidth="1"/>
    <col min="2" max="2" width="36.1640625" customWidth="1"/>
    <col min="20" max="20" width="33" customWidth="1"/>
  </cols>
  <sheetData>
    <row r="1" spans="1:50" ht="60.75" customHeight="1" x14ac:dyDescent="0.15">
      <c r="A1" s="381" t="s">
        <v>1133</v>
      </c>
      <c r="B1" s="381"/>
      <c r="C1" s="381"/>
      <c r="D1" s="381"/>
      <c r="E1" s="381"/>
      <c r="F1" s="381"/>
      <c r="G1" s="381"/>
      <c r="H1" s="381"/>
      <c r="I1" s="381"/>
      <c r="J1" s="381"/>
      <c r="K1" s="381"/>
      <c r="L1" s="381"/>
      <c r="M1" s="381"/>
      <c r="N1" s="381"/>
      <c r="O1" s="381"/>
      <c r="P1" s="381"/>
      <c r="Q1" s="381"/>
      <c r="R1" s="381"/>
      <c r="S1" s="381"/>
      <c r="T1" s="381"/>
      <c r="U1" s="381"/>
      <c r="V1" s="381"/>
      <c r="W1" s="381"/>
      <c r="X1" s="381"/>
      <c r="Y1" s="381"/>
      <c r="Z1" s="381"/>
      <c r="AA1" s="381"/>
      <c r="AB1" s="381"/>
      <c r="AC1" s="381"/>
      <c r="AD1" s="381"/>
      <c r="AE1" s="381"/>
      <c r="AF1" s="381"/>
      <c r="AG1" s="381"/>
      <c r="AH1" s="381"/>
      <c r="AI1" s="381"/>
      <c r="AJ1" s="381"/>
      <c r="AK1" s="381"/>
      <c r="AL1" s="381"/>
      <c r="AM1" s="381"/>
      <c r="AN1" s="381"/>
      <c r="AO1" s="381"/>
      <c r="AP1" s="381"/>
      <c r="AQ1" s="381"/>
      <c r="AR1" s="381"/>
      <c r="AS1" s="381"/>
      <c r="AT1" s="381"/>
      <c r="AU1" s="381"/>
      <c r="AV1" s="381"/>
      <c r="AW1" s="381"/>
      <c r="AX1" s="381"/>
    </row>
    <row r="2" spans="1:50" ht="48" customHeight="1" x14ac:dyDescent="0.15">
      <c r="A2" s="382"/>
      <c r="B2" s="382"/>
      <c r="C2" s="382"/>
      <c r="D2" s="382"/>
      <c r="E2" s="382"/>
      <c r="F2" s="382"/>
      <c r="G2" s="382"/>
      <c r="H2" s="382"/>
      <c r="I2" s="382"/>
      <c r="J2" s="382"/>
      <c r="K2" s="382"/>
      <c r="L2" s="382"/>
      <c r="M2" s="382"/>
      <c r="N2" s="382"/>
      <c r="O2" s="382"/>
      <c r="P2" s="382"/>
      <c r="Q2" s="382"/>
      <c r="R2" s="382"/>
      <c r="S2" s="382"/>
      <c r="T2" s="382"/>
      <c r="U2" s="382"/>
      <c r="V2" s="382"/>
      <c r="W2" s="382"/>
      <c r="X2" s="382"/>
      <c r="Y2" s="382"/>
      <c r="Z2" s="382"/>
      <c r="AA2" s="382"/>
      <c r="AB2" s="382"/>
      <c r="AC2" s="382"/>
      <c r="AD2" s="382"/>
      <c r="AE2" s="382"/>
      <c r="AF2" s="382"/>
      <c r="AG2" s="382"/>
      <c r="AH2" s="382"/>
      <c r="AI2" s="382"/>
      <c r="AJ2" s="382"/>
      <c r="AK2" s="382"/>
      <c r="AL2" s="382"/>
      <c r="AM2" s="382"/>
      <c r="AN2" s="382"/>
      <c r="AO2" s="382"/>
      <c r="AP2" s="382"/>
      <c r="AQ2" s="382"/>
      <c r="AR2" s="382"/>
      <c r="AS2" s="382"/>
      <c r="AT2" s="382"/>
      <c r="AU2" s="382"/>
      <c r="AV2" s="382"/>
      <c r="AW2" s="382"/>
      <c r="AX2" s="382"/>
    </row>
    <row r="3" spans="1:50" s="54" customFormat="1" ht="16" x14ac:dyDescent="0.15">
      <c r="B3" s="53"/>
      <c r="C3" s="53"/>
      <c r="D3" s="53"/>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row>
    <row r="4" spans="1:50" ht="30" x14ac:dyDescent="0.15">
      <c r="B4" s="39" t="s">
        <v>999</v>
      </c>
    </row>
    <row r="5" spans="1:50" ht="15" x14ac:dyDescent="0.15">
      <c r="B5" s="60" t="s">
        <v>24</v>
      </c>
      <c r="P5" s="43"/>
    </row>
    <row r="6" spans="1:50" x14ac:dyDescent="0.15">
      <c r="B6" s="52"/>
    </row>
    <row r="8" spans="1:50" ht="28.5" customHeight="1" x14ac:dyDescent="0.15">
      <c r="B8" s="156" t="str">
        <f>HLOOKUP($B$5,Region_Table,2,0)</f>
        <v>Barking and Dagenham and Havering</v>
      </c>
      <c r="C8" s="367" t="s">
        <v>1130</v>
      </c>
      <c r="D8" s="368"/>
      <c r="E8" s="368"/>
      <c r="F8" s="368"/>
      <c r="G8" s="368"/>
      <c r="H8" s="368"/>
      <c r="I8" s="368"/>
      <c r="J8" s="368"/>
      <c r="K8" s="368"/>
      <c r="L8" s="368"/>
      <c r="M8" s="377"/>
      <c r="N8" s="377"/>
      <c r="O8" s="378"/>
      <c r="P8" s="371">
        <f>SUMIF('caseload data'!C:C,'divisional &amp; regional caseload%'!B8,'caseload data'!V:V)</f>
        <v>0</v>
      </c>
      <c r="Q8" s="379"/>
      <c r="R8" s="380"/>
      <c r="S8" s="73"/>
      <c r="T8" s="156" t="str">
        <f>HLOOKUP($B$5,Region_Table,3,0)</f>
        <v>Brent - N07</v>
      </c>
      <c r="U8" s="367" t="s">
        <v>1130</v>
      </c>
      <c r="V8" s="368"/>
      <c r="W8" s="368"/>
      <c r="X8" s="368"/>
      <c r="Y8" s="368"/>
      <c r="Z8" s="368"/>
      <c r="AA8" s="368"/>
      <c r="AB8" s="368"/>
      <c r="AC8" s="368"/>
      <c r="AD8" s="368"/>
      <c r="AE8" s="377"/>
      <c r="AF8" s="377"/>
      <c r="AG8" s="378"/>
      <c r="AH8" s="371">
        <f>SUMIF('caseload data'!C:C,'divisional &amp; regional caseload%'!T8,'caseload data'!V:V)</f>
        <v>0</v>
      </c>
      <c r="AI8" s="379"/>
      <c r="AJ8" s="380"/>
    </row>
    <row r="9" spans="1:50" x14ac:dyDescent="0.15">
      <c r="B9" s="105" t="s">
        <v>1065</v>
      </c>
      <c r="C9" s="41" t="s">
        <v>922</v>
      </c>
      <c r="D9" s="41" t="s">
        <v>923</v>
      </c>
      <c r="E9" s="41" t="s">
        <v>924</v>
      </c>
      <c r="F9" s="41" t="s">
        <v>925</v>
      </c>
      <c r="G9" s="41" t="s">
        <v>926</v>
      </c>
      <c r="H9" s="41" t="s">
        <v>927</v>
      </c>
      <c r="I9" s="41" t="s">
        <v>928</v>
      </c>
      <c r="J9" s="41" t="s">
        <v>929</v>
      </c>
      <c r="K9" s="41" t="s">
        <v>930</v>
      </c>
      <c r="L9" s="41" t="s">
        <v>931</v>
      </c>
      <c r="M9" s="41" t="s">
        <v>932</v>
      </c>
      <c r="N9" s="41" t="s">
        <v>933</v>
      </c>
      <c r="O9" s="41" t="s">
        <v>934</v>
      </c>
      <c r="P9" s="41" t="s">
        <v>935</v>
      </c>
      <c r="Q9" s="41" t="s">
        <v>936</v>
      </c>
      <c r="R9" s="41" t="s">
        <v>937</v>
      </c>
      <c r="S9" s="73"/>
      <c r="T9" s="105" t="s">
        <v>1065</v>
      </c>
      <c r="U9" s="41" t="s">
        <v>922</v>
      </c>
      <c r="V9" s="41" t="s">
        <v>923</v>
      </c>
      <c r="W9" s="41" t="s">
        <v>924</v>
      </c>
      <c r="X9" s="41" t="s">
        <v>925</v>
      </c>
      <c r="Y9" s="41" t="s">
        <v>926</v>
      </c>
      <c r="Z9" s="41" t="s">
        <v>927</v>
      </c>
      <c r="AA9" s="41" t="s">
        <v>928</v>
      </c>
      <c r="AB9" s="41" t="s">
        <v>929</v>
      </c>
      <c r="AC9" s="41" t="s">
        <v>930</v>
      </c>
      <c r="AD9" s="41" t="s">
        <v>931</v>
      </c>
      <c r="AE9" s="41" t="s">
        <v>932</v>
      </c>
      <c r="AF9" s="41" t="s">
        <v>933</v>
      </c>
      <c r="AG9" s="41" t="s">
        <v>934</v>
      </c>
      <c r="AH9" s="41" t="s">
        <v>935</v>
      </c>
      <c r="AI9" s="41" t="s">
        <v>936</v>
      </c>
      <c r="AJ9" s="41" t="s">
        <v>937</v>
      </c>
    </row>
    <row r="10" spans="1:50" x14ac:dyDescent="0.15">
      <c r="B10" s="106" t="s">
        <v>911</v>
      </c>
      <c r="C10" s="181" t="e">
        <f>SUMIFS('caseload data'!E:E,'caseload data'!$C:$C,'divisional &amp; regional caseload%'!$B$8,'caseload data'!$D:$D,"PO")/SUMIF('caseload data'!$C:$C,'divisional &amp; regional caseload%'!$B$8,'caseload data'!E:E)</f>
        <v>#DIV/0!</v>
      </c>
      <c r="D10" s="181" t="e">
        <f>SUMIFS('caseload data'!F:F,'caseload data'!$C:$C,'divisional &amp; regional caseload%'!$B$8,'caseload data'!$D:$D,"PO")/SUMIF('caseload data'!$C:$C,'divisional &amp; regional caseload%'!$B$8,'caseload data'!F:F)</f>
        <v>#DIV/0!</v>
      </c>
      <c r="E10" s="181" t="e">
        <f>SUMIFS('caseload data'!G:G,'caseload data'!$C:$C,'divisional &amp; regional caseload%'!$B$8,'caseload data'!$D:$D,"PO")/SUMIF('caseload data'!$C:$C,'divisional &amp; regional caseload%'!$B$8,'caseload data'!G:G)</f>
        <v>#DIV/0!</v>
      </c>
      <c r="F10" s="181" t="e">
        <f>SUMIFS('caseload data'!H:H,'caseload data'!$C:$C,'divisional &amp; regional caseload%'!$B$8,'caseload data'!$D:$D,"PO")/SUMIF('caseload data'!$C:$C,'divisional &amp; regional caseload%'!$B$8,'caseload data'!H:H)</f>
        <v>#DIV/0!</v>
      </c>
      <c r="G10" s="181" t="e">
        <f>SUMIFS('caseload data'!I:I,'caseload data'!$C:$C,'divisional &amp; regional caseload%'!$B$8,'caseload data'!$D:$D,"PO")/SUMIF('caseload data'!$C:$C,'divisional &amp; regional caseload%'!$B$8,'caseload data'!I:I)</f>
        <v>#DIV/0!</v>
      </c>
      <c r="H10" s="181" t="e">
        <f>SUMIFS('caseload data'!J:J,'caseload data'!$C:$C,'divisional &amp; regional caseload%'!$B$8,'caseload data'!$D:$D,"PO")/SUMIF('caseload data'!$C:$C,'divisional &amp; regional caseload%'!$B$8,'caseload data'!J:J)</f>
        <v>#DIV/0!</v>
      </c>
      <c r="I10" s="181" t="e">
        <f>SUMIFS('caseload data'!K:K,'caseload data'!$C:$C,'divisional &amp; regional caseload%'!$B$8,'caseload data'!$D:$D,"PO")/SUMIF('caseload data'!$C:$C,'divisional &amp; regional caseload%'!$B$8,'caseload data'!K:K)</f>
        <v>#DIV/0!</v>
      </c>
      <c r="J10" s="181" t="e">
        <f>SUMIFS('caseload data'!L:L,'caseload data'!$C:$C,'divisional &amp; regional caseload%'!$B$8,'caseload data'!$D:$D,"PO")/SUMIF('caseload data'!$C:$C,'divisional &amp; regional caseload%'!$B$8,'caseload data'!L:L)</f>
        <v>#DIV/0!</v>
      </c>
      <c r="K10" s="181" t="e">
        <f>SUMIFS('caseload data'!M:M,'caseload data'!$C:$C,'divisional &amp; regional caseload%'!$B$8,'caseload data'!$D:$D,"PO")/SUMIF('caseload data'!$C:$C,'divisional &amp; regional caseload%'!$B$8,'caseload data'!M:M)</f>
        <v>#DIV/0!</v>
      </c>
      <c r="L10" s="181" t="e">
        <f>SUMIFS('caseload data'!N:N,'caseload data'!$C:$C,'divisional &amp; regional caseload%'!$B$8,'caseload data'!$D:$D,"PO")/SUMIF('caseload data'!$C:$C,'divisional &amp; regional caseload%'!$B$8,'caseload data'!N:N)</f>
        <v>#DIV/0!</v>
      </c>
      <c r="M10" s="181" t="e">
        <f>SUMIFS('caseload data'!O:O,'caseload data'!$C:$C,'divisional &amp; regional caseload%'!$B$8,'caseload data'!$D:$D,"PO")/SUMIF('caseload data'!$C:$C,'divisional &amp; regional caseload%'!$B$8,'caseload data'!O:O)</f>
        <v>#DIV/0!</v>
      </c>
      <c r="N10" s="181" t="e">
        <f>SUMIFS('caseload data'!P:P,'caseload data'!$C:$C,'divisional &amp; regional caseload%'!$B$8,'caseload data'!$D:$D,"PO")/SUMIF('caseload data'!$C:$C,'divisional &amp; regional caseload%'!$B$8,'caseload data'!P:P)</f>
        <v>#DIV/0!</v>
      </c>
      <c r="O10" s="181" t="e">
        <f>SUMIFS('caseload data'!Q:Q,'caseload data'!$C:$C,'divisional &amp; regional caseload%'!$B$8,'caseload data'!$D:$D,"PO")/SUMIF('caseload data'!$C:$C,'divisional &amp; regional caseload%'!$B$8,'caseload data'!Q:Q)</f>
        <v>#DIV/0!</v>
      </c>
      <c r="P10" s="181" t="e">
        <f>SUMIFS('caseload data'!R:R,'caseload data'!$C:$C,'divisional &amp; regional caseload%'!$B$8,'caseload data'!$D:$D,"PO")/SUMIF('caseload data'!$C:$C,'divisional &amp; regional caseload%'!$B$8,'caseload data'!R:R)</f>
        <v>#DIV/0!</v>
      </c>
      <c r="Q10" s="181" t="e">
        <f>SUMIFS('caseload data'!S:S,'caseload data'!$C:$C,'divisional &amp; regional caseload%'!$B$8,'caseload data'!$D:$D,"PO")/SUMIF('caseload data'!$C:$C,'divisional &amp; regional caseload%'!$B$8,'caseload data'!S:S)</f>
        <v>#DIV/0!</v>
      </c>
      <c r="R10" s="181" t="e">
        <f>SUMIFS('caseload data'!T:T,'caseload data'!$C:$C,'divisional &amp; regional caseload%'!$B$8,'caseload data'!$D:$D,"PO")/SUMIF('caseload data'!$C:$C,'divisional &amp; regional caseload%'!$B$8,'caseload data'!T:T)</f>
        <v>#DIV/0!</v>
      </c>
      <c r="S10" s="73"/>
      <c r="T10" s="106" t="s">
        <v>911</v>
      </c>
      <c r="U10" s="181" t="e">
        <f>SUMIFS('caseload data'!E:E,'caseload data'!$C:$C,'divisional &amp; regional caseload%'!$T$8,'caseload data'!$D:$D,"PO")/SUMIF('caseload data'!$C:$C,'divisional &amp; regional caseload%'!$T$8,'caseload data'!E:E)</f>
        <v>#DIV/0!</v>
      </c>
      <c r="V10" s="181" t="e">
        <f>SUMIFS('caseload data'!F:F,'caseload data'!$C:$C,'divisional &amp; regional caseload%'!$T$8,'caseload data'!$D:$D,"PO")/SUMIF('caseload data'!$C:$C,'divisional &amp; regional caseload%'!$T$8,'caseload data'!F:F)</f>
        <v>#DIV/0!</v>
      </c>
      <c r="W10" s="181" t="e">
        <f>SUMIFS('caseload data'!G:G,'caseload data'!$C:$C,'divisional &amp; regional caseload%'!$T$8,'caseload data'!$D:$D,"PO")/SUMIF('caseload data'!$C:$C,'divisional &amp; regional caseload%'!$T$8,'caseload data'!G:G)</f>
        <v>#DIV/0!</v>
      </c>
      <c r="X10" s="181" t="e">
        <f>SUMIFS('caseload data'!H:H,'caseload data'!$C:$C,'divisional &amp; regional caseload%'!$T$8,'caseload data'!$D:$D,"PO")/SUMIF('caseload data'!$C:$C,'divisional &amp; regional caseload%'!$T$8,'caseload data'!H:H)</f>
        <v>#DIV/0!</v>
      </c>
      <c r="Y10" s="181" t="e">
        <f>SUMIFS('caseload data'!I:I,'caseload data'!$C:$C,'divisional &amp; regional caseload%'!$T$8,'caseload data'!$D:$D,"PO")/SUMIF('caseload data'!$C:$C,'divisional &amp; regional caseload%'!$T$8,'caseload data'!I:I)</f>
        <v>#DIV/0!</v>
      </c>
      <c r="Z10" s="181" t="e">
        <f>SUMIFS('caseload data'!J:J,'caseload data'!$C:$C,'divisional &amp; regional caseload%'!$T$8,'caseload data'!$D:$D,"PO")/SUMIF('caseload data'!$C:$C,'divisional &amp; regional caseload%'!$T$8,'caseload data'!J:J)</f>
        <v>#DIV/0!</v>
      </c>
      <c r="AA10" s="181" t="e">
        <f>SUMIFS('caseload data'!K:K,'caseload data'!$C:$C,'divisional &amp; regional caseload%'!$T$8,'caseload data'!$D:$D,"PO")/SUMIF('caseload data'!$C:$C,'divisional &amp; regional caseload%'!$T$8,'caseload data'!K:K)</f>
        <v>#DIV/0!</v>
      </c>
      <c r="AB10" s="181" t="e">
        <f>SUMIFS('caseload data'!L:L,'caseload data'!$C:$C,'divisional &amp; regional caseload%'!$T$8,'caseload data'!$D:$D,"PO")/SUMIF('caseload data'!$C:$C,'divisional &amp; regional caseload%'!$T$8,'caseload data'!L:L)</f>
        <v>#DIV/0!</v>
      </c>
      <c r="AC10" s="181" t="e">
        <f>SUMIFS('caseload data'!M:M,'caseload data'!$C:$C,'divisional &amp; regional caseload%'!$T$8,'caseload data'!$D:$D,"PO")/SUMIF('caseload data'!$C:$C,'divisional &amp; regional caseload%'!$T$8,'caseload data'!M:M)</f>
        <v>#DIV/0!</v>
      </c>
      <c r="AD10" s="181" t="e">
        <f>SUMIFS('caseload data'!N:N,'caseload data'!$C:$C,'divisional &amp; regional caseload%'!$T$8,'caseload data'!$D:$D,"PO")/SUMIF('caseload data'!$C:$C,'divisional &amp; regional caseload%'!$T$8,'caseload data'!N:N)</f>
        <v>#DIV/0!</v>
      </c>
      <c r="AE10" s="181" t="e">
        <f>SUMIFS('caseload data'!O:O,'caseload data'!$C:$C,'divisional &amp; regional caseload%'!$T$8,'caseload data'!$D:$D,"PO")/SUMIF('caseload data'!$C:$C,'divisional &amp; regional caseload%'!$T$8,'caseload data'!O:O)</f>
        <v>#DIV/0!</v>
      </c>
      <c r="AF10" s="181" t="e">
        <f>SUMIFS('caseload data'!P:P,'caseload data'!$C:$C,'divisional &amp; regional caseload%'!$T$8,'caseload data'!$D:$D,"PO")/SUMIF('caseload data'!$C:$C,'divisional &amp; regional caseload%'!$T$8,'caseload data'!P:P)</f>
        <v>#DIV/0!</v>
      </c>
      <c r="AG10" s="181" t="e">
        <f>SUMIFS('caseload data'!Q:Q,'caseload data'!$C:$C,'divisional &amp; regional caseload%'!$T$8,'caseload data'!$D:$D,"PO")/SUMIF('caseload data'!$C:$C,'divisional &amp; regional caseload%'!$T$8,'caseload data'!Q:Q)</f>
        <v>#DIV/0!</v>
      </c>
      <c r="AH10" s="181" t="e">
        <f>SUMIFS('caseload data'!R:R,'caseload data'!$C:$C,'divisional &amp; regional caseload%'!$T$8,'caseload data'!$D:$D,"PO")/SUMIF('caseload data'!$C:$C,'divisional &amp; regional caseload%'!$T$8,'caseload data'!R:R)</f>
        <v>#DIV/0!</v>
      </c>
      <c r="AI10" s="181" t="e">
        <f>SUMIFS('caseload data'!S:S,'caseload data'!$C:$C,'divisional &amp; regional caseload%'!$T$8,'caseload data'!$D:$D,"PO")/SUMIF('caseload data'!$C:$C,'divisional &amp; regional caseload%'!$T$8,'caseload data'!S:S)</f>
        <v>#DIV/0!</v>
      </c>
      <c r="AJ10" s="181" t="e">
        <f>SUMIFS('caseload data'!T:T,'caseload data'!$C:$C,'divisional &amp; regional caseload%'!$T$8,'caseload data'!$D:$D,"PO")/SUMIF('caseload data'!$C:$C,'divisional &amp; regional caseload%'!$T$8,'caseload data'!T:T)</f>
        <v>#DIV/0!</v>
      </c>
    </row>
    <row r="11" spans="1:50" x14ac:dyDescent="0.15">
      <c r="B11" s="107" t="s">
        <v>912</v>
      </c>
      <c r="C11" s="181" t="e">
        <f>SUMIFS('caseload data'!E:E,'caseload data'!$C:$C,'divisional &amp; regional caseload%'!$B$8,'caseload data'!$D:$D,"PSO")/SUMIF('caseload data'!$C:$C,'divisional &amp; regional caseload%'!$B$8,'caseload data'!E:E)</f>
        <v>#DIV/0!</v>
      </c>
      <c r="D11" s="181" t="e">
        <f>SUMIFS('caseload data'!F:F,'caseload data'!$C:$C,'divisional &amp; regional caseload%'!$B$8,'caseload data'!$D:$D,"PSO")/SUMIF('caseload data'!$C:$C,'divisional &amp; regional caseload%'!$B$8,'caseload data'!F:F)</f>
        <v>#DIV/0!</v>
      </c>
      <c r="E11" s="181" t="e">
        <f>SUMIFS('caseload data'!G:G,'caseload data'!$C:$C,'divisional &amp; regional caseload%'!$B$8,'caseload data'!$D:$D,"PSO")/SUMIF('caseload data'!$C:$C,'divisional &amp; regional caseload%'!$B$8,'caseload data'!G:G)</f>
        <v>#DIV/0!</v>
      </c>
      <c r="F11" s="181" t="e">
        <f>SUMIFS('caseload data'!H:H,'caseload data'!$C:$C,'divisional &amp; regional caseload%'!$B$8,'caseload data'!$D:$D,"PSO")/SUMIF('caseload data'!$C:$C,'divisional &amp; regional caseload%'!$B$8,'caseload data'!H:H)</f>
        <v>#DIV/0!</v>
      </c>
      <c r="G11" s="181" t="e">
        <f>SUMIFS('caseload data'!I:I,'caseload data'!$C:$C,'divisional &amp; regional caseload%'!$B$8,'caseload data'!$D:$D,"PSO")/SUMIF('caseload data'!$C:$C,'divisional &amp; regional caseload%'!$B$8,'caseload data'!I:I)</f>
        <v>#DIV/0!</v>
      </c>
      <c r="H11" s="181" t="e">
        <f>SUMIFS('caseload data'!J:J,'caseload data'!$C:$C,'divisional &amp; regional caseload%'!$B$8,'caseload data'!$D:$D,"PSO")/SUMIF('caseload data'!$C:$C,'divisional &amp; regional caseload%'!$B$8,'caseload data'!J:J)</f>
        <v>#DIV/0!</v>
      </c>
      <c r="I11" s="181" t="e">
        <f>SUMIFS('caseload data'!K:K,'caseload data'!$C:$C,'divisional &amp; regional caseload%'!$B$8,'caseload data'!$D:$D,"PSO")/SUMIF('caseload data'!$C:$C,'divisional &amp; regional caseload%'!$B$8,'caseload data'!K:K)</f>
        <v>#DIV/0!</v>
      </c>
      <c r="J11" s="181" t="e">
        <f>SUMIFS('caseload data'!L:L,'caseload data'!$C:$C,'divisional &amp; regional caseload%'!$B$8,'caseload data'!$D:$D,"PSO")/SUMIF('caseload data'!$C:$C,'divisional &amp; regional caseload%'!$B$8,'caseload data'!L:L)</f>
        <v>#DIV/0!</v>
      </c>
      <c r="K11" s="181" t="e">
        <f>SUMIFS('caseload data'!M:M,'caseload data'!$C:$C,'divisional &amp; regional caseload%'!$B$8,'caseload data'!$D:$D,"PSO")/SUMIF('caseload data'!$C:$C,'divisional &amp; regional caseload%'!$B$8,'caseload data'!M:M)</f>
        <v>#DIV/0!</v>
      </c>
      <c r="L11" s="181" t="e">
        <f>SUMIFS('caseload data'!N:N,'caseload data'!$C:$C,'divisional &amp; regional caseload%'!$B$8,'caseload data'!$D:$D,"PSO")/SUMIF('caseload data'!$C:$C,'divisional &amp; regional caseload%'!$B$8,'caseload data'!N:N)</f>
        <v>#DIV/0!</v>
      </c>
      <c r="M11" s="181" t="e">
        <f>SUMIFS('caseload data'!O:O,'caseload data'!$C:$C,'divisional &amp; regional caseload%'!$B$8,'caseload data'!$D:$D,"PSO")/SUMIF('caseload data'!$C:$C,'divisional &amp; regional caseload%'!$B$8,'caseload data'!O:O)</f>
        <v>#DIV/0!</v>
      </c>
      <c r="N11" s="181" t="e">
        <f>SUMIFS('caseload data'!P:P,'caseload data'!$C:$C,'divisional &amp; regional caseload%'!$B$8,'caseload data'!$D:$D,"PSO")/SUMIF('caseload data'!$C:$C,'divisional &amp; regional caseload%'!$B$8,'caseload data'!P:P)</f>
        <v>#DIV/0!</v>
      </c>
      <c r="O11" s="181" t="e">
        <f>SUMIFS('caseload data'!Q:Q,'caseload data'!$C:$C,'divisional &amp; regional caseload%'!$B$8,'caseload data'!$D:$D,"PSO")/SUMIF('caseload data'!$C:$C,'divisional &amp; regional caseload%'!$B$8,'caseload data'!Q:Q)</f>
        <v>#DIV/0!</v>
      </c>
      <c r="P11" s="181" t="e">
        <f>SUMIFS('caseload data'!R:R,'caseload data'!$C:$C,'divisional &amp; regional caseload%'!$B$8,'caseload data'!$D:$D,"PSO")/SUMIF('caseload data'!$C:$C,'divisional &amp; regional caseload%'!$B$8,'caseload data'!R:R)</f>
        <v>#DIV/0!</v>
      </c>
      <c r="Q11" s="181" t="e">
        <f>SUMIFS('caseload data'!S:S,'caseload data'!$C:$C,'divisional &amp; regional caseload%'!$B$8,'caseload data'!$D:$D,"PSO")/SUMIF('caseload data'!$C:$C,'divisional &amp; regional caseload%'!$B$8,'caseload data'!S:S)</f>
        <v>#DIV/0!</v>
      </c>
      <c r="R11" s="181" t="e">
        <f>SUMIFS('caseload data'!T:T,'caseload data'!$C:$C,'divisional &amp; regional caseload%'!$B$8,'caseload data'!$D:$D,"PSO")/SUMIF('caseload data'!$C:$C,'divisional &amp; regional caseload%'!$B$8,'caseload data'!T:T)</f>
        <v>#DIV/0!</v>
      </c>
      <c r="S11" s="73"/>
      <c r="T11" s="107" t="s">
        <v>912</v>
      </c>
      <c r="U11" s="181" t="e">
        <f>SUMIFS('caseload data'!E:E,'caseload data'!$C:$C,'divisional &amp; regional caseload%'!$T$8,'caseload data'!$D:$D,"PSO")/SUMIF('caseload data'!$C:$C,'divisional &amp; regional caseload%'!$T$8,'caseload data'!E:E)</f>
        <v>#DIV/0!</v>
      </c>
      <c r="V11" s="181" t="e">
        <f>SUMIFS('caseload data'!F:F,'caseload data'!$C:$C,'divisional &amp; regional caseload%'!$T$8,'caseload data'!$D:$D,"PSO")/SUMIF('caseload data'!$C:$C,'divisional &amp; regional caseload%'!$T$8,'caseload data'!F:F)</f>
        <v>#DIV/0!</v>
      </c>
      <c r="W11" s="181" t="e">
        <f>SUMIFS('caseload data'!G:G,'caseload data'!$C:$C,'divisional &amp; regional caseload%'!$T$8,'caseload data'!$D:$D,"PSO")/SUMIF('caseload data'!$C:$C,'divisional &amp; regional caseload%'!$T$8,'caseload data'!G:G)</f>
        <v>#DIV/0!</v>
      </c>
      <c r="X11" s="181" t="e">
        <f>SUMIFS('caseload data'!H:H,'caseload data'!$C:$C,'divisional &amp; regional caseload%'!$T$8,'caseload data'!$D:$D,"PSO")/SUMIF('caseload data'!$C:$C,'divisional &amp; regional caseload%'!$T$8,'caseload data'!H:H)</f>
        <v>#DIV/0!</v>
      </c>
      <c r="Y11" s="181" t="e">
        <f>SUMIFS('caseload data'!I:I,'caseload data'!$C:$C,'divisional &amp; regional caseload%'!$T$8,'caseload data'!$D:$D,"PSO")/SUMIF('caseload data'!$C:$C,'divisional &amp; regional caseload%'!$T$8,'caseload data'!I:I)</f>
        <v>#DIV/0!</v>
      </c>
      <c r="Z11" s="181" t="e">
        <f>SUMIFS('caseload data'!J:J,'caseload data'!$C:$C,'divisional &amp; regional caseload%'!$T$8,'caseload data'!$D:$D,"PSO")/SUMIF('caseload data'!$C:$C,'divisional &amp; regional caseload%'!$T$8,'caseload data'!J:J)</f>
        <v>#DIV/0!</v>
      </c>
      <c r="AA11" s="181" t="e">
        <f>SUMIFS('caseload data'!K:K,'caseload data'!$C:$C,'divisional &amp; regional caseload%'!$T$8,'caseload data'!$D:$D,"PSO")/SUMIF('caseload data'!$C:$C,'divisional &amp; regional caseload%'!$T$8,'caseload data'!K:K)</f>
        <v>#DIV/0!</v>
      </c>
      <c r="AB11" s="181" t="e">
        <f>SUMIFS('caseload data'!L:L,'caseload data'!$C:$C,'divisional &amp; regional caseload%'!$T$8,'caseload data'!$D:$D,"PSO")/SUMIF('caseload data'!$C:$C,'divisional &amp; regional caseload%'!$T$8,'caseload data'!L:L)</f>
        <v>#DIV/0!</v>
      </c>
      <c r="AC11" s="181" t="e">
        <f>SUMIFS('caseload data'!M:M,'caseload data'!$C:$C,'divisional &amp; regional caseload%'!$T$8,'caseload data'!$D:$D,"PSO")/SUMIF('caseload data'!$C:$C,'divisional &amp; regional caseload%'!$T$8,'caseload data'!M:M)</f>
        <v>#DIV/0!</v>
      </c>
      <c r="AD11" s="181" t="e">
        <f>SUMIFS('caseload data'!N:N,'caseload data'!$C:$C,'divisional &amp; regional caseload%'!$T$8,'caseload data'!$D:$D,"PSO")/SUMIF('caseload data'!$C:$C,'divisional &amp; regional caseload%'!$T$8,'caseload data'!N:N)</f>
        <v>#DIV/0!</v>
      </c>
      <c r="AE11" s="181" t="e">
        <f>SUMIFS('caseload data'!O:O,'caseload data'!$C:$C,'divisional &amp; regional caseload%'!$T$8,'caseload data'!$D:$D,"PSO")/SUMIF('caseload data'!$C:$C,'divisional &amp; regional caseload%'!$T$8,'caseload data'!O:O)</f>
        <v>#DIV/0!</v>
      </c>
      <c r="AF11" s="181" t="e">
        <f>SUMIFS('caseload data'!P:P,'caseload data'!$C:$C,'divisional &amp; regional caseload%'!$T$8,'caseload data'!$D:$D,"PSO")/SUMIF('caseload data'!$C:$C,'divisional &amp; regional caseload%'!$T$8,'caseload data'!P:P)</f>
        <v>#DIV/0!</v>
      </c>
      <c r="AG11" s="181" t="e">
        <f>SUMIFS('caseload data'!Q:Q,'caseload data'!$C:$C,'divisional &amp; regional caseload%'!$T$8,'caseload data'!$D:$D,"PSO")/SUMIF('caseload data'!$C:$C,'divisional &amp; regional caseload%'!$T$8,'caseload data'!Q:Q)</f>
        <v>#DIV/0!</v>
      </c>
      <c r="AH11" s="181" t="e">
        <f>SUMIFS('caseload data'!R:R,'caseload data'!$C:$C,'divisional &amp; regional caseload%'!$T$8,'caseload data'!$D:$D,"PSO")/SUMIF('caseload data'!$C:$C,'divisional &amp; regional caseload%'!$T$8,'caseload data'!R:R)</f>
        <v>#DIV/0!</v>
      </c>
      <c r="AI11" s="181" t="e">
        <f>SUMIFS('caseload data'!S:S,'caseload data'!$C:$C,'divisional &amp; regional caseload%'!$T$8,'caseload data'!$D:$D,"PSO")/SUMIF('caseload data'!$C:$C,'divisional &amp; regional caseload%'!$T$8,'caseload data'!S:S)</f>
        <v>#DIV/0!</v>
      </c>
      <c r="AJ11" s="181" t="e">
        <f>SUMIFS('caseload data'!T:T,'caseload data'!$C:$C,'divisional &amp; regional caseload%'!$T$8,'caseload data'!$D:$D,"PSO")/SUMIF('caseload data'!$C:$C,'divisional &amp; regional caseload%'!$T$8,'caseload data'!T:T)</f>
        <v>#DIV/0!</v>
      </c>
    </row>
    <row r="12" spans="1:50" x14ac:dyDescent="0.15">
      <c r="B12" s="107" t="s">
        <v>913</v>
      </c>
      <c r="C12" s="181" t="e">
        <f>SUMIFS('caseload data'!E:E,'caseload data'!$C:$C,'divisional &amp; regional caseload%'!$B$8,'caseload data'!$D:$D,"TPO")/SUMIF('caseload data'!$C:$C,'divisional &amp; regional caseload%'!$B$8,'caseload data'!E:E)</f>
        <v>#DIV/0!</v>
      </c>
      <c r="D12" s="181" t="e">
        <f>SUMIFS('caseload data'!F:F,'caseload data'!$C:$C,'divisional &amp; regional caseload%'!$B$8,'caseload data'!$D:$D,"TPO")/SUMIF('caseload data'!$C:$C,'divisional &amp; regional caseload%'!$B$8,'caseload data'!F:F)</f>
        <v>#DIV/0!</v>
      </c>
      <c r="E12" s="181" t="e">
        <f>SUMIFS('caseload data'!G:G,'caseload data'!$C:$C,'divisional &amp; regional caseload%'!$B$8,'caseload data'!$D:$D,"TPO")/SUMIF('caseload data'!$C:$C,'divisional &amp; regional caseload%'!$B$8,'caseload data'!G:G)</f>
        <v>#DIV/0!</v>
      </c>
      <c r="F12" s="181" t="e">
        <f>SUMIFS('caseload data'!H:H,'caseload data'!$C:$C,'divisional &amp; regional caseload%'!$B$8,'caseload data'!$D:$D,"TPO")/SUMIF('caseload data'!$C:$C,'divisional &amp; regional caseload%'!$B$8,'caseload data'!H:H)</f>
        <v>#DIV/0!</v>
      </c>
      <c r="G12" s="181" t="e">
        <f>SUMIFS('caseload data'!I:I,'caseload data'!$C:$C,'divisional &amp; regional caseload%'!$B$8,'caseload data'!$D:$D,"TPO")/SUMIF('caseload data'!$C:$C,'divisional &amp; regional caseload%'!$B$8,'caseload data'!I:I)</f>
        <v>#DIV/0!</v>
      </c>
      <c r="H12" s="181" t="e">
        <f>SUMIFS('caseload data'!J:J,'caseload data'!$C:$C,'divisional &amp; regional caseload%'!$B$8,'caseload data'!$D:$D,"TPO")/SUMIF('caseload data'!$C:$C,'divisional &amp; regional caseload%'!$B$8,'caseload data'!J:J)</f>
        <v>#DIV/0!</v>
      </c>
      <c r="I12" s="181" t="e">
        <f>SUMIFS('caseload data'!K:K,'caseload data'!$C:$C,'divisional &amp; regional caseload%'!$B$8,'caseload data'!$D:$D,"TPO")/SUMIF('caseload data'!$C:$C,'divisional &amp; regional caseload%'!$B$8,'caseload data'!K:K)</f>
        <v>#DIV/0!</v>
      </c>
      <c r="J12" s="181" t="e">
        <f>SUMIFS('caseload data'!L:L,'caseload data'!$C:$C,'divisional &amp; regional caseload%'!$B$8,'caseload data'!$D:$D,"TPO")/SUMIF('caseload data'!$C:$C,'divisional &amp; regional caseload%'!$B$8,'caseload data'!L:L)</f>
        <v>#DIV/0!</v>
      </c>
      <c r="K12" s="181" t="e">
        <f>SUMIFS('caseload data'!M:M,'caseload data'!$C:$C,'divisional &amp; regional caseload%'!$B$8,'caseload data'!$D:$D,"TPO")/SUMIF('caseload data'!$C:$C,'divisional &amp; regional caseload%'!$B$8,'caseload data'!M:M)</f>
        <v>#DIV/0!</v>
      </c>
      <c r="L12" s="181" t="e">
        <f>SUMIFS('caseload data'!N:N,'caseload data'!$C:$C,'divisional &amp; regional caseload%'!$B$8,'caseload data'!$D:$D,"TPO")/SUMIF('caseload data'!$C:$C,'divisional &amp; regional caseload%'!$B$8,'caseload data'!N:N)</f>
        <v>#DIV/0!</v>
      </c>
      <c r="M12" s="181" t="e">
        <f>SUMIFS('caseload data'!O:O,'caseload data'!$C:$C,'divisional &amp; regional caseload%'!$B$8,'caseload data'!$D:$D,"TPO")/SUMIF('caseload data'!$C:$C,'divisional &amp; regional caseload%'!$B$8,'caseload data'!O:O)</f>
        <v>#DIV/0!</v>
      </c>
      <c r="N12" s="181" t="e">
        <f>SUMIFS('caseload data'!P:P,'caseload data'!$C:$C,'divisional &amp; regional caseload%'!$B$8,'caseload data'!$D:$D,"TPO")/SUMIF('caseload data'!$C:$C,'divisional &amp; regional caseload%'!$B$8,'caseload data'!P:P)</f>
        <v>#DIV/0!</v>
      </c>
      <c r="O12" s="181" t="e">
        <f>SUMIFS('caseload data'!Q:Q,'caseload data'!$C:$C,'divisional &amp; regional caseload%'!$B$8,'caseload data'!$D:$D,"TPO")/SUMIF('caseload data'!$C:$C,'divisional &amp; regional caseload%'!$B$8,'caseload data'!Q:Q)</f>
        <v>#DIV/0!</v>
      </c>
      <c r="P12" s="181" t="e">
        <f>SUMIFS('caseload data'!R:R,'caseload data'!$C:$C,'divisional &amp; regional caseload%'!$B$8,'caseload data'!$D:$D,"TPO")/SUMIF('caseload data'!$C:$C,'divisional &amp; regional caseload%'!$B$8,'caseload data'!R:R)</f>
        <v>#DIV/0!</v>
      </c>
      <c r="Q12" s="181" t="e">
        <f>SUMIFS('caseload data'!S:S,'caseload data'!$C:$C,'divisional &amp; regional caseload%'!$B$8,'caseload data'!$D:$D,"TPO")/SUMIF('caseload data'!$C:$C,'divisional &amp; regional caseload%'!$B$8,'caseload data'!S:S)</f>
        <v>#DIV/0!</v>
      </c>
      <c r="R12" s="181" t="e">
        <f>SUMIFS('caseload data'!T:T,'caseload data'!$C:$C,'divisional &amp; regional caseload%'!$B$8,'caseload data'!$D:$D,"TPO")/SUMIF('caseload data'!$C:$C,'divisional &amp; regional caseload%'!$B$8,'caseload data'!T:T)</f>
        <v>#DIV/0!</v>
      </c>
      <c r="S12" s="73"/>
      <c r="T12" s="107" t="s">
        <v>913</v>
      </c>
      <c r="U12" s="181" t="e">
        <f>SUMIFS('caseload data'!E:E,'caseload data'!$C:$C,'divisional &amp; regional caseload%'!$T$8,'caseload data'!$D:$D,"TPO")/SUMIF('caseload data'!$C:$C,'divisional &amp; regional caseload%'!$T$8,'caseload data'!E:E)</f>
        <v>#DIV/0!</v>
      </c>
      <c r="V12" s="181" t="e">
        <f>SUMIFS('caseload data'!F:F,'caseload data'!$C:$C,'divisional &amp; regional caseload%'!$T$8,'caseload data'!$D:$D,"TPO")/SUMIF('caseload data'!$C:$C,'divisional &amp; regional caseload%'!$T$8,'caseload data'!F:F)</f>
        <v>#DIV/0!</v>
      </c>
      <c r="W12" s="181" t="e">
        <f>SUMIFS('caseload data'!G:G,'caseload data'!$C:$C,'divisional &amp; regional caseload%'!$T$8,'caseload data'!$D:$D,"TPO")/SUMIF('caseload data'!$C:$C,'divisional &amp; regional caseload%'!$T$8,'caseload data'!G:G)</f>
        <v>#DIV/0!</v>
      </c>
      <c r="X12" s="181" t="e">
        <f>SUMIFS('caseload data'!H:H,'caseload data'!$C:$C,'divisional &amp; regional caseload%'!$T$8,'caseload data'!$D:$D,"TPO")/SUMIF('caseload data'!$C:$C,'divisional &amp; regional caseload%'!$T$8,'caseload data'!H:H)</f>
        <v>#DIV/0!</v>
      </c>
      <c r="Y12" s="181" t="e">
        <f>SUMIFS('caseload data'!I:I,'caseload data'!$C:$C,'divisional &amp; regional caseload%'!$T$8,'caseload data'!$D:$D,"TPO")/SUMIF('caseload data'!$C:$C,'divisional &amp; regional caseload%'!$T$8,'caseload data'!I:I)</f>
        <v>#DIV/0!</v>
      </c>
      <c r="Z12" s="181" t="e">
        <f>SUMIFS('caseload data'!J:J,'caseload data'!$C:$C,'divisional &amp; regional caseload%'!$T$8,'caseload data'!$D:$D,"TPO")/SUMIF('caseload data'!$C:$C,'divisional &amp; regional caseload%'!$T$8,'caseload data'!J:J)</f>
        <v>#DIV/0!</v>
      </c>
      <c r="AA12" s="181" t="e">
        <f>SUMIFS('caseload data'!K:K,'caseload data'!$C:$C,'divisional &amp; regional caseload%'!$T$8,'caseload data'!$D:$D,"TPO")/SUMIF('caseload data'!$C:$C,'divisional &amp; regional caseload%'!$T$8,'caseload data'!K:K)</f>
        <v>#DIV/0!</v>
      </c>
      <c r="AB12" s="181" t="e">
        <f>SUMIFS('caseload data'!L:L,'caseload data'!$C:$C,'divisional &amp; regional caseload%'!$T$8,'caseload data'!$D:$D,"TPO")/SUMIF('caseload data'!$C:$C,'divisional &amp; regional caseload%'!$T$8,'caseload data'!L:L)</f>
        <v>#DIV/0!</v>
      </c>
      <c r="AC12" s="181" t="e">
        <f>SUMIFS('caseload data'!M:M,'caseload data'!$C:$C,'divisional &amp; regional caseload%'!$T$8,'caseload data'!$D:$D,"TPO")/SUMIF('caseload data'!$C:$C,'divisional &amp; regional caseload%'!$T$8,'caseload data'!M:M)</f>
        <v>#DIV/0!</v>
      </c>
      <c r="AD12" s="181" t="e">
        <f>SUMIFS('caseload data'!N:N,'caseload data'!$C:$C,'divisional &amp; regional caseload%'!$T$8,'caseload data'!$D:$D,"TPO")/SUMIF('caseload data'!$C:$C,'divisional &amp; regional caseload%'!$T$8,'caseload data'!N:N)</f>
        <v>#DIV/0!</v>
      </c>
      <c r="AE12" s="181" t="e">
        <f>SUMIFS('caseload data'!O:O,'caseload data'!$C:$C,'divisional &amp; regional caseload%'!$T$8,'caseload data'!$D:$D,"TPO")/SUMIF('caseload data'!$C:$C,'divisional &amp; regional caseload%'!$T$8,'caseload data'!O:O)</f>
        <v>#DIV/0!</v>
      </c>
      <c r="AF12" s="181" t="e">
        <f>SUMIFS('caseload data'!P:P,'caseload data'!$C:$C,'divisional &amp; regional caseload%'!$T$8,'caseload data'!$D:$D,"TPO")/SUMIF('caseload data'!$C:$C,'divisional &amp; regional caseload%'!$T$8,'caseload data'!P:P)</f>
        <v>#DIV/0!</v>
      </c>
      <c r="AG12" s="181" t="e">
        <f>SUMIFS('caseload data'!Q:Q,'caseload data'!$C:$C,'divisional &amp; regional caseload%'!$T$8,'caseload data'!$D:$D,"TPO")/SUMIF('caseload data'!$C:$C,'divisional &amp; regional caseload%'!$T$8,'caseload data'!Q:Q)</f>
        <v>#DIV/0!</v>
      </c>
      <c r="AH12" s="181" t="e">
        <f>SUMIFS('caseload data'!R:R,'caseload data'!$C:$C,'divisional &amp; regional caseload%'!$T$8,'caseload data'!$D:$D,"TPO")/SUMIF('caseload data'!$C:$C,'divisional &amp; regional caseload%'!$T$8,'caseload data'!R:R)</f>
        <v>#DIV/0!</v>
      </c>
      <c r="AI12" s="181" t="e">
        <f>SUMIFS('caseload data'!S:S,'caseload data'!$C:$C,'divisional &amp; regional caseload%'!$T$8,'caseload data'!$D:$D,"TPO")/SUMIF('caseload data'!$C:$C,'divisional &amp; regional caseload%'!$T$8,'caseload data'!S:S)</f>
        <v>#DIV/0!</v>
      </c>
      <c r="AJ12" s="181" t="e">
        <f>SUMIFS('caseload data'!T:T,'caseload data'!$C:$C,'divisional &amp; regional caseload%'!$T$8,'caseload data'!$D:$D,"TPO")/SUMIF('caseload data'!$C:$C,'divisional &amp; regional caseload%'!$T$8,'caseload data'!T:T)</f>
        <v>#DIV/0!</v>
      </c>
    </row>
    <row r="13" spans="1:50" x14ac:dyDescent="0.15">
      <c r="B13" s="108" t="s">
        <v>914</v>
      </c>
      <c r="C13" s="181" t="e">
        <f>SUMIFS('caseload data'!E:E,'caseload data'!$C:$C,'divisional &amp; regional caseload%'!$B$8,'caseload data'!$D:$D,"SPO")/SUMIF('caseload data'!$C:$C,'divisional &amp; regional caseload%'!$B$8,'caseload data'!E:E)</f>
        <v>#DIV/0!</v>
      </c>
      <c r="D13" s="181" t="e">
        <f>SUMIFS('caseload data'!F:F,'caseload data'!$C:$C,'divisional &amp; regional caseload%'!$B$8,'caseload data'!$D:$D,"SPO")/SUMIF('caseload data'!$C:$C,'divisional &amp; regional caseload%'!$B$8,'caseload data'!F:F)</f>
        <v>#DIV/0!</v>
      </c>
      <c r="E13" s="181" t="e">
        <f>SUMIFS('caseload data'!G:G,'caseload data'!$C:$C,'divisional &amp; regional caseload%'!$B$8,'caseload data'!$D:$D,"SPO")/SUMIF('caseload data'!$C:$C,'divisional &amp; regional caseload%'!$B$8,'caseload data'!G:G)</f>
        <v>#DIV/0!</v>
      </c>
      <c r="F13" s="181" t="e">
        <f>SUMIFS('caseload data'!H:H,'caseload data'!$C:$C,'divisional &amp; regional caseload%'!$B$8,'caseload data'!$D:$D,"SPO")/SUMIF('caseload data'!$C:$C,'divisional &amp; regional caseload%'!$B$8,'caseload data'!H:H)</f>
        <v>#DIV/0!</v>
      </c>
      <c r="G13" s="181" t="e">
        <f>SUMIFS('caseload data'!I:I,'caseload data'!$C:$C,'divisional &amp; regional caseload%'!$B$8,'caseload data'!$D:$D,"SPO")/SUMIF('caseload data'!$C:$C,'divisional &amp; regional caseload%'!$B$8,'caseload data'!I:I)</f>
        <v>#DIV/0!</v>
      </c>
      <c r="H13" s="181" t="e">
        <f>SUMIFS('caseload data'!J:J,'caseload data'!$C:$C,'divisional &amp; regional caseload%'!$B$8,'caseload data'!$D:$D,"SPO")/SUMIF('caseload data'!$C:$C,'divisional &amp; regional caseload%'!$B$8,'caseload data'!J:J)</f>
        <v>#DIV/0!</v>
      </c>
      <c r="I13" s="181" t="e">
        <f>SUMIFS('caseload data'!K:K,'caseload data'!$C:$C,'divisional &amp; regional caseload%'!$B$8,'caseload data'!$D:$D,"SPO")/SUMIF('caseload data'!$C:$C,'divisional &amp; regional caseload%'!$B$8,'caseload data'!K:K)</f>
        <v>#DIV/0!</v>
      </c>
      <c r="J13" s="181" t="e">
        <f>SUMIFS('caseload data'!L:L,'caseload data'!$C:$C,'divisional &amp; regional caseload%'!$B$8,'caseload data'!$D:$D,"SPO")/SUMIF('caseload data'!$C:$C,'divisional &amp; regional caseload%'!$B$8,'caseload data'!L:L)</f>
        <v>#DIV/0!</v>
      </c>
      <c r="K13" s="181" t="e">
        <f>SUMIFS('caseload data'!M:M,'caseload data'!$C:$C,'divisional &amp; regional caseload%'!$B$8,'caseload data'!$D:$D,"SPO")/SUMIF('caseload data'!$C:$C,'divisional &amp; regional caseload%'!$B$8,'caseload data'!M:M)</f>
        <v>#DIV/0!</v>
      </c>
      <c r="L13" s="181" t="e">
        <f>SUMIFS('caseload data'!N:N,'caseload data'!$C:$C,'divisional &amp; regional caseload%'!$B$8,'caseload data'!$D:$D,"SPO")/SUMIF('caseload data'!$C:$C,'divisional &amp; regional caseload%'!$B$8,'caseload data'!N:N)</f>
        <v>#DIV/0!</v>
      </c>
      <c r="M13" s="181" t="e">
        <f>SUMIFS('caseload data'!O:O,'caseload data'!$C:$C,'divisional &amp; regional caseload%'!$B$8,'caseload data'!$D:$D,"SPO")/SUMIF('caseload data'!$C:$C,'divisional &amp; regional caseload%'!$B$8,'caseload data'!O:O)</f>
        <v>#DIV/0!</v>
      </c>
      <c r="N13" s="181" t="e">
        <f>SUMIFS('caseload data'!P:P,'caseload data'!$C:$C,'divisional &amp; regional caseload%'!$B$8,'caseload data'!$D:$D,"SPO")/SUMIF('caseload data'!$C:$C,'divisional &amp; regional caseload%'!$B$8,'caseload data'!P:P)</f>
        <v>#DIV/0!</v>
      </c>
      <c r="O13" s="181" t="e">
        <f>SUMIFS('caseload data'!Q:Q,'caseload data'!$C:$C,'divisional &amp; regional caseload%'!$B$8,'caseload data'!$D:$D,"SPO")/SUMIF('caseload data'!$C:$C,'divisional &amp; regional caseload%'!$B$8,'caseload data'!Q:Q)</f>
        <v>#DIV/0!</v>
      </c>
      <c r="P13" s="181" t="e">
        <f>SUMIFS('caseload data'!R:R,'caseload data'!$C:$C,'divisional &amp; regional caseload%'!$B$8,'caseload data'!$D:$D,"SPO")/SUMIF('caseload data'!$C:$C,'divisional &amp; regional caseload%'!$B$8,'caseload data'!R:R)</f>
        <v>#DIV/0!</v>
      </c>
      <c r="Q13" s="181" t="e">
        <f>SUMIFS('caseload data'!S:S,'caseload data'!$C:$C,'divisional &amp; regional caseload%'!$B$8,'caseload data'!$D:$D,"SPO")/SUMIF('caseload data'!$C:$C,'divisional &amp; regional caseload%'!$B$8,'caseload data'!S:S)</f>
        <v>#DIV/0!</v>
      </c>
      <c r="R13" s="181" t="e">
        <f>SUMIFS('caseload data'!T:T,'caseload data'!$C:$C,'divisional &amp; regional caseload%'!$B$8,'caseload data'!$D:$D,"SPO")/SUMIF('caseload data'!$C:$C,'divisional &amp; regional caseload%'!$B$8,'caseload data'!T:T)</f>
        <v>#DIV/0!</v>
      </c>
      <c r="S13" s="73"/>
      <c r="T13" s="108" t="s">
        <v>914</v>
      </c>
      <c r="U13" s="181" t="e">
        <f>SUMIFS('caseload data'!E:E,'caseload data'!$C:$C,'divisional &amp; regional caseload%'!$T$8,'caseload data'!$D:$D,"SPO")/SUMIF('caseload data'!$C:$C,'divisional &amp; regional caseload%'!$T$8,'caseload data'!E:E)</f>
        <v>#DIV/0!</v>
      </c>
      <c r="V13" s="181" t="e">
        <f>SUMIFS('caseload data'!F:F,'caseload data'!$C:$C,'divisional &amp; regional caseload%'!$T$8,'caseload data'!$D:$D,"SPO")/SUMIF('caseload data'!$C:$C,'divisional &amp; regional caseload%'!$T$8,'caseload data'!F:F)</f>
        <v>#DIV/0!</v>
      </c>
      <c r="W13" s="181" t="e">
        <f>SUMIFS('caseload data'!G:G,'caseload data'!$C:$C,'divisional &amp; regional caseload%'!$T$8,'caseload data'!$D:$D,"SPO")/SUMIF('caseload data'!$C:$C,'divisional &amp; regional caseload%'!$T$8,'caseload data'!G:G)</f>
        <v>#DIV/0!</v>
      </c>
      <c r="X13" s="181" t="e">
        <f>SUMIFS('caseload data'!H:H,'caseload data'!$C:$C,'divisional &amp; regional caseload%'!$T$8,'caseload data'!$D:$D,"SPO")/SUMIF('caseload data'!$C:$C,'divisional &amp; regional caseload%'!$T$8,'caseload data'!H:H)</f>
        <v>#DIV/0!</v>
      </c>
      <c r="Y13" s="181" t="e">
        <f>SUMIFS('caseload data'!I:I,'caseload data'!$C:$C,'divisional &amp; regional caseload%'!$T$8,'caseload data'!$D:$D,"SPO")/SUMIF('caseload data'!$C:$C,'divisional &amp; regional caseload%'!$T$8,'caseload data'!I:I)</f>
        <v>#DIV/0!</v>
      </c>
      <c r="Z13" s="181" t="e">
        <f>SUMIFS('caseload data'!J:J,'caseload data'!$C:$C,'divisional &amp; regional caseload%'!$T$8,'caseload data'!$D:$D,"SPO")/SUMIF('caseload data'!$C:$C,'divisional &amp; regional caseload%'!$T$8,'caseload data'!J:J)</f>
        <v>#DIV/0!</v>
      </c>
      <c r="AA13" s="181" t="e">
        <f>SUMIFS('caseload data'!K:K,'caseload data'!$C:$C,'divisional &amp; regional caseload%'!$T$8,'caseload data'!$D:$D,"SPO")/SUMIF('caseload data'!$C:$C,'divisional &amp; regional caseload%'!$T$8,'caseload data'!K:K)</f>
        <v>#DIV/0!</v>
      </c>
      <c r="AB13" s="181" t="e">
        <f>SUMIFS('caseload data'!L:L,'caseload data'!$C:$C,'divisional &amp; regional caseload%'!$T$8,'caseload data'!$D:$D,"SPO")/SUMIF('caseload data'!$C:$C,'divisional &amp; regional caseload%'!$T$8,'caseload data'!L:L)</f>
        <v>#DIV/0!</v>
      </c>
      <c r="AC13" s="181" t="e">
        <f>SUMIFS('caseload data'!M:M,'caseload data'!$C:$C,'divisional &amp; regional caseload%'!$T$8,'caseload data'!$D:$D,"SPO")/SUMIF('caseload data'!$C:$C,'divisional &amp; regional caseload%'!$T$8,'caseload data'!M:M)</f>
        <v>#DIV/0!</v>
      </c>
      <c r="AD13" s="181" t="e">
        <f>SUMIFS('caseload data'!N:N,'caseload data'!$C:$C,'divisional &amp; regional caseload%'!$T$8,'caseload data'!$D:$D,"SPO")/SUMIF('caseload data'!$C:$C,'divisional &amp; regional caseload%'!$T$8,'caseload data'!N:N)</f>
        <v>#DIV/0!</v>
      </c>
      <c r="AE13" s="181" t="e">
        <f>SUMIFS('caseload data'!O:O,'caseload data'!$C:$C,'divisional &amp; regional caseload%'!$T$8,'caseload data'!$D:$D,"SPO")/SUMIF('caseload data'!$C:$C,'divisional &amp; regional caseload%'!$T$8,'caseload data'!O:O)</f>
        <v>#DIV/0!</v>
      </c>
      <c r="AF13" s="181" t="e">
        <f>SUMIFS('caseload data'!P:P,'caseload data'!$C:$C,'divisional &amp; regional caseload%'!$T$8,'caseload data'!$D:$D,"SPO")/SUMIF('caseload data'!$C:$C,'divisional &amp; regional caseload%'!$T$8,'caseload data'!P:P)</f>
        <v>#DIV/0!</v>
      </c>
      <c r="AG13" s="181" t="e">
        <f>SUMIFS('caseload data'!Q:Q,'caseload data'!$C:$C,'divisional &amp; regional caseload%'!$T$8,'caseload data'!$D:$D,"SPO")/SUMIF('caseload data'!$C:$C,'divisional &amp; regional caseload%'!$T$8,'caseload data'!Q:Q)</f>
        <v>#DIV/0!</v>
      </c>
      <c r="AH13" s="181" t="e">
        <f>SUMIFS('caseload data'!R:R,'caseload data'!$C:$C,'divisional &amp; regional caseload%'!$T$8,'caseload data'!$D:$D,"SPO")/SUMIF('caseload data'!$C:$C,'divisional &amp; regional caseload%'!$T$8,'caseload data'!R:R)</f>
        <v>#DIV/0!</v>
      </c>
      <c r="AI13" s="181" t="e">
        <f>SUMIFS('caseload data'!S:S,'caseload data'!$C:$C,'divisional &amp; regional caseload%'!$T$8,'caseload data'!$D:$D,"SPO")/SUMIF('caseload data'!$C:$C,'divisional &amp; regional caseload%'!$T$8,'caseload data'!S:S)</f>
        <v>#DIV/0!</v>
      </c>
      <c r="AJ13" s="181" t="e">
        <f>SUMIFS('caseload data'!T:T,'caseload data'!$C:$C,'divisional &amp; regional caseload%'!$T$8,'caseload data'!$D:$D,"SPO")/SUMIF('caseload data'!$C:$C,'divisional &amp; regional caseload%'!$T$8,'caseload data'!T:T)</f>
        <v>#DIV/0!</v>
      </c>
    </row>
    <row r="14" spans="1:50" x14ac:dyDescent="0.15">
      <c r="B14" s="101"/>
      <c r="C14" s="73"/>
      <c r="D14" s="73"/>
      <c r="E14" s="73"/>
      <c r="F14" s="73"/>
      <c r="G14" s="73"/>
      <c r="H14" s="73"/>
      <c r="I14" s="73"/>
      <c r="J14" s="73"/>
      <c r="K14" s="73"/>
      <c r="L14" s="73"/>
      <c r="M14" s="73"/>
      <c r="N14" s="73"/>
      <c r="O14" s="73"/>
      <c r="P14" s="73"/>
      <c r="Q14" s="73"/>
      <c r="R14" s="73"/>
      <c r="S14" s="73"/>
      <c r="T14" s="101"/>
      <c r="U14" s="73"/>
      <c r="V14" s="73"/>
      <c r="W14" s="73"/>
      <c r="X14" s="73"/>
      <c r="Y14" s="73"/>
      <c r="Z14" s="73"/>
      <c r="AA14" s="73"/>
      <c r="AB14" s="73"/>
      <c r="AC14" s="73"/>
      <c r="AD14" s="73"/>
      <c r="AE14" s="73"/>
      <c r="AF14" s="73"/>
      <c r="AG14" s="73"/>
      <c r="AH14" s="73"/>
      <c r="AI14" s="73"/>
      <c r="AJ14" s="73"/>
    </row>
    <row r="15" spans="1:50" ht="30" customHeight="1" x14ac:dyDescent="0.15">
      <c r="B15" s="156" t="str">
        <f>HLOOKUP($B$5,Region_Table,4,0)</f>
        <v>Camden, Islington</v>
      </c>
      <c r="C15" s="367" t="s">
        <v>1130</v>
      </c>
      <c r="D15" s="368"/>
      <c r="E15" s="368"/>
      <c r="F15" s="368"/>
      <c r="G15" s="368"/>
      <c r="H15" s="368"/>
      <c r="I15" s="368"/>
      <c r="J15" s="368"/>
      <c r="K15" s="368"/>
      <c r="L15" s="368"/>
      <c r="M15" s="377"/>
      <c r="N15" s="377"/>
      <c r="O15" s="378"/>
      <c r="P15" s="371">
        <f>SUMIF('caseload data'!$C:$C,'divisional &amp; regional caseload%'!B15,'caseload data'!V:V)</f>
        <v>0</v>
      </c>
      <c r="Q15" s="379"/>
      <c r="R15" s="380"/>
      <c r="S15" s="73"/>
      <c r="T15" s="156" t="str">
        <f>HLOOKUP($B$5,Region_Table,5,0)</f>
        <v>Community Integration</v>
      </c>
      <c r="U15" s="367" t="s">
        <v>1130</v>
      </c>
      <c r="V15" s="368"/>
      <c r="W15" s="368"/>
      <c r="X15" s="368"/>
      <c r="Y15" s="368"/>
      <c r="Z15" s="368"/>
      <c r="AA15" s="368"/>
      <c r="AB15" s="368"/>
      <c r="AC15" s="368"/>
      <c r="AD15" s="368"/>
      <c r="AE15" s="377"/>
      <c r="AF15" s="377"/>
      <c r="AG15" s="378"/>
      <c r="AH15" s="371">
        <f>SUMIF('caseload data'!$C:$C,'divisional &amp; regional caseload%'!T15,'caseload data'!V:V)</f>
        <v>0</v>
      </c>
      <c r="AI15" s="379"/>
      <c r="AJ15" s="380"/>
    </row>
    <row r="16" spans="1:50" x14ac:dyDescent="0.15">
      <c r="B16" s="105" t="s">
        <v>1065</v>
      </c>
      <c r="C16" s="41" t="s">
        <v>922</v>
      </c>
      <c r="D16" s="41" t="s">
        <v>923</v>
      </c>
      <c r="E16" s="41" t="s">
        <v>924</v>
      </c>
      <c r="F16" s="41" t="s">
        <v>925</v>
      </c>
      <c r="G16" s="41" t="s">
        <v>926</v>
      </c>
      <c r="H16" s="41" t="s">
        <v>927</v>
      </c>
      <c r="I16" s="41" t="s">
        <v>928</v>
      </c>
      <c r="J16" s="41" t="s">
        <v>929</v>
      </c>
      <c r="K16" s="41" t="s">
        <v>930</v>
      </c>
      <c r="L16" s="41" t="s">
        <v>931</v>
      </c>
      <c r="M16" s="41" t="s">
        <v>932</v>
      </c>
      <c r="N16" s="41" t="s">
        <v>933</v>
      </c>
      <c r="O16" s="41" t="s">
        <v>934</v>
      </c>
      <c r="P16" s="41" t="s">
        <v>935</v>
      </c>
      <c r="Q16" s="41" t="s">
        <v>936</v>
      </c>
      <c r="R16" s="41" t="s">
        <v>937</v>
      </c>
      <c r="S16" s="73"/>
      <c r="T16" s="105" t="s">
        <v>1065</v>
      </c>
      <c r="U16" s="41" t="s">
        <v>922</v>
      </c>
      <c r="V16" s="41" t="s">
        <v>923</v>
      </c>
      <c r="W16" s="41" t="s">
        <v>924</v>
      </c>
      <c r="X16" s="41" t="s">
        <v>925</v>
      </c>
      <c r="Y16" s="41" t="s">
        <v>926</v>
      </c>
      <c r="Z16" s="41" t="s">
        <v>927</v>
      </c>
      <c r="AA16" s="41" t="s">
        <v>928</v>
      </c>
      <c r="AB16" s="41" t="s">
        <v>929</v>
      </c>
      <c r="AC16" s="41" t="s">
        <v>930</v>
      </c>
      <c r="AD16" s="41" t="s">
        <v>931</v>
      </c>
      <c r="AE16" s="41" t="s">
        <v>932</v>
      </c>
      <c r="AF16" s="41" t="s">
        <v>933</v>
      </c>
      <c r="AG16" s="41" t="s">
        <v>934</v>
      </c>
      <c r="AH16" s="41" t="s">
        <v>935</v>
      </c>
      <c r="AI16" s="41" t="s">
        <v>936</v>
      </c>
      <c r="AJ16" s="41" t="s">
        <v>937</v>
      </c>
    </row>
    <row r="17" spans="2:36" x14ac:dyDescent="0.15">
      <c r="B17" s="106" t="s">
        <v>911</v>
      </c>
      <c r="C17" s="181" t="e">
        <f>SUMIFS('caseload data'!E:E,'caseload data'!$C:$C,'divisional &amp; regional caseload%'!$B$15,'caseload data'!$D:$D,"PO")/SUMIF('caseload data'!$C:$C,'divisional &amp; regional caseload%'!$B$15,'caseload data'!E:E)</f>
        <v>#DIV/0!</v>
      </c>
      <c r="D17" s="181" t="e">
        <f>SUMIFS('caseload data'!F:F,'caseload data'!$C:$C,'divisional &amp; regional caseload%'!$B$15,'caseload data'!$D:$D,"PO")/SUMIF('caseload data'!$C:$C,'divisional &amp; regional caseload%'!$B$15,'caseload data'!F:F)</f>
        <v>#DIV/0!</v>
      </c>
      <c r="E17" s="181" t="e">
        <f>SUMIFS('caseload data'!G:G,'caseload data'!$C:$C,'divisional &amp; regional caseload%'!$B$15,'caseload data'!$D:$D,"PO")/SUMIF('caseload data'!$C:$C,'divisional &amp; regional caseload%'!$B$15,'caseload data'!G:G)</f>
        <v>#DIV/0!</v>
      </c>
      <c r="F17" s="181" t="e">
        <f>SUMIFS('caseload data'!H:H,'caseload data'!$C:$C,'divisional &amp; regional caseload%'!$B$15,'caseload data'!$D:$D,"PO")/SUMIF('caseload data'!$C:$C,'divisional &amp; regional caseload%'!$B$15,'caseload data'!H:H)</f>
        <v>#DIV/0!</v>
      </c>
      <c r="G17" s="181" t="e">
        <f>SUMIFS('caseload data'!I:I,'caseload data'!$C:$C,'divisional &amp; regional caseload%'!$B$15,'caseload data'!$D:$D,"PO")/SUMIF('caseload data'!$C:$C,'divisional &amp; regional caseload%'!$B$15,'caseload data'!I:I)</f>
        <v>#DIV/0!</v>
      </c>
      <c r="H17" s="181" t="e">
        <f>SUMIFS('caseload data'!J:J,'caseload data'!$C:$C,'divisional &amp; regional caseload%'!$B$15,'caseload data'!$D:$D,"PO")/SUMIF('caseload data'!$C:$C,'divisional &amp; regional caseload%'!$B$15,'caseload data'!J:J)</f>
        <v>#DIV/0!</v>
      </c>
      <c r="I17" s="181" t="e">
        <f>SUMIFS('caseload data'!K:K,'caseload data'!$C:$C,'divisional &amp; regional caseload%'!$B$15,'caseload data'!$D:$D,"PO")/SUMIF('caseload data'!$C:$C,'divisional &amp; regional caseload%'!$B$15,'caseload data'!K:K)</f>
        <v>#DIV/0!</v>
      </c>
      <c r="J17" s="181" t="e">
        <f>SUMIFS('caseload data'!L:L,'caseload data'!$C:$C,'divisional &amp; regional caseload%'!$B$15,'caseload data'!$D:$D,"PO")/SUMIF('caseload data'!$C:$C,'divisional &amp; regional caseload%'!$B$15,'caseload data'!L:L)</f>
        <v>#DIV/0!</v>
      </c>
      <c r="K17" s="181" t="e">
        <f>SUMIFS('caseload data'!M:M,'caseload data'!$C:$C,'divisional &amp; regional caseload%'!$B$15,'caseload data'!$D:$D,"PO")/SUMIF('caseload data'!$C:$C,'divisional &amp; regional caseload%'!$B$15,'caseload data'!M:M)</f>
        <v>#DIV/0!</v>
      </c>
      <c r="L17" s="181" t="e">
        <f>SUMIFS('caseload data'!N:N,'caseload data'!$C:$C,'divisional &amp; regional caseload%'!$B$15,'caseload data'!$D:$D,"PO")/SUMIF('caseload data'!$C:$C,'divisional &amp; regional caseload%'!$B$15,'caseload data'!N:N)</f>
        <v>#DIV/0!</v>
      </c>
      <c r="M17" s="181" t="e">
        <f>SUMIFS('caseload data'!O:O,'caseload data'!$C:$C,'divisional &amp; regional caseload%'!$B$15,'caseload data'!$D:$D,"PO")/SUMIF('caseload data'!$C:$C,'divisional &amp; regional caseload%'!$B$15,'caseload data'!O:O)</f>
        <v>#DIV/0!</v>
      </c>
      <c r="N17" s="181" t="e">
        <f>SUMIFS('caseload data'!P:P,'caseload data'!$C:$C,'divisional &amp; regional caseload%'!$B$15,'caseload data'!$D:$D,"PO")/SUMIF('caseload data'!$C:$C,'divisional &amp; regional caseload%'!$B$15,'caseload data'!P:P)</f>
        <v>#DIV/0!</v>
      </c>
      <c r="O17" s="181" t="e">
        <f>SUMIFS('caseload data'!Q:Q,'caseload data'!$C:$C,'divisional &amp; regional caseload%'!$B$15,'caseload data'!$D:$D,"PO")/SUMIF('caseload data'!$C:$C,'divisional &amp; regional caseload%'!$B$15,'caseload data'!Q:Q)</f>
        <v>#DIV/0!</v>
      </c>
      <c r="P17" s="181" t="e">
        <f>SUMIFS('caseload data'!R:R,'caseload data'!$C:$C,'divisional &amp; regional caseload%'!$B$15,'caseload data'!$D:$D,"PO")/SUMIF('caseload data'!$C:$C,'divisional &amp; regional caseload%'!$B$15,'caseload data'!R:R)</f>
        <v>#DIV/0!</v>
      </c>
      <c r="Q17" s="181" t="e">
        <f>SUMIFS('caseload data'!S:S,'caseload data'!$C:$C,'divisional &amp; regional caseload%'!$B$15,'caseload data'!$D:$D,"PO")/SUMIF('caseload data'!$C:$C,'divisional &amp; regional caseload%'!$B$15,'caseload data'!S:S)</f>
        <v>#DIV/0!</v>
      </c>
      <c r="R17" s="181" t="e">
        <f>SUMIFS('caseload data'!T:T,'caseload data'!$C:$C,'divisional &amp; regional caseload%'!$B$15,'caseload data'!$D:$D,"PO")/SUMIF('caseload data'!$C:$C,'divisional &amp; regional caseload%'!$B$15,'caseload data'!T:T)</f>
        <v>#DIV/0!</v>
      </c>
      <c r="S17" s="73"/>
      <c r="T17" s="106" t="s">
        <v>911</v>
      </c>
      <c r="U17" s="181" t="e">
        <f>SUMIFS('caseload data'!E:E,'caseload data'!$C:$C,'divisional &amp; regional caseload%'!$T$15,'caseload data'!$D:$D,"PO")/SUMIF('caseload data'!$C:$C,'divisional &amp; regional caseload%'!$T$15,'caseload data'!E:E)</f>
        <v>#DIV/0!</v>
      </c>
      <c r="V17" s="181" t="e">
        <f>SUMIFS('caseload data'!F:F,'caseload data'!$C:$C,'divisional &amp; regional caseload%'!$T$15,'caseload data'!$D:$D,"PO")/SUMIF('caseload data'!$C:$C,'divisional &amp; regional caseload%'!$T$15,'caseload data'!F:F)</f>
        <v>#DIV/0!</v>
      </c>
      <c r="W17" s="181" t="e">
        <f>SUMIFS('caseload data'!G:G,'caseload data'!$C:$C,'divisional &amp; regional caseload%'!$T$15,'caseload data'!$D:$D,"PO")/SUMIF('caseload data'!$C:$C,'divisional &amp; regional caseload%'!$T$15,'caseload data'!G:G)</f>
        <v>#DIV/0!</v>
      </c>
      <c r="X17" s="181" t="e">
        <f>SUMIFS('caseload data'!H:H,'caseload data'!$C:$C,'divisional &amp; regional caseload%'!$T$15,'caseload data'!$D:$D,"PO")/SUMIF('caseload data'!$C:$C,'divisional &amp; regional caseload%'!$T$15,'caseload data'!H:H)</f>
        <v>#DIV/0!</v>
      </c>
      <c r="Y17" s="181" t="e">
        <f>SUMIFS('caseload data'!I:I,'caseload data'!$C:$C,'divisional &amp; regional caseload%'!$T$15,'caseload data'!$D:$D,"PO")/SUMIF('caseload data'!$C:$C,'divisional &amp; regional caseload%'!$T$15,'caseload data'!I:I)</f>
        <v>#DIV/0!</v>
      </c>
      <c r="Z17" s="181" t="e">
        <f>SUMIFS('caseload data'!J:J,'caseload data'!$C:$C,'divisional &amp; regional caseload%'!$T$15,'caseload data'!$D:$D,"PO")/SUMIF('caseload data'!$C:$C,'divisional &amp; regional caseload%'!$T$15,'caseload data'!J:J)</f>
        <v>#DIV/0!</v>
      </c>
      <c r="AA17" s="181" t="e">
        <f>SUMIFS('caseload data'!K:K,'caseload data'!$C:$C,'divisional &amp; regional caseload%'!$T$15,'caseload data'!$D:$D,"PO")/SUMIF('caseload data'!$C:$C,'divisional &amp; regional caseload%'!$T$15,'caseload data'!K:K)</f>
        <v>#DIV/0!</v>
      </c>
      <c r="AB17" s="181" t="e">
        <f>SUMIFS('caseload data'!L:L,'caseload data'!$C:$C,'divisional &amp; regional caseload%'!$T$15,'caseload data'!$D:$D,"PO")/SUMIF('caseload data'!$C:$C,'divisional &amp; regional caseload%'!$T$15,'caseload data'!L:L)</f>
        <v>#DIV/0!</v>
      </c>
      <c r="AC17" s="181" t="e">
        <f>SUMIFS('caseload data'!M:M,'caseload data'!$C:$C,'divisional &amp; regional caseload%'!$T$15,'caseload data'!$D:$D,"PO")/SUMIF('caseload data'!$C:$C,'divisional &amp; regional caseload%'!$T$15,'caseload data'!M:M)</f>
        <v>#DIV/0!</v>
      </c>
      <c r="AD17" s="181" t="e">
        <f>SUMIFS('caseload data'!N:N,'caseload data'!$C:$C,'divisional &amp; regional caseload%'!$T$15,'caseload data'!$D:$D,"PO")/SUMIF('caseload data'!$C:$C,'divisional &amp; regional caseload%'!$T$15,'caseload data'!N:N)</f>
        <v>#DIV/0!</v>
      </c>
      <c r="AE17" s="181" t="e">
        <f>SUMIFS('caseload data'!O:O,'caseload data'!$C:$C,'divisional &amp; regional caseload%'!$T$15,'caseload data'!$D:$D,"PO")/SUMIF('caseload data'!$C:$C,'divisional &amp; regional caseload%'!$T$15,'caseload data'!O:O)</f>
        <v>#DIV/0!</v>
      </c>
      <c r="AF17" s="181" t="e">
        <f>SUMIFS('caseload data'!P:P,'caseload data'!$C:$C,'divisional &amp; regional caseload%'!$T$15,'caseload data'!$D:$D,"PO")/SUMIF('caseload data'!$C:$C,'divisional &amp; regional caseload%'!$T$15,'caseload data'!P:P)</f>
        <v>#DIV/0!</v>
      </c>
      <c r="AG17" s="181" t="e">
        <f>SUMIFS('caseload data'!Q:Q,'caseload data'!$C:$C,'divisional &amp; regional caseload%'!$T$15,'caseload data'!$D:$D,"PO")/SUMIF('caseload data'!$C:$C,'divisional &amp; regional caseload%'!$T$15,'caseload data'!Q:Q)</f>
        <v>#DIV/0!</v>
      </c>
      <c r="AH17" s="181" t="e">
        <f>SUMIFS('caseload data'!R:R,'caseload data'!$C:$C,'divisional &amp; regional caseload%'!$T$15,'caseload data'!$D:$D,"PO")/SUMIF('caseload data'!$C:$C,'divisional &amp; regional caseload%'!$T$15,'caseload data'!R:R)</f>
        <v>#DIV/0!</v>
      </c>
      <c r="AI17" s="181" t="e">
        <f>SUMIFS('caseload data'!S:S,'caseload data'!$C:$C,'divisional &amp; regional caseload%'!$T$15,'caseload data'!$D:$D,"PO")/SUMIF('caseload data'!$C:$C,'divisional &amp; regional caseload%'!$T$15,'caseload data'!S:S)</f>
        <v>#DIV/0!</v>
      </c>
      <c r="AJ17" s="181" t="e">
        <f>SUMIFS('caseload data'!T:T,'caseload data'!$C:$C,'divisional &amp; regional caseload%'!$T$15,'caseload data'!$D:$D,"PO")/SUMIF('caseload data'!$C:$C,'divisional &amp; regional caseload%'!$T$15,'caseload data'!T:T)</f>
        <v>#DIV/0!</v>
      </c>
    </row>
    <row r="18" spans="2:36" x14ac:dyDescent="0.15">
      <c r="B18" s="107" t="s">
        <v>912</v>
      </c>
      <c r="C18" s="181" t="e">
        <f>SUMIFS('caseload data'!E:E,'caseload data'!$C:$C,'divisional &amp; regional caseload%'!$B$15,'caseload data'!$D:$D,"PSO")/SUMIF('caseload data'!$C:$C,'divisional &amp; regional caseload%'!$B$15,'caseload data'!E:E)</f>
        <v>#DIV/0!</v>
      </c>
      <c r="D18" s="181" t="e">
        <f>SUMIFS('caseload data'!F:F,'caseload data'!$C:$C,'divisional &amp; regional caseload%'!$B$15,'caseload data'!$D:$D,"PSO")/SUMIF('caseload data'!$C:$C,'divisional &amp; regional caseload%'!$B$15,'caseload data'!F:F)</f>
        <v>#DIV/0!</v>
      </c>
      <c r="E18" s="181" t="e">
        <f>SUMIFS('caseload data'!G:G,'caseload data'!$C:$C,'divisional &amp; regional caseload%'!$B$15,'caseload data'!$D:$D,"PSO")/SUMIF('caseload data'!$C:$C,'divisional &amp; regional caseload%'!$B$15,'caseload data'!G:G)</f>
        <v>#DIV/0!</v>
      </c>
      <c r="F18" s="181" t="e">
        <f>SUMIFS('caseload data'!H:H,'caseload data'!$C:$C,'divisional &amp; regional caseload%'!$B$15,'caseload data'!$D:$D,"PSO")/SUMIF('caseload data'!$C:$C,'divisional &amp; regional caseload%'!$B$15,'caseload data'!H:H)</f>
        <v>#DIV/0!</v>
      </c>
      <c r="G18" s="181" t="e">
        <f>SUMIFS('caseload data'!I:I,'caseload data'!$C:$C,'divisional &amp; regional caseload%'!$B$15,'caseload data'!$D:$D,"PSO")/SUMIF('caseload data'!$C:$C,'divisional &amp; regional caseload%'!$B$15,'caseload data'!I:I)</f>
        <v>#DIV/0!</v>
      </c>
      <c r="H18" s="181" t="e">
        <f>SUMIFS('caseload data'!J:J,'caseload data'!$C:$C,'divisional &amp; regional caseload%'!$B$15,'caseload data'!$D:$D,"PSO")/SUMIF('caseload data'!$C:$C,'divisional &amp; regional caseload%'!$B$15,'caseload data'!J:J)</f>
        <v>#DIV/0!</v>
      </c>
      <c r="I18" s="181" t="e">
        <f>SUMIFS('caseload data'!K:K,'caseload data'!$C:$C,'divisional &amp; regional caseload%'!$B$15,'caseload data'!$D:$D,"PSO")/SUMIF('caseload data'!$C:$C,'divisional &amp; regional caseload%'!$B$15,'caseload data'!K:K)</f>
        <v>#DIV/0!</v>
      </c>
      <c r="J18" s="181" t="e">
        <f>SUMIFS('caseload data'!L:L,'caseload data'!$C:$C,'divisional &amp; regional caseload%'!$B$15,'caseload data'!$D:$D,"PSO")/SUMIF('caseload data'!$C:$C,'divisional &amp; regional caseload%'!$B$15,'caseload data'!L:L)</f>
        <v>#DIV/0!</v>
      </c>
      <c r="K18" s="181" t="e">
        <f>SUMIFS('caseload data'!M:M,'caseload data'!$C:$C,'divisional &amp; regional caseload%'!$B$15,'caseload data'!$D:$D,"PSO")/SUMIF('caseload data'!$C:$C,'divisional &amp; regional caseload%'!$B$15,'caseload data'!M:M)</f>
        <v>#DIV/0!</v>
      </c>
      <c r="L18" s="181" t="e">
        <f>SUMIFS('caseload data'!N:N,'caseload data'!$C:$C,'divisional &amp; regional caseload%'!$B$15,'caseload data'!$D:$D,"PSO")/SUMIF('caseload data'!$C:$C,'divisional &amp; regional caseload%'!$B$15,'caseload data'!N:N)</f>
        <v>#DIV/0!</v>
      </c>
      <c r="M18" s="181" t="e">
        <f>SUMIFS('caseload data'!O:O,'caseload data'!$C:$C,'divisional &amp; regional caseload%'!$B$15,'caseload data'!$D:$D,"PSO")/SUMIF('caseload data'!$C:$C,'divisional &amp; regional caseload%'!$B$15,'caseload data'!O:O)</f>
        <v>#DIV/0!</v>
      </c>
      <c r="N18" s="181" t="e">
        <f>SUMIFS('caseload data'!P:P,'caseload data'!$C:$C,'divisional &amp; regional caseload%'!$B$15,'caseload data'!$D:$D,"PSO")/SUMIF('caseload data'!$C:$C,'divisional &amp; regional caseload%'!$B$15,'caseload data'!P:P)</f>
        <v>#DIV/0!</v>
      </c>
      <c r="O18" s="181" t="e">
        <f>SUMIFS('caseload data'!Q:Q,'caseload data'!$C:$C,'divisional &amp; regional caseload%'!$B$15,'caseload data'!$D:$D,"PSO")/SUMIF('caseload data'!$C:$C,'divisional &amp; regional caseload%'!$B$15,'caseload data'!Q:Q)</f>
        <v>#DIV/0!</v>
      </c>
      <c r="P18" s="181" t="e">
        <f>SUMIFS('caseload data'!R:R,'caseload data'!$C:$C,'divisional &amp; regional caseload%'!$B$15,'caseload data'!$D:$D,"PSO")/SUMIF('caseload data'!$C:$C,'divisional &amp; regional caseload%'!$B$15,'caseload data'!R:R)</f>
        <v>#DIV/0!</v>
      </c>
      <c r="Q18" s="181" t="e">
        <f>SUMIFS('caseload data'!S:S,'caseload data'!$C:$C,'divisional &amp; regional caseload%'!$B$15,'caseload data'!$D:$D,"PSO")/SUMIF('caseload data'!$C:$C,'divisional &amp; regional caseload%'!$B$15,'caseload data'!S:S)</f>
        <v>#DIV/0!</v>
      </c>
      <c r="R18" s="181" t="e">
        <f>SUMIFS('caseload data'!T:T,'caseload data'!$C:$C,'divisional &amp; regional caseload%'!$B$15,'caseload data'!$D:$D,"PSO")/SUMIF('caseload data'!$C:$C,'divisional &amp; regional caseload%'!$B$15,'caseload data'!T:T)</f>
        <v>#DIV/0!</v>
      </c>
      <c r="S18" s="73"/>
      <c r="T18" s="107" t="s">
        <v>912</v>
      </c>
      <c r="U18" s="181" t="e">
        <f>SUMIFS('caseload data'!E:E,'caseload data'!$C:$C,'divisional &amp; regional caseload%'!$T$15,'caseload data'!$D:$D,"PSO")/SUMIF('caseload data'!$C:$C,'divisional &amp; regional caseload%'!$T$15,'caseload data'!E:E)</f>
        <v>#DIV/0!</v>
      </c>
      <c r="V18" s="181" t="e">
        <f>SUMIFS('caseload data'!F:F,'caseload data'!$C:$C,'divisional &amp; regional caseload%'!$T$15,'caseload data'!$D:$D,"PSO")/SUMIF('caseload data'!$C:$C,'divisional &amp; regional caseload%'!$T$15,'caseload data'!F:F)</f>
        <v>#DIV/0!</v>
      </c>
      <c r="W18" s="181" t="e">
        <f>SUMIFS('caseload data'!G:G,'caseload data'!$C:$C,'divisional &amp; regional caseload%'!$T$15,'caseload data'!$D:$D,"PSO")/SUMIF('caseload data'!$C:$C,'divisional &amp; regional caseload%'!$T$15,'caseload data'!G:G)</f>
        <v>#DIV/0!</v>
      </c>
      <c r="X18" s="181" t="e">
        <f>SUMIFS('caseload data'!H:H,'caseload data'!$C:$C,'divisional &amp; regional caseload%'!$T$15,'caseload data'!$D:$D,"PSO")/SUMIF('caseload data'!$C:$C,'divisional &amp; regional caseload%'!$T$15,'caseload data'!H:H)</f>
        <v>#DIV/0!</v>
      </c>
      <c r="Y18" s="181" t="e">
        <f>SUMIFS('caseload data'!I:I,'caseload data'!$C:$C,'divisional &amp; regional caseload%'!$T$15,'caseload data'!$D:$D,"PSO")/SUMIF('caseload data'!$C:$C,'divisional &amp; regional caseload%'!$T$15,'caseload data'!I:I)</f>
        <v>#DIV/0!</v>
      </c>
      <c r="Z18" s="181" t="e">
        <f>SUMIFS('caseload data'!J:J,'caseload data'!$C:$C,'divisional &amp; regional caseload%'!$T$15,'caseload data'!$D:$D,"PSO")/SUMIF('caseload data'!$C:$C,'divisional &amp; regional caseload%'!$T$15,'caseload data'!J:J)</f>
        <v>#DIV/0!</v>
      </c>
      <c r="AA18" s="181" t="e">
        <f>SUMIFS('caseload data'!K:K,'caseload data'!$C:$C,'divisional &amp; regional caseload%'!$T$15,'caseload data'!$D:$D,"PSO")/SUMIF('caseload data'!$C:$C,'divisional &amp; regional caseload%'!$T$15,'caseload data'!K:K)</f>
        <v>#DIV/0!</v>
      </c>
      <c r="AB18" s="181" t="e">
        <f>SUMIFS('caseload data'!L:L,'caseload data'!$C:$C,'divisional &amp; regional caseload%'!$T$15,'caseload data'!$D:$D,"PSO")/SUMIF('caseload data'!$C:$C,'divisional &amp; regional caseload%'!$T$15,'caseload data'!L:L)</f>
        <v>#DIV/0!</v>
      </c>
      <c r="AC18" s="181" t="e">
        <f>SUMIFS('caseload data'!M:M,'caseload data'!$C:$C,'divisional &amp; regional caseload%'!$T$15,'caseload data'!$D:$D,"PSO")/SUMIF('caseload data'!$C:$C,'divisional &amp; regional caseload%'!$T$15,'caseload data'!M:M)</f>
        <v>#DIV/0!</v>
      </c>
      <c r="AD18" s="181" t="e">
        <f>SUMIFS('caseload data'!N:N,'caseload data'!$C:$C,'divisional &amp; regional caseload%'!$T$15,'caseload data'!$D:$D,"PSO")/SUMIF('caseload data'!$C:$C,'divisional &amp; regional caseload%'!$T$15,'caseload data'!N:N)</f>
        <v>#DIV/0!</v>
      </c>
      <c r="AE18" s="181" t="e">
        <f>SUMIFS('caseload data'!O:O,'caseload data'!$C:$C,'divisional &amp; regional caseload%'!$T$15,'caseload data'!$D:$D,"PSO")/SUMIF('caseload data'!$C:$C,'divisional &amp; regional caseload%'!$T$15,'caseload data'!O:O)</f>
        <v>#DIV/0!</v>
      </c>
      <c r="AF18" s="181" t="e">
        <f>SUMIFS('caseload data'!P:P,'caseload data'!$C:$C,'divisional &amp; regional caseload%'!$T$15,'caseload data'!$D:$D,"PSO")/SUMIF('caseload data'!$C:$C,'divisional &amp; regional caseload%'!$T$15,'caseload data'!P:P)</f>
        <v>#DIV/0!</v>
      </c>
      <c r="AG18" s="181" t="e">
        <f>SUMIFS('caseload data'!Q:Q,'caseload data'!$C:$C,'divisional &amp; regional caseload%'!$T$15,'caseload data'!$D:$D,"PSO")/SUMIF('caseload data'!$C:$C,'divisional &amp; regional caseload%'!$T$15,'caseload data'!Q:Q)</f>
        <v>#DIV/0!</v>
      </c>
      <c r="AH18" s="181" t="e">
        <f>SUMIFS('caseload data'!R:R,'caseload data'!$C:$C,'divisional &amp; regional caseload%'!$T$15,'caseload data'!$D:$D,"PSO")/SUMIF('caseload data'!$C:$C,'divisional &amp; regional caseload%'!$T$15,'caseload data'!R:R)</f>
        <v>#DIV/0!</v>
      </c>
      <c r="AI18" s="181" t="e">
        <f>SUMIFS('caseload data'!S:S,'caseload data'!$C:$C,'divisional &amp; regional caseload%'!$T$15,'caseload data'!$D:$D,"PSO")/SUMIF('caseload data'!$C:$C,'divisional &amp; regional caseload%'!$T$15,'caseload data'!S:S)</f>
        <v>#DIV/0!</v>
      </c>
      <c r="AJ18" s="181" t="e">
        <f>SUMIFS('caseload data'!T:T,'caseload data'!$C:$C,'divisional &amp; regional caseload%'!$T$15,'caseload data'!$D:$D,"PSO")/SUMIF('caseload data'!$C:$C,'divisional &amp; regional caseload%'!$T$15,'caseload data'!T:T)</f>
        <v>#DIV/0!</v>
      </c>
    </row>
    <row r="19" spans="2:36" x14ac:dyDescent="0.15">
      <c r="B19" s="107" t="s">
        <v>913</v>
      </c>
      <c r="C19" s="181" t="e">
        <f>SUMIFS('caseload data'!E:E,'caseload data'!$C:$C,'divisional &amp; regional caseload%'!$B$15,'caseload data'!$D:$D,"TPO")/SUMIF('caseload data'!$C:$C,'divisional &amp; regional caseload%'!$B$15,'caseload data'!E:E)</f>
        <v>#DIV/0!</v>
      </c>
      <c r="D19" s="181" t="e">
        <f>SUMIFS('caseload data'!F:F,'caseload data'!$C:$C,'divisional &amp; regional caseload%'!$B$15,'caseload data'!$D:$D,"TPO")/SUMIF('caseload data'!$C:$C,'divisional &amp; regional caseload%'!$B$15,'caseload data'!F:F)</f>
        <v>#DIV/0!</v>
      </c>
      <c r="E19" s="181" t="e">
        <f>SUMIFS('caseload data'!G:G,'caseload data'!$C:$C,'divisional &amp; regional caseload%'!$B$15,'caseload data'!$D:$D,"TPO")/SUMIF('caseload data'!$C:$C,'divisional &amp; regional caseload%'!$B$15,'caseload data'!G:G)</f>
        <v>#DIV/0!</v>
      </c>
      <c r="F19" s="181" t="e">
        <f>SUMIFS('caseload data'!H:H,'caseload data'!$C:$C,'divisional &amp; regional caseload%'!$B$15,'caseload data'!$D:$D,"TPO")/SUMIF('caseload data'!$C:$C,'divisional &amp; regional caseload%'!$B$15,'caseload data'!H:H)</f>
        <v>#DIV/0!</v>
      </c>
      <c r="G19" s="181" t="e">
        <f>SUMIFS('caseload data'!I:I,'caseload data'!$C:$C,'divisional &amp; regional caseload%'!$B$15,'caseload data'!$D:$D,"TPO")/SUMIF('caseload data'!$C:$C,'divisional &amp; regional caseload%'!$B$15,'caseload data'!I:I)</f>
        <v>#DIV/0!</v>
      </c>
      <c r="H19" s="181" t="e">
        <f>SUMIFS('caseload data'!J:J,'caseload data'!$C:$C,'divisional &amp; regional caseload%'!$B$15,'caseload data'!$D:$D,"TPO")/SUMIF('caseload data'!$C:$C,'divisional &amp; regional caseload%'!$B$15,'caseload data'!J:J)</f>
        <v>#DIV/0!</v>
      </c>
      <c r="I19" s="181" t="e">
        <f>SUMIFS('caseload data'!K:K,'caseload data'!$C:$C,'divisional &amp; regional caseload%'!$B$15,'caseload data'!$D:$D,"TPO")/SUMIF('caseload data'!$C:$C,'divisional &amp; regional caseload%'!$B$15,'caseload data'!K:K)</f>
        <v>#DIV/0!</v>
      </c>
      <c r="J19" s="181" t="e">
        <f>SUMIFS('caseload data'!L:L,'caseload data'!$C:$C,'divisional &amp; regional caseload%'!$B$15,'caseload data'!$D:$D,"TPO")/SUMIF('caseload data'!$C:$C,'divisional &amp; regional caseload%'!$B$15,'caseload data'!L:L)</f>
        <v>#DIV/0!</v>
      </c>
      <c r="K19" s="181" t="e">
        <f>SUMIFS('caseload data'!M:M,'caseload data'!$C:$C,'divisional &amp; regional caseload%'!$B$15,'caseload data'!$D:$D,"TPO")/SUMIF('caseload data'!$C:$C,'divisional &amp; regional caseload%'!$B$15,'caseload data'!M:M)</f>
        <v>#DIV/0!</v>
      </c>
      <c r="L19" s="181" t="e">
        <f>SUMIFS('caseload data'!N:N,'caseload data'!$C:$C,'divisional &amp; regional caseload%'!$B$15,'caseload data'!$D:$D,"TPO")/SUMIF('caseload data'!$C:$C,'divisional &amp; regional caseload%'!$B$15,'caseload data'!N:N)</f>
        <v>#DIV/0!</v>
      </c>
      <c r="M19" s="181" t="e">
        <f>SUMIFS('caseload data'!O:O,'caseload data'!$C:$C,'divisional &amp; regional caseload%'!$B$15,'caseload data'!$D:$D,"TPO")/SUMIF('caseload data'!$C:$C,'divisional &amp; regional caseload%'!$B$15,'caseload data'!O:O)</f>
        <v>#DIV/0!</v>
      </c>
      <c r="N19" s="181" t="e">
        <f>SUMIFS('caseload data'!P:P,'caseload data'!$C:$C,'divisional &amp; regional caseload%'!$B$15,'caseload data'!$D:$D,"TPO")/SUMIF('caseload data'!$C:$C,'divisional &amp; regional caseload%'!$B$15,'caseload data'!P:P)</f>
        <v>#DIV/0!</v>
      </c>
      <c r="O19" s="181" t="e">
        <f>SUMIFS('caseload data'!Q:Q,'caseload data'!$C:$C,'divisional &amp; regional caseload%'!$B$15,'caseload data'!$D:$D,"TPO")/SUMIF('caseload data'!$C:$C,'divisional &amp; regional caseload%'!$B$15,'caseload data'!Q:Q)</f>
        <v>#DIV/0!</v>
      </c>
      <c r="P19" s="181" t="e">
        <f>SUMIFS('caseload data'!R:R,'caseload data'!$C:$C,'divisional &amp; regional caseload%'!$B$15,'caseload data'!$D:$D,"TPO")/SUMIF('caseload data'!$C:$C,'divisional &amp; regional caseload%'!$B$15,'caseload data'!R:R)</f>
        <v>#DIV/0!</v>
      </c>
      <c r="Q19" s="181" t="e">
        <f>SUMIFS('caseload data'!S:S,'caseload data'!$C:$C,'divisional &amp; regional caseload%'!$B$15,'caseload data'!$D:$D,"TPO")/SUMIF('caseload data'!$C:$C,'divisional &amp; regional caseload%'!$B$15,'caseload data'!S:S)</f>
        <v>#DIV/0!</v>
      </c>
      <c r="R19" s="181" t="e">
        <f>SUMIFS('caseload data'!T:T,'caseload data'!$C:$C,'divisional &amp; regional caseload%'!$B$15,'caseload data'!$D:$D,"TPO")/SUMIF('caseload data'!$C:$C,'divisional &amp; regional caseload%'!$B$15,'caseload data'!T:T)</f>
        <v>#DIV/0!</v>
      </c>
      <c r="S19" s="73"/>
      <c r="T19" s="107" t="s">
        <v>913</v>
      </c>
      <c r="U19" s="181" t="e">
        <f>SUMIFS('caseload data'!E:E,'caseload data'!$C:$C,'divisional &amp; regional caseload%'!$T$15,'caseload data'!$D:$D,"TPO")/SUMIF('caseload data'!$C:$C,'divisional &amp; regional caseload%'!$T$15,'caseload data'!E:E)</f>
        <v>#DIV/0!</v>
      </c>
      <c r="V19" s="181" t="e">
        <f>SUMIFS('caseload data'!F:F,'caseload data'!$C:$C,'divisional &amp; regional caseload%'!$T$15,'caseload data'!$D:$D,"TPO")/SUMIF('caseload data'!$C:$C,'divisional &amp; regional caseload%'!$T$15,'caseload data'!F:F)</f>
        <v>#DIV/0!</v>
      </c>
      <c r="W19" s="181" t="e">
        <f>SUMIFS('caseload data'!G:G,'caseload data'!$C:$C,'divisional &amp; regional caseload%'!$T$15,'caseload data'!$D:$D,"TPO")/SUMIF('caseload data'!$C:$C,'divisional &amp; regional caseload%'!$T$15,'caseload data'!G:G)</f>
        <v>#DIV/0!</v>
      </c>
      <c r="X19" s="181" t="e">
        <f>SUMIFS('caseload data'!H:H,'caseload data'!$C:$C,'divisional &amp; regional caseload%'!$T$15,'caseload data'!$D:$D,"TPO")/SUMIF('caseload data'!$C:$C,'divisional &amp; regional caseload%'!$T$15,'caseload data'!H:H)</f>
        <v>#DIV/0!</v>
      </c>
      <c r="Y19" s="181" t="e">
        <f>SUMIFS('caseload data'!I:I,'caseload data'!$C:$C,'divisional &amp; regional caseload%'!$T$15,'caseload data'!$D:$D,"TPO")/SUMIF('caseload data'!$C:$C,'divisional &amp; regional caseload%'!$T$15,'caseload data'!I:I)</f>
        <v>#DIV/0!</v>
      </c>
      <c r="Z19" s="181" t="e">
        <f>SUMIFS('caseload data'!J:J,'caseload data'!$C:$C,'divisional &amp; regional caseload%'!$T$15,'caseload data'!$D:$D,"TPO")/SUMIF('caseload data'!$C:$C,'divisional &amp; regional caseload%'!$T$15,'caseload data'!J:J)</f>
        <v>#DIV/0!</v>
      </c>
      <c r="AA19" s="181" t="e">
        <f>SUMIFS('caseload data'!K:K,'caseload data'!$C:$C,'divisional &amp; regional caseload%'!$T$15,'caseload data'!$D:$D,"TPO")/SUMIF('caseload data'!$C:$C,'divisional &amp; regional caseload%'!$T$15,'caseload data'!K:K)</f>
        <v>#DIV/0!</v>
      </c>
      <c r="AB19" s="181" t="e">
        <f>SUMIFS('caseload data'!L:L,'caseload data'!$C:$C,'divisional &amp; regional caseload%'!$T$15,'caseload data'!$D:$D,"TPO")/SUMIF('caseload data'!$C:$C,'divisional &amp; regional caseload%'!$T$15,'caseload data'!L:L)</f>
        <v>#DIV/0!</v>
      </c>
      <c r="AC19" s="181" t="e">
        <f>SUMIFS('caseload data'!M:M,'caseload data'!$C:$C,'divisional &amp; regional caseload%'!$T$15,'caseload data'!$D:$D,"TPO")/SUMIF('caseload data'!$C:$C,'divisional &amp; regional caseload%'!$T$15,'caseload data'!M:M)</f>
        <v>#DIV/0!</v>
      </c>
      <c r="AD19" s="181" t="e">
        <f>SUMIFS('caseload data'!N:N,'caseload data'!$C:$C,'divisional &amp; regional caseload%'!$T$15,'caseload data'!$D:$D,"TPO")/SUMIF('caseload data'!$C:$C,'divisional &amp; regional caseload%'!$T$15,'caseload data'!N:N)</f>
        <v>#DIV/0!</v>
      </c>
      <c r="AE19" s="181" t="e">
        <f>SUMIFS('caseload data'!O:O,'caseload data'!$C:$C,'divisional &amp; regional caseload%'!$T$15,'caseload data'!$D:$D,"TPO")/SUMIF('caseload data'!$C:$C,'divisional &amp; regional caseload%'!$T$15,'caseload data'!O:O)</f>
        <v>#DIV/0!</v>
      </c>
      <c r="AF19" s="181" t="e">
        <f>SUMIFS('caseload data'!P:P,'caseload data'!$C:$C,'divisional &amp; regional caseload%'!$T$15,'caseload data'!$D:$D,"TPO")/SUMIF('caseload data'!$C:$C,'divisional &amp; regional caseload%'!$T$15,'caseload data'!P:P)</f>
        <v>#DIV/0!</v>
      </c>
      <c r="AG19" s="181" t="e">
        <f>SUMIFS('caseload data'!Q:Q,'caseload data'!$C:$C,'divisional &amp; regional caseload%'!$T$15,'caseload data'!$D:$D,"TPO")/SUMIF('caseload data'!$C:$C,'divisional &amp; regional caseload%'!$T$15,'caseload data'!Q:Q)</f>
        <v>#DIV/0!</v>
      </c>
      <c r="AH19" s="181" t="e">
        <f>SUMIFS('caseload data'!R:R,'caseload data'!$C:$C,'divisional &amp; regional caseload%'!$T$15,'caseload data'!$D:$D,"TPO")/SUMIF('caseload data'!$C:$C,'divisional &amp; regional caseload%'!$T$15,'caseload data'!R:R)</f>
        <v>#DIV/0!</v>
      </c>
      <c r="AI19" s="181" t="e">
        <f>SUMIFS('caseload data'!S:S,'caseload data'!$C:$C,'divisional &amp; regional caseload%'!$T$15,'caseload data'!$D:$D,"TPO")/SUMIF('caseload data'!$C:$C,'divisional &amp; regional caseload%'!$T$15,'caseload data'!S:S)</f>
        <v>#DIV/0!</v>
      </c>
      <c r="AJ19" s="181" t="e">
        <f>SUMIFS('caseload data'!T:T,'caseload data'!$C:$C,'divisional &amp; regional caseload%'!$T$15,'caseload data'!$D:$D,"TPO")/SUMIF('caseload data'!$C:$C,'divisional &amp; regional caseload%'!$T$15,'caseload data'!T:T)</f>
        <v>#DIV/0!</v>
      </c>
    </row>
    <row r="20" spans="2:36" x14ac:dyDescent="0.15">
      <c r="B20" s="108" t="s">
        <v>914</v>
      </c>
      <c r="C20" s="181" t="e">
        <f>SUMIFS('caseload data'!E:E,'caseload data'!$C:$C,'divisional &amp; regional caseload%'!$B$15,'caseload data'!$D:$D,"SPO")/SUMIF('caseload data'!$C:$C,'divisional &amp; regional caseload%'!$B$15,'caseload data'!E:E)</f>
        <v>#DIV/0!</v>
      </c>
      <c r="D20" s="181" t="e">
        <f>SUMIFS('caseload data'!F:F,'caseload data'!$C:$C,'divisional &amp; regional caseload%'!$B$15,'caseload data'!$D:$D,"SPO")/SUMIF('caseload data'!$C:$C,'divisional &amp; regional caseload%'!$B$15,'caseload data'!F:F)</f>
        <v>#DIV/0!</v>
      </c>
      <c r="E20" s="181" t="e">
        <f>SUMIFS('caseload data'!G:G,'caseload data'!$C:$C,'divisional &amp; regional caseload%'!$B$15,'caseload data'!$D:$D,"SPO")/SUMIF('caseload data'!$C:$C,'divisional &amp; regional caseload%'!$B$15,'caseload data'!G:G)</f>
        <v>#DIV/0!</v>
      </c>
      <c r="F20" s="181" t="e">
        <f>SUMIFS('caseload data'!H:H,'caseload data'!$C:$C,'divisional &amp; regional caseload%'!$B$15,'caseload data'!$D:$D,"SPO")/SUMIF('caseload data'!$C:$C,'divisional &amp; regional caseload%'!$B$15,'caseload data'!H:H)</f>
        <v>#DIV/0!</v>
      </c>
      <c r="G20" s="181" t="e">
        <f>SUMIFS('caseload data'!I:I,'caseload data'!$C:$C,'divisional &amp; regional caseload%'!$B$15,'caseload data'!$D:$D,"SPO")/SUMIF('caseload data'!$C:$C,'divisional &amp; regional caseload%'!$B$15,'caseload data'!I:I)</f>
        <v>#DIV/0!</v>
      </c>
      <c r="H20" s="181" t="e">
        <f>SUMIFS('caseload data'!J:J,'caseload data'!$C:$C,'divisional &amp; regional caseload%'!$B$15,'caseload data'!$D:$D,"SPO")/SUMIF('caseload data'!$C:$C,'divisional &amp; regional caseload%'!$B$15,'caseload data'!J:J)</f>
        <v>#DIV/0!</v>
      </c>
      <c r="I20" s="181" t="e">
        <f>SUMIFS('caseload data'!K:K,'caseload data'!$C:$C,'divisional &amp; regional caseload%'!$B$15,'caseload data'!$D:$D,"SPO")/SUMIF('caseload data'!$C:$C,'divisional &amp; regional caseload%'!$B$15,'caseload data'!K:K)</f>
        <v>#DIV/0!</v>
      </c>
      <c r="J20" s="181" t="e">
        <f>SUMIFS('caseload data'!L:L,'caseload data'!$C:$C,'divisional &amp; regional caseload%'!$B$15,'caseload data'!$D:$D,"SPO")/SUMIF('caseload data'!$C:$C,'divisional &amp; regional caseload%'!$B$15,'caseload data'!L:L)</f>
        <v>#DIV/0!</v>
      </c>
      <c r="K20" s="181" t="e">
        <f>SUMIFS('caseload data'!M:M,'caseload data'!$C:$C,'divisional &amp; regional caseload%'!$B$15,'caseload data'!$D:$D,"SPO")/SUMIF('caseload data'!$C:$C,'divisional &amp; regional caseload%'!$B$15,'caseload data'!M:M)</f>
        <v>#DIV/0!</v>
      </c>
      <c r="L20" s="181" t="e">
        <f>SUMIFS('caseload data'!N:N,'caseload data'!$C:$C,'divisional &amp; regional caseload%'!$B$15,'caseload data'!$D:$D,"SPO")/SUMIF('caseload data'!$C:$C,'divisional &amp; regional caseload%'!$B$15,'caseload data'!N:N)</f>
        <v>#DIV/0!</v>
      </c>
      <c r="M20" s="181" t="e">
        <f>SUMIFS('caseload data'!O:O,'caseload data'!$C:$C,'divisional &amp; regional caseload%'!$B$15,'caseload data'!$D:$D,"SPO")/SUMIF('caseload data'!$C:$C,'divisional &amp; regional caseload%'!$B$15,'caseload data'!O:O)</f>
        <v>#DIV/0!</v>
      </c>
      <c r="N20" s="181" t="e">
        <f>SUMIFS('caseload data'!P:P,'caseload data'!$C:$C,'divisional &amp; regional caseload%'!$B$15,'caseload data'!$D:$D,"SPO")/SUMIF('caseload data'!$C:$C,'divisional &amp; regional caseload%'!$B$15,'caseload data'!P:P)</f>
        <v>#DIV/0!</v>
      </c>
      <c r="O20" s="181" t="e">
        <f>SUMIFS('caseload data'!Q:Q,'caseload data'!$C:$C,'divisional &amp; regional caseload%'!$B$15,'caseload data'!$D:$D,"SPO")/SUMIF('caseload data'!$C:$C,'divisional &amp; regional caseload%'!$B$15,'caseload data'!Q:Q)</f>
        <v>#DIV/0!</v>
      </c>
      <c r="P20" s="181" t="e">
        <f>SUMIFS('caseload data'!R:R,'caseload data'!$C:$C,'divisional &amp; regional caseload%'!$B$15,'caseload data'!$D:$D,"SPO")/SUMIF('caseload data'!$C:$C,'divisional &amp; regional caseload%'!$B$15,'caseload data'!R:R)</f>
        <v>#DIV/0!</v>
      </c>
      <c r="Q20" s="181" t="e">
        <f>SUMIFS('caseload data'!S:S,'caseload data'!$C:$C,'divisional &amp; regional caseload%'!$B$15,'caseload data'!$D:$D,"SPO")/SUMIF('caseload data'!$C:$C,'divisional &amp; regional caseload%'!$B$15,'caseload data'!S:S)</f>
        <v>#DIV/0!</v>
      </c>
      <c r="R20" s="181" t="e">
        <f>SUMIFS('caseload data'!T:T,'caseload data'!$C:$C,'divisional &amp; regional caseload%'!$B$15,'caseload data'!$D:$D,"SPO")/SUMIF('caseload data'!$C:$C,'divisional &amp; regional caseload%'!$B$15,'caseload data'!T:T)</f>
        <v>#DIV/0!</v>
      </c>
      <c r="S20" s="73"/>
      <c r="T20" s="108" t="s">
        <v>914</v>
      </c>
      <c r="U20" s="181" t="e">
        <f>SUMIFS('caseload data'!E:E,'caseload data'!$C:$C,'divisional &amp; regional caseload%'!$T$15,'caseload data'!$D:$D,"SPO")/SUMIF('caseload data'!$C:$C,'divisional &amp; regional caseload%'!$T$15,'caseload data'!E:E)</f>
        <v>#DIV/0!</v>
      </c>
      <c r="V20" s="181" t="e">
        <f>SUMIFS('caseload data'!F:F,'caseload data'!$C:$C,'divisional &amp; regional caseload%'!$T$15,'caseload data'!$D:$D,"SPO")/SUMIF('caseload data'!$C:$C,'divisional &amp; regional caseload%'!$T$15,'caseload data'!F:F)</f>
        <v>#DIV/0!</v>
      </c>
      <c r="W20" s="181" t="e">
        <f>SUMIFS('caseload data'!G:G,'caseload data'!$C:$C,'divisional &amp; regional caseload%'!$T$15,'caseload data'!$D:$D,"SPO")/SUMIF('caseload data'!$C:$C,'divisional &amp; regional caseload%'!$T$15,'caseload data'!G:G)</f>
        <v>#DIV/0!</v>
      </c>
      <c r="X20" s="181" t="e">
        <f>SUMIFS('caseload data'!H:H,'caseload data'!$C:$C,'divisional &amp; regional caseload%'!$T$15,'caseload data'!$D:$D,"SPO")/SUMIF('caseload data'!$C:$C,'divisional &amp; regional caseload%'!$T$15,'caseload data'!H:H)</f>
        <v>#DIV/0!</v>
      </c>
      <c r="Y20" s="181" t="e">
        <f>SUMIFS('caseload data'!I:I,'caseload data'!$C:$C,'divisional &amp; regional caseload%'!$T$15,'caseload data'!$D:$D,"SPO")/SUMIF('caseload data'!$C:$C,'divisional &amp; regional caseload%'!$T$15,'caseload data'!I:I)</f>
        <v>#DIV/0!</v>
      </c>
      <c r="Z20" s="181" t="e">
        <f>SUMIFS('caseload data'!J:J,'caseload data'!$C:$C,'divisional &amp; regional caseload%'!$T$15,'caseload data'!$D:$D,"SPO")/SUMIF('caseload data'!$C:$C,'divisional &amp; regional caseload%'!$T$15,'caseload data'!J:J)</f>
        <v>#DIV/0!</v>
      </c>
      <c r="AA20" s="181" t="e">
        <f>SUMIFS('caseload data'!K:K,'caseload data'!$C:$C,'divisional &amp; regional caseload%'!$T$15,'caseload data'!$D:$D,"SPO")/SUMIF('caseload data'!$C:$C,'divisional &amp; regional caseload%'!$T$15,'caseload data'!K:K)</f>
        <v>#DIV/0!</v>
      </c>
      <c r="AB20" s="181" t="e">
        <f>SUMIFS('caseload data'!L:L,'caseload data'!$C:$C,'divisional &amp; regional caseload%'!$T$15,'caseload data'!$D:$D,"SPO")/SUMIF('caseload data'!$C:$C,'divisional &amp; regional caseload%'!$T$15,'caseload data'!L:L)</f>
        <v>#DIV/0!</v>
      </c>
      <c r="AC20" s="181" t="e">
        <f>SUMIFS('caseload data'!M:M,'caseload data'!$C:$C,'divisional &amp; regional caseload%'!$T$15,'caseload data'!$D:$D,"SPO")/SUMIF('caseload data'!$C:$C,'divisional &amp; regional caseload%'!$T$15,'caseload data'!M:M)</f>
        <v>#DIV/0!</v>
      </c>
      <c r="AD20" s="181" t="e">
        <f>SUMIFS('caseload data'!N:N,'caseload data'!$C:$C,'divisional &amp; regional caseload%'!$T$15,'caseload data'!$D:$D,"SPO")/SUMIF('caseload data'!$C:$C,'divisional &amp; regional caseload%'!$T$15,'caseload data'!N:N)</f>
        <v>#DIV/0!</v>
      </c>
      <c r="AE20" s="181" t="e">
        <f>SUMIFS('caseload data'!O:O,'caseload data'!$C:$C,'divisional &amp; regional caseload%'!$T$15,'caseload data'!$D:$D,"SPO")/SUMIF('caseload data'!$C:$C,'divisional &amp; regional caseload%'!$T$15,'caseload data'!O:O)</f>
        <v>#DIV/0!</v>
      </c>
      <c r="AF20" s="181" t="e">
        <f>SUMIFS('caseload data'!P:P,'caseload data'!$C:$C,'divisional &amp; regional caseload%'!$T$15,'caseload data'!$D:$D,"SPO")/SUMIF('caseload data'!$C:$C,'divisional &amp; regional caseload%'!$T$15,'caseload data'!P:P)</f>
        <v>#DIV/0!</v>
      </c>
      <c r="AG20" s="181" t="e">
        <f>SUMIFS('caseload data'!Q:Q,'caseload data'!$C:$C,'divisional &amp; regional caseload%'!$T$15,'caseload data'!$D:$D,"SPO")/SUMIF('caseload data'!$C:$C,'divisional &amp; regional caseload%'!$T$15,'caseload data'!Q:Q)</f>
        <v>#DIV/0!</v>
      </c>
      <c r="AH20" s="181" t="e">
        <f>SUMIFS('caseload data'!R:R,'caseload data'!$C:$C,'divisional &amp; regional caseload%'!$T$15,'caseload data'!$D:$D,"SPO")/SUMIF('caseload data'!$C:$C,'divisional &amp; regional caseload%'!$T$15,'caseload data'!R:R)</f>
        <v>#DIV/0!</v>
      </c>
      <c r="AI20" s="181" t="e">
        <f>SUMIFS('caseload data'!S:S,'caseload data'!$C:$C,'divisional &amp; regional caseload%'!$T$15,'caseload data'!$D:$D,"SPO")/SUMIF('caseload data'!$C:$C,'divisional &amp; regional caseload%'!$T$15,'caseload data'!S:S)</f>
        <v>#DIV/0!</v>
      </c>
      <c r="AJ20" s="181" t="e">
        <f>SUMIFS('caseload data'!T:T,'caseload data'!$C:$C,'divisional &amp; regional caseload%'!$T$15,'caseload data'!$D:$D,"SPO")/SUMIF('caseload data'!$C:$C,'divisional &amp; regional caseload%'!$T$15,'caseload data'!T:T)</f>
        <v>#DIV/0!</v>
      </c>
    </row>
    <row r="21" spans="2:36" x14ac:dyDescent="0.15">
      <c r="B21" s="101"/>
      <c r="C21" s="73"/>
      <c r="D21" s="73"/>
      <c r="E21" s="73"/>
      <c r="F21" s="73"/>
      <c r="G21" s="73"/>
      <c r="H21" s="73"/>
      <c r="I21" s="73"/>
      <c r="J21" s="73"/>
      <c r="K21" s="73"/>
      <c r="L21" s="73"/>
      <c r="M21" s="73"/>
      <c r="N21" s="73"/>
      <c r="O21" s="73"/>
      <c r="P21" s="73"/>
      <c r="Q21" s="73"/>
      <c r="R21" s="73"/>
      <c r="S21" s="73"/>
      <c r="T21" s="101"/>
      <c r="U21" s="73"/>
      <c r="V21" s="73"/>
      <c r="W21" s="73"/>
      <c r="X21" s="73"/>
      <c r="Y21" s="73"/>
      <c r="Z21" s="73"/>
      <c r="AA21" s="73"/>
      <c r="AB21" s="73"/>
      <c r="AC21" s="73"/>
      <c r="AD21" s="73"/>
      <c r="AE21" s="73"/>
      <c r="AF21" s="73"/>
      <c r="AG21" s="73"/>
      <c r="AH21" s="73"/>
      <c r="AI21" s="73"/>
      <c r="AJ21" s="73"/>
    </row>
    <row r="22" spans="2:36" ht="30.75" customHeight="1" x14ac:dyDescent="0.15">
      <c r="B22" s="156" t="str">
        <f>HLOOKUP($B$5,Region_Table,6,0)</f>
        <v>Corporate Services - N07</v>
      </c>
      <c r="C22" s="367" t="s">
        <v>1130</v>
      </c>
      <c r="D22" s="368"/>
      <c r="E22" s="368"/>
      <c r="F22" s="368"/>
      <c r="G22" s="368"/>
      <c r="H22" s="368"/>
      <c r="I22" s="368"/>
      <c r="J22" s="368"/>
      <c r="K22" s="368"/>
      <c r="L22" s="368"/>
      <c r="M22" s="377"/>
      <c r="N22" s="377"/>
      <c r="O22" s="378"/>
      <c r="P22" s="371">
        <f>SUMIF('caseload data'!$C:$C,'divisional &amp; regional caseload%'!B22,'caseload data'!V:V)</f>
        <v>0</v>
      </c>
      <c r="Q22" s="379"/>
      <c r="R22" s="380"/>
      <c r="S22" s="73"/>
      <c r="T22" s="156" t="str">
        <f>HLOOKUP($B$5,Region_Table,7,0)</f>
        <v>Croydon - N07</v>
      </c>
      <c r="U22" s="367" t="s">
        <v>1130</v>
      </c>
      <c r="V22" s="368"/>
      <c r="W22" s="368"/>
      <c r="X22" s="368"/>
      <c r="Y22" s="368"/>
      <c r="Z22" s="368"/>
      <c r="AA22" s="368"/>
      <c r="AB22" s="368"/>
      <c r="AC22" s="368"/>
      <c r="AD22" s="368"/>
      <c r="AE22" s="377"/>
      <c r="AF22" s="377"/>
      <c r="AG22" s="378"/>
      <c r="AH22" s="371">
        <f>SUMIF('caseload data'!$C:$C,'divisional &amp; regional caseload%'!T22,'caseload data'!V:V)</f>
        <v>0</v>
      </c>
      <c r="AI22" s="379"/>
      <c r="AJ22" s="380"/>
    </row>
    <row r="23" spans="2:36" x14ac:dyDescent="0.15">
      <c r="B23" s="105" t="s">
        <v>1065</v>
      </c>
      <c r="C23" s="41" t="s">
        <v>922</v>
      </c>
      <c r="D23" s="41" t="s">
        <v>923</v>
      </c>
      <c r="E23" s="41" t="s">
        <v>924</v>
      </c>
      <c r="F23" s="41" t="s">
        <v>925</v>
      </c>
      <c r="G23" s="41" t="s">
        <v>926</v>
      </c>
      <c r="H23" s="41" t="s">
        <v>927</v>
      </c>
      <c r="I23" s="41" t="s">
        <v>928</v>
      </c>
      <c r="J23" s="41" t="s">
        <v>929</v>
      </c>
      <c r="K23" s="41" t="s">
        <v>930</v>
      </c>
      <c r="L23" s="41" t="s">
        <v>931</v>
      </c>
      <c r="M23" s="41" t="s">
        <v>932</v>
      </c>
      <c r="N23" s="41" t="s">
        <v>933</v>
      </c>
      <c r="O23" s="41" t="s">
        <v>934</v>
      </c>
      <c r="P23" s="41" t="s">
        <v>935</v>
      </c>
      <c r="Q23" s="41" t="s">
        <v>936</v>
      </c>
      <c r="R23" s="41" t="s">
        <v>937</v>
      </c>
      <c r="S23" s="73"/>
      <c r="T23" s="105" t="s">
        <v>1065</v>
      </c>
      <c r="U23" s="41" t="s">
        <v>922</v>
      </c>
      <c r="V23" s="41" t="s">
        <v>923</v>
      </c>
      <c r="W23" s="41" t="s">
        <v>924</v>
      </c>
      <c r="X23" s="41" t="s">
        <v>925</v>
      </c>
      <c r="Y23" s="41" t="s">
        <v>926</v>
      </c>
      <c r="Z23" s="41" t="s">
        <v>927</v>
      </c>
      <c r="AA23" s="41" t="s">
        <v>928</v>
      </c>
      <c r="AB23" s="41" t="s">
        <v>929</v>
      </c>
      <c r="AC23" s="41" t="s">
        <v>930</v>
      </c>
      <c r="AD23" s="41" t="s">
        <v>931</v>
      </c>
      <c r="AE23" s="41" t="s">
        <v>932</v>
      </c>
      <c r="AF23" s="41" t="s">
        <v>933</v>
      </c>
      <c r="AG23" s="41" t="s">
        <v>934</v>
      </c>
      <c r="AH23" s="41" t="s">
        <v>935</v>
      </c>
      <c r="AI23" s="41" t="s">
        <v>936</v>
      </c>
      <c r="AJ23" s="41" t="s">
        <v>937</v>
      </c>
    </row>
    <row r="24" spans="2:36" x14ac:dyDescent="0.15">
      <c r="B24" s="106" t="s">
        <v>911</v>
      </c>
      <c r="C24" s="181" t="e">
        <f>SUMIFS('caseload data'!E:E,'caseload data'!$C:$C,'divisional &amp; regional caseload%'!$B$22,'caseload data'!$D:$D,"PO")/SUMIF('caseload data'!$C:$C,'divisional &amp; regional caseload%'!$B$22,'caseload data'!E:E)</f>
        <v>#DIV/0!</v>
      </c>
      <c r="D24" s="181" t="e">
        <f>SUMIFS('caseload data'!F:F,'caseload data'!$C:$C,'divisional &amp; regional caseload%'!$B$22,'caseload data'!$D:$D,"PO")/SUMIF('caseload data'!$C:$C,'divisional &amp; regional caseload%'!$B$22,'caseload data'!F:F)</f>
        <v>#DIV/0!</v>
      </c>
      <c r="E24" s="181" t="e">
        <f>SUMIFS('caseload data'!G:G,'caseload data'!$C:$C,'divisional &amp; regional caseload%'!$B$22,'caseload data'!$D:$D,"PO")/SUMIF('caseload data'!$C:$C,'divisional &amp; regional caseload%'!$B$22,'caseload data'!G:G)</f>
        <v>#DIV/0!</v>
      </c>
      <c r="F24" s="181" t="e">
        <f>SUMIFS('caseload data'!H:H,'caseload data'!$C:$C,'divisional &amp; regional caseload%'!$B$22,'caseload data'!$D:$D,"PO")/SUMIF('caseload data'!$C:$C,'divisional &amp; regional caseload%'!$B$22,'caseload data'!H:H)</f>
        <v>#DIV/0!</v>
      </c>
      <c r="G24" s="181" t="e">
        <f>SUMIFS('caseload data'!I:I,'caseload data'!$C:$C,'divisional &amp; regional caseload%'!$B$22,'caseload data'!$D:$D,"PO")/SUMIF('caseload data'!$C:$C,'divisional &amp; regional caseload%'!$B$22,'caseload data'!I:I)</f>
        <v>#DIV/0!</v>
      </c>
      <c r="H24" s="181" t="e">
        <f>SUMIFS('caseload data'!J:J,'caseload data'!$C:$C,'divisional &amp; regional caseload%'!$B$22,'caseload data'!$D:$D,"PO")/SUMIF('caseload data'!$C:$C,'divisional &amp; regional caseload%'!$B$22,'caseload data'!J:J)</f>
        <v>#DIV/0!</v>
      </c>
      <c r="I24" s="181" t="e">
        <f>SUMIFS('caseload data'!K:K,'caseload data'!$C:$C,'divisional &amp; regional caseload%'!$B$22,'caseload data'!$D:$D,"PO")/SUMIF('caseload data'!$C:$C,'divisional &amp; regional caseload%'!$B$22,'caseload data'!K:K)</f>
        <v>#DIV/0!</v>
      </c>
      <c r="J24" s="181" t="e">
        <f>SUMIFS('caseload data'!L:L,'caseload data'!$C:$C,'divisional &amp; regional caseload%'!$B$22,'caseload data'!$D:$D,"PO")/SUMIF('caseload data'!$C:$C,'divisional &amp; regional caseload%'!$B$22,'caseload data'!L:L)</f>
        <v>#DIV/0!</v>
      </c>
      <c r="K24" s="181" t="e">
        <f>SUMIFS('caseload data'!M:M,'caseload data'!$C:$C,'divisional &amp; regional caseload%'!$B$22,'caseload data'!$D:$D,"PO")/SUMIF('caseload data'!$C:$C,'divisional &amp; regional caseload%'!$B$22,'caseload data'!M:M)</f>
        <v>#DIV/0!</v>
      </c>
      <c r="L24" s="181" t="e">
        <f>SUMIFS('caseload data'!N:N,'caseload data'!$C:$C,'divisional &amp; regional caseload%'!$B$22,'caseload data'!$D:$D,"PO")/SUMIF('caseload data'!$C:$C,'divisional &amp; regional caseload%'!$B$22,'caseload data'!N:N)</f>
        <v>#DIV/0!</v>
      </c>
      <c r="M24" s="181" t="e">
        <f>SUMIFS('caseload data'!O:O,'caseload data'!$C:$C,'divisional &amp; regional caseload%'!$B$22,'caseload data'!$D:$D,"PO")/SUMIF('caseload data'!$C:$C,'divisional &amp; regional caseload%'!$B$22,'caseload data'!O:O)</f>
        <v>#DIV/0!</v>
      </c>
      <c r="N24" s="181" t="e">
        <f>SUMIFS('caseload data'!P:P,'caseload data'!$C:$C,'divisional &amp; regional caseload%'!$B$22,'caseload data'!$D:$D,"PO")/SUMIF('caseload data'!$C:$C,'divisional &amp; regional caseload%'!$B$22,'caseload data'!P:P)</f>
        <v>#DIV/0!</v>
      </c>
      <c r="O24" s="181" t="e">
        <f>SUMIFS('caseload data'!Q:Q,'caseload data'!$C:$C,'divisional &amp; regional caseload%'!$B$22,'caseload data'!$D:$D,"PO")/SUMIF('caseload data'!$C:$C,'divisional &amp; regional caseload%'!$B$22,'caseload data'!Q:Q)</f>
        <v>#DIV/0!</v>
      </c>
      <c r="P24" s="181" t="e">
        <f>SUMIFS('caseload data'!R:R,'caseload data'!$C:$C,'divisional &amp; regional caseload%'!$B$22,'caseload data'!$D:$D,"PO")/SUMIF('caseload data'!$C:$C,'divisional &amp; regional caseload%'!$B$22,'caseload data'!R:R)</f>
        <v>#DIV/0!</v>
      </c>
      <c r="Q24" s="181" t="e">
        <f>SUMIFS('caseload data'!S:S,'caseload data'!$C:$C,'divisional &amp; regional caseload%'!$B$22,'caseload data'!$D:$D,"PO")/SUMIF('caseload data'!$C:$C,'divisional &amp; regional caseload%'!$B$22,'caseload data'!S:S)</f>
        <v>#DIV/0!</v>
      </c>
      <c r="R24" s="181" t="e">
        <f>SUMIFS('caseload data'!T:T,'caseload data'!$C:$C,'divisional &amp; regional caseload%'!$B$22,'caseload data'!$D:$D,"PO")/SUMIF('caseload data'!$C:$C,'divisional &amp; regional caseload%'!$B$22,'caseload data'!T:T)</f>
        <v>#DIV/0!</v>
      </c>
      <c r="S24" s="73"/>
      <c r="T24" s="106" t="s">
        <v>911</v>
      </c>
      <c r="U24" s="181" t="str">
        <f>IFERROR(SUMIFS('caseload data'!E:E,'caseload data'!$C:$C,'divisional &amp; regional caseload%'!$T$22,'caseload data'!$D:$D,"PO")/SUMIF('caseload data'!$C:$C,'divisional &amp; regional caseload%'!$T$22,'caseload data'!E:E),"")</f>
        <v/>
      </c>
      <c r="V24" s="181" t="str">
        <f>IFERROR(SUMIFS('caseload data'!F:F,'caseload data'!$C:$C,'divisional &amp; regional caseload%'!$T$22,'caseload data'!$D:$D,"PO")/SUMIF('caseload data'!$C:$C,'divisional &amp; regional caseload%'!$T$22,'caseload data'!F:F),"")</f>
        <v/>
      </c>
      <c r="W24" s="181" t="str">
        <f>IFERROR(SUMIFS('caseload data'!G:G,'caseload data'!$C:$C,'divisional &amp; regional caseload%'!$T$22,'caseload data'!$D:$D,"PO")/SUMIF('caseload data'!$C:$C,'divisional &amp; regional caseload%'!$T$22,'caseload data'!G:G),"")</f>
        <v/>
      </c>
      <c r="X24" s="181" t="str">
        <f>IFERROR(SUMIFS('caseload data'!H:H,'caseload data'!$C:$C,'divisional &amp; regional caseload%'!$T$22,'caseload data'!$D:$D,"PO")/SUMIF('caseload data'!$C:$C,'divisional &amp; regional caseload%'!$T$22,'caseload data'!H:H),"")</f>
        <v/>
      </c>
      <c r="Y24" s="181" t="str">
        <f>IFERROR(SUMIFS('caseload data'!I:I,'caseload data'!$C:$C,'divisional &amp; regional caseload%'!$T$22,'caseload data'!$D:$D,"PO")/SUMIF('caseload data'!$C:$C,'divisional &amp; regional caseload%'!$T$22,'caseload data'!I:I),"")</f>
        <v/>
      </c>
      <c r="Z24" s="181" t="str">
        <f>IFERROR(SUMIFS('caseload data'!J:J,'caseload data'!$C:$C,'divisional &amp; regional caseload%'!$T$22,'caseload data'!$D:$D,"PO")/SUMIF('caseload data'!$C:$C,'divisional &amp; regional caseload%'!$T$22,'caseload data'!J:J),"")</f>
        <v/>
      </c>
      <c r="AA24" s="181" t="str">
        <f>IFERROR(SUMIFS('caseload data'!K:K,'caseload data'!$C:$C,'divisional &amp; regional caseload%'!$T$22,'caseload data'!$D:$D,"PO")/SUMIF('caseload data'!$C:$C,'divisional &amp; regional caseload%'!$T$22,'caseload data'!K:K),"")</f>
        <v/>
      </c>
      <c r="AB24" s="181" t="str">
        <f>IFERROR(SUMIFS('caseload data'!L:L,'caseload data'!$C:$C,'divisional &amp; regional caseload%'!$T$22,'caseload data'!$D:$D,"PO")/SUMIF('caseload data'!$C:$C,'divisional &amp; regional caseload%'!$T$22,'caseload data'!L:L),"")</f>
        <v/>
      </c>
      <c r="AC24" s="181" t="str">
        <f>IFERROR(SUMIFS('caseload data'!M:M,'caseload data'!$C:$C,'divisional &amp; regional caseload%'!$T$22,'caseload data'!$D:$D,"PO")/SUMIF('caseload data'!$C:$C,'divisional &amp; regional caseload%'!$T$22,'caseload data'!M:M),"")</f>
        <v/>
      </c>
      <c r="AD24" s="181" t="str">
        <f>IFERROR(SUMIFS('caseload data'!N:N,'caseload data'!$C:$C,'divisional &amp; regional caseload%'!$T$22,'caseload data'!$D:$D,"PO")/SUMIF('caseload data'!$C:$C,'divisional &amp; regional caseload%'!$T$22,'caseload data'!N:N),"")</f>
        <v/>
      </c>
      <c r="AE24" s="181" t="str">
        <f>IFERROR(SUMIFS('caseload data'!O:O,'caseload data'!$C:$C,'divisional &amp; regional caseload%'!$T$22,'caseload data'!$D:$D,"PO")/SUMIF('caseload data'!$C:$C,'divisional &amp; regional caseload%'!$T$22,'caseload data'!O:O),"")</f>
        <v/>
      </c>
      <c r="AF24" s="181" t="str">
        <f>IFERROR(SUMIFS('caseload data'!P:P,'caseload data'!$C:$C,'divisional &amp; regional caseload%'!$T$22,'caseload data'!$D:$D,"PO")/SUMIF('caseload data'!$C:$C,'divisional &amp; regional caseload%'!$T$22,'caseload data'!P:P),"")</f>
        <v/>
      </c>
      <c r="AG24" s="181" t="str">
        <f>IFERROR(SUMIFS('caseload data'!Q:Q,'caseload data'!$C:$C,'divisional &amp; regional caseload%'!$T$22,'caseload data'!$D:$D,"PO")/SUMIF('caseload data'!$C:$C,'divisional &amp; regional caseload%'!$T$22,'caseload data'!Q:Q),"")</f>
        <v/>
      </c>
      <c r="AH24" s="181" t="str">
        <f>IFERROR(SUMIFS('caseload data'!R:R,'caseload data'!$C:$C,'divisional &amp; regional caseload%'!$T$22,'caseload data'!$D:$D,"PO")/SUMIF('caseload data'!$C:$C,'divisional &amp; regional caseload%'!$T$22,'caseload data'!R:R),"")</f>
        <v/>
      </c>
      <c r="AI24" s="181" t="str">
        <f>IFERROR(SUMIFS('caseload data'!S:S,'caseload data'!$C:$C,'divisional &amp; regional caseload%'!$T$22,'caseload data'!$D:$D,"PO")/SUMIF('caseload data'!$C:$C,'divisional &amp; regional caseload%'!$T$22,'caseload data'!S:S),"")</f>
        <v/>
      </c>
      <c r="AJ24" s="181" t="str">
        <f>IFERROR(SUMIFS('caseload data'!T:T,'caseload data'!$C:$C,'divisional &amp; regional caseload%'!$T$22,'caseload data'!$D:$D,"PO")/SUMIF('caseload data'!$C:$C,'divisional &amp; regional caseload%'!$T$22,'caseload data'!T:T),"")</f>
        <v/>
      </c>
    </row>
    <row r="25" spans="2:36" x14ac:dyDescent="0.15">
      <c r="B25" s="107" t="s">
        <v>912</v>
      </c>
      <c r="C25" s="181" t="e">
        <f>SUMIFS('caseload data'!E:E,'caseload data'!$C:$C,'divisional &amp; regional caseload%'!$B$22,'caseload data'!$D:$D,"PSO")/SUMIF('caseload data'!$C:$C,'divisional &amp; regional caseload%'!$B$22,'caseload data'!E:E)</f>
        <v>#DIV/0!</v>
      </c>
      <c r="D25" s="181" t="e">
        <f>SUMIFS('caseload data'!F:F,'caseload data'!$C:$C,'divisional &amp; regional caseload%'!$B$22,'caseload data'!$D:$D,"PSO")/SUMIF('caseload data'!$C:$C,'divisional &amp; regional caseload%'!$B$22,'caseload data'!F:F)</f>
        <v>#DIV/0!</v>
      </c>
      <c r="E25" s="181" t="e">
        <f>SUMIFS('caseload data'!G:G,'caseload data'!$C:$C,'divisional &amp; regional caseload%'!$B$22,'caseload data'!$D:$D,"PSO")/SUMIF('caseload data'!$C:$C,'divisional &amp; regional caseload%'!$B$22,'caseload data'!G:G)</f>
        <v>#DIV/0!</v>
      </c>
      <c r="F25" s="181" t="e">
        <f>SUMIFS('caseload data'!H:H,'caseload data'!$C:$C,'divisional &amp; regional caseload%'!$B$22,'caseload data'!$D:$D,"PSO")/SUMIF('caseload data'!$C:$C,'divisional &amp; regional caseload%'!$B$22,'caseload data'!H:H)</f>
        <v>#DIV/0!</v>
      </c>
      <c r="G25" s="181" t="e">
        <f>SUMIFS('caseload data'!I:I,'caseload data'!$C:$C,'divisional &amp; regional caseload%'!$B$22,'caseload data'!$D:$D,"PSO")/SUMIF('caseload data'!$C:$C,'divisional &amp; regional caseload%'!$B$22,'caseload data'!I:I)</f>
        <v>#DIV/0!</v>
      </c>
      <c r="H25" s="181" t="e">
        <f>SUMIFS('caseload data'!J:J,'caseload data'!$C:$C,'divisional &amp; regional caseload%'!$B$22,'caseload data'!$D:$D,"PSO")/SUMIF('caseload data'!$C:$C,'divisional &amp; regional caseload%'!$B$22,'caseload data'!J:J)</f>
        <v>#DIV/0!</v>
      </c>
      <c r="I25" s="181" t="e">
        <f>SUMIFS('caseload data'!K:K,'caseload data'!$C:$C,'divisional &amp; regional caseload%'!$B$22,'caseload data'!$D:$D,"PSO")/SUMIF('caseload data'!$C:$C,'divisional &amp; regional caseload%'!$B$22,'caseload data'!K:K)</f>
        <v>#DIV/0!</v>
      </c>
      <c r="J25" s="181" t="e">
        <f>SUMIFS('caseload data'!L:L,'caseload data'!$C:$C,'divisional &amp; regional caseload%'!$B$22,'caseload data'!$D:$D,"PSO")/SUMIF('caseload data'!$C:$C,'divisional &amp; regional caseload%'!$B$22,'caseload data'!L:L)</f>
        <v>#DIV/0!</v>
      </c>
      <c r="K25" s="181" t="e">
        <f>SUMIFS('caseload data'!M:M,'caseload data'!$C:$C,'divisional &amp; regional caseload%'!$B$22,'caseload data'!$D:$D,"PSO")/SUMIF('caseload data'!$C:$C,'divisional &amp; regional caseload%'!$B$22,'caseload data'!M:M)</f>
        <v>#DIV/0!</v>
      </c>
      <c r="L25" s="181" t="e">
        <f>SUMIFS('caseload data'!N:N,'caseload data'!$C:$C,'divisional &amp; regional caseload%'!$B$22,'caseload data'!$D:$D,"PSO")/SUMIF('caseload data'!$C:$C,'divisional &amp; regional caseload%'!$B$22,'caseload data'!N:N)</f>
        <v>#DIV/0!</v>
      </c>
      <c r="M25" s="181" t="e">
        <f>SUMIFS('caseload data'!O:O,'caseload data'!$C:$C,'divisional &amp; regional caseload%'!$B$22,'caseload data'!$D:$D,"PSO")/SUMIF('caseload data'!$C:$C,'divisional &amp; regional caseload%'!$B$22,'caseload data'!O:O)</f>
        <v>#DIV/0!</v>
      </c>
      <c r="N25" s="181" t="e">
        <f>SUMIFS('caseload data'!P:P,'caseload data'!$C:$C,'divisional &amp; regional caseload%'!$B$22,'caseload data'!$D:$D,"PSO")/SUMIF('caseload data'!$C:$C,'divisional &amp; regional caseload%'!$B$22,'caseload data'!P:P)</f>
        <v>#DIV/0!</v>
      </c>
      <c r="O25" s="181" t="e">
        <f>SUMIFS('caseload data'!Q:Q,'caseload data'!$C:$C,'divisional &amp; regional caseload%'!$B$22,'caseload data'!$D:$D,"PSO")/SUMIF('caseload data'!$C:$C,'divisional &amp; regional caseload%'!$B$22,'caseload data'!Q:Q)</f>
        <v>#DIV/0!</v>
      </c>
      <c r="P25" s="181" t="e">
        <f>SUMIFS('caseload data'!R:R,'caseload data'!$C:$C,'divisional &amp; regional caseload%'!$B$22,'caseload data'!$D:$D,"PSO")/SUMIF('caseload data'!$C:$C,'divisional &amp; regional caseload%'!$B$22,'caseload data'!R:R)</f>
        <v>#DIV/0!</v>
      </c>
      <c r="Q25" s="181" t="e">
        <f>SUMIFS('caseload data'!S:S,'caseload data'!$C:$C,'divisional &amp; regional caseload%'!$B$22,'caseload data'!$D:$D,"PSO")/SUMIF('caseload data'!$C:$C,'divisional &amp; regional caseload%'!$B$22,'caseload data'!S:S)</f>
        <v>#DIV/0!</v>
      </c>
      <c r="R25" s="181" t="e">
        <f>SUMIFS('caseload data'!T:T,'caseload data'!$C:$C,'divisional &amp; regional caseload%'!$B$22,'caseload data'!$D:$D,"PSO")/SUMIF('caseload data'!$C:$C,'divisional &amp; regional caseload%'!$B$22,'caseload data'!T:T)</f>
        <v>#DIV/0!</v>
      </c>
      <c r="S25" s="73"/>
      <c r="T25" s="107" t="s">
        <v>912</v>
      </c>
      <c r="U25" s="181" t="str">
        <f>IFERROR(SUMIFS('caseload data'!E:E,'caseload data'!$C:$C,'divisional &amp; regional caseload%'!$T$22,'caseload data'!$D:$D,"PSO")/SUMIF('caseload data'!$C:$C,'divisional &amp; regional caseload%'!$T$22,'caseload data'!E:E),"")</f>
        <v/>
      </c>
      <c r="V25" s="181" t="str">
        <f>IFERROR(SUMIFS('caseload data'!F:F,'caseload data'!$C:$C,'divisional &amp; regional caseload%'!$T$22,'caseload data'!$D:$D,"PSO")/SUMIF('caseload data'!$C:$C,'divisional &amp; regional caseload%'!$T$22,'caseload data'!F:F),"")</f>
        <v/>
      </c>
      <c r="W25" s="181" t="str">
        <f>IFERROR(SUMIFS('caseload data'!G:G,'caseload data'!$C:$C,'divisional &amp; regional caseload%'!$T$22,'caseload data'!$D:$D,"PSO")/SUMIF('caseload data'!$C:$C,'divisional &amp; regional caseload%'!$T$22,'caseload data'!G:G),"")</f>
        <v/>
      </c>
      <c r="X25" s="181" t="str">
        <f>IFERROR(SUMIFS('caseload data'!H:H,'caseload data'!$C:$C,'divisional &amp; regional caseload%'!$T$22,'caseload data'!$D:$D,"PSO")/SUMIF('caseload data'!$C:$C,'divisional &amp; regional caseload%'!$T$22,'caseload data'!H:H),"")</f>
        <v/>
      </c>
      <c r="Y25" s="181" t="str">
        <f>IFERROR(SUMIFS('caseload data'!I:I,'caseload data'!$C:$C,'divisional &amp; regional caseload%'!$T$22,'caseload data'!$D:$D,"PSO")/SUMIF('caseload data'!$C:$C,'divisional &amp; regional caseload%'!$T$22,'caseload data'!I:I),"")</f>
        <v/>
      </c>
      <c r="Z25" s="181" t="str">
        <f>IFERROR(SUMIFS('caseload data'!J:J,'caseload data'!$C:$C,'divisional &amp; regional caseload%'!$T$22,'caseload data'!$D:$D,"PSO")/SUMIF('caseload data'!$C:$C,'divisional &amp; regional caseload%'!$T$22,'caseload data'!J:J),"")</f>
        <v/>
      </c>
      <c r="AA25" s="181" t="str">
        <f>IFERROR(SUMIFS('caseload data'!K:K,'caseload data'!$C:$C,'divisional &amp; regional caseload%'!$T$22,'caseload data'!$D:$D,"PSO")/SUMIF('caseload data'!$C:$C,'divisional &amp; regional caseload%'!$T$22,'caseload data'!K:K),"")</f>
        <v/>
      </c>
      <c r="AB25" s="181" t="str">
        <f>IFERROR(SUMIFS('caseload data'!L:L,'caseload data'!$C:$C,'divisional &amp; regional caseload%'!$T$22,'caseload data'!$D:$D,"PSO")/SUMIF('caseload data'!$C:$C,'divisional &amp; regional caseload%'!$T$22,'caseload data'!L:L),"")</f>
        <v/>
      </c>
      <c r="AC25" s="181" t="str">
        <f>IFERROR(SUMIFS('caseload data'!M:M,'caseload data'!$C:$C,'divisional &amp; regional caseload%'!$T$22,'caseload data'!$D:$D,"PSO")/SUMIF('caseload data'!$C:$C,'divisional &amp; regional caseload%'!$T$22,'caseload data'!M:M),"")</f>
        <v/>
      </c>
      <c r="AD25" s="181" t="str">
        <f>IFERROR(SUMIFS('caseload data'!N:N,'caseload data'!$C:$C,'divisional &amp; regional caseload%'!$T$22,'caseload data'!$D:$D,"PSO")/SUMIF('caseload data'!$C:$C,'divisional &amp; regional caseload%'!$T$22,'caseload data'!N:N),"")</f>
        <v/>
      </c>
      <c r="AE25" s="181" t="str">
        <f>IFERROR(SUMIFS('caseload data'!O:O,'caseload data'!$C:$C,'divisional &amp; regional caseload%'!$T$22,'caseload data'!$D:$D,"PSO")/SUMIF('caseload data'!$C:$C,'divisional &amp; regional caseload%'!$T$22,'caseload data'!O:O),"")</f>
        <v/>
      </c>
      <c r="AF25" s="181" t="str">
        <f>IFERROR(SUMIFS('caseload data'!P:P,'caseload data'!$C:$C,'divisional &amp; regional caseload%'!$T$22,'caseload data'!$D:$D,"PSO")/SUMIF('caseload data'!$C:$C,'divisional &amp; regional caseload%'!$T$22,'caseload data'!P:P),"")</f>
        <v/>
      </c>
      <c r="AG25" s="181" t="str">
        <f>IFERROR(SUMIFS('caseload data'!Q:Q,'caseload data'!$C:$C,'divisional &amp; regional caseload%'!$T$22,'caseload data'!$D:$D,"PSO")/SUMIF('caseload data'!$C:$C,'divisional &amp; regional caseload%'!$T$22,'caseload data'!Q:Q),"")</f>
        <v/>
      </c>
      <c r="AH25" s="181" t="str">
        <f>IFERROR(SUMIFS('caseload data'!R:R,'caseload data'!$C:$C,'divisional &amp; regional caseload%'!$T$22,'caseload data'!$D:$D,"PSO")/SUMIF('caseload data'!$C:$C,'divisional &amp; regional caseload%'!$T$22,'caseload data'!R:R),"")</f>
        <v/>
      </c>
      <c r="AI25" s="181" t="str">
        <f>IFERROR(SUMIFS('caseload data'!S:S,'caseload data'!$C:$C,'divisional &amp; regional caseload%'!$T$22,'caseload data'!$D:$D,"PSO")/SUMIF('caseload data'!$C:$C,'divisional &amp; regional caseload%'!$T$22,'caseload data'!S:S),"")</f>
        <v/>
      </c>
      <c r="AJ25" s="181" t="str">
        <f>IFERROR(SUMIFS('caseload data'!T:T,'caseload data'!$C:$C,'divisional &amp; regional caseload%'!$T$22,'caseload data'!$D:$D,"PSO")/SUMIF('caseload data'!$C:$C,'divisional &amp; regional caseload%'!$T$22,'caseload data'!T:T),"")</f>
        <v/>
      </c>
    </row>
    <row r="26" spans="2:36" x14ac:dyDescent="0.15">
      <c r="B26" s="107" t="s">
        <v>913</v>
      </c>
      <c r="C26" s="181" t="e">
        <f>SUMIFS('caseload data'!E:E,'caseload data'!$C:$C,'divisional &amp; regional caseload%'!$B$22,'caseload data'!$D:$D,"TPO")/SUMIF('caseload data'!$C:$C,'divisional &amp; regional caseload%'!$B$22,'caseload data'!E:E)</f>
        <v>#DIV/0!</v>
      </c>
      <c r="D26" s="181" t="e">
        <f>SUMIFS('caseload data'!F:F,'caseload data'!$C:$C,'divisional &amp; regional caseload%'!$B$22,'caseload data'!$D:$D,"TPO")/SUMIF('caseload data'!$C:$C,'divisional &amp; regional caseload%'!$B$22,'caseload data'!F:F)</f>
        <v>#DIV/0!</v>
      </c>
      <c r="E26" s="181" t="e">
        <f>SUMIFS('caseload data'!G:G,'caseload data'!$C:$C,'divisional &amp; regional caseload%'!$B$22,'caseload data'!$D:$D,"TPO")/SUMIF('caseload data'!$C:$C,'divisional &amp; regional caseload%'!$B$22,'caseload data'!G:G)</f>
        <v>#DIV/0!</v>
      </c>
      <c r="F26" s="181" t="e">
        <f>SUMIFS('caseload data'!H:H,'caseload data'!$C:$C,'divisional &amp; regional caseload%'!$B$22,'caseload data'!$D:$D,"TPO")/SUMIF('caseload data'!$C:$C,'divisional &amp; regional caseload%'!$B$22,'caseload data'!H:H)</f>
        <v>#DIV/0!</v>
      </c>
      <c r="G26" s="181" t="e">
        <f>SUMIFS('caseload data'!I:I,'caseload data'!$C:$C,'divisional &amp; regional caseload%'!$B$22,'caseload data'!$D:$D,"TPO")/SUMIF('caseload data'!$C:$C,'divisional &amp; regional caseload%'!$B$22,'caseload data'!I:I)</f>
        <v>#DIV/0!</v>
      </c>
      <c r="H26" s="181" t="e">
        <f>SUMIFS('caseload data'!J:J,'caseload data'!$C:$C,'divisional &amp; regional caseload%'!$B$22,'caseload data'!$D:$D,"TPO")/SUMIF('caseload data'!$C:$C,'divisional &amp; regional caseload%'!$B$22,'caseload data'!J:J)</f>
        <v>#DIV/0!</v>
      </c>
      <c r="I26" s="181" t="e">
        <f>SUMIFS('caseload data'!K:K,'caseload data'!$C:$C,'divisional &amp; regional caseload%'!$B$22,'caseload data'!$D:$D,"TPO")/SUMIF('caseload data'!$C:$C,'divisional &amp; regional caseload%'!$B$22,'caseload data'!K:K)</f>
        <v>#DIV/0!</v>
      </c>
      <c r="J26" s="181" t="e">
        <f>SUMIFS('caseload data'!L:L,'caseload data'!$C:$C,'divisional &amp; regional caseload%'!$B$22,'caseload data'!$D:$D,"TPO")/SUMIF('caseload data'!$C:$C,'divisional &amp; regional caseload%'!$B$22,'caseload data'!L:L)</f>
        <v>#DIV/0!</v>
      </c>
      <c r="K26" s="181" t="e">
        <f>SUMIFS('caseload data'!M:M,'caseload data'!$C:$C,'divisional &amp; regional caseload%'!$B$22,'caseload data'!$D:$D,"TPO")/SUMIF('caseload data'!$C:$C,'divisional &amp; regional caseload%'!$B$22,'caseload data'!M:M)</f>
        <v>#DIV/0!</v>
      </c>
      <c r="L26" s="181" t="e">
        <f>SUMIFS('caseload data'!N:N,'caseload data'!$C:$C,'divisional &amp; regional caseload%'!$B$22,'caseload data'!$D:$D,"TPO")/SUMIF('caseload data'!$C:$C,'divisional &amp; regional caseload%'!$B$22,'caseload data'!N:N)</f>
        <v>#DIV/0!</v>
      </c>
      <c r="M26" s="181" t="e">
        <f>SUMIFS('caseload data'!O:O,'caseload data'!$C:$C,'divisional &amp; regional caseload%'!$B$22,'caseload data'!$D:$D,"TPO")/SUMIF('caseload data'!$C:$C,'divisional &amp; regional caseload%'!$B$22,'caseload data'!O:O)</f>
        <v>#DIV/0!</v>
      </c>
      <c r="N26" s="181" t="e">
        <f>SUMIFS('caseload data'!P:P,'caseload data'!$C:$C,'divisional &amp; regional caseload%'!$B$22,'caseload data'!$D:$D,"TPO")/SUMIF('caseload data'!$C:$C,'divisional &amp; regional caseload%'!$B$22,'caseload data'!P:P)</f>
        <v>#DIV/0!</v>
      </c>
      <c r="O26" s="181" t="e">
        <f>SUMIFS('caseload data'!Q:Q,'caseload data'!$C:$C,'divisional &amp; regional caseload%'!$B$22,'caseload data'!$D:$D,"TPO")/SUMIF('caseload data'!$C:$C,'divisional &amp; regional caseload%'!$B$22,'caseload data'!Q:Q)</f>
        <v>#DIV/0!</v>
      </c>
      <c r="P26" s="181" t="e">
        <f>SUMIFS('caseload data'!R:R,'caseload data'!$C:$C,'divisional &amp; regional caseload%'!$B$22,'caseload data'!$D:$D,"TPO")/SUMIF('caseload data'!$C:$C,'divisional &amp; regional caseload%'!$B$22,'caseload data'!R:R)</f>
        <v>#DIV/0!</v>
      </c>
      <c r="Q26" s="181" t="e">
        <f>SUMIFS('caseload data'!S:S,'caseload data'!$C:$C,'divisional &amp; regional caseload%'!$B$22,'caseload data'!$D:$D,"TPO")/SUMIF('caseload data'!$C:$C,'divisional &amp; regional caseload%'!$B$22,'caseload data'!S:S)</f>
        <v>#DIV/0!</v>
      </c>
      <c r="R26" s="181" t="e">
        <f>SUMIFS('caseload data'!T:T,'caseload data'!$C:$C,'divisional &amp; regional caseload%'!$B$22,'caseload data'!$D:$D,"TPO")/SUMIF('caseload data'!$C:$C,'divisional &amp; regional caseload%'!$B$22,'caseload data'!T:T)</f>
        <v>#DIV/0!</v>
      </c>
      <c r="S26" s="73"/>
      <c r="T26" s="107" t="s">
        <v>913</v>
      </c>
      <c r="U26" s="181" t="str">
        <f>IFERROR(SUMIFS('caseload data'!E:E,'caseload data'!$C:$C,'divisional &amp; regional caseload%'!$T$22,'caseload data'!$D:$D,"TPO")/SUMIF('caseload data'!$C:$C,'divisional &amp; regional caseload%'!$T$22,'caseload data'!E:E),"")</f>
        <v/>
      </c>
      <c r="V26" s="181" t="str">
        <f>IFERROR(SUMIFS('caseload data'!F:F,'caseload data'!$C:$C,'divisional &amp; regional caseload%'!$T$22,'caseload data'!$D:$D,"TPO")/SUMIF('caseload data'!$C:$C,'divisional &amp; regional caseload%'!$T$22,'caseload data'!F:F),"")</f>
        <v/>
      </c>
      <c r="W26" s="181" t="str">
        <f>IFERROR(SUMIFS('caseload data'!G:G,'caseload data'!$C:$C,'divisional &amp; regional caseload%'!$T$22,'caseload data'!$D:$D,"TPO")/SUMIF('caseload data'!$C:$C,'divisional &amp; regional caseload%'!$T$22,'caseload data'!G:G),"")</f>
        <v/>
      </c>
      <c r="X26" s="181" t="str">
        <f>IFERROR(SUMIFS('caseload data'!H:H,'caseload data'!$C:$C,'divisional &amp; regional caseload%'!$T$22,'caseload data'!$D:$D,"TPO")/SUMIF('caseload data'!$C:$C,'divisional &amp; regional caseload%'!$T$22,'caseload data'!H:H),"")</f>
        <v/>
      </c>
      <c r="Y26" s="181" t="str">
        <f>IFERROR(SUMIFS('caseload data'!I:I,'caseload data'!$C:$C,'divisional &amp; regional caseload%'!$T$22,'caseload data'!$D:$D,"TPO")/SUMIF('caseload data'!$C:$C,'divisional &amp; regional caseload%'!$T$22,'caseload data'!I:I),"")</f>
        <v/>
      </c>
      <c r="Z26" s="181" t="str">
        <f>IFERROR(SUMIFS('caseload data'!J:J,'caseload data'!$C:$C,'divisional &amp; regional caseload%'!$T$22,'caseload data'!$D:$D,"TPO")/SUMIF('caseload data'!$C:$C,'divisional &amp; regional caseload%'!$T$22,'caseload data'!J:J),"")</f>
        <v/>
      </c>
      <c r="AA26" s="181" t="str">
        <f>IFERROR(SUMIFS('caseload data'!K:K,'caseload data'!$C:$C,'divisional &amp; regional caseload%'!$T$22,'caseload data'!$D:$D,"TPO")/SUMIF('caseload data'!$C:$C,'divisional &amp; regional caseload%'!$T$22,'caseload data'!K:K),"")</f>
        <v/>
      </c>
      <c r="AB26" s="181" t="str">
        <f>IFERROR(SUMIFS('caseload data'!L:L,'caseload data'!$C:$C,'divisional &amp; regional caseload%'!$T$22,'caseload data'!$D:$D,"TPO")/SUMIF('caseload data'!$C:$C,'divisional &amp; regional caseload%'!$T$22,'caseload data'!L:L),"")</f>
        <v/>
      </c>
      <c r="AC26" s="181" t="str">
        <f>IFERROR(SUMIFS('caseload data'!M:M,'caseload data'!$C:$C,'divisional &amp; regional caseload%'!$T$22,'caseload data'!$D:$D,"TPO")/SUMIF('caseload data'!$C:$C,'divisional &amp; regional caseload%'!$T$22,'caseload data'!M:M),"")</f>
        <v/>
      </c>
      <c r="AD26" s="181" t="str">
        <f>IFERROR(SUMIFS('caseload data'!N:N,'caseload data'!$C:$C,'divisional &amp; regional caseload%'!$T$22,'caseload data'!$D:$D,"TPO")/SUMIF('caseload data'!$C:$C,'divisional &amp; regional caseload%'!$T$22,'caseload data'!N:N),"")</f>
        <v/>
      </c>
      <c r="AE26" s="181" t="str">
        <f>IFERROR(SUMIFS('caseload data'!O:O,'caseload data'!$C:$C,'divisional &amp; regional caseload%'!$T$22,'caseload data'!$D:$D,"TPO")/SUMIF('caseload data'!$C:$C,'divisional &amp; regional caseload%'!$T$22,'caseload data'!O:O),"")</f>
        <v/>
      </c>
      <c r="AF26" s="181" t="str">
        <f>IFERROR(SUMIFS('caseload data'!P:P,'caseload data'!$C:$C,'divisional &amp; regional caseload%'!$T$22,'caseload data'!$D:$D,"TPO")/SUMIF('caseload data'!$C:$C,'divisional &amp; regional caseload%'!$T$22,'caseload data'!P:P),"")</f>
        <v/>
      </c>
      <c r="AG26" s="181" t="str">
        <f>IFERROR(SUMIFS('caseload data'!Q:Q,'caseload data'!$C:$C,'divisional &amp; regional caseload%'!$T$22,'caseload data'!$D:$D,"TPO")/SUMIF('caseload data'!$C:$C,'divisional &amp; regional caseload%'!$T$22,'caseload data'!Q:Q),"")</f>
        <v/>
      </c>
      <c r="AH26" s="181" t="str">
        <f>IFERROR(SUMIFS('caseload data'!R:R,'caseload data'!$C:$C,'divisional &amp; regional caseload%'!$T$22,'caseload data'!$D:$D,"TPO")/SUMIF('caseload data'!$C:$C,'divisional &amp; regional caseload%'!$T$22,'caseload data'!R:R),"")</f>
        <v/>
      </c>
      <c r="AI26" s="181" t="str">
        <f>IFERROR(SUMIFS('caseload data'!S:S,'caseload data'!$C:$C,'divisional &amp; regional caseload%'!$T$22,'caseload data'!$D:$D,"TPO")/SUMIF('caseload data'!$C:$C,'divisional &amp; regional caseload%'!$T$22,'caseload data'!S:S),"")</f>
        <v/>
      </c>
      <c r="AJ26" s="181" t="str">
        <f>IFERROR(SUMIFS('caseload data'!T:T,'caseload data'!$C:$C,'divisional &amp; regional caseload%'!$T$22,'caseload data'!$D:$D,"TPO")/SUMIF('caseload data'!$C:$C,'divisional &amp; regional caseload%'!$T$22,'caseload data'!T:T),"")</f>
        <v/>
      </c>
    </row>
    <row r="27" spans="2:36" x14ac:dyDescent="0.15">
      <c r="B27" s="108" t="s">
        <v>914</v>
      </c>
      <c r="C27" s="181" t="e">
        <f>SUMIFS('caseload data'!E:E,'caseload data'!$C:$C,'divisional &amp; regional caseload%'!$B$22,'caseload data'!$D:$D,"SPO")/SUMIF('caseload data'!$C:$C,'divisional &amp; regional caseload%'!$B$22,'caseload data'!E:E)</f>
        <v>#DIV/0!</v>
      </c>
      <c r="D27" s="181" t="e">
        <f>SUMIFS('caseload data'!F:F,'caseload data'!$C:$C,'divisional &amp; regional caseload%'!$B$22,'caseload data'!$D:$D,"SPO")/SUMIF('caseload data'!$C:$C,'divisional &amp; regional caseload%'!$B$22,'caseload data'!F:F)</f>
        <v>#DIV/0!</v>
      </c>
      <c r="E27" s="181" t="e">
        <f>SUMIFS('caseload data'!G:G,'caseload data'!$C:$C,'divisional &amp; regional caseload%'!$B$22,'caseload data'!$D:$D,"SPO")/SUMIF('caseload data'!$C:$C,'divisional &amp; regional caseload%'!$B$22,'caseload data'!G:G)</f>
        <v>#DIV/0!</v>
      </c>
      <c r="F27" s="181" t="e">
        <f>SUMIFS('caseload data'!H:H,'caseload data'!$C:$C,'divisional &amp; regional caseload%'!$B$22,'caseload data'!$D:$D,"SPO")/SUMIF('caseload data'!$C:$C,'divisional &amp; regional caseload%'!$B$22,'caseload data'!H:H)</f>
        <v>#DIV/0!</v>
      </c>
      <c r="G27" s="181" t="e">
        <f>SUMIFS('caseload data'!I:I,'caseload data'!$C:$C,'divisional &amp; regional caseload%'!$B$22,'caseload data'!$D:$D,"SPO")/SUMIF('caseload data'!$C:$C,'divisional &amp; regional caseload%'!$B$22,'caseload data'!I:I)</f>
        <v>#DIV/0!</v>
      </c>
      <c r="H27" s="181" t="e">
        <f>SUMIFS('caseload data'!J:J,'caseload data'!$C:$C,'divisional &amp; regional caseload%'!$B$22,'caseload data'!$D:$D,"SPO")/SUMIF('caseload data'!$C:$C,'divisional &amp; regional caseload%'!$B$22,'caseload data'!J:J)</f>
        <v>#DIV/0!</v>
      </c>
      <c r="I27" s="181" t="e">
        <f>SUMIFS('caseload data'!K:K,'caseload data'!$C:$C,'divisional &amp; regional caseload%'!$B$22,'caseload data'!$D:$D,"SPO")/SUMIF('caseload data'!$C:$C,'divisional &amp; regional caseload%'!$B$22,'caseload data'!K:K)</f>
        <v>#DIV/0!</v>
      </c>
      <c r="J27" s="181" t="e">
        <f>SUMIFS('caseload data'!L:L,'caseload data'!$C:$C,'divisional &amp; regional caseload%'!$B$22,'caseload data'!$D:$D,"SPO")/SUMIF('caseload data'!$C:$C,'divisional &amp; regional caseload%'!$B$22,'caseload data'!L:L)</f>
        <v>#DIV/0!</v>
      </c>
      <c r="K27" s="181" t="e">
        <f>SUMIFS('caseload data'!M:M,'caseload data'!$C:$C,'divisional &amp; regional caseload%'!$B$22,'caseload data'!$D:$D,"SPO")/SUMIF('caseload data'!$C:$C,'divisional &amp; regional caseload%'!$B$22,'caseload data'!M:M)</f>
        <v>#DIV/0!</v>
      </c>
      <c r="L27" s="181" t="e">
        <f>SUMIFS('caseload data'!N:N,'caseload data'!$C:$C,'divisional &amp; regional caseload%'!$B$22,'caseload data'!$D:$D,"SPO")/SUMIF('caseload data'!$C:$C,'divisional &amp; regional caseload%'!$B$22,'caseload data'!N:N)</f>
        <v>#DIV/0!</v>
      </c>
      <c r="M27" s="181" t="e">
        <f>SUMIFS('caseload data'!O:O,'caseload data'!$C:$C,'divisional &amp; regional caseload%'!$B$22,'caseload data'!$D:$D,"SPO")/SUMIF('caseload data'!$C:$C,'divisional &amp; regional caseload%'!$B$22,'caseload data'!O:O)</f>
        <v>#DIV/0!</v>
      </c>
      <c r="N27" s="181" t="e">
        <f>SUMIFS('caseload data'!P:P,'caseload data'!$C:$C,'divisional &amp; regional caseload%'!$B$22,'caseload data'!$D:$D,"SPO")/SUMIF('caseload data'!$C:$C,'divisional &amp; regional caseload%'!$B$22,'caseload data'!P:P)</f>
        <v>#DIV/0!</v>
      </c>
      <c r="O27" s="181" t="e">
        <f>SUMIFS('caseload data'!Q:Q,'caseload data'!$C:$C,'divisional &amp; regional caseload%'!$B$22,'caseload data'!$D:$D,"SPO")/SUMIF('caseload data'!$C:$C,'divisional &amp; regional caseload%'!$B$22,'caseload data'!Q:Q)</f>
        <v>#DIV/0!</v>
      </c>
      <c r="P27" s="181" t="e">
        <f>SUMIFS('caseload data'!R:R,'caseload data'!$C:$C,'divisional &amp; regional caseload%'!$B$22,'caseload data'!$D:$D,"SPO")/SUMIF('caseload data'!$C:$C,'divisional &amp; regional caseload%'!$B$22,'caseload data'!R:R)</f>
        <v>#DIV/0!</v>
      </c>
      <c r="Q27" s="181" t="e">
        <f>SUMIFS('caseload data'!S:S,'caseload data'!$C:$C,'divisional &amp; regional caseload%'!$B$22,'caseload data'!$D:$D,"SPO")/SUMIF('caseload data'!$C:$C,'divisional &amp; regional caseload%'!$B$22,'caseload data'!S:S)</f>
        <v>#DIV/0!</v>
      </c>
      <c r="R27" s="181" t="e">
        <f>SUMIFS('caseload data'!T:T,'caseload data'!$C:$C,'divisional &amp; regional caseload%'!$B$22,'caseload data'!$D:$D,"SPO")/SUMIF('caseload data'!$C:$C,'divisional &amp; regional caseload%'!$B$22,'caseload data'!T:T)</f>
        <v>#DIV/0!</v>
      </c>
      <c r="S27" s="73"/>
      <c r="T27" s="108" t="s">
        <v>914</v>
      </c>
      <c r="U27" s="181" t="str">
        <f>IFERROR(SUMIFS('caseload data'!E:E,'caseload data'!$C:$C,'divisional &amp; regional caseload%'!$T$22,'caseload data'!$D:$D,"SPO")/SUMIF('caseload data'!$C:$C,'divisional &amp; regional caseload%'!$T$22,'caseload data'!E:E),"")</f>
        <v/>
      </c>
      <c r="V27" s="181" t="str">
        <f>IFERROR(SUMIFS('caseload data'!F:F,'caseload data'!$C:$C,'divisional &amp; regional caseload%'!$T$22,'caseload data'!$D:$D,"SPO")/SUMIF('caseload data'!$C:$C,'divisional &amp; regional caseload%'!$T$22,'caseload data'!F:F),"")</f>
        <v/>
      </c>
      <c r="W27" s="181" t="str">
        <f>IFERROR(SUMIFS('caseload data'!G:G,'caseload data'!$C:$C,'divisional &amp; regional caseload%'!$T$22,'caseload data'!$D:$D,"SPO")/SUMIF('caseload data'!$C:$C,'divisional &amp; regional caseload%'!$T$22,'caseload data'!G:G),"")</f>
        <v/>
      </c>
      <c r="X27" s="181" t="str">
        <f>IFERROR(SUMIFS('caseload data'!H:H,'caseload data'!$C:$C,'divisional &amp; regional caseload%'!$T$22,'caseload data'!$D:$D,"SPO")/SUMIF('caseload data'!$C:$C,'divisional &amp; regional caseload%'!$T$22,'caseload data'!H:H),"")</f>
        <v/>
      </c>
      <c r="Y27" s="181" t="str">
        <f>IFERROR(SUMIFS('caseload data'!I:I,'caseload data'!$C:$C,'divisional &amp; regional caseload%'!$T$22,'caseload data'!$D:$D,"SPO")/SUMIF('caseload data'!$C:$C,'divisional &amp; regional caseload%'!$T$22,'caseload data'!I:I),"")</f>
        <v/>
      </c>
      <c r="Z27" s="181" t="str">
        <f>IFERROR(SUMIFS('caseload data'!J:J,'caseload data'!$C:$C,'divisional &amp; regional caseload%'!$T$22,'caseload data'!$D:$D,"SPO")/SUMIF('caseload data'!$C:$C,'divisional &amp; regional caseload%'!$T$22,'caseload data'!J:J),"")</f>
        <v/>
      </c>
      <c r="AA27" s="181" t="str">
        <f>IFERROR(SUMIFS('caseload data'!K:K,'caseload data'!$C:$C,'divisional &amp; regional caseload%'!$T$22,'caseload data'!$D:$D,"SPO")/SUMIF('caseload data'!$C:$C,'divisional &amp; regional caseload%'!$T$22,'caseload data'!K:K),"")</f>
        <v/>
      </c>
      <c r="AB27" s="181" t="str">
        <f>IFERROR(SUMIFS('caseload data'!L:L,'caseload data'!$C:$C,'divisional &amp; regional caseload%'!$T$22,'caseload data'!$D:$D,"SPO")/SUMIF('caseload data'!$C:$C,'divisional &amp; regional caseload%'!$T$22,'caseload data'!L:L),"")</f>
        <v/>
      </c>
      <c r="AC27" s="181" t="str">
        <f>IFERROR(SUMIFS('caseload data'!M:M,'caseload data'!$C:$C,'divisional &amp; regional caseload%'!$T$22,'caseload data'!$D:$D,"SPO")/SUMIF('caseload data'!$C:$C,'divisional &amp; regional caseload%'!$T$22,'caseload data'!M:M),"")</f>
        <v/>
      </c>
      <c r="AD27" s="181" t="str">
        <f>IFERROR(SUMIFS('caseload data'!N:N,'caseload data'!$C:$C,'divisional &amp; regional caseload%'!$T$22,'caseload data'!$D:$D,"SPO")/SUMIF('caseload data'!$C:$C,'divisional &amp; regional caseload%'!$T$22,'caseload data'!N:N),"")</f>
        <v/>
      </c>
      <c r="AE27" s="181" t="str">
        <f>IFERROR(SUMIFS('caseload data'!O:O,'caseload data'!$C:$C,'divisional &amp; regional caseload%'!$T$22,'caseload data'!$D:$D,"SPO")/SUMIF('caseload data'!$C:$C,'divisional &amp; regional caseload%'!$T$22,'caseload data'!O:O),"")</f>
        <v/>
      </c>
      <c r="AF27" s="181" t="str">
        <f>IFERROR(SUMIFS('caseload data'!P:P,'caseload data'!$C:$C,'divisional &amp; regional caseload%'!$T$22,'caseload data'!$D:$D,"SPO")/SUMIF('caseload data'!$C:$C,'divisional &amp; regional caseload%'!$T$22,'caseload data'!P:P),"")</f>
        <v/>
      </c>
      <c r="AG27" s="181" t="str">
        <f>IFERROR(SUMIFS('caseload data'!Q:Q,'caseload data'!$C:$C,'divisional &amp; regional caseload%'!$T$22,'caseload data'!$D:$D,"SPO")/SUMIF('caseload data'!$C:$C,'divisional &amp; regional caseload%'!$T$22,'caseload data'!Q:Q),"")</f>
        <v/>
      </c>
      <c r="AH27" s="181" t="str">
        <f>IFERROR(SUMIFS('caseload data'!R:R,'caseload data'!$C:$C,'divisional &amp; regional caseload%'!$T$22,'caseload data'!$D:$D,"SPO")/SUMIF('caseload data'!$C:$C,'divisional &amp; regional caseload%'!$T$22,'caseload data'!R:R),"")</f>
        <v/>
      </c>
      <c r="AI27" s="181" t="str">
        <f>IFERROR(SUMIFS('caseload data'!S:S,'caseload data'!$C:$C,'divisional &amp; regional caseload%'!$T$22,'caseload data'!$D:$D,"SPO")/SUMIF('caseload data'!$C:$C,'divisional &amp; regional caseload%'!$T$22,'caseload data'!S:S),"")</f>
        <v/>
      </c>
      <c r="AJ27" s="181" t="str">
        <f>IFERROR(SUMIFS('caseload data'!T:T,'caseload data'!$C:$C,'divisional &amp; regional caseload%'!$T$22,'caseload data'!$D:$D,"SPO")/SUMIF('caseload data'!$C:$C,'divisional &amp; regional caseload%'!$T$22,'caseload data'!T:T),"")</f>
        <v/>
      </c>
    </row>
    <row r="28" spans="2:36" x14ac:dyDescent="0.15">
      <c r="B28" s="101"/>
      <c r="C28" s="73"/>
      <c r="D28" s="73"/>
      <c r="E28" s="73"/>
      <c r="F28" s="73"/>
      <c r="G28" s="73"/>
      <c r="H28" s="73"/>
      <c r="I28" s="73"/>
      <c r="J28" s="73"/>
      <c r="K28" s="73"/>
      <c r="L28" s="73"/>
      <c r="M28" s="73"/>
      <c r="N28" s="73"/>
      <c r="O28" s="73"/>
      <c r="P28" s="73"/>
      <c r="Q28" s="73"/>
      <c r="R28" s="73"/>
      <c r="S28" s="73"/>
      <c r="T28" s="101"/>
      <c r="U28" s="73"/>
      <c r="V28" s="73"/>
      <c r="W28" s="73"/>
      <c r="X28" s="73"/>
      <c r="Y28" s="73"/>
      <c r="Z28" s="73"/>
      <c r="AA28" s="73"/>
      <c r="AB28" s="73"/>
      <c r="AC28" s="73"/>
      <c r="AD28" s="73"/>
      <c r="AE28" s="73"/>
      <c r="AF28" s="73"/>
      <c r="AG28" s="73"/>
      <c r="AH28" s="73"/>
      <c r="AI28" s="73"/>
      <c r="AJ28" s="73"/>
    </row>
    <row r="29" spans="2:36" ht="29.25" customHeight="1" x14ac:dyDescent="0.15">
      <c r="B29" s="156" t="str">
        <f>HLOOKUP($B$5,Region_Table,8,0)</f>
        <v>Ealing and Hillingdon</v>
      </c>
      <c r="C29" s="367" t="s">
        <v>1130</v>
      </c>
      <c r="D29" s="368"/>
      <c r="E29" s="368"/>
      <c r="F29" s="368"/>
      <c r="G29" s="368"/>
      <c r="H29" s="368"/>
      <c r="I29" s="368"/>
      <c r="J29" s="368"/>
      <c r="K29" s="368"/>
      <c r="L29" s="368"/>
      <c r="M29" s="377"/>
      <c r="N29" s="377"/>
      <c r="O29" s="378"/>
      <c r="P29" s="371">
        <f>SUMIF('caseload data'!$C:$C,'divisional &amp; regional caseload%'!B29,'caseload data'!V:V)</f>
        <v>0</v>
      </c>
      <c r="Q29" s="379"/>
      <c r="R29" s="380"/>
      <c r="S29" s="73"/>
      <c r="T29" s="156" t="str">
        <f>HLOOKUP($B$5,Region_Table,9,0)</f>
        <v>Enfield and Haringey</v>
      </c>
      <c r="U29" s="367" t="s">
        <v>1130</v>
      </c>
      <c r="V29" s="368"/>
      <c r="W29" s="368"/>
      <c r="X29" s="368"/>
      <c r="Y29" s="368"/>
      <c r="Z29" s="368"/>
      <c r="AA29" s="368"/>
      <c r="AB29" s="368"/>
      <c r="AC29" s="368"/>
      <c r="AD29" s="368"/>
      <c r="AE29" s="377"/>
      <c r="AF29" s="377"/>
      <c r="AG29" s="378"/>
      <c r="AH29" s="371">
        <f>SUMIF('caseload data'!$C:$C,'divisional &amp; regional caseload%'!T29,'caseload data'!V:V)</f>
        <v>0</v>
      </c>
      <c r="AI29" s="379"/>
      <c r="AJ29" s="380"/>
    </row>
    <row r="30" spans="2:36" x14ac:dyDescent="0.15">
      <c r="B30" s="105" t="s">
        <v>1065</v>
      </c>
      <c r="C30" s="41" t="s">
        <v>922</v>
      </c>
      <c r="D30" s="41" t="s">
        <v>923</v>
      </c>
      <c r="E30" s="41" t="s">
        <v>924</v>
      </c>
      <c r="F30" s="41" t="s">
        <v>925</v>
      </c>
      <c r="G30" s="41" t="s">
        <v>926</v>
      </c>
      <c r="H30" s="41" t="s">
        <v>927</v>
      </c>
      <c r="I30" s="41" t="s">
        <v>928</v>
      </c>
      <c r="J30" s="41" t="s">
        <v>929</v>
      </c>
      <c r="K30" s="41" t="s">
        <v>930</v>
      </c>
      <c r="L30" s="41" t="s">
        <v>931</v>
      </c>
      <c r="M30" s="41" t="s">
        <v>932</v>
      </c>
      <c r="N30" s="41" t="s">
        <v>933</v>
      </c>
      <c r="O30" s="41" t="s">
        <v>934</v>
      </c>
      <c r="P30" s="41" t="s">
        <v>935</v>
      </c>
      <c r="Q30" s="41" t="s">
        <v>936</v>
      </c>
      <c r="R30" s="41" t="s">
        <v>937</v>
      </c>
      <c r="S30" s="73"/>
      <c r="T30" s="105" t="s">
        <v>1065</v>
      </c>
      <c r="U30" s="41" t="s">
        <v>922</v>
      </c>
      <c r="V30" s="41" t="s">
        <v>923</v>
      </c>
      <c r="W30" s="41" t="s">
        <v>924</v>
      </c>
      <c r="X30" s="41" t="s">
        <v>925</v>
      </c>
      <c r="Y30" s="41" t="s">
        <v>926</v>
      </c>
      <c r="Z30" s="41" t="s">
        <v>927</v>
      </c>
      <c r="AA30" s="41" t="s">
        <v>928</v>
      </c>
      <c r="AB30" s="41" t="s">
        <v>929</v>
      </c>
      <c r="AC30" s="41" t="s">
        <v>930</v>
      </c>
      <c r="AD30" s="41" t="s">
        <v>931</v>
      </c>
      <c r="AE30" s="41" t="s">
        <v>932</v>
      </c>
      <c r="AF30" s="41" t="s">
        <v>933</v>
      </c>
      <c r="AG30" s="41" t="s">
        <v>934</v>
      </c>
      <c r="AH30" s="41" t="s">
        <v>935</v>
      </c>
      <c r="AI30" s="41" t="s">
        <v>936</v>
      </c>
      <c r="AJ30" s="41" t="s">
        <v>937</v>
      </c>
    </row>
    <row r="31" spans="2:36" x14ac:dyDescent="0.15">
      <c r="B31" s="106" t="s">
        <v>911</v>
      </c>
      <c r="C31" s="181" t="str">
        <f>IFERROR(SUMIFS('caseload data'!E:E,'caseload data'!$C:$C,'divisional &amp; regional caseload%'!$B$29,'caseload data'!$D:$D,"PO")/SUMIF('caseload data'!$C:$C,'divisional &amp; regional caseload%'!$B$29,'caseload data'!E:E),"")</f>
        <v/>
      </c>
      <c r="D31" s="181" t="str">
        <f>IFERROR(SUMIFS('caseload data'!F:F,'caseload data'!$C:$C,'divisional &amp; regional caseload%'!$B$29,'caseload data'!$D:$D,"PO")/SUMIF('caseload data'!$C:$C,'divisional &amp; regional caseload%'!$B$29,'caseload data'!F:F),"")</f>
        <v/>
      </c>
      <c r="E31" s="181" t="str">
        <f>IFERROR(SUMIFS('caseload data'!G:G,'caseload data'!$C:$C,'divisional &amp; regional caseload%'!$B$29,'caseload data'!$D:$D,"PO")/SUMIF('caseload data'!$C:$C,'divisional &amp; regional caseload%'!$B$29,'caseload data'!G:G),"")</f>
        <v/>
      </c>
      <c r="F31" s="181" t="str">
        <f>IFERROR(SUMIFS('caseload data'!H:H,'caseload data'!$C:$C,'divisional &amp; regional caseload%'!$B$29,'caseload data'!$D:$D,"PO")/SUMIF('caseload data'!$C:$C,'divisional &amp; regional caseload%'!$B$29,'caseload data'!H:H),"")</f>
        <v/>
      </c>
      <c r="G31" s="181" t="str">
        <f>IFERROR(SUMIFS('caseload data'!I:I,'caseload data'!$C:$C,'divisional &amp; regional caseload%'!$B$29,'caseload data'!$D:$D,"PO")/SUMIF('caseload data'!$C:$C,'divisional &amp; regional caseload%'!$B$29,'caseload data'!I:I),"")</f>
        <v/>
      </c>
      <c r="H31" s="181" t="str">
        <f>IFERROR(SUMIFS('caseload data'!J:J,'caseload data'!$C:$C,'divisional &amp; regional caseload%'!$B$29,'caseload data'!$D:$D,"PO")/SUMIF('caseload data'!$C:$C,'divisional &amp; regional caseload%'!$B$29,'caseload data'!J:J),"")</f>
        <v/>
      </c>
      <c r="I31" s="181" t="str">
        <f>IFERROR(SUMIFS('caseload data'!K:K,'caseload data'!$C:$C,'divisional &amp; regional caseload%'!$B$29,'caseload data'!$D:$D,"PO")/SUMIF('caseload data'!$C:$C,'divisional &amp; regional caseload%'!$B$29,'caseload data'!K:K),"")</f>
        <v/>
      </c>
      <c r="J31" s="181" t="str">
        <f>IFERROR(SUMIFS('caseload data'!L:L,'caseload data'!$C:$C,'divisional &amp; regional caseload%'!$B$29,'caseload data'!$D:$D,"PO")/SUMIF('caseload data'!$C:$C,'divisional &amp; regional caseload%'!$B$29,'caseload data'!L:L),"")</f>
        <v/>
      </c>
      <c r="K31" s="181" t="str">
        <f>IFERROR(SUMIFS('caseload data'!M:M,'caseload data'!$C:$C,'divisional &amp; regional caseload%'!$B$29,'caseload data'!$D:$D,"PO")/SUMIF('caseload data'!$C:$C,'divisional &amp; regional caseload%'!$B$29,'caseload data'!M:M),"")</f>
        <v/>
      </c>
      <c r="L31" s="181" t="str">
        <f>IFERROR(SUMIFS('caseload data'!N:N,'caseload data'!$C:$C,'divisional &amp; regional caseload%'!$B$29,'caseload data'!$D:$D,"PO")/SUMIF('caseload data'!$C:$C,'divisional &amp; regional caseload%'!$B$29,'caseload data'!N:N),"")</f>
        <v/>
      </c>
      <c r="M31" s="181" t="str">
        <f>IFERROR(SUMIFS('caseload data'!O:O,'caseload data'!$C:$C,'divisional &amp; regional caseload%'!$B$29,'caseload data'!$D:$D,"PO")/SUMIF('caseload data'!$C:$C,'divisional &amp; regional caseload%'!$B$29,'caseload data'!O:O),"")</f>
        <v/>
      </c>
      <c r="N31" s="181" t="str">
        <f>IFERROR(SUMIFS('caseload data'!P:P,'caseload data'!$C:$C,'divisional &amp; regional caseload%'!$B$29,'caseload data'!$D:$D,"PO")/SUMIF('caseload data'!$C:$C,'divisional &amp; regional caseload%'!$B$29,'caseload data'!P:P),"")</f>
        <v/>
      </c>
      <c r="O31" s="181" t="str">
        <f>IFERROR(SUMIFS('caseload data'!Q:Q,'caseload data'!$C:$C,'divisional &amp; regional caseload%'!$B$29,'caseload data'!$D:$D,"PO")/SUMIF('caseload data'!$C:$C,'divisional &amp; regional caseload%'!$B$29,'caseload data'!Q:Q),"")</f>
        <v/>
      </c>
      <c r="P31" s="181" t="str">
        <f>IFERROR(SUMIFS('caseload data'!R:R,'caseload data'!$C:$C,'divisional &amp; regional caseload%'!$B$29,'caseload data'!$D:$D,"PO")/SUMIF('caseload data'!$C:$C,'divisional &amp; regional caseload%'!$B$29,'caseload data'!R:R),"")</f>
        <v/>
      </c>
      <c r="Q31" s="181" t="str">
        <f>IFERROR(SUMIFS('caseload data'!S:S,'caseload data'!$C:$C,'divisional &amp; regional caseload%'!$B$29,'caseload data'!$D:$D,"PO")/SUMIF('caseload data'!$C:$C,'divisional &amp; regional caseload%'!$B$29,'caseload data'!S:S),"")</f>
        <v/>
      </c>
      <c r="R31" s="181" t="str">
        <f>IFERROR(SUMIFS('caseload data'!T:T,'caseload data'!$C:$C,'divisional &amp; regional caseload%'!$B$29,'caseload data'!$D:$D,"PO")/SUMIF('caseload data'!$C:$C,'divisional &amp; regional caseload%'!$B$29,'caseload data'!T:T),"")</f>
        <v/>
      </c>
      <c r="S31" s="73"/>
      <c r="T31" s="106" t="s">
        <v>911</v>
      </c>
      <c r="U31" s="181" t="str">
        <f>IFERROR(SUMIFS('caseload data'!E:E,'caseload data'!$C:$C,'divisional &amp; regional caseload%'!$T$29,'caseload data'!$D:$D,"PO")/SUMIF('caseload data'!$C:$C,'divisional &amp; regional caseload%'!$T$29,'caseload data'!E:E),"")</f>
        <v/>
      </c>
      <c r="V31" s="181" t="str">
        <f>IFERROR(SUMIFS('caseload data'!F:F,'caseload data'!$C:$C,'divisional &amp; regional caseload%'!$T$29,'caseload data'!$D:$D,"PO")/SUMIF('caseload data'!$C:$C,'divisional &amp; regional caseload%'!$T$29,'caseload data'!F:F),"")</f>
        <v/>
      </c>
      <c r="W31" s="181" t="str">
        <f>IFERROR(SUMIFS('caseload data'!G:G,'caseload data'!$C:$C,'divisional &amp; regional caseload%'!$T$29,'caseload data'!$D:$D,"PO")/SUMIF('caseload data'!$C:$C,'divisional &amp; regional caseload%'!$T$29,'caseload data'!G:G),"")</f>
        <v/>
      </c>
      <c r="X31" s="181" t="str">
        <f>IFERROR(SUMIFS('caseload data'!H:H,'caseload data'!$C:$C,'divisional &amp; regional caseload%'!$T$29,'caseload data'!$D:$D,"PO")/SUMIF('caseload data'!$C:$C,'divisional &amp; regional caseload%'!$T$29,'caseload data'!H:H),"")</f>
        <v/>
      </c>
      <c r="Y31" s="181" t="str">
        <f>IFERROR(SUMIFS('caseload data'!I:I,'caseload data'!$C:$C,'divisional &amp; regional caseload%'!$T$29,'caseload data'!$D:$D,"PO")/SUMIF('caseload data'!$C:$C,'divisional &amp; regional caseload%'!$T$29,'caseload data'!I:I),"")</f>
        <v/>
      </c>
      <c r="Z31" s="181" t="str">
        <f>IFERROR(SUMIFS('caseload data'!J:J,'caseload data'!$C:$C,'divisional &amp; regional caseload%'!$T$29,'caseload data'!$D:$D,"PO")/SUMIF('caseload data'!$C:$C,'divisional &amp; regional caseload%'!$T$29,'caseload data'!J:J),"")</f>
        <v/>
      </c>
      <c r="AA31" s="181" t="str">
        <f>IFERROR(SUMIFS('caseload data'!K:K,'caseload data'!$C:$C,'divisional &amp; regional caseload%'!$T$29,'caseload data'!$D:$D,"PO")/SUMIF('caseload data'!$C:$C,'divisional &amp; regional caseload%'!$T$29,'caseload data'!K:K),"")</f>
        <v/>
      </c>
      <c r="AB31" s="181" t="str">
        <f>IFERROR(SUMIFS('caseload data'!L:L,'caseload data'!$C:$C,'divisional &amp; regional caseload%'!$T$29,'caseload data'!$D:$D,"PO")/SUMIF('caseload data'!$C:$C,'divisional &amp; regional caseload%'!$T$29,'caseload data'!L:L),"")</f>
        <v/>
      </c>
      <c r="AC31" s="181" t="str">
        <f>IFERROR(SUMIFS('caseload data'!M:M,'caseload data'!$C:$C,'divisional &amp; regional caseload%'!$T$29,'caseload data'!$D:$D,"PO")/SUMIF('caseload data'!$C:$C,'divisional &amp; regional caseload%'!$T$29,'caseload data'!M:M),"")</f>
        <v/>
      </c>
      <c r="AD31" s="181" t="str">
        <f>IFERROR(SUMIFS('caseload data'!N:N,'caseload data'!$C:$C,'divisional &amp; regional caseload%'!$T$29,'caseload data'!$D:$D,"PO")/SUMIF('caseload data'!$C:$C,'divisional &amp; regional caseload%'!$T$29,'caseload data'!N:N),"")</f>
        <v/>
      </c>
      <c r="AE31" s="181" t="str">
        <f>IFERROR(SUMIFS('caseload data'!O:O,'caseload data'!$C:$C,'divisional &amp; regional caseload%'!$T$29,'caseload data'!$D:$D,"PO")/SUMIF('caseload data'!$C:$C,'divisional &amp; regional caseload%'!$T$29,'caseload data'!O:O),"")</f>
        <v/>
      </c>
      <c r="AF31" s="181" t="str">
        <f>IFERROR(SUMIFS('caseload data'!P:P,'caseload data'!$C:$C,'divisional &amp; regional caseload%'!$T$29,'caseload data'!$D:$D,"PO")/SUMIF('caseload data'!$C:$C,'divisional &amp; regional caseload%'!$T$29,'caseload data'!P:P),"")</f>
        <v/>
      </c>
      <c r="AG31" s="181" t="str">
        <f>IFERROR(SUMIFS('caseload data'!Q:Q,'caseload data'!$C:$C,'divisional &amp; regional caseload%'!$T$29,'caseload data'!$D:$D,"PO")/SUMIF('caseload data'!$C:$C,'divisional &amp; regional caseload%'!$T$29,'caseload data'!Q:Q),"")</f>
        <v/>
      </c>
      <c r="AH31" s="181" t="str">
        <f>IFERROR(SUMIFS('caseload data'!R:R,'caseload data'!$C:$C,'divisional &amp; regional caseload%'!$T$29,'caseload data'!$D:$D,"PO")/SUMIF('caseload data'!$C:$C,'divisional &amp; regional caseload%'!$T$29,'caseload data'!R:R),"")</f>
        <v/>
      </c>
      <c r="AI31" s="181" t="str">
        <f>IFERROR(SUMIFS('caseload data'!S:S,'caseload data'!$C:$C,'divisional &amp; regional caseload%'!$T$29,'caseload data'!$D:$D,"PO")/SUMIF('caseload data'!$C:$C,'divisional &amp; regional caseload%'!$T$29,'caseload data'!S:S),"")</f>
        <v/>
      </c>
      <c r="AJ31" s="181" t="str">
        <f>IFERROR(SUMIFS('caseload data'!T:T,'caseload data'!$C:$C,'divisional &amp; regional caseload%'!$T$29,'caseload data'!$D:$D,"PO")/SUMIF('caseload data'!$C:$C,'divisional &amp; regional caseload%'!$T$29,'caseload data'!T:T),"")</f>
        <v/>
      </c>
    </row>
    <row r="32" spans="2:36" x14ac:dyDescent="0.15">
      <c r="B32" s="107" t="s">
        <v>912</v>
      </c>
      <c r="C32" s="181" t="str">
        <f>IFERROR(SUMIFS('caseload data'!E:E,'caseload data'!$C:$C,'divisional &amp; regional caseload%'!$B$29,'caseload data'!$D:$D,"PSO")/SUMIF('caseload data'!$C:$C,'divisional &amp; regional caseload%'!$B$29,'caseload data'!E:E),"")</f>
        <v/>
      </c>
      <c r="D32" s="181" t="str">
        <f>IFERROR(SUMIFS('caseload data'!F:F,'caseload data'!$C:$C,'divisional &amp; regional caseload%'!$B$29,'caseload data'!$D:$D,"PSO")/SUMIF('caseload data'!$C:$C,'divisional &amp; regional caseload%'!$B$29,'caseload data'!F:F),"")</f>
        <v/>
      </c>
      <c r="E32" s="181" t="str">
        <f>IFERROR(SUMIFS('caseload data'!G:G,'caseload data'!$C:$C,'divisional &amp; regional caseload%'!$B$29,'caseload data'!$D:$D,"PSO")/SUMIF('caseload data'!$C:$C,'divisional &amp; regional caseload%'!$B$29,'caseload data'!G:G),"")</f>
        <v/>
      </c>
      <c r="F32" s="181" t="str">
        <f>IFERROR(SUMIFS('caseload data'!H:H,'caseload data'!$C:$C,'divisional &amp; regional caseload%'!$B$29,'caseload data'!$D:$D,"PSO")/SUMIF('caseload data'!$C:$C,'divisional &amp; regional caseload%'!$B$29,'caseload data'!H:H),"")</f>
        <v/>
      </c>
      <c r="G32" s="181" t="str">
        <f>IFERROR(SUMIFS('caseload data'!I:I,'caseload data'!$C:$C,'divisional &amp; regional caseload%'!$B$29,'caseload data'!$D:$D,"PSO")/SUMIF('caseload data'!$C:$C,'divisional &amp; regional caseload%'!$B$29,'caseload data'!I:I),"")</f>
        <v/>
      </c>
      <c r="H32" s="181" t="str">
        <f>IFERROR(SUMIFS('caseload data'!J:J,'caseload data'!$C:$C,'divisional &amp; regional caseload%'!$B$29,'caseload data'!$D:$D,"PSO")/SUMIF('caseload data'!$C:$C,'divisional &amp; regional caseload%'!$B$29,'caseload data'!J:J),"")</f>
        <v/>
      </c>
      <c r="I32" s="181" t="str">
        <f>IFERROR(SUMIFS('caseload data'!K:K,'caseload data'!$C:$C,'divisional &amp; regional caseload%'!$B$29,'caseload data'!$D:$D,"PSO")/SUMIF('caseload data'!$C:$C,'divisional &amp; regional caseload%'!$B$29,'caseload data'!K:K),"")</f>
        <v/>
      </c>
      <c r="J32" s="181" t="str">
        <f>IFERROR(SUMIFS('caseload data'!L:L,'caseload data'!$C:$C,'divisional &amp; regional caseload%'!$B$29,'caseload data'!$D:$D,"PSO")/SUMIF('caseload data'!$C:$C,'divisional &amp; regional caseload%'!$B$29,'caseload data'!L:L),"")</f>
        <v/>
      </c>
      <c r="K32" s="181" t="str">
        <f>IFERROR(SUMIFS('caseload data'!M:M,'caseload data'!$C:$C,'divisional &amp; regional caseload%'!$B$29,'caseload data'!$D:$D,"PSO")/SUMIF('caseload data'!$C:$C,'divisional &amp; regional caseload%'!$B$29,'caseload data'!M:M),"")</f>
        <v/>
      </c>
      <c r="L32" s="181" t="str">
        <f>IFERROR(SUMIFS('caseload data'!N:N,'caseload data'!$C:$C,'divisional &amp; regional caseload%'!$B$29,'caseload data'!$D:$D,"PSO")/SUMIF('caseload data'!$C:$C,'divisional &amp; regional caseload%'!$B$29,'caseload data'!N:N),"")</f>
        <v/>
      </c>
      <c r="M32" s="181" t="str">
        <f>IFERROR(SUMIFS('caseload data'!O:O,'caseload data'!$C:$C,'divisional &amp; regional caseload%'!$B$29,'caseload data'!$D:$D,"PSO")/SUMIF('caseload data'!$C:$C,'divisional &amp; regional caseload%'!$B$29,'caseload data'!O:O),"")</f>
        <v/>
      </c>
      <c r="N32" s="181" t="str">
        <f>IFERROR(SUMIFS('caseload data'!P:P,'caseload data'!$C:$C,'divisional &amp; regional caseload%'!$B$29,'caseload data'!$D:$D,"PSO")/SUMIF('caseload data'!$C:$C,'divisional &amp; regional caseload%'!$B$29,'caseload data'!P:P),"")</f>
        <v/>
      </c>
      <c r="O32" s="181" t="str">
        <f>IFERROR(SUMIFS('caseload data'!Q:Q,'caseload data'!$C:$C,'divisional &amp; regional caseload%'!$B$29,'caseload data'!$D:$D,"PSO")/SUMIF('caseload data'!$C:$C,'divisional &amp; regional caseload%'!$B$29,'caseload data'!Q:Q),"")</f>
        <v/>
      </c>
      <c r="P32" s="181" t="str">
        <f>IFERROR(SUMIFS('caseload data'!R:R,'caseload data'!$C:$C,'divisional &amp; regional caseload%'!$B$29,'caseload data'!$D:$D,"PSO")/SUMIF('caseload data'!$C:$C,'divisional &amp; regional caseload%'!$B$29,'caseload data'!R:R),"")</f>
        <v/>
      </c>
      <c r="Q32" s="181" t="str">
        <f>IFERROR(SUMIFS('caseload data'!S:S,'caseload data'!$C:$C,'divisional &amp; regional caseload%'!$B$29,'caseload data'!$D:$D,"PSO")/SUMIF('caseload data'!$C:$C,'divisional &amp; regional caseload%'!$B$29,'caseload data'!S:S),"")</f>
        <v/>
      </c>
      <c r="R32" s="181" t="str">
        <f>IFERROR(SUMIFS('caseload data'!T:T,'caseload data'!$C:$C,'divisional &amp; regional caseload%'!$B$29,'caseload data'!$D:$D,"PSO")/SUMIF('caseload data'!$C:$C,'divisional &amp; regional caseload%'!$B$29,'caseload data'!T:T),"")</f>
        <v/>
      </c>
      <c r="S32" s="73"/>
      <c r="T32" s="107" t="s">
        <v>912</v>
      </c>
      <c r="U32" s="181" t="str">
        <f>IFERROR(SUMIFS('caseload data'!E:E,'caseload data'!$C:$C,'divisional &amp; regional caseload%'!$T$29,'caseload data'!$D:$D,"PSO")/SUMIF('caseload data'!$C:$C,'divisional &amp; regional caseload%'!$T$29,'caseload data'!E:E),"")</f>
        <v/>
      </c>
      <c r="V32" s="181" t="str">
        <f>IFERROR(SUMIFS('caseload data'!F:F,'caseload data'!$C:$C,'divisional &amp; regional caseload%'!$T$29,'caseload data'!$D:$D,"PSO")/SUMIF('caseload data'!$C:$C,'divisional &amp; regional caseload%'!$T$29,'caseload data'!F:F),"")</f>
        <v/>
      </c>
      <c r="W32" s="181" t="str">
        <f>IFERROR(SUMIFS('caseload data'!G:G,'caseload data'!$C:$C,'divisional &amp; regional caseload%'!$T$29,'caseload data'!$D:$D,"PSO")/SUMIF('caseload data'!$C:$C,'divisional &amp; regional caseload%'!$T$29,'caseload data'!G:G),"")</f>
        <v/>
      </c>
      <c r="X32" s="181" t="str">
        <f>IFERROR(SUMIFS('caseload data'!H:H,'caseload data'!$C:$C,'divisional &amp; regional caseload%'!$T$29,'caseload data'!$D:$D,"PSO")/SUMIF('caseload data'!$C:$C,'divisional &amp; regional caseload%'!$T$29,'caseload data'!H:H),"")</f>
        <v/>
      </c>
      <c r="Y32" s="181" t="str">
        <f>IFERROR(SUMIFS('caseload data'!I:I,'caseload data'!$C:$C,'divisional &amp; regional caseload%'!$T$29,'caseload data'!$D:$D,"PSO")/SUMIF('caseload data'!$C:$C,'divisional &amp; regional caseload%'!$T$29,'caseload data'!I:I),"")</f>
        <v/>
      </c>
      <c r="Z32" s="181" t="str">
        <f>IFERROR(SUMIFS('caseload data'!J:J,'caseload data'!$C:$C,'divisional &amp; regional caseload%'!$T$29,'caseload data'!$D:$D,"PSO")/SUMIF('caseload data'!$C:$C,'divisional &amp; regional caseload%'!$T$29,'caseload data'!J:J),"")</f>
        <v/>
      </c>
      <c r="AA32" s="181" t="str">
        <f>IFERROR(SUMIFS('caseload data'!K:K,'caseload data'!$C:$C,'divisional &amp; regional caseload%'!$T$29,'caseload data'!$D:$D,"PSO")/SUMIF('caseload data'!$C:$C,'divisional &amp; regional caseload%'!$T$29,'caseload data'!K:K),"")</f>
        <v/>
      </c>
      <c r="AB32" s="181" t="str">
        <f>IFERROR(SUMIFS('caseload data'!L:L,'caseload data'!$C:$C,'divisional &amp; regional caseload%'!$T$29,'caseload data'!$D:$D,"PSO")/SUMIF('caseload data'!$C:$C,'divisional &amp; regional caseload%'!$T$29,'caseload data'!L:L),"")</f>
        <v/>
      </c>
      <c r="AC32" s="181" t="str">
        <f>IFERROR(SUMIFS('caseload data'!M:M,'caseload data'!$C:$C,'divisional &amp; regional caseload%'!$T$29,'caseload data'!$D:$D,"PSO")/SUMIF('caseload data'!$C:$C,'divisional &amp; regional caseload%'!$T$29,'caseload data'!M:M),"")</f>
        <v/>
      </c>
      <c r="AD32" s="181" t="str">
        <f>IFERROR(SUMIFS('caseload data'!N:N,'caseload data'!$C:$C,'divisional &amp; regional caseload%'!$T$29,'caseload data'!$D:$D,"PSO")/SUMIF('caseload data'!$C:$C,'divisional &amp; regional caseload%'!$T$29,'caseload data'!N:N),"")</f>
        <v/>
      </c>
      <c r="AE32" s="181" t="str">
        <f>IFERROR(SUMIFS('caseload data'!O:O,'caseload data'!$C:$C,'divisional &amp; regional caseload%'!$T$29,'caseload data'!$D:$D,"PSO")/SUMIF('caseload data'!$C:$C,'divisional &amp; regional caseload%'!$T$29,'caseload data'!O:O),"")</f>
        <v/>
      </c>
      <c r="AF32" s="181" t="str">
        <f>IFERROR(SUMIFS('caseload data'!P:P,'caseload data'!$C:$C,'divisional &amp; regional caseload%'!$T$29,'caseload data'!$D:$D,"PSO")/SUMIF('caseload data'!$C:$C,'divisional &amp; regional caseload%'!$T$29,'caseload data'!P:P),"")</f>
        <v/>
      </c>
      <c r="AG32" s="181" t="str">
        <f>IFERROR(SUMIFS('caseload data'!Q:Q,'caseload data'!$C:$C,'divisional &amp; regional caseload%'!$T$29,'caseload data'!$D:$D,"PSO")/SUMIF('caseload data'!$C:$C,'divisional &amp; regional caseload%'!$T$29,'caseload data'!Q:Q),"")</f>
        <v/>
      </c>
      <c r="AH32" s="181" t="str">
        <f>IFERROR(SUMIFS('caseload data'!R:R,'caseload data'!$C:$C,'divisional &amp; regional caseload%'!$T$29,'caseload data'!$D:$D,"PSO")/SUMIF('caseload data'!$C:$C,'divisional &amp; regional caseload%'!$T$29,'caseload data'!R:R),"")</f>
        <v/>
      </c>
      <c r="AI32" s="181" t="str">
        <f>IFERROR(SUMIFS('caseload data'!S:S,'caseload data'!$C:$C,'divisional &amp; regional caseload%'!$T$29,'caseload data'!$D:$D,"PSO")/SUMIF('caseload data'!$C:$C,'divisional &amp; regional caseload%'!$T$29,'caseload data'!S:S),"")</f>
        <v/>
      </c>
      <c r="AJ32" s="181" t="str">
        <f>IFERROR(SUMIFS('caseload data'!T:T,'caseload data'!$C:$C,'divisional &amp; regional caseload%'!$T$29,'caseload data'!$D:$D,"PSO")/SUMIF('caseload data'!$C:$C,'divisional &amp; regional caseload%'!$T$29,'caseload data'!T:T),"")</f>
        <v/>
      </c>
    </row>
    <row r="33" spans="2:36" x14ac:dyDescent="0.15">
      <c r="B33" s="107" t="s">
        <v>913</v>
      </c>
      <c r="C33" s="181" t="str">
        <f>IFERROR(SUMIFS('caseload data'!E:E,'caseload data'!$C:$C,'divisional &amp; regional caseload%'!$B$29,'caseload data'!$D:$D,"TPO")/SUMIF('caseload data'!$C:$C,'divisional &amp; regional caseload%'!$B$29,'caseload data'!E:E),"")</f>
        <v/>
      </c>
      <c r="D33" s="181" t="str">
        <f>IFERROR(SUMIFS('caseload data'!F:F,'caseload data'!$C:$C,'divisional &amp; regional caseload%'!$B$29,'caseload data'!$D:$D,"TPO")/SUMIF('caseload data'!$C:$C,'divisional &amp; regional caseload%'!$B$29,'caseload data'!F:F),"")</f>
        <v/>
      </c>
      <c r="E33" s="181" t="str">
        <f>IFERROR(SUMIFS('caseload data'!G:G,'caseload data'!$C:$C,'divisional &amp; regional caseload%'!$B$29,'caseload data'!$D:$D,"TPO")/SUMIF('caseload data'!$C:$C,'divisional &amp; regional caseload%'!$B$29,'caseload data'!G:G),"")</f>
        <v/>
      </c>
      <c r="F33" s="181" t="str">
        <f>IFERROR(SUMIFS('caseload data'!H:H,'caseload data'!$C:$C,'divisional &amp; regional caseload%'!$B$29,'caseload data'!$D:$D,"TPO")/SUMIF('caseload data'!$C:$C,'divisional &amp; regional caseload%'!$B$29,'caseload data'!H:H),"")</f>
        <v/>
      </c>
      <c r="G33" s="181" t="str">
        <f>IFERROR(SUMIFS('caseload data'!I:I,'caseload data'!$C:$C,'divisional &amp; regional caseload%'!$B$29,'caseload data'!$D:$D,"TPO")/SUMIF('caseload data'!$C:$C,'divisional &amp; regional caseload%'!$B$29,'caseload data'!I:I),"")</f>
        <v/>
      </c>
      <c r="H33" s="181" t="str">
        <f>IFERROR(SUMIFS('caseload data'!J:J,'caseload data'!$C:$C,'divisional &amp; regional caseload%'!$B$29,'caseload data'!$D:$D,"TPO")/SUMIF('caseload data'!$C:$C,'divisional &amp; regional caseload%'!$B$29,'caseload data'!J:J),"")</f>
        <v/>
      </c>
      <c r="I33" s="181" t="str">
        <f>IFERROR(SUMIFS('caseload data'!K:K,'caseload data'!$C:$C,'divisional &amp; regional caseload%'!$B$29,'caseload data'!$D:$D,"TPO")/SUMIF('caseload data'!$C:$C,'divisional &amp; regional caseload%'!$B$29,'caseload data'!K:K),"")</f>
        <v/>
      </c>
      <c r="J33" s="181" t="str">
        <f>IFERROR(SUMIFS('caseload data'!L:L,'caseload data'!$C:$C,'divisional &amp; regional caseload%'!$B$29,'caseload data'!$D:$D,"TPO")/SUMIF('caseload data'!$C:$C,'divisional &amp; regional caseload%'!$B$29,'caseload data'!L:L),"")</f>
        <v/>
      </c>
      <c r="K33" s="181" t="str">
        <f>IFERROR(SUMIFS('caseload data'!M:M,'caseload data'!$C:$C,'divisional &amp; regional caseload%'!$B$29,'caseload data'!$D:$D,"TPO")/SUMIF('caseload data'!$C:$C,'divisional &amp; regional caseload%'!$B$29,'caseload data'!M:M),"")</f>
        <v/>
      </c>
      <c r="L33" s="181" t="str">
        <f>IFERROR(SUMIFS('caseload data'!N:N,'caseload data'!$C:$C,'divisional &amp; regional caseload%'!$B$29,'caseload data'!$D:$D,"TPO")/SUMIF('caseload data'!$C:$C,'divisional &amp; regional caseload%'!$B$29,'caseload data'!N:N),"")</f>
        <v/>
      </c>
      <c r="M33" s="181" t="str">
        <f>IFERROR(SUMIFS('caseload data'!O:O,'caseload data'!$C:$C,'divisional &amp; regional caseload%'!$B$29,'caseload data'!$D:$D,"TPO")/SUMIF('caseload data'!$C:$C,'divisional &amp; regional caseload%'!$B$29,'caseload data'!O:O),"")</f>
        <v/>
      </c>
      <c r="N33" s="181" t="str">
        <f>IFERROR(SUMIFS('caseload data'!P:P,'caseload data'!$C:$C,'divisional &amp; regional caseload%'!$B$29,'caseload data'!$D:$D,"TPO")/SUMIF('caseload data'!$C:$C,'divisional &amp; regional caseload%'!$B$29,'caseload data'!P:P),"")</f>
        <v/>
      </c>
      <c r="O33" s="181" t="str">
        <f>IFERROR(SUMIFS('caseload data'!Q:Q,'caseload data'!$C:$C,'divisional &amp; regional caseload%'!$B$29,'caseload data'!$D:$D,"TPO")/SUMIF('caseload data'!$C:$C,'divisional &amp; regional caseload%'!$B$29,'caseload data'!Q:Q),"")</f>
        <v/>
      </c>
      <c r="P33" s="181" t="str">
        <f>IFERROR(SUMIFS('caseload data'!R:R,'caseload data'!$C:$C,'divisional &amp; regional caseload%'!$B$29,'caseload data'!$D:$D,"TPO")/SUMIF('caseload data'!$C:$C,'divisional &amp; regional caseload%'!$B$29,'caseload data'!R:R),"")</f>
        <v/>
      </c>
      <c r="Q33" s="181" t="str">
        <f>IFERROR(SUMIFS('caseload data'!S:S,'caseload data'!$C:$C,'divisional &amp; regional caseload%'!$B$29,'caseload data'!$D:$D,"TPO")/SUMIF('caseload data'!$C:$C,'divisional &amp; regional caseload%'!$B$29,'caseload data'!S:S),"")</f>
        <v/>
      </c>
      <c r="R33" s="181" t="str">
        <f>IFERROR(SUMIFS('caseload data'!T:T,'caseload data'!$C:$C,'divisional &amp; regional caseload%'!$B$29,'caseload data'!$D:$D,"TPO")/SUMIF('caseload data'!$C:$C,'divisional &amp; regional caseload%'!$B$29,'caseload data'!T:T),"")</f>
        <v/>
      </c>
      <c r="S33" s="73"/>
      <c r="T33" s="107" t="s">
        <v>913</v>
      </c>
      <c r="U33" s="181" t="str">
        <f>IFERROR(SUMIFS('caseload data'!E:E,'caseload data'!$C:$C,'divisional &amp; regional caseload%'!$T$29,'caseload data'!$D:$D,"TPO")/SUMIF('caseload data'!$C:$C,'divisional &amp; regional caseload%'!$T$29,'caseload data'!E:E),"")</f>
        <v/>
      </c>
      <c r="V33" s="181" t="str">
        <f>IFERROR(SUMIFS('caseload data'!F:F,'caseload data'!$C:$C,'divisional &amp; regional caseload%'!$T$29,'caseload data'!$D:$D,"TPO")/SUMIF('caseload data'!$C:$C,'divisional &amp; regional caseload%'!$T$29,'caseload data'!F:F),"")</f>
        <v/>
      </c>
      <c r="W33" s="181" t="str">
        <f>IFERROR(SUMIFS('caseload data'!G:G,'caseload data'!$C:$C,'divisional &amp; regional caseload%'!$T$29,'caseload data'!$D:$D,"TPO")/SUMIF('caseload data'!$C:$C,'divisional &amp; regional caseload%'!$T$29,'caseload data'!G:G),"")</f>
        <v/>
      </c>
      <c r="X33" s="181" t="str">
        <f>IFERROR(SUMIFS('caseload data'!H:H,'caseload data'!$C:$C,'divisional &amp; regional caseload%'!$T$29,'caseload data'!$D:$D,"TPO")/SUMIF('caseload data'!$C:$C,'divisional &amp; regional caseload%'!$T$29,'caseload data'!H:H),"")</f>
        <v/>
      </c>
      <c r="Y33" s="181" t="str">
        <f>IFERROR(SUMIFS('caseload data'!I:I,'caseload data'!$C:$C,'divisional &amp; regional caseload%'!$T$29,'caseload data'!$D:$D,"TPO")/SUMIF('caseload data'!$C:$C,'divisional &amp; regional caseload%'!$T$29,'caseload data'!I:I),"")</f>
        <v/>
      </c>
      <c r="Z33" s="181" t="str">
        <f>IFERROR(SUMIFS('caseload data'!J:J,'caseload data'!$C:$C,'divisional &amp; regional caseload%'!$T$29,'caseload data'!$D:$D,"TPO")/SUMIF('caseload data'!$C:$C,'divisional &amp; regional caseload%'!$T$29,'caseload data'!J:J),"")</f>
        <v/>
      </c>
      <c r="AA33" s="181" t="str">
        <f>IFERROR(SUMIFS('caseload data'!K:K,'caseload data'!$C:$C,'divisional &amp; regional caseload%'!$T$29,'caseload data'!$D:$D,"TPO")/SUMIF('caseload data'!$C:$C,'divisional &amp; regional caseload%'!$T$29,'caseload data'!K:K),"")</f>
        <v/>
      </c>
      <c r="AB33" s="181" t="str">
        <f>IFERROR(SUMIFS('caseload data'!L:L,'caseload data'!$C:$C,'divisional &amp; regional caseload%'!$T$29,'caseload data'!$D:$D,"TPO")/SUMIF('caseload data'!$C:$C,'divisional &amp; regional caseload%'!$T$29,'caseload data'!L:L),"")</f>
        <v/>
      </c>
      <c r="AC33" s="181" t="str">
        <f>IFERROR(SUMIFS('caseload data'!M:M,'caseload data'!$C:$C,'divisional &amp; regional caseload%'!$T$29,'caseload data'!$D:$D,"TPO")/SUMIF('caseload data'!$C:$C,'divisional &amp; regional caseload%'!$T$29,'caseload data'!M:M),"")</f>
        <v/>
      </c>
      <c r="AD33" s="181" t="str">
        <f>IFERROR(SUMIFS('caseload data'!N:N,'caseload data'!$C:$C,'divisional &amp; regional caseload%'!$T$29,'caseload data'!$D:$D,"TPO")/SUMIF('caseload data'!$C:$C,'divisional &amp; regional caseload%'!$T$29,'caseload data'!N:N),"")</f>
        <v/>
      </c>
      <c r="AE33" s="181" t="str">
        <f>IFERROR(SUMIFS('caseload data'!O:O,'caseload data'!$C:$C,'divisional &amp; regional caseload%'!$T$29,'caseload data'!$D:$D,"TPO")/SUMIF('caseload data'!$C:$C,'divisional &amp; regional caseload%'!$T$29,'caseload data'!O:O),"")</f>
        <v/>
      </c>
      <c r="AF33" s="181" t="str">
        <f>IFERROR(SUMIFS('caseload data'!P:P,'caseload data'!$C:$C,'divisional &amp; regional caseload%'!$T$29,'caseload data'!$D:$D,"TPO")/SUMIF('caseload data'!$C:$C,'divisional &amp; regional caseload%'!$T$29,'caseload data'!P:P),"")</f>
        <v/>
      </c>
      <c r="AG33" s="181" t="str">
        <f>IFERROR(SUMIFS('caseload data'!Q:Q,'caseload data'!$C:$C,'divisional &amp; regional caseload%'!$T$29,'caseload data'!$D:$D,"TPO")/SUMIF('caseload data'!$C:$C,'divisional &amp; regional caseload%'!$T$29,'caseload data'!Q:Q),"")</f>
        <v/>
      </c>
      <c r="AH33" s="181" t="str">
        <f>IFERROR(SUMIFS('caseload data'!R:R,'caseload data'!$C:$C,'divisional &amp; regional caseload%'!$T$29,'caseload data'!$D:$D,"TPO")/SUMIF('caseload data'!$C:$C,'divisional &amp; regional caseload%'!$T$29,'caseload data'!R:R),"")</f>
        <v/>
      </c>
      <c r="AI33" s="181" t="str">
        <f>IFERROR(SUMIFS('caseload data'!S:S,'caseload data'!$C:$C,'divisional &amp; regional caseload%'!$T$29,'caseload data'!$D:$D,"TPO")/SUMIF('caseload data'!$C:$C,'divisional &amp; regional caseload%'!$T$29,'caseload data'!S:S),"")</f>
        <v/>
      </c>
      <c r="AJ33" s="181" t="str">
        <f>IFERROR(SUMIFS('caseload data'!T:T,'caseload data'!$C:$C,'divisional &amp; regional caseload%'!$T$29,'caseload data'!$D:$D,"TPO")/SUMIF('caseload data'!$C:$C,'divisional &amp; regional caseload%'!$T$29,'caseload data'!T:T),"")</f>
        <v/>
      </c>
    </row>
    <row r="34" spans="2:36" x14ac:dyDescent="0.15">
      <c r="B34" s="108" t="s">
        <v>914</v>
      </c>
      <c r="C34" s="181" t="str">
        <f>IFERROR(SUMIFS('caseload data'!E:E,'caseload data'!$C:$C,'divisional &amp; regional caseload%'!$B$29,'caseload data'!$D:$D,"SPO")/SUMIF('caseload data'!$C:$C,'divisional &amp; regional caseload%'!$B$29,'caseload data'!E:E),"")</f>
        <v/>
      </c>
      <c r="D34" s="181" t="str">
        <f>IFERROR(SUMIFS('caseload data'!F:F,'caseload data'!$C:$C,'divisional &amp; regional caseload%'!$B$29,'caseload data'!$D:$D,"SPO")/SUMIF('caseload data'!$C:$C,'divisional &amp; regional caseload%'!$B$29,'caseload data'!F:F),"")</f>
        <v/>
      </c>
      <c r="E34" s="181" t="str">
        <f>IFERROR(SUMIFS('caseload data'!G:G,'caseload data'!$C:$C,'divisional &amp; regional caseload%'!$B$29,'caseload data'!$D:$D,"SPO")/SUMIF('caseload data'!$C:$C,'divisional &amp; regional caseload%'!$B$29,'caseload data'!G:G),"")</f>
        <v/>
      </c>
      <c r="F34" s="181" t="str">
        <f>IFERROR(SUMIFS('caseload data'!H:H,'caseload data'!$C:$C,'divisional &amp; regional caseload%'!$B$29,'caseload data'!$D:$D,"SPO")/SUMIF('caseload data'!$C:$C,'divisional &amp; regional caseload%'!$B$29,'caseload data'!H:H),"")</f>
        <v/>
      </c>
      <c r="G34" s="181" t="str">
        <f>IFERROR(SUMIFS('caseload data'!I:I,'caseload data'!$C:$C,'divisional &amp; regional caseload%'!$B$29,'caseload data'!$D:$D,"SPO")/SUMIF('caseload data'!$C:$C,'divisional &amp; regional caseload%'!$B$29,'caseload data'!I:I),"")</f>
        <v/>
      </c>
      <c r="H34" s="181" t="str">
        <f>IFERROR(SUMIFS('caseload data'!J:J,'caseload data'!$C:$C,'divisional &amp; regional caseload%'!$B$29,'caseload data'!$D:$D,"SPO")/SUMIF('caseload data'!$C:$C,'divisional &amp; regional caseload%'!$B$29,'caseload data'!J:J),"")</f>
        <v/>
      </c>
      <c r="I34" s="181" t="str">
        <f>IFERROR(SUMIFS('caseload data'!K:K,'caseload data'!$C:$C,'divisional &amp; regional caseload%'!$B$29,'caseload data'!$D:$D,"SPO")/SUMIF('caseload data'!$C:$C,'divisional &amp; regional caseload%'!$B$29,'caseload data'!K:K),"")</f>
        <v/>
      </c>
      <c r="J34" s="181" t="str">
        <f>IFERROR(SUMIFS('caseload data'!L:L,'caseload data'!$C:$C,'divisional &amp; regional caseload%'!$B$29,'caseload data'!$D:$D,"SPO")/SUMIF('caseload data'!$C:$C,'divisional &amp; regional caseload%'!$B$29,'caseload data'!L:L),"")</f>
        <v/>
      </c>
      <c r="K34" s="181" t="str">
        <f>IFERROR(SUMIFS('caseload data'!M:M,'caseload data'!$C:$C,'divisional &amp; regional caseload%'!$B$29,'caseload data'!$D:$D,"SPO")/SUMIF('caseload data'!$C:$C,'divisional &amp; regional caseload%'!$B$29,'caseload data'!M:M),"")</f>
        <v/>
      </c>
      <c r="L34" s="181" t="str">
        <f>IFERROR(SUMIFS('caseload data'!N:N,'caseload data'!$C:$C,'divisional &amp; regional caseload%'!$B$29,'caseload data'!$D:$D,"SPO")/SUMIF('caseload data'!$C:$C,'divisional &amp; regional caseload%'!$B$29,'caseload data'!N:N),"")</f>
        <v/>
      </c>
      <c r="M34" s="181" t="str">
        <f>IFERROR(SUMIFS('caseload data'!O:O,'caseload data'!$C:$C,'divisional &amp; regional caseload%'!$B$29,'caseload data'!$D:$D,"SPO")/SUMIF('caseload data'!$C:$C,'divisional &amp; regional caseload%'!$B$29,'caseload data'!O:O),"")</f>
        <v/>
      </c>
      <c r="N34" s="181" t="str">
        <f>IFERROR(SUMIFS('caseload data'!P:P,'caseload data'!$C:$C,'divisional &amp; regional caseload%'!$B$29,'caseload data'!$D:$D,"SPO")/SUMIF('caseload data'!$C:$C,'divisional &amp; regional caseload%'!$B$29,'caseload data'!P:P),"")</f>
        <v/>
      </c>
      <c r="O34" s="181" t="str">
        <f>IFERROR(SUMIFS('caseload data'!Q:Q,'caseload data'!$C:$C,'divisional &amp; regional caseload%'!$B$29,'caseload data'!$D:$D,"SPO")/SUMIF('caseload data'!$C:$C,'divisional &amp; regional caseload%'!$B$29,'caseload data'!Q:Q),"")</f>
        <v/>
      </c>
      <c r="P34" s="181" t="str">
        <f>IFERROR(SUMIFS('caseload data'!R:R,'caseload data'!$C:$C,'divisional &amp; regional caseload%'!$B$29,'caseload data'!$D:$D,"SPO")/SUMIF('caseload data'!$C:$C,'divisional &amp; regional caseload%'!$B$29,'caseload data'!R:R),"")</f>
        <v/>
      </c>
      <c r="Q34" s="181" t="str">
        <f>IFERROR(SUMIFS('caseload data'!S:S,'caseload data'!$C:$C,'divisional &amp; regional caseload%'!$B$29,'caseload data'!$D:$D,"SPO")/SUMIF('caseload data'!$C:$C,'divisional &amp; regional caseload%'!$B$29,'caseload data'!S:S),"")</f>
        <v/>
      </c>
      <c r="R34" s="181" t="str">
        <f>IFERROR(SUMIFS('caseload data'!T:T,'caseload data'!$C:$C,'divisional &amp; regional caseload%'!$B$29,'caseload data'!$D:$D,"SPO")/SUMIF('caseload data'!$C:$C,'divisional &amp; regional caseload%'!$B$29,'caseload data'!T:T),"")</f>
        <v/>
      </c>
      <c r="S34" s="73"/>
      <c r="T34" s="108" t="s">
        <v>914</v>
      </c>
      <c r="U34" s="181" t="str">
        <f>IFERROR(SUMIFS('caseload data'!E:E,'caseload data'!$C:$C,'divisional &amp; regional caseload%'!$T$29,'caseload data'!$D:$D,"SPO")/SUMIF('caseload data'!$C:$C,'divisional &amp; regional caseload%'!$T$29,'caseload data'!E:E),"")</f>
        <v/>
      </c>
      <c r="V34" s="181" t="str">
        <f>IFERROR(SUMIFS('caseload data'!F:F,'caseload data'!$C:$C,'divisional &amp; regional caseload%'!$T$29,'caseload data'!$D:$D,"SPO")/SUMIF('caseload data'!$C:$C,'divisional &amp; regional caseload%'!$T$29,'caseload data'!F:F),"")</f>
        <v/>
      </c>
      <c r="W34" s="181" t="str">
        <f>IFERROR(SUMIFS('caseload data'!G:G,'caseload data'!$C:$C,'divisional &amp; regional caseload%'!$T$29,'caseload data'!$D:$D,"SPO")/SUMIF('caseload data'!$C:$C,'divisional &amp; regional caseload%'!$T$29,'caseload data'!G:G),"")</f>
        <v/>
      </c>
      <c r="X34" s="181" t="str">
        <f>IFERROR(SUMIFS('caseload data'!H:H,'caseload data'!$C:$C,'divisional &amp; regional caseload%'!$T$29,'caseload data'!$D:$D,"SPO")/SUMIF('caseload data'!$C:$C,'divisional &amp; regional caseload%'!$T$29,'caseload data'!H:H),"")</f>
        <v/>
      </c>
      <c r="Y34" s="181" t="str">
        <f>IFERROR(SUMIFS('caseload data'!I:I,'caseload data'!$C:$C,'divisional &amp; regional caseload%'!$T$29,'caseload data'!$D:$D,"SPO")/SUMIF('caseload data'!$C:$C,'divisional &amp; regional caseload%'!$T$29,'caseload data'!I:I),"")</f>
        <v/>
      </c>
      <c r="Z34" s="181" t="str">
        <f>IFERROR(SUMIFS('caseload data'!J:J,'caseload data'!$C:$C,'divisional &amp; regional caseload%'!$T$29,'caseload data'!$D:$D,"SPO")/SUMIF('caseload data'!$C:$C,'divisional &amp; regional caseload%'!$T$29,'caseload data'!J:J),"")</f>
        <v/>
      </c>
      <c r="AA34" s="181" t="str">
        <f>IFERROR(SUMIFS('caseload data'!K:K,'caseload data'!$C:$C,'divisional &amp; regional caseload%'!$T$29,'caseload data'!$D:$D,"SPO")/SUMIF('caseload data'!$C:$C,'divisional &amp; regional caseload%'!$T$29,'caseload data'!K:K),"")</f>
        <v/>
      </c>
      <c r="AB34" s="181" t="str">
        <f>IFERROR(SUMIFS('caseload data'!L:L,'caseload data'!$C:$C,'divisional &amp; regional caseload%'!$T$29,'caseload data'!$D:$D,"SPO")/SUMIF('caseload data'!$C:$C,'divisional &amp; regional caseload%'!$T$29,'caseload data'!L:L),"")</f>
        <v/>
      </c>
      <c r="AC34" s="181" t="str">
        <f>IFERROR(SUMIFS('caseload data'!M:M,'caseload data'!$C:$C,'divisional &amp; regional caseload%'!$T$29,'caseload data'!$D:$D,"SPO")/SUMIF('caseload data'!$C:$C,'divisional &amp; regional caseload%'!$T$29,'caseload data'!M:M),"")</f>
        <v/>
      </c>
      <c r="AD34" s="181" t="str">
        <f>IFERROR(SUMIFS('caseload data'!N:N,'caseload data'!$C:$C,'divisional &amp; regional caseload%'!$T$29,'caseload data'!$D:$D,"SPO")/SUMIF('caseload data'!$C:$C,'divisional &amp; regional caseload%'!$T$29,'caseload data'!N:N),"")</f>
        <v/>
      </c>
      <c r="AE34" s="181" t="str">
        <f>IFERROR(SUMIFS('caseload data'!O:O,'caseload data'!$C:$C,'divisional &amp; regional caseload%'!$T$29,'caseload data'!$D:$D,"SPO")/SUMIF('caseload data'!$C:$C,'divisional &amp; regional caseload%'!$T$29,'caseload data'!O:O),"")</f>
        <v/>
      </c>
      <c r="AF34" s="181" t="str">
        <f>IFERROR(SUMIFS('caseload data'!P:P,'caseload data'!$C:$C,'divisional &amp; regional caseload%'!$T$29,'caseload data'!$D:$D,"SPO")/SUMIF('caseload data'!$C:$C,'divisional &amp; regional caseload%'!$T$29,'caseload data'!P:P),"")</f>
        <v/>
      </c>
      <c r="AG34" s="181" t="str">
        <f>IFERROR(SUMIFS('caseload data'!Q:Q,'caseload data'!$C:$C,'divisional &amp; regional caseload%'!$T$29,'caseload data'!$D:$D,"SPO")/SUMIF('caseload data'!$C:$C,'divisional &amp; regional caseload%'!$T$29,'caseload data'!Q:Q),"")</f>
        <v/>
      </c>
      <c r="AH34" s="181" t="str">
        <f>IFERROR(SUMIFS('caseload data'!R:R,'caseload data'!$C:$C,'divisional &amp; regional caseload%'!$T$29,'caseload data'!$D:$D,"SPO")/SUMIF('caseload data'!$C:$C,'divisional &amp; regional caseload%'!$T$29,'caseload data'!R:R),"")</f>
        <v/>
      </c>
      <c r="AI34" s="181" t="str">
        <f>IFERROR(SUMIFS('caseload data'!S:S,'caseload data'!$C:$C,'divisional &amp; regional caseload%'!$T$29,'caseload data'!$D:$D,"SPO")/SUMIF('caseload data'!$C:$C,'divisional &amp; regional caseload%'!$T$29,'caseload data'!S:S),"")</f>
        <v/>
      </c>
      <c r="AJ34" s="181" t="str">
        <f>IFERROR(SUMIFS('caseload data'!T:T,'caseload data'!$C:$C,'divisional &amp; regional caseload%'!$T$29,'caseload data'!$D:$D,"SPO")/SUMIF('caseload data'!$C:$C,'divisional &amp; regional caseload%'!$T$29,'caseload data'!T:T),"")</f>
        <v/>
      </c>
    </row>
    <row r="35" spans="2:36" x14ac:dyDescent="0.15">
      <c r="B35" s="101"/>
      <c r="C35" s="73"/>
      <c r="D35" s="73"/>
      <c r="E35" s="73"/>
      <c r="F35" s="73"/>
      <c r="G35" s="73"/>
      <c r="H35" s="73"/>
      <c r="I35" s="73"/>
      <c r="J35" s="73"/>
      <c r="K35" s="73"/>
      <c r="L35" s="73"/>
      <c r="M35" s="73"/>
      <c r="N35" s="73"/>
      <c r="O35" s="73"/>
      <c r="P35" s="73"/>
      <c r="Q35" s="73"/>
      <c r="R35" s="73"/>
      <c r="S35" s="73"/>
      <c r="T35" s="101"/>
      <c r="U35" s="73"/>
      <c r="V35" s="73"/>
      <c r="W35" s="73"/>
      <c r="X35" s="73"/>
      <c r="Y35" s="73"/>
      <c r="Z35" s="73"/>
      <c r="AA35" s="73"/>
      <c r="AB35" s="73"/>
      <c r="AC35" s="73"/>
      <c r="AD35" s="73"/>
      <c r="AE35" s="73"/>
      <c r="AF35" s="73"/>
      <c r="AG35" s="73"/>
      <c r="AH35" s="73"/>
      <c r="AI35" s="73"/>
      <c r="AJ35" s="73"/>
    </row>
    <row r="36" spans="2:36" ht="27.75" customHeight="1" x14ac:dyDescent="0.15">
      <c r="B36" s="156" t="str">
        <f>HLOOKUP($B$5,Region_Table,10,0)</f>
        <v>Greenwich and Bexley</v>
      </c>
      <c r="C36" s="367" t="s">
        <v>1131</v>
      </c>
      <c r="D36" s="368"/>
      <c r="E36" s="368"/>
      <c r="F36" s="368"/>
      <c r="G36" s="368"/>
      <c r="H36" s="368"/>
      <c r="I36" s="368"/>
      <c r="J36" s="368"/>
      <c r="K36" s="368"/>
      <c r="L36" s="368"/>
      <c r="M36" s="377"/>
      <c r="N36" s="377"/>
      <c r="O36" s="378"/>
      <c r="P36" s="371">
        <f>SUMIF('caseload data'!$C:$C,'divisional &amp; regional caseload%'!B36,'caseload data'!V:V)</f>
        <v>0</v>
      </c>
      <c r="Q36" s="379"/>
      <c r="R36" s="380"/>
      <c r="S36" s="73"/>
      <c r="T36" s="156" t="str">
        <f>HLOOKUP($B$5,Region_Table,11,0)</f>
        <v>Hackney and City</v>
      </c>
      <c r="U36" s="367" t="s">
        <v>1130</v>
      </c>
      <c r="V36" s="368"/>
      <c r="W36" s="368"/>
      <c r="X36" s="368"/>
      <c r="Y36" s="368"/>
      <c r="Z36" s="368"/>
      <c r="AA36" s="368"/>
      <c r="AB36" s="368"/>
      <c r="AC36" s="368"/>
      <c r="AD36" s="368"/>
      <c r="AE36" s="377"/>
      <c r="AF36" s="377"/>
      <c r="AG36" s="378"/>
      <c r="AH36" s="371">
        <f>SUMIF('caseload data'!$C:$C,'divisional &amp; regional caseload%'!T36,'caseload data'!V:V)</f>
        <v>0</v>
      </c>
      <c r="AI36" s="379"/>
      <c r="AJ36" s="380"/>
    </row>
    <row r="37" spans="2:36" x14ac:dyDescent="0.15">
      <c r="B37" s="105" t="s">
        <v>1065</v>
      </c>
      <c r="C37" s="41" t="s">
        <v>922</v>
      </c>
      <c r="D37" s="41" t="s">
        <v>923</v>
      </c>
      <c r="E37" s="41" t="s">
        <v>924</v>
      </c>
      <c r="F37" s="41" t="s">
        <v>925</v>
      </c>
      <c r="G37" s="41" t="s">
        <v>926</v>
      </c>
      <c r="H37" s="41" t="s">
        <v>927</v>
      </c>
      <c r="I37" s="41" t="s">
        <v>928</v>
      </c>
      <c r="J37" s="41" t="s">
        <v>929</v>
      </c>
      <c r="K37" s="41" t="s">
        <v>930</v>
      </c>
      <c r="L37" s="41" t="s">
        <v>931</v>
      </c>
      <c r="M37" s="41" t="s">
        <v>932</v>
      </c>
      <c r="N37" s="41" t="s">
        <v>933</v>
      </c>
      <c r="O37" s="41" t="s">
        <v>934</v>
      </c>
      <c r="P37" s="41" t="s">
        <v>935</v>
      </c>
      <c r="Q37" s="41" t="s">
        <v>936</v>
      </c>
      <c r="R37" s="41" t="s">
        <v>937</v>
      </c>
      <c r="S37" s="73"/>
      <c r="T37" s="105" t="s">
        <v>1065</v>
      </c>
      <c r="U37" s="41" t="s">
        <v>922</v>
      </c>
      <c r="V37" s="41" t="s">
        <v>923</v>
      </c>
      <c r="W37" s="41" t="s">
        <v>924</v>
      </c>
      <c r="X37" s="41" t="s">
        <v>925</v>
      </c>
      <c r="Y37" s="41" t="s">
        <v>926</v>
      </c>
      <c r="Z37" s="41" t="s">
        <v>927</v>
      </c>
      <c r="AA37" s="41" t="s">
        <v>928</v>
      </c>
      <c r="AB37" s="41" t="s">
        <v>929</v>
      </c>
      <c r="AC37" s="41" t="s">
        <v>930</v>
      </c>
      <c r="AD37" s="41" t="s">
        <v>931</v>
      </c>
      <c r="AE37" s="41" t="s">
        <v>932</v>
      </c>
      <c r="AF37" s="41" t="s">
        <v>933</v>
      </c>
      <c r="AG37" s="41" t="s">
        <v>934</v>
      </c>
      <c r="AH37" s="41" t="s">
        <v>935</v>
      </c>
      <c r="AI37" s="41" t="s">
        <v>936</v>
      </c>
      <c r="AJ37" s="41" t="s">
        <v>937</v>
      </c>
    </row>
    <row r="38" spans="2:36" x14ac:dyDescent="0.15">
      <c r="B38" s="106" t="s">
        <v>911</v>
      </c>
      <c r="C38" s="181" t="str">
        <f>IFERROR(SUMIFS('caseload data'!E:E,'caseload data'!$C:$C,'divisional &amp; regional caseload%'!$B$36,'caseload data'!$D:$D,"PO")/SUMIF('caseload data'!$C:$C,'divisional &amp; regional caseload%'!$B$36,'caseload data'!E:E),"")</f>
        <v/>
      </c>
      <c r="D38" s="181" t="str">
        <f>IFERROR(SUMIFS('caseload data'!F:F,'caseload data'!$C:$C,'divisional &amp; regional caseload%'!$B$36,'caseload data'!$D:$D,"PO")/SUMIF('caseload data'!$C:$C,'divisional &amp; regional caseload%'!$B$36,'caseload data'!F:F),"")</f>
        <v/>
      </c>
      <c r="E38" s="181" t="str">
        <f>IFERROR(SUMIFS('caseload data'!G:G,'caseload data'!$C:$C,'divisional &amp; regional caseload%'!$B$36,'caseload data'!$D:$D,"PO")/SUMIF('caseload data'!$C:$C,'divisional &amp; regional caseload%'!$B$36,'caseload data'!G:G),"")</f>
        <v/>
      </c>
      <c r="F38" s="181" t="str">
        <f>IFERROR(SUMIFS('caseload data'!H:H,'caseload data'!$C:$C,'divisional &amp; regional caseload%'!$B$36,'caseload data'!$D:$D,"PO")/SUMIF('caseload data'!$C:$C,'divisional &amp; regional caseload%'!$B$36,'caseload data'!H:H),"")</f>
        <v/>
      </c>
      <c r="G38" s="181" t="str">
        <f>IFERROR(SUMIFS('caseload data'!I:I,'caseload data'!$C:$C,'divisional &amp; regional caseload%'!$B$36,'caseload data'!$D:$D,"PO")/SUMIF('caseload data'!$C:$C,'divisional &amp; regional caseload%'!$B$36,'caseload data'!I:I),"")</f>
        <v/>
      </c>
      <c r="H38" s="181" t="str">
        <f>IFERROR(SUMIFS('caseload data'!J:J,'caseload data'!$C:$C,'divisional &amp; regional caseload%'!$B$36,'caseload data'!$D:$D,"PO")/SUMIF('caseload data'!$C:$C,'divisional &amp; regional caseload%'!$B$36,'caseload data'!J:J),"")</f>
        <v/>
      </c>
      <c r="I38" s="181" t="str">
        <f>IFERROR(SUMIFS('caseload data'!K:K,'caseload data'!$C:$C,'divisional &amp; regional caseload%'!$B$36,'caseload data'!$D:$D,"PO")/SUMIF('caseload data'!$C:$C,'divisional &amp; regional caseload%'!$B$36,'caseload data'!K:K),"")</f>
        <v/>
      </c>
      <c r="J38" s="181" t="str">
        <f>IFERROR(SUMIFS('caseload data'!L:L,'caseload data'!$C:$C,'divisional &amp; regional caseload%'!$B$36,'caseload data'!$D:$D,"PO")/SUMIF('caseload data'!$C:$C,'divisional &amp; regional caseload%'!$B$36,'caseload data'!L:L),"")</f>
        <v/>
      </c>
      <c r="K38" s="181" t="str">
        <f>IFERROR(SUMIFS('caseload data'!M:M,'caseload data'!$C:$C,'divisional &amp; regional caseload%'!$B$36,'caseload data'!$D:$D,"PO")/SUMIF('caseload data'!$C:$C,'divisional &amp; regional caseload%'!$B$36,'caseload data'!M:M),"")</f>
        <v/>
      </c>
      <c r="L38" s="181" t="str">
        <f>IFERROR(SUMIFS('caseload data'!N:N,'caseload data'!$C:$C,'divisional &amp; regional caseload%'!$B$36,'caseload data'!$D:$D,"PO")/SUMIF('caseload data'!$C:$C,'divisional &amp; regional caseload%'!$B$36,'caseload data'!N:N),"")</f>
        <v/>
      </c>
      <c r="M38" s="181" t="str">
        <f>IFERROR(SUMIFS('caseload data'!O:O,'caseload data'!$C:$C,'divisional &amp; regional caseload%'!$B$36,'caseload data'!$D:$D,"PO")/SUMIF('caseload data'!$C:$C,'divisional &amp; regional caseload%'!$B$36,'caseload data'!O:O),"")</f>
        <v/>
      </c>
      <c r="N38" s="181" t="str">
        <f>IFERROR(SUMIFS('caseload data'!P:P,'caseload data'!$C:$C,'divisional &amp; regional caseload%'!$B$36,'caseload data'!$D:$D,"PO")/SUMIF('caseload data'!$C:$C,'divisional &amp; regional caseload%'!$B$36,'caseload data'!P:P),"")</f>
        <v/>
      </c>
      <c r="O38" s="181" t="str">
        <f>IFERROR(SUMIFS('caseload data'!Q:Q,'caseload data'!$C:$C,'divisional &amp; regional caseload%'!$B$36,'caseload data'!$D:$D,"PO")/SUMIF('caseload data'!$C:$C,'divisional &amp; regional caseload%'!$B$36,'caseload data'!Q:Q),"")</f>
        <v/>
      </c>
      <c r="P38" s="181" t="str">
        <f>IFERROR(SUMIFS('caseload data'!R:R,'caseload data'!$C:$C,'divisional &amp; regional caseload%'!$B$36,'caseload data'!$D:$D,"PO")/SUMIF('caseload data'!$C:$C,'divisional &amp; regional caseload%'!$B$36,'caseload data'!R:R),"")</f>
        <v/>
      </c>
      <c r="Q38" s="181" t="str">
        <f>IFERROR(SUMIFS('caseload data'!S:S,'caseload data'!$C:$C,'divisional &amp; regional caseload%'!$B$36,'caseload data'!$D:$D,"PO")/SUMIF('caseload data'!$C:$C,'divisional &amp; regional caseload%'!$B$36,'caseload data'!S:S),"")</f>
        <v/>
      </c>
      <c r="R38" s="181" t="str">
        <f>IFERROR(SUMIFS('caseload data'!T:T,'caseload data'!$C:$C,'divisional &amp; regional caseload%'!$B$36,'caseload data'!$D:$D,"PO")/SUMIF('caseload data'!$C:$C,'divisional &amp; regional caseload%'!$B$36,'caseload data'!T:T),"")</f>
        <v/>
      </c>
      <c r="S38" s="73"/>
      <c r="T38" s="106" t="s">
        <v>911</v>
      </c>
      <c r="U38" s="181" t="str">
        <f>IFERROR(SUMIFS('caseload data'!E:E,'caseload data'!$C:$C,'divisional &amp; regional caseload%'!$T$36,'caseload data'!$D:$D,"PO")/SUMIF('caseload data'!$C:$C,'divisional &amp; regional caseload%'!$T$36,'caseload data'!E:E),"")</f>
        <v/>
      </c>
      <c r="V38" s="181" t="str">
        <f>IFERROR(SUMIFS('caseload data'!F:F,'caseload data'!$C:$C,'divisional &amp; regional caseload%'!$T$36,'caseload data'!$D:$D,"PO")/SUMIF('caseload data'!$C:$C,'divisional &amp; regional caseload%'!$T$36,'caseload data'!F:F),"")</f>
        <v/>
      </c>
      <c r="W38" s="181" t="str">
        <f>IFERROR(SUMIFS('caseload data'!G:G,'caseload data'!$C:$C,'divisional &amp; regional caseload%'!$T$36,'caseload data'!$D:$D,"PO")/SUMIF('caseload data'!$C:$C,'divisional &amp; regional caseload%'!$T$36,'caseload data'!G:G),"")</f>
        <v/>
      </c>
      <c r="X38" s="181" t="str">
        <f>IFERROR(SUMIFS('caseload data'!H:H,'caseload data'!$C:$C,'divisional &amp; regional caseload%'!$T$36,'caseload data'!$D:$D,"PO")/SUMIF('caseload data'!$C:$C,'divisional &amp; regional caseload%'!$T$36,'caseload data'!H:H),"")</f>
        <v/>
      </c>
      <c r="Y38" s="181" t="str">
        <f>IFERROR(SUMIFS('caseload data'!I:I,'caseload data'!$C:$C,'divisional &amp; regional caseload%'!$T$36,'caseload data'!$D:$D,"PO")/SUMIF('caseload data'!$C:$C,'divisional &amp; regional caseload%'!$T$36,'caseload data'!I:I),"")</f>
        <v/>
      </c>
      <c r="Z38" s="181" t="str">
        <f>IFERROR(SUMIFS('caseload data'!J:J,'caseload data'!$C:$C,'divisional &amp; regional caseload%'!$T$36,'caseload data'!$D:$D,"PO")/SUMIF('caseload data'!$C:$C,'divisional &amp; regional caseload%'!$T$36,'caseload data'!J:J),"")</f>
        <v/>
      </c>
      <c r="AA38" s="181" t="str">
        <f>IFERROR(SUMIFS('caseload data'!K:K,'caseload data'!$C:$C,'divisional &amp; regional caseload%'!$T$36,'caseload data'!$D:$D,"PO")/SUMIF('caseload data'!$C:$C,'divisional &amp; regional caseload%'!$T$36,'caseload data'!K:K),"")</f>
        <v/>
      </c>
      <c r="AB38" s="181" t="str">
        <f>IFERROR(SUMIFS('caseload data'!L:L,'caseload data'!$C:$C,'divisional &amp; regional caseload%'!$T$36,'caseload data'!$D:$D,"PO")/SUMIF('caseload data'!$C:$C,'divisional &amp; regional caseload%'!$T$36,'caseload data'!L:L),"")</f>
        <v/>
      </c>
      <c r="AC38" s="181" t="str">
        <f>IFERROR(SUMIFS('caseload data'!M:M,'caseload data'!$C:$C,'divisional &amp; regional caseload%'!$T$36,'caseload data'!$D:$D,"PO")/SUMIF('caseload data'!$C:$C,'divisional &amp; regional caseload%'!$T$36,'caseload data'!M:M),"")</f>
        <v/>
      </c>
      <c r="AD38" s="181" t="str">
        <f>IFERROR(SUMIFS('caseload data'!N:N,'caseload data'!$C:$C,'divisional &amp; regional caseload%'!$T$36,'caseload data'!$D:$D,"PO")/SUMIF('caseload data'!$C:$C,'divisional &amp; regional caseload%'!$T$36,'caseload data'!N:N),"")</f>
        <v/>
      </c>
      <c r="AE38" s="181" t="str">
        <f>IFERROR(SUMIFS('caseload data'!O:O,'caseload data'!$C:$C,'divisional &amp; regional caseload%'!$T$36,'caseload data'!$D:$D,"PO")/SUMIF('caseload data'!$C:$C,'divisional &amp; regional caseload%'!$T$36,'caseload data'!O:O),"")</f>
        <v/>
      </c>
      <c r="AF38" s="181" t="str">
        <f>IFERROR(SUMIFS('caseload data'!P:P,'caseload data'!$C:$C,'divisional &amp; regional caseload%'!$T$36,'caseload data'!$D:$D,"PO")/SUMIF('caseload data'!$C:$C,'divisional &amp; regional caseload%'!$T$36,'caseload data'!P:P),"")</f>
        <v/>
      </c>
      <c r="AG38" s="181" t="str">
        <f>IFERROR(SUMIFS('caseload data'!Q:Q,'caseload data'!$C:$C,'divisional &amp; regional caseload%'!$T$36,'caseload data'!$D:$D,"PO")/SUMIF('caseload data'!$C:$C,'divisional &amp; regional caseload%'!$T$36,'caseload data'!Q:Q),"")</f>
        <v/>
      </c>
      <c r="AH38" s="181" t="str">
        <f>IFERROR(SUMIFS('caseload data'!R:R,'caseload data'!$C:$C,'divisional &amp; regional caseload%'!$T$36,'caseload data'!$D:$D,"PO")/SUMIF('caseload data'!$C:$C,'divisional &amp; regional caseload%'!$T$36,'caseload data'!R:R),"")</f>
        <v/>
      </c>
      <c r="AI38" s="181" t="str">
        <f>IFERROR(SUMIFS('caseload data'!S:S,'caseload data'!$C:$C,'divisional &amp; regional caseload%'!$T$36,'caseload data'!$D:$D,"PO")/SUMIF('caseload data'!$C:$C,'divisional &amp; regional caseload%'!$T$36,'caseload data'!S:S),"")</f>
        <v/>
      </c>
      <c r="AJ38" s="181" t="str">
        <f>IFERROR(SUMIFS('caseload data'!T:T,'caseload data'!$C:$C,'divisional &amp; regional caseload%'!$T$36,'caseload data'!$D:$D,"PO")/SUMIF('caseload data'!$C:$C,'divisional &amp; regional caseload%'!$T$36,'caseload data'!T:T),"")</f>
        <v/>
      </c>
    </row>
    <row r="39" spans="2:36" x14ac:dyDescent="0.15">
      <c r="B39" s="107" t="s">
        <v>912</v>
      </c>
      <c r="C39" s="181" t="str">
        <f>IFERROR(SUMIFS('caseload data'!E:E,'caseload data'!$C:$C,'divisional &amp; regional caseload%'!$B$36,'caseload data'!$D:$D,"PSO")/SUMIF('caseload data'!$C:$C,'divisional &amp; regional caseload%'!$B$36,'caseload data'!E:E),"")</f>
        <v/>
      </c>
      <c r="D39" s="181" t="str">
        <f>IFERROR(SUMIFS('caseload data'!F:F,'caseload data'!$C:$C,'divisional &amp; regional caseload%'!$B$36,'caseload data'!$D:$D,"PSO")/SUMIF('caseload data'!$C:$C,'divisional &amp; regional caseload%'!$B$36,'caseload data'!F:F),"")</f>
        <v/>
      </c>
      <c r="E39" s="181" t="str">
        <f>IFERROR(SUMIFS('caseload data'!G:G,'caseload data'!$C:$C,'divisional &amp; regional caseload%'!$B$36,'caseload data'!$D:$D,"PSO")/SUMIF('caseload data'!$C:$C,'divisional &amp; regional caseload%'!$B$36,'caseload data'!G:G),"")</f>
        <v/>
      </c>
      <c r="F39" s="181" t="str">
        <f>IFERROR(SUMIFS('caseload data'!H:H,'caseload data'!$C:$C,'divisional &amp; regional caseload%'!$B$36,'caseload data'!$D:$D,"PSO")/SUMIF('caseload data'!$C:$C,'divisional &amp; regional caseload%'!$B$36,'caseload data'!H:H),"")</f>
        <v/>
      </c>
      <c r="G39" s="181" t="str">
        <f>IFERROR(SUMIFS('caseload data'!I:I,'caseload data'!$C:$C,'divisional &amp; regional caseload%'!$B$36,'caseload data'!$D:$D,"PSO")/SUMIF('caseload data'!$C:$C,'divisional &amp; regional caseload%'!$B$36,'caseload data'!I:I),"")</f>
        <v/>
      </c>
      <c r="H39" s="181" t="str">
        <f>IFERROR(SUMIFS('caseload data'!J:J,'caseload data'!$C:$C,'divisional &amp; regional caseload%'!$B$36,'caseload data'!$D:$D,"PSO")/SUMIF('caseload data'!$C:$C,'divisional &amp; regional caseload%'!$B$36,'caseload data'!J:J),"")</f>
        <v/>
      </c>
      <c r="I39" s="181" t="str">
        <f>IFERROR(SUMIFS('caseload data'!K:K,'caseload data'!$C:$C,'divisional &amp; regional caseload%'!$B$36,'caseload data'!$D:$D,"PSO")/SUMIF('caseload data'!$C:$C,'divisional &amp; regional caseload%'!$B$36,'caseload data'!K:K),"")</f>
        <v/>
      </c>
      <c r="J39" s="181" t="str">
        <f>IFERROR(SUMIFS('caseload data'!L:L,'caseload data'!$C:$C,'divisional &amp; regional caseload%'!$B$36,'caseload data'!$D:$D,"PSO")/SUMIF('caseload data'!$C:$C,'divisional &amp; regional caseload%'!$B$36,'caseload data'!L:L),"")</f>
        <v/>
      </c>
      <c r="K39" s="181" t="str">
        <f>IFERROR(SUMIFS('caseload data'!M:M,'caseload data'!$C:$C,'divisional &amp; regional caseload%'!$B$36,'caseload data'!$D:$D,"PSO")/SUMIF('caseload data'!$C:$C,'divisional &amp; regional caseload%'!$B$36,'caseload data'!M:M),"")</f>
        <v/>
      </c>
      <c r="L39" s="181" t="str">
        <f>IFERROR(SUMIFS('caseload data'!N:N,'caseload data'!$C:$C,'divisional &amp; regional caseload%'!$B$36,'caseload data'!$D:$D,"PSO")/SUMIF('caseload data'!$C:$C,'divisional &amp; regional caseload%'!$B$36,'caseload data'!N:N),"")</f>
        <v/>
      </c>
      <c r="M39" s="181" t="str">
        <f>IFERROR(SUMIFS('caseload data'!O:O,'caseload data'!$C:$C,'divisional &amp; regional caseload%'!$B$36,'caseload data'!$D:$D,"PSO")/SUMIF('caseload data'!$C:$C,'divisional &amp; regional caseload%'!$B$36,'caseload data'!O:O),"")</f>
        <v/>
      </c>
      <c r="N39" s="181" t="str">
        <f>IFERROR(SUMIFS('caseload data'!P:P,'caseload data'!$C:$C,'divisional &amp; regional caseload%'!$B$36,'caseload data'!$D:$D,"PSO")/SUMIF('caseload data'!$C:$C,'divisional &amp; regional caseload%'!$B$36,'caseload data'!P:P),"")</f>
        <v/>
      </c>
      <c r="O39" s="181" t="str">
        <f>IFERROR(SUMIFS('caseload data'!Q:Q,'caseload data'!$C:$C,'divisional &amp; regional caseload%'!$B$36,'caseload data'!$D:$D,"PSO")/SUMIF('caseload data'!$C:$C,'divisional &amp; regional caseload%'!$B$36,'caseload data'!Q:Q),"")</f>
        <v/>
      </c>
      <c r="P39" s="181" t="str">
        <f>IFERROR(SUMIFS('caseload data'!R:R,'caseload data'!$C:$C,'divisional &amp; regional caseload%'!$B$36,'caseload data'!$D:$D,"PSO")/SUMIF('caseload data'!$C:$C,'divisional &amp; regional caseload%'!$B$36,'caseload data'!R:R),"")</f>
        <v/>
      </c>
      <c r="Q39" s="181" t="str">
        <f>IFERROR(SUMIFS('caseload data'!S:S,'caseload data'!$C:$C,'divisional &amp; regional caseload%'!$B$36,'caseload data'!$D:$D,"PSO")/SUMIF('caseload data'!$C:$C,'divisional &amp; regional caseload%'!$B$36,'caseload data'!S:S),"")</f>
        <v/>
      </c>
      <c r="R39" s="181" t="str">
        <f>IFERROR(SUMIFS('caseload data'!T:T,'caseload data'!$C:$C,'divisional &amp; regional caseload%'!$B$36,'caseload data'!$D:$D,"PSO")/SUMIF('caseload data'!$C:$C,'divisional &amp; regional caseload%'!$B$36,'caseload data'!T:T),"")</f>
        <v/>
      </c>
      <c r="S39" s="73"/>
      <c r="T39" s="107" t="s">
        <v>912</v>
      </c>
      <c r="U39" s="181" t="str">
        <f>IFERROR(SUMIFS('caseload data'!E:E,'caseload data'!$C:$C,'divisional &amp; regional caseload%'!$T$36,'caseload data'!$D:$D,"PSO")/SUMIF('caseload data'!$C:$C,'divisional &amp; regional caseload%'!$T$36,'caseload data'!E:E),"")</f>
        <v/>
      </c>
      <c r="V39" s="181" t="str">
        <f>IFERROR(SUMIFS('caseload data'!F:F,'caseload data'!$C:$C,'divisional &amp; regional caseload%'!$T$36,'caseload data'!$D:$D,"PSO")/SUMIF('caseload data'!$C:$C,'divisional &amp; regional caseload%'!$T$36,'caseload data'!F:F),"")</f>
        <v/>
      </c>
      <c r="W39" s="181" t="str">
        <f>IFERROR(SUMIFS('caseload data'!G:G,'caseload data'!$C:$C,'divisional &amp; regional caseload%'!$T$36,'caseload data'!$D:$D,"PSO")/SUMIF('caseload data'!$C:$C,'divisional &amp; regional caseload%'!$T$36,'caseload data'!G:G),"")</f>
        <v/>
      </c>
      <c r="X39" s="181" t="str">
        <f>IFERROR(SUMIFS('caseload data'!H:H,'caseload data'!$C:$C,'divisional &amp; regional caseload%'!$T$36,'caseload data'!$D:$D,"PSO")/SUMIF('caseload data'!$C:$C,'divisional &amp; regional caseload%'!$T$36,'caseload data'!H:H),"")</f>
        <v/>
      </c>
      <c r="Y39" s="181" t="str">
        <f>IFERROR(SUMIFS('caseload data'!I:I,'caseload data'!$C:$C,'divisional &amp; regional caseload%'!$T$36,'caseload data'!$D:$D,"PSO")/SUMIF('caseload data'!$C:$C,'divisional &amp; regional caseload%'!$T$36,'caseload data'!I:I),"")</f>
        <v/>
      </c>
      <c r="Z39" s="181" t="str">
        <f>IFERROR(SUMIFS('caseload data'!J:J,'caseload data'!$C:$C,'divisional &amp; regional caseload%'!$T$36,'caseload data'!$D:$D,"PSO")/SUMIF('caseload data'!$C:$C,'divisional &amp; regional caseload%'!$T$36,'caseload data'!J:J),"")</f>
        <v/>
      </c>
      <c r="AA39" s="181" t="str">
        <f>IFERROR(SUMIFS('caseload data'!K:K,'caseload data'!$C:$C,'divisional &amp; regional caseload%'!$T$36,'caseload data'!$D:$D,"PSO")/SUMIF('caseload data'!$C:$C,'divisional &amp; regional caseload%'!$T$36,'caseload data'!K:K),"")</f>
        <v/>
      </c>
      <c r="AB39" s="181" t="str">
        <f>IFERROR(SUMIFS('caseload data'!L:L,'caseload data'!$C:$C,'divisional &amp; regional caseload%'!$T$36,'caseload data'!$D:$D,"PSO")/SUMIF('caseload data'!$C:$C,'divisional &amp; regional caseload%'!$T$36,'caseload data'!L:L),"")</f>
        <v/>
      </c>
      <c r="AC39" s="181" t="str">
        <f>IFERROR(SUMIFS('caseload data'!M:M,'caseload data'!$C:$C,'divisional &amp; regional caseload%'!$T$36,'caseload data'!$D:$D,"PSO")/SUMIF('caseload data'!$C:$C,'divisional &amp; regional caseload%'!$T$36,'caseload data'!M:M),"")</f>
        <v/>
      </c>
      <c r="AD39" s="181" t="str">
        <f>IFERROR(SUMIFS('caseload data'!N:N,'caseload data'!$C:$C,'divisional &amp; regional caseload%'!$T$36,'caseload data'!$D:$D,"PSO")/SUMIF('caseload data'!$C:$C,'divisional &amp; regional caseload%'!$T$36,'caseload data'!N:N),"")</f>
        <v/>
      </c>
      <c r="AE39" s="181" t="str">
        <f>IFERROR(SUMIFS('caseload data'!O:O,'caseload data'!$C:$C,'divisional &amp; regional caseload%'!$T$36,'caseload data'!$D:$D,"PSO")/SUMIF('caseload data'!$C:$C,'divisional &amp; regional caseload%'!$T$36,'caseload data'!O:O),"")</f>
        <v/>
      </c>
      <c r="AF39" s="181" t="str">
        <f>IFERROR(SUMIFS('caseload data'!P:P,'caseload data'!$C:$C,'divisional &amp; regional caseload%'!$T$36,'caseload data'!$D:$D,"PSO")/SUMIF('caseload data'!$C:$C,'divisional &amp; regional caseload%'!$T$36,'caseload data'!P:P),"")</f>
        <v/>
      </c>
      <c r="AG39" s="181" t="str">
        <f>IFERROR(SUMIFS('caseload data'!Q:Q,'caseload data'!$C:$C,'divisional &amp; regional caseload%'!$T$36,'caseload data'!$D:$D,"PSO")/SUMIF('caseload data'!$C:$C,'divisional &amp; regional caseload%'!$T$36,'caseload data'!Q:Q),"")</f>
        <v/>
      </c>
      <c r="AH39" s="181" t="str">
        <f>IFERROR(SUMIFS('caseload data'!R:R,'caseload data'!$C:$C,'divisional &amp; regional caseload%'!$T$36,'caseload data'!$D:$D,"PSO")/SUMIF('caseload data'!$C:$C,'divisional &amp; regional caseload%'!$T$36,'caseload data'!R:R),"")</f>
        <v/>
      </c>
      <c r="AI39" s="181" t="str">
        <f>IFERROR(SUMIFS('caseload data'!S:S,'caseload data'!$C:$C,'divisional &amp; regional caseload%'!$T$36,'caseload data'!$D:$D,"PSO")/SUMIF('caseload data'!$C:$C,'divisional &amp; regional caseload%'!$T$36,'caseload data'!S:S),"")</f>
        <v/>
      </c>
      <c r="AJ39" s="181" t="str">
        <f>IFERROR(SUMIFS('caseload data'!T:T,'caseload data'!$C:$C,'divisional &amp; regional caseload%'!$T$36,'caseload data'!$D:$D,"PSO")/SUMIF('caseload data'!$C:$C,'divisional &amp; regional caseload%'!$T$36,'caseload data'!T:T),"")</f>
        <v/>
      </c>
    </row>
    <row r="40" spans="2:36" x14ac:dyDescent="0.15">
      <c r="B40" s="107" t="s">
        <v>913</v>
      </c>
      <c r="C40" s="181" t="str">
        <f>IFERROR(SUMIFS('caseload data'!E:E,'caseload data'!$C:$C,'divisional &amp; regional caseload%'!$B$36,'caseload data'!$D:$D,"TPO")/SUMIF('caseload data'!$C:$C,'divisional &amp; regional caseload%'!$B$36,'caseload data'!E:E),"")</f>
        <v/>
      </c>
      <c r="D40" s="181" t="str">
        <f>IFERROR(SUMIFS('caseload data'!F:F,'caseload data'!$C:$C,'divisional &amp; regional caseload%'!$B$36,'caseload data'!$D:$D,"TPO")/SUMIF('caseload data'!$C:$C,'divisional &amp; regional caseload%'!$B$36,'caseload data'!F:F),"")</f>
        <v/>
      </c>
      <c r="E40" s="181" t="str">
        <f>IFERROR(SUMIFS('caseload data'!G:G,'caseload data'!$C:$C,'divisional &amp; regional caseload%'!$B$36,'caseload data'!$D:$D,"TPO")/SUMIF('caseload data'!$C:$C,'divisional &amp; regional caseload%'!$B$36,'caseload data'!G:G),"")</f>
        <v/>
      </c>
      <c r="F40" s="181" t="str">
        <f>IFERROR(SUMIFS('caseload data'!H:H,'caseload data'!$C:$C,'divisional &amp; regional caseload%'!$B$36,'caseload data'!$D:$D,"TPO")/SUMIF('caseload data'!$C:$C,'divisional &amp; regional caseload%'!$B$36,'caseload data'!H:H),"")</f>
        <v/>
      </c>
      <c r="G40" s="181" t="str">
        <f>IFERROR(SUMIFS('caseload data'!I:I,'caseload data'!$C:$C,'divisional &amp; regional caseload%'!$B$36,'caseload data'!$D:$D,"TPO")/SUMIF('caseload data'!$C:$C,'divisional &amp; regional caseload%'!$B$36,'caseload data'!I:I),"")</f>
        <v/>
      </c>
      <c r="H40" s="181" t="str">
        <f>IFERROR(SUMIFS('caseload data'!J:J,'caseload data'!$C:$C,'divisional &amp; regional caseload%'!$B$36,'caseload data'!$D:$D,"TPO")/SUMIF('caseload data'!$C:$C,'divisional &amp; regional caseload%'!$B$36,'caseload data'!J:J),"")</f>
        <v/>
      </c>
      <c r="I40" s="181" t="str">
        <f>IFERROR(SUMIFS('caseload data'!K:K,'caseload data'!$C:$C,'divisional &amp; regional caseload%'!$B$36,'caseload data'!$D:$D,"TPO")/SUMIF('caseload data'!$C:$C,'divisional &amp; regional caseload%'!$B$36,'caseload data'!K:K),"")</f>
        <v/>
      </c>
      <c r="J40" s="181" t="str">
        <f>IFERROR(SUMIFS('caseload data'!L:L,'caseload data'!$C:$C,'divisional &amp; regional caseload%'!$B$36,'caseload data'!$D:$D,"TPO")/SUMIF('caseload data'!$C:$C,'divisional &amp; regional caseload%'!$B$36,'caseload data'!L:L),"")</f>
        <v/>
      </c>
      <c r="K40" s="181" t="str">
        <f>IFERROR(SUMIFS('caseload data'!M:M,'caseload data'!$C:$C,'divisional &amp; regional caseload%'!$B$36,'caseload data'!$D:$D,"TPO")/SUMIF('caseload data'!$C:$C,'divisional &amp; regional caseload%'!$B$36,'caseload data'!M:M),"")</f>
        <v/>
      </c>
      <c r="L40" s="181" t="str">
        <f>IFERROR(SUMIFS('caseload data'!N:N,'caseload data'!$C:$C,'divisional &amp; regional caseload%'!$B$36,'caseload data'!$D:$D,"TPO")/SUMIF('caseload data'!$C:$C,'divisional &amp; regional caseload%'!$B$36,'caseload data'!N:N),"")</f>
        <v/>
      </c>
      <c r="M40" s="181" t="str">
        <f>IFERROR(SUMIFS('caseload data'!O:O,'caseload data'!$C:$C,'divisional &amp; regional caseload%'!$B$36,'caseload data'!$D:$D,"TPO")/SUMIF('caseload data'!$C:$C,'divisional &amp; regional caseload%'!$B$36,'caseload data'!O:O),"")</f>
        <v/>
      </c>
      <c r="N40" s="181" t="str">
        <f>IFERROR(SUMIFS('caseload data'!P:P,'caseload data'!$C:$C,'divisional &amp; regional caseload%'!$B$36,'caseload data'!$D:$D,"TPO")/SUMIF('caseload data'!$C:$C,'divisional &amp; regional caseload%'!$B$36,'caseload data'!P:P),"")</f>
        <v/>
      </c>
      <c r="O40" s="181" t="str">
        <f>IFERROR(SUMIFS('caseload data'!Q:Q,'caseload data'!$C:$C,'divisional &amp; regional caseload%'!$B$36,'caseload data'!$D:$D,"TPO")/SUMIF('caseload data'!$C:$C,'divisional &amp; regional caseload%'!$B$36,'caseload data'!Q:Q),"")</f>
        <v/>
      </c>
      <c r="P40" s="181" t="str">
        <f>IFERROR(SUMIFS('caseload data'!R:R,'caseload data'!$C:$C,'divisional &amp; regional caseload%'!$B$36,'caseload data'!$D:$D,"TPO")/SUMIF('caseload data'!$C:$C,'divisional &amp; regional caseload%'!$B$36,'caseload data'!R:R),"")</f>
        <v/>
      </c>
      <c r="Q40" s="181" t="str">
        <f>IFERROR(SUMIFS('caseload data'!S:S,'caseload data'!$C:$C,'divisional &amp; regional caseload%'!$B$36,'caseload data'!$D:$D,"TPO")/SUMIF('caseload data'!$C:$C,'divisional &amp; regional caseload%'!$B$36,'caseload data'!S:S),"")</f>
        <v/>
      </c>
      <c r="R40" s="181" t="str">
        <f>IFERROR(SUMIFS('caseload data'!T:T,'caseload data'!$C:$C,'divisional &amp; regional caseload%'!$B$36,'caseload data'!$D:$D,"TPO")/SUMIF('caseload data'!$C:$C,'divisional &amp; regional caseload%'!$B$36,'caseload data'!T:T),"")</f>
        <v/>
      </c>
      <c r="S40" s="73"/>
      <c r="T40" s="107" t="s">
        <v>913</v>
      </c>
      <c r="U40" s="181" t="str">
        <f>IFERROR(SUMIFS('caseload data'!E:E,'caseload data'!$C:$C,'divisional &amp; regional caseload%'!$T$36,'caseload data'!$D:$D,"TPO")/SUMIF('caseload data'!$C:$C,'divisional &amp; regional caseload%'!$T$36,'caseload data'!E:E),"")</f>
        <v/>
      </c>
      <c r="V40" s="181" t="str">
        <f>IFERROR(SUMIFS('caseload data'!F:F,'caseload data'!$C:$C,'divisional &amp; regional caseload%'!$T$36,'caseload data'!$D:$D,"TPO")/SUMIF('caseload data'!$C:$C,'divisional &amp; regional caseload%'!$T$36,'caseload data'!F:F),"")</f>
        <v/>
      </c>
      <c r="W40" s="181" t="str">
        <f>IFERROR(SUMIFS('caseload data'!G:G,'caseload data'!$C:$C,'divisional &amp; regional caseload%'!$T$36,'caseload data'!$D:$D,"TPO")/SUMIF('caseload data'!$C:$C,'divisional &amp; regional caseload%'!$T$36,'caseload data'!G:G),"")</f>
        <v/>
      </c>
      <c r="X40" s="181" t="str">
        <f>IFERROR(SUMIFS('caseload data'!H:H,'caseload data'!$C:$C,'divisional &amp; regional caseload%'!$T$36,'caseload data'!$D:$D,"TPO")/SUMIF('caseload data'!$C:$C,'divisional &amp; regional caseload%'!$T$36,'caseload data'!H:H),"")</f>
        <v/>
      </c>
      <c r="Y40" s="181" t="str">
        <f>IFERROR(SUMIFS('caseload data'!I:I,'caseload data'!$C:$C,'divisional &amp; regional caseload%'!$T$36,'caseload data'!$D:$D,"TPO")/SUMIF('caseload data'!$C:$C,'divisional &amp; regional caseload%'!$T$36,'caseload data'!I:I),"")</f>
        <v/>
      </c>
      <c r="Z40" s="181" t="str">
        <f>IFERROR(SUMIFS('caseload data'!J:J,'caseload data'!$C:$C,'divisional &amp; regional caseload%'!$T$36,'caseload data'!$D:$D,"TPO")/SUMIF('caseload data'!$C:$C,'divisional &amp; regional caseload%'!$T$36,'caseload data'!J:J),"")</f>
        <v/>
      </c>
      <c r="AA40" s="181" t="str">
        <f>IFERROR(SUMIFS('caseload data'!K:K,'caseload data'!$C:$C,'divisional &amp; regional caseload%'!$T$36,'caseload data'!$D:$D,"TPO")/SUMIF('caseload data'!$C:$C,'divisional &amp; regional caseload%'!$T$36,'caseload data'!K:K),"")</f>
        <v/>
      </c>
      <c r="AB40" s="181" t="str">
        <f>IFERROR(SUMIFS('caseload data'!L:L,'caseload data'!$C:$C,'divisional &amp; regional caseload%'!$T$36,'caseload data'!$D:$D,"TPO")/SUMIF('caseload data'!$C:$C,'divisional &amp; regional caseload%'!$T$36,'caseload data'!L:L),"")</f>
        <v/>
      </c>
      <c r="AC40" s="181" t="str">
        <f>IFERROR(SUMIFS('caseload data'!M:M,'caseload data'!$C:$C,'divisional &amp; regional caseload%'!$T$36,'caseload data'!$D:$D,"TPO")/SUMIF('caseload data'!$C:$C,'divisional &amp; regional caseload%'!$T$36,'caseload data'!M:M),"")</f>
        <v/>
      </c>
      <c r="AD40" s="181" t="str">
        <f>IFERROR(SUMIFS('caseload data'!N:N,'caseload data'!$C:$C,'divisional &amp; regional caseload%'!$T$36,'caseload data'!$D:$D,"TPO")/SUMIF('caseload data'!$C:$C,'divisional &amp; regional caseload%'!$T$36,'caseload data'!N:N),"")</f>
        <v/>
      </c>
      <c r="AE40" s="181" t="str">
        <f>IFERROR(SUMIFS('caseload data'!O:O,'caseload data'!$C:$C,'divisional &amp; regional caseload%'!$T$36,'caseload data'!$D:$D,"TPO")/SUMIF('caseload data'!$C:$C,'divisional &amp; regional caseload%'!$T$36,'caseload data'!O:O),"")</f>
        <v/>
      </c>
      <c r="AF40" s="181" t="str">
        <f>IFERROR(SUMIFS('caseload data'!P:P,'caseload data'!$C:$C,'divisional &amp; regional caseload%'!$T$36,'caseload data'!$D:$D,"TPO")/SUMIF('caseload data'!$C:$C,'divisional &amp; regional caseload%'!$T$36,'caseload data'!P:P),"")</f>
        <v/>
      </c>
      <c r="AG40" s="181" t="str">
        <f>IFERROR(SUMIFS('caseload data'!Q:Q,'caseload data'!$C:$C,'divisional &amp; regional caseload%'!$T$36,'caseload data'!$D:$D,"TPO")/SUMIF('caseload data'!$C:$C,'divisional &amp; regional caseload%'!$T$36,'caseload data'!Q:Q),"")</f>
        <v/>
      </c>
      <c r="AH40" s="181" t="str">
        <f>IFERROR(SUMIFS('caseload data'!R:R,'caseload data'!$C:$C,'divisional &amp; regional caseload%'!$T$36,'caseload data'!$D:$D,"TPO")/SUMIF('caseload data'!$C:$C,'divisional &amp; regional caseload%'!$T$36,'caseload data'!R:R),"")</f>
        <v/>
      </c>
      <c r="AI40" s="181" t="str">
        <f>IFERROR(SUMIFS('caseload data'!S:S,'caseload data'!$C:$C,'divisional &amp; regional caseload%'!$T$36,'caseload data'!$D:$D,"TPO")/SUMIF('caseload data'!$C:$C,'divisional &amp; regional caseload%'!$T$36,'caseload data'!S:S),"")</f>
        <v/>
      </c>
      <c r="AJ40" s="181" t="str">
        <f>IFERROR(SUMIFS('caseload data'!T:T,'caseload data'!$C:$C,'divisional &amp; regional caseload%'!$T$36,'caseload data'!$D:$D,"TPO")/SUMIF('caseload data'!$C:$C,'divisional &amp; regional caseload%'!$T$36,'caseload data'!T:T),"")</f>
        <v/>
      </c>
    </row>
    <row r="41" spans="2:36" x14ac:dyDescent="0.15">
      <c r="B41" s="108" t="s">
        <v>914</v>
      </c>
      <c r="C41" s="181" t="str">
        <f>IFERROR(SUMIFS('caseload data'!E:E,'caseload data'!$C:$C,'divisional &amp; regional caseload%'!$B$36,'caseload data'!$D:$D,"SPO")/SUMIF('caseload data'!$C:$C,'divisional &amp; regional caseload%'!$B$36,'caseload data'!E:E),"")</f>
        <v/>
      </c>
      <c r="D41" s="181" t="str">
        <f>IFERROR(SUMIFS('caseload data'!F:F,'caseload data'!$C:$C,'divisional &amp; regional caseload%'!$B$36,'caseload data'!$D:$D,"SPO")/SUMIF('caseload data'!$C:$C,'divisional &amp; regional caseload%'!$B$36,'caseload data'!F:F),"")</f>
        <v/>
      </c>
      <c r="E41" s="181" t="str">
        <f>IFERROR(SUMIFS('caseload data'!G:G,'caseload data'!$C:$C,'divisional &amp; regional caseload%'!$B$36,'caseload data'!$D:$D,"SPO")/SUMIF('caseload data'!$C:$C,'divisional &amp; regional caseload%'!$B$36,'caseload data'!G:G),"")</f>
        <v/>
      </c>
      <c r="F41" s="181" t="str">
        <f>IFERROR(SUMIFS('caseload data'!H:H,'caseload data'!$C:$C,'divisional &amp; regional caseload%'!$B$36,'caseload data'!$D:$D,"SPO")/SUMIF('caseload data'!$C:$C,'divisional &amp; regional caseload%'!$B$36,'caseload data'!H:H),"")</f>
        <v/>
      </c>
      <c r="G41" s="181" t="str">
        <f>IFERROR(SUMIFS('caseload data'!I:I,'caseload data'!$C:$C,'divisional &amp; regional caseload%'!$B$36,'caseload data'!$D:$D,"SPO")/SUMIF('caseload data'!$C:$C,'divisional &amp; regional caseload%'!$B$36,'caseload data'!I:I),"")</f>
        <v/>
      </c>
      <c r="H41" s="181" t="str">
        <f>IFERROR(SUMIFS('caseload data'!J:J,'caseload data'!$C:$C,'divisional &amp; regional caseload%'!$B$36,'caseload data'!$D:$D,"SPO")/SUMIF('caseload data'!$C:$C,'divisional &amp; regional caseload%'!$B$36,'caseload data'!J:J),"")</f>
        <v/>
      </c>
      <c r="I41" s="181" t="str">
        <f>IFERROR(SUMIFS('caseload data'!K:K,'caseload data'!$C:$C,'divisional &amp; regional caseload%'!$B$36,'caseload data'!$D:$D,"SPO")/SUMIF('caseload data'!$C:$C,'divisional &amp; regional caseload%'!$B$36,'caseload data'!K:K),"")</f>
        <v/>
      </c>
      <c r="J41" s="181" t="str">
        <f>IFERROR(SUMIFS('caseload data'!L:L,'caseload data'!$C:$C,'divisional &amp; regional caseload%'!$B$36,'caseload data'!$D:$D,"SPO")/SUMIF('caseload data'!$C:$C,'divisional &amp; regional caseload%'!$B$36,'caseload data'!L:L),"")</f>
        <v/>
      </c>
      <c r="K41" s="181" t="str">
        <f>IFERROR(SUMIFS('caseload data'!M:M,'caseload data'!$C:$C,'divisional &amp; regional caseload%'!$B$36,'caseload data'!$D:$D,"SPO")/SUMIF('caseload data'!$C:$C,'divisional &amp; regional caseload%'!$B$36,'caseload data'!M:M),"")</f>
        <v/>
      </c>
      <c r="L41" s="181" t="str">
        <f>IFERROR(SUMIFS('caseload data'!N:N,'caseload data'!$C:$C,'divisional &amp; regional caseload%'!$B$36,'caseload data'!$D:$D,"SPO")/SUMIF('caseload data'!$C:$C,'divisional &amp; regional caseload%'!$B$36,'caseload data'!N:N),"")</f>
        <v/>
      </c>
      <c r="M41" s="181" t="str">
        <f>IFERROR(SUMIFS('caseload data'!O:O,'caseload data'!$C:$C,'divisional &amp; regional caseload%'!$B$36,'caseload data'!$D:$D,"SPO")/SUMIF('caseload data'!$C:$C,'divisional &amp; regional caseload%'!$B$36,'caseload data'!O:O),"")</f>
        <v/>
      </c>
      <c r="N41" s="181" t="str">
        <f>IFERROR(SUMIFS('caseload data'!P:P,'caseload data'!$C:$C,'divisional &amp; regional caseload%'!$B$36,'caseload data'!$D:$D,"SPO")/SUMIF('caseload data'!$C:$C,'divisional &amp; regional caseload%'!$B$36,'caseload data'!P:P),"")</f>
        <v/>
      </c>
      <c r="O41" s="181" t="str">
        <f>IFERROR(SUMIFS('caseload data'!Q:Q,'caseload data'!$C:$C,'divisional &amp; regional caseload%'!$B$36,'caseload data'!$D:$D,"SPO")/SUMIF('caseload data'!$C:$C,'divisional &amp; regional caseload%'!$B$36,'caseload data'!Q:Q),"")</f>
        <v/>
      </c>
      <c r="P41" s="181" t="str">
        <f>IFERROR(SUMIFS('caseload data'!R:R,'caseload data'!$C:$C,'divisional &amp; regional caseload%'!$B$36,'caseload data'!$D:$D,"SPO")/SUMIF('caseload data'!$C:$C,'divisional &amp; regional caseload%'!$B$36,'caseload data'!R:R),"")</f>
        <v/>
      </c>
      <c r="Q41" s="181" t="str">
        <f>IFERROR(SUMIFS('caseload data'!S:S,'caseload data'!$C:$C,'divisional &amp; regional caseload%'!$B$36,'caseload data'!$D:$D,"SPO")/SUMIF('caseload data'!$C:$C,'divisional &amp; regional caseload%'!$B$36,'caseload data'!S:S),"")</f>
        <v/>
      </c>
      <c r="R41" s="181" t="str">
        <f>IFERROR(SUMIFS('caseload data'!T:T,'caseload data'!$C:$C,'divisional &amp; regional caseload%'!$B$36,'caseload data'!$D:$D,"SPO")/SUMIF('caseload data'!$C:$C,'divisional &amp; regional caseload%'!$B$36,'caseload data'!T:T),"")</f>
        <v/>
      </c>
      <c r="S41" s="73"/>
      <c r="T41" s="108" t="s">
        <v>914</v>
      </c>
      <c r="U41" s="181" t="str">
        <f>IFERROR(SUMIFS('caseload data'!E:E,'caseload data'!$C:$C,'divisional &amp; regional caseload%'!$T$36,'caseload data'!$D:$D,"SPO")/SUMIF('caseload data'!$C:$C,'divisional &amp; regional caseload%'!$T$36,'caseload data'!E:E),"")</f>
        <v/>
      </c>
      <c r="V41" s="181" t="str">
        <f>IFERROR(SUMIFS('caseload data'!F:F,'caseload data'!$C:$C,'divisional &amp; regional caseload%'!$T$36,'caseload data'!$D:$D,"SPO")/SUMIF('caseload data'!$C:$C,'divisional &amp; regional caseload%'!$T$36,'caseload data'!F:F),"")</f>
        <v/>
      </c>
      <c r="W41" s="181" t="str">
        <f>IFERROR(SUMIFS('caseload data'!G:G,'caseload data'!$C:$C,'divisional &amp; regional caseload%'!$T$36,'caseload data'!$D:$D,"SPO")/SUMIF('caseload data'!$C:$C,'divisional &amp; regional caseload%'!$T$36,'caseload data'!G:G),"")</f>
        <v/>
      </c>
      <c r="X41" s="181" t="str">
        <f>IFERROR(SUMIFS('caseload data'!H:H,'caseload data'!$C:$C,'divisional &amp; regional caseload%'!$T$36,'caseload data'!$D:$D,"SPO")/SUMIF('caseload data'!$C:$C,'divisional &amp; regional caseload%'!$T$36,'caseload data'!H:H),"")</f>
        <v/>
      </c>
      <c r="Y41" s="181" t="str">
        <f>IFERROR(SUMIFS('caseload data'!I:I,'caseload data'!$C:$C,'divisional &amp; regional caseload%'!$T$36,'caseload data'!$D:$D,"SPO")/SUMIF('caseload data'!$C:$C,'divisional &amp; regional caseload%'!$T$36,'caseload data'!I:I),"")</f>
        <v/>
      </c>
      <c r="Z41" s="181" t="str">
        <f>IFERROR(SUMIFS('caseload data'!J:J,'caseload data'!$C:$C,'divisional &amp; regional caseload%'!$T$36,'caseload data'!$D:$D,"SPO")/SUMIF('caseload data'!$C:$C,'divisional &amp; regional caseload%'!$T$36,'caseload data'!J:J),"")</f>
        <v/>
      </c>
      <c r="AA41" s="181" t="str">
        <f>IFERROR(SUMIFS('caseload data'!K:K,'caseload data'!$C:$C,'divisional &amp; regional caseload%'!$T$36,'caseload data'!$D:$D,"SPO")/SUMIF('caseload data'!$C:$C,'divisional &amp; regional caseload%'!$T$36,'caseload data'!K:K),"")</f>
        <v/>
      </c>
      <c r="AB41" s="181" t="str">
        <f>IFERROR(SUMIFS('caseload data'!L:L,'caseload data'!$C:$C,'divisional &amp; regional caseload%'!$T$36,'caseload data'!$D:$D,"SPO")/SUMIF('caseload data'!$C:$C,'divisional &amp; regional caseload%'!$T$36,'caseload data'!L:L),"")</f>
        <v/>
      </c>
      <c r="AC41" s="181" t="str">
        <f>IFERROR(SUMIFS('caseload data'!M:M,'caseload data'!$C:$C,'divisional &amp; regional caseload%'!$T$36,'caseload data'!$D:$D,"SPO")/SUMIF('caseload data'!$C:$C,'divisional &amp; regional caseload%'!$T$36,'caseload data'!M:M),"")</f>
        <v/>
      </c>
      <c r="AD41" s="181" t="str">
        <f>IFERROR(SUMIFS('caseload data'!N:N,'caseload data'!$C:$C,'divisional &amp; regional caseload%'!$T$36,'caseload data'!$D:$D,"SPO")/SUMIF('caseload data'!$C:$C,'divisional &amp; regional caseload%'!$T$36,'caseload data'!N:N),"")</f>
        <v/>
      </c>
      <c r="AE41" s="181" t="str">
        <f>IFERROR(SUMIFS('caseload data'!O:O,'caseload data'!$C:$C,'divisional &amp; regional caseload%'!$T$36,'caseload data'!$D:$D,"SPO")/SUMIF('caseload data'!$C:$C,'divisional &amp; regional caseload%'!$T$36,'caseload data'!O:O),"")</f>
        <v/>
      </c>
      <c r="AF41" s="181" t="str">
        <f>IFERROR(SUMIFS('caseload data'!P:P,'caseload data'!$C:$C,'divisional &amp; regional caseload%'!$T$36,'caseload data'!$D:$D,"SPO")/SUMIF('caseload data'!$C:$C,'divisional &amp; regional caseload%'!$T$36,'caseload data'!P:P),"")</f>
        <v/>
      </c>
      <c r="AG41" s="181" t="str">
        <f>IFERROR(SUMIFS('caseload data'!Q:Q,'caseload data'!$C:$C,'divisional &amp; regional caseload%'!$T$36,'caseload data'!$D:$D,"SPO")/SUMIF('caseload data'!$C:$C,'divisional &amp; regional caseload%'!$T$36,'caseload data'!Q:Q),"")</f>
        <v/>
      </c>
      <c r="AH41" s="181" t="str">
        <f>IFERROR(SUMIFS('caseload data'!R:R,'caseload data'!$C:$C,'divisional &amp; regional caseload%'!$T$36,'caseload data'!$D:$D,"SPO")/SUMIF('caseload data'!$C:$C,'divisional &amp; regional caseload%'!$T$36,'caseload data'!R:R),"")</f>
        <v/>
      </c>
      <c r="AI41" s="181" t="str">
        <f>IFERROR(SUMIFS('caseload data'!S:S,'caseload data'!$C:$C,'divisional &amp; regional caseload%'!$T$36,'caseload data'!$D:$D,"SPO")/SUMIF('caseload data'!$C:$C,'divisional &amp; regional caseload%'!$T$36,'caseload data'!S:S),"")</f>
        <v/>
      </c>
      <c r="AJ41" s="181" t="str">
        <f>IFERROR(SUMIFS('caseload data'!T:T,'caseload data'!$C:$C,'divisional &amp; regional caseload%'!$T$36,'caseload data'!$D:$D,"SPO")/SUMIF('caseload data'!$C:$C,'divisional &amp; regional caseload%'!$T$36,'caseload data'!T:T),"")</f>
        <v/>
      </c>
    </row>
    <row r="42" spans="2:36" x14ac:dyDescent="0.15">
      <c r="B42" s="101"/>
      <c r="C42" s="73"/>
      <c r="D42" s="73"/>
      <c r="E42" s="73"/>
      <c r="F42" s="73"/>
      <c r="G42" s="73"/>
      <c r="H42" s="73"/>
      <c r="I42" s="73"/>
      <c r="J42" s="73"/>
      <c r="K42" s="73"/>
      <c r="L42" s="73"/>
      <c r="M42" s="73"/>
      <c r="N42" s="73"/>
      <c r="O42" s="73"/>
      <c r="P42" s="73"/>
      <c r="Q42" s="73"/>
      <c r="R42" s="73"/>
      <c r="S42" s="73"/>
      <c r="T42" s="101"/>
      <c r="U42" s="73"/>
      <c r="V42" s="73"/>
      <c r="W42" s="73"/>
      <c r="X42" s="73"/>
      <c r="Y42" s="73"/>
      <c r="Z42" s="73"/>
      <c r="AA42" s="73"/>
      <c r="AB42" s="73"/>
      <c r="AC42" s="73"/>
      <c r="AD42" s="73"/>
      <c r="AE42" s="73"/>
      <c r="AF42" s="73"/>
      <c r="AG42" s="73"/>
      <c r="AH42" s="73"/>
      <c r="AI42" s="73"/>
      <c r="AJ42" s="73"/>
    </row>
    <row r="43" spans="2:36" ht="29.25" customHeight="1" x14ac:dyDescent="0.15">
      <c r="B43" s="156" t="str">
        <f>HLOOKUP($B$5,Region_Table,12,0)</f>
        <v>Hammersmith, Fulham, Kensington, Chelsea and Westminster</v>
      </c>
      <c r="C43" s="367" t="s">
        <v>1130</v>
      </c>
      <c r="D43" s="368"/>
      <c r="E43" s="368"/>
      <c r="F43" s="368"/>
      <c r="G43" s="368"/>
      <c r="H43" s="368"/>
      <c r="I43" s="368"/>
      <c r="J43" s="368"/>
      <c r="K43" s="368"/>
      <c r="L43" s="368"/>
      <c r="M43" s="377"/>
      <c r="N43" s="377"/>
      <c r="O43" s="378"/>
      <c r="P43" s="371">
        <f>SUMIF('caseload data'!$C:$C,'divisional &amp; regional caseload%'!B43,'caseload data'!V:V)</f>
        <v>0</v>
      </c>
      <c r="Q43" s="379"/>
      <c r="R43" s="380"/>
      <c r="S43" s="73"/>
      <c r="T43" s="156" t="str">
        <f>HLOOKUP($B$5,Region_Table,13,0)</f>
        <v>Harrow and Barnet</v>
      </c>
      <c r="U43" s="367" t="s">
        <v>1130</v>
      </c>
      <c r="V43" s="368"/>
      <c r="W43" s="368"/>
      <c r="X43" s="368"/>
      <c r="Y43" s="368"/>
      <c r="Z43" s="368"/>
      <c r="AA43" s="368"/>
      <c r="AB43" s="368"/>
      <c r="AC43" s="368"/>
      <c r="AD43" s="368"/>
      <c r="AE43" s="377"/>
      <c r="AF43" s="377"/>
      <c r="AG43" s="378"/>
      <c r="AH43" s="371">
        <f>SUMIF('caseload data'!$C:$C,'divisional &amp; regional caseload%'!T43,'caseload data'!V:V)</f>
        <v>0</v>
      </c>
      <c r="AI43" s="379"/>
      <c r="AJ43" s="380"/>
    </row>
    <row r="44" spans="2:36" x14ac:dyDescent="0.15">
      <c r="B44" s="105" t="s">
        <v>1065</v>
      </c>
      <c r="C44" s="41" t="s">
        <v>922</v>
      </c>
      <c r="D44" s="41" t="s">
        <v>923</v>
      </c>
      <c r="E44" s="41" t="s">
        <v>924</v>
      </c>
      <c r="F44" s="41" t="s">
        <v>925</v>
      </c>
      <c r="G44" s="41" t="s">
        <v>926</v>
      </c>
      <c r="H44" s="41" t="s">
        <v>927</v>
      </c>
      <c r="I44" s="41" t="s">
        <v>928</v>
      </c>
      <c r="J44" s="41" t="s">
        <v>929</v>
      </c>
      <c r="K44" s="41" t="s">
        <v>930</v>
      </c>
      <c r="L44" s="41" t="s">
        <v>931</v>
      </c>
      <c r="M44" s="41" t="s">
        <v>932</v>
      </c>
      <c r="N44" s="41" t="s">
        <v>933</v>
      </c>
      <c r="O44" s="41" t="s">
        <v>934</v>
      </c>
      <c r="P44" s="41" t="s">
        <v>935</v>
      </c>
      <c r="Q44" s="41" t="s">
        <v>936</v>
      </c>
      <c r="R44" s="41" t="s">
        <v>937</v>
      </c>
      <c r="S44" s="73"/>
      <c r="T44" s="105" t="s">
        <v>1065</v>
      </c>
      <c r="U44" s="41" t="s">
        <v>922</v>
      </c>
      <c r="V44" s="41" t="s">
        <v>923</v>
      </c>
      <c r="W44" s="41" t="s">
        <v>924</v>
      </c>
      <c r="X44" s="41" t="s">
        <v>925</v>
      </c>
      <c r="Y44" s="41" t="s">
        <v>926</v>
      </c>
      <c r="Z44" s="41" t="s">
        <v>927</v>
      </c>
      <c r="AA44" s="41" t="s">
        <v>928</v>
      </c>
      <c r="AB44" s="41" t="s">
        <v>929</v>
      </c>
      <c r="AC44" s="41" t="s">
        <v>930</v>
      </c>
      <c r="AD44" s="41" t="s">
        <v>931</v>
      </c>
      <c r="AE44" s="41" t="s">
        <v>932</v>
      </c>
      <c r="AF44" s="41" t="s">
        <v>933</v>
      </c>
      <c r="AG44" s="41" t="s">
        <v>934</v>
      </c>
      <c r="AH44" s="41" t="s">
        <v>935</v>
      </c>
      <c r="AI44" s="41" t="s">
        <v>936</v>
      </c>
      <c r="AJ44" s="41" t="s">
        <v>937</v>
      </c>
    </row>
    <row r="45" spans="2:36" x14ac:dyDescent="0.15">
      <c r="B45" s="106" t="s">
        <v>911</v>
      </c>
      <c r="C45" s="181" t="str">
        <f>IFERROR(SUMIFS('caseload data'!E:E,'caseload data'!$C:$C,'divisional &amp; regional caseload%'!$B$43,'caseload data'!$D:$D,"PO")/SUMIF('caseload data'!$C:$C,'divisional &amp; regional caseload%'!$B$43,'caseload data'!E:E),"")</f>
        <v/>
      </c>
      <c r="D45" s="181" t="str">
        <f>IFERROR(SUMIFS('caseload data'!F:F,'caseload data'!$C:$C,'divisional &amp; regional caseload%'!$B$43,'caseload data'!$D:$D,"PO")/SUMIF('caseload data'!$C:$C,'divisional &amp; regional caseload%'!$B$43,'caseload data'!F:F),"")</f>
        <v/>
      </c>
      <c r="E45" s="181" t="str">
        <f>IFERROR(SUMIFS('caseload data'!G:G,'caseload data'!$C:$C,'divisional &amp; regional caseload%'!$B$43,'caseload data'!$D:$D,"PO")/SUMIF('caseload data'!$C:$C,'divisional &amp; regional caseload%'!$B$43,'caseload data'!G:G),"")</f>
        <v/>
      </c>
      <c r="F45" s="181" t="str">
        <f>IFERROR(SUMIFS('caseload data'!H:H,'caseload data'!$C:$C,'divisional &amp; regional caseload%'!$B$43,'caseload data'!$D:$D,"PO")/SUMIF('caseload data'!$C:$C,'divisional &amp; regional caseload%'!$B$43,'caseload data'!H:H),"")</f>
        <v/>
      </c>
      <c r="G45" s="181" t="str">
        <f>IFERROR(SUMIFS('caseload data'!I:I,'caseload data'!$C:$C,'divisional &amp; regional caseload%'!$B$43,'caseload data'!$D:$D,"PO")/SUMIF('caseload data'!$C:$C,'divisional &amp; regional caseload%'!$B$43,'caseload data'!I:I),"")</f>
        <v/>
      </c>
      <c r="H45" s="181" t="str">
        <f>IFERROR(SUMIFS('caseload data'!J:J,'caseload data'!$C:$C,'divisional &amp; regional caseload%'!$B$43,'caseload data'!$D:$D,"PO")/SUMIF('caseload data'!$C:$C,'divisional &amp; regional caseload%'!$B$43,'caseload data'!J:J),"")</f>
        <v/>
      </c>
      <c r="I45" s="181" t="str">
        <f>IFERROR(SUMIFS('caseload data'!K:K,'caseload data'!$C:$C,'divisional &amp; regional caseload%'!$B$43,'caseload data'!$D:$D,"PO")/SUMIF('caseload data'!$C:$C,'divisional &amp; regional caseload%'!$B$43,'caseload data'!K:K),"")</f>
        <v/>
      </c>
      <c r="J45" s="181" t="str">
        <f>IFERROR(SUMIFS('caseload data'!L:L,'caseload data'!$C:$C,'divisional &amp; regional caseload%'!$B$43,'caseload data'!$D:$D,"PO")/SUMIF('caseload data'!$C:$C,'divisional &amp; regional caseload%'!$B$43,'caseload data'!L:L),"")</f>
        <v/>
      </c>
      <c r="K45" s="181" t="str">
        <f>IFERROR(SUMIFS('caseload data'!M:M,'caseload data'!$C:$C,'divisional &amp; regional caseload%'!$B$43,'caseload data'!$D:$D,"PO")/SUMIF('caseload data'!$C:$C,'divisional &amp; regional caseload%'!$B$43,'caseload data'!M:M),"")</f>
        <v/>
      </c>
      <c r="L45" s="181" t="str">
        <f>IFERROR(SUMIFS('caseload data'!N:N,'caseload data'!$C:$C,'divisional &amp; regional caseload%'!$B$43,'caseload data'!$D:$D,"PO")/SUMIF('caseload data'!$C:$C,'divisional &amp; regional caseload%'!$B$43,'caseload data'!N:N),"")</f>
        <v/>
      </c>
      <c r="M45" s="181" t="str">
        <f>IFERROR(SUMIFS('caseload data'!O:O,'caseload data'!$C:$C,'divisional &amp; regional caseload%'!$B$43,'caseload data'!$D:$D,"PO")/SUMIF('caseload data'!$C:$C,'divisional &amp; regional caseload%'!$B$43,'caseload data'!O:O),"")</f>
        <v/>
      </c>
      <c r="N45" s="181" t="str">
        <f>IFERROR(SUMIFS('caseload data'!P:P,'caseload data'!$C:$C,'divisional &amp; regional caseload%'!$B$43,'caseload data'!$D:$D,"PO")/SUMIF('caseload data'!$C:$C,'divisional &amp; regional caseload%'!$B$43,'caseload data'!P:P),"")</f>
        <v/>
      </c>
      <c r="O45" s="181" t="str">
        <f>IFERROR(SUMIFS('caseload data'!Q:Q,'caseload data'!$C:$C,'divisional &amp; regional caseload%'!$B$43,'caseload data'!$D:$D,"PO")/SUMIF('caseload data'!$C:$C,'divisional &amp; regional caseload%'!$B$43,'caseload data'!Q:Q),"")</f>
        <v/>
      </c>
      <c r="P45" s="181" t="str">
        <f>IFERROR(SUMIFS('caseload data'!R:R,'caseload data'!$C:$C,'divisional &amp; regional caseload%'!$B$43,'caseload data'!$D:$D,"PO")/SUMIF('caseload data'!$C:$C,'divisional &amp; regional caseload%'!$B$43,'caseload data'!R:R),"")</f>
        <v/>
      </c>
      <c r="Q45" s="181" t="str">
        <f>IFERROR(SUMIFS('caseload data'!S:S,'caseload data'!$C:$C,'divisional &amp; regional caseload%'!$B$43,'caseload data'!$D:$D,"PO")/SUMIF('caseload data'!$C:$C,'divisional &amp; regional caseload%'!$B$43,'caseload data'!S:S),"")</f>
        <v/>
      </c>
      <c r="R45" s="181" t="str">
        <f>IFERROR(SUMIFS('caseload data'!T:T,'caseload data'!$C:$C,'divisional &amp; regional caseload%'!$B$43,'caseload data'!$D:$D,"PO")/SUMIF('caseload data'!$C:$C,'divisional &amp; regional caseload%'!$B$43,'caseload data'!T:T),"")</f>
        <v/>
      </c>
      <c r="S45" s="73"/>
      <c r="T45" s="106" t="s">
        <v>911</v>
      </c>
      <c r="U45" s="181" t="str">
        <f>IFERROR(SUMIFS('caseload data'!E:E,'caseload data'!$C:$C,'divisional &amp; regional caseload%'!$T$43,'caseload data'!$D:$D,"PO")/SUMIF('caseload data'!$C:$C,'divisional &amp; regional caseload%'!$T$43,'caseload data'!E:E),"")</f>
        <v/>
      </c>
      <c r="V45" s="181" t="str">
        <f>IFERROR(SUMIFS('caseload data'!F:F,'caseload data'!$C:$C,'divisional &amp; regional caseload%'!$T$43,'caseload data'!$D:$D,"PO")/SUMIF('caseload data'!$C:$C,'divisional &amp; regional caseload%'!$T$43,'caseload data'!F:F),"")</f>
        <v/>
      </c>
      <c r="W45" s="181" t="str">
        <f>IFERROR(SUMIFS('caseload data'!G:G,'caseload data'!$C:$C,'divisional &amp; regional caseload%'!$T$43,'caseload data'!$D:$D,"PO")/SUMIF('caseload data'!$C:$C,'divisional &amp; regional caseload%'!$T$43,'caseload data'!G:G),"")</f>
        <v/>
      </c>
      <c r="X45" s="181" t="str">
        <f>IFERROR(SUMIFS('caseload data'!H:H,'caseload data'!$C:$C,'divisional &amp; regional caseload%'!$T$43,'caseload data'!$D:$D,"PO")/SUMIF('caseload data'!$C:$C,'divisional &amp; regional caseload%'!$T$43,'caseload data'!H:H),"")</f>
        <v/>
      </c>
      <c r="Y45" s="181" t="str">
        <f>IFERROR(SUMIFS('caseload data'!I:I,'caseload data'!$C:$C,'divisional &amp; regional caseload%'!$T$43,'caseload data'!$D:$D,"PO")/SUMIF('caseload data'!$C:$C,'divisional &amp; regional caseload%'!$T$43,'caseload data'!I:I),"")</f>
        <v/>
      </c>
      <c r="Z45" s="181" t="str">
        <f>IFERROR(SUMIFS('caseload data'!J:J,'caseload data'!$C:$C,'divisional &amp; regional caseload%'!$T$43,'caseload data'!$D:$D,"PO")/SUMIF('caseload data'!$C:$C,'divisional &amp; regional caseload%'!$T$43,'caseload data'!J:J),"")</f>
        <v/>
      </c>
      <c r="AA45" s="181" t="str">
        <f>IFERROR(SUMIFS('caseload data'!K:K,'caseload data'!$C:$C,'divisional &amp; regional caseload%'!$T$43,'caseload data'!$D:$D,"PO")/SUMIF('caseload data'!$C:$C,'divisional &amp; regional caseload%'!$T$43,'caseload data'!K:K),"")</f>
        <v/>
      </c>
      <c r="AB45" s="181" t="str">
        <f>IFERROR(SUMIFS('caseload data'!L:L,'caseload data'!$C:$C,'divisional &amp; regional caseload%'!$T$43,'caseload data'!$D:$D,"PO")/SUMIF('caseload data'!$C:$C,'divisional &amp; regional caseload%'!$T$43,'caseload data'!L:L),"")</f>
        <v/>
      </c>
      <c r="AC45" s="181" t="str">
        <f>IFERROR(SUMIFS('caseload data'!M:M,'caseload data'!$C:$C,'divisional &amp; regional caseload%'!$T$43,'caseload data'!$D:$D,"PO")/SUMIF('caseload data'!$C:$C,'divisional &amp; regional caseload%'!$T$43,'caseload data'!M:M),"")</f>
        <v/>
      </c>
      <c r="AD45" s="181" t="str">
        <f>IFERROR(SUMIFS('caseload data'!N:N,'caseload data'!$C:$C,'divisional &amp; regional caseload%'!$T$43,'caseload data'!$D:$D,"PO")/SUMIF('caseload data'!$C:$C,'divisional &amp; regional caseload%'!$T$43,'caseload data'!N:N),"")</f>
        <v/>
      </c>
      <c r="AE45" s="181" t="str">
        <f>IFERROR(SUMIFS('caseload data'!O:O,'caseload data'!$C:$C,'divisional &amp; regional caseload%'!$T$43,'caseload data'!$D:$D,"PO")/SUMIF('caseload data'!$C:$C,'divisional &amp; regional caseload%'!$T$43,'caseload data'!O:O),"")</f>
        <v/>
      </c>
      <c r="AF45" s="181" t="str">
        <f>IFERROR(SUMIFS('caseload data'!P:P,'caseload data'!$C:$C,'divisional &amp; regional caseload%'!$T$43,'caseload data'!$D:$D,"PO")/SUMIF('caseload data'!$C:$C,'divisional &amp; regional caseload%'!$T$43,'caseload data'!P:P),"")</f>
        <v/>
      </c>
      <c r="AG45" s="181" t="str">
        <f>IFERROR(SUMIFS('caseload data'!Q:Q,'caseload data'!$C:$C,'divisional &amp; regional caseload%'!$T$43,'caseload data'!$D:$D,"PO")/SUMIF('caseload data'!$C:$C,'divisional &amp; regional caseload%'!$T$43,'caseload data'!Q:Q),"")</f>
        <v/>
      </c>
      <c r="AH45" s="181" t="str">
        <f>IFERROR(SUMIFS('caseload data'!R:R,'caseload data'!$C:$C,'divisional &amp; regional caseload%'!$T$43,'caseload data'!$D:$D,"PO")/SUMIF('caseload data'!$C:$C,'divisional &amp; regional caseload%'!$T$43,'caseload data'!R:R),"")</f>
        <v/>
      </c>
      <c r="AI45" s="181" t="str">
        <f>IFERROR(SUMIFS('caseload data'!S:S,'caseload data'!$C:$C,'divisional &amp; regional caseload%'!$T$43,'caseload data'!$D:$D,"PO")/SUMIF('caseload data'!$C:$C,'divisional &amp; regional caseload%'!$T$43,'caseload data'!S:S),"")</f>
        <v/>
      </c>
      <c r="AJ45" s="181" t="str">
        <f>IFERROR(SUMIFS('caseload data'!T:T,'caseload data'!$C:$C,'divisional &amp; regional caseload%'!$T$43,'caseload data'!$D:$D,"PO")/SUMIF('caseload data'!$C:$C,'divisional &amp; regional caseload%'!$T$43,'caseload data'!T:T),"")</f>
        <v/>
      </c>
    </row>
    <row r="46" spans="2:36" x14ac:dyDescent="0.15">
      <c r="B46" s="107" t="s">
        <v>912</v>
      </c>
      <c r="C46" s="181" t="str">
        <f>IFERROR(SUMIFS('caseload data'!E:E,'caseload data'!$C:$C,'divisional &amp; regional caseload%'!$B$43,'caseload data'!$D:$D,"PSO")/SUMIF('caseload data'!$C:$C,'divisional &amp; regional caseload%'!$B$43,'caseload data'!E:E),"")</f>
        <v/>
      </c>
      <c r="D46" s="181" t="str">
        <f>IFERROR(SUMIFS('caseload data'!F:F,'caseload data'!$C:$C,'divisional &amp; regional caseload%'!$B$43,'caseload data'!$D:$D,"PSO")/SUMIF('caseload data'!$C:$C,'divisional &amp; regional caseload%'!$B$43,'caseload data'!F:F),"")</f>
        <v/>
      </c>
      <c r="E46" s="181" t="str">
        <f>IFERROR(SUMIFS('caseload data'!G:G,'caseload data'!$C:$C,'divisional &amp; regional caseload%'!$B$43,'caseload data'!$D:$D,"PSO")/SUMIF('caseload data'!$C:$C,'divisional &amp; regional caseload%'!$B$43,'caseload data'!G:G),"")</f>
        <v/>
      </c>
      <c r="F46" s="181" t="str">
        <f>IFERROR(SUMIFS('caseload data'!H:H,'caseload data'!$C:$C,'divisional &amp; regional caseload%'!$B$43,'caseload data'!$D:$D,"PSO")/SUMIF('caseload data'!$C:$C,'divisional &amp; regional caseload%'!$B$43,'caseload data'!H:H),"")</f>
        <v/>
      </c>
      <c r="G46" s="181" t="str">
        <f>IFERROR(SUMIFS('caseload data'!I:I,'caseload data'!$C:$C,'divisional &amp; regional caseload%'!$B$43,'caseload data'!$D:$D,"PSO")/SUMIF('caseload data'!$C:$C,'divisional &amp; regional caseload%'!$B$43,'caseload data'!I:I),"")</f>
        <v/>
      </c>
      <c r="H46" s="181" t="str">
        <f>IFERROR(SUMIFS('caseload data'!J:J,'caseload data'!$C:$C,'divisional &amp; regional caseload%'!$B$43,'caseload data'!$D:$D,"PSO")/SUMIF('caseload data'!$C:$C,'divisional &amp; regional caseload%'!$B$43,'caseload data'!J:J),"")</f>
        <v/>
      </c>
      <c r="I46" s="181" t="str">
        <f>IFERROR(SUMIFS('caseload data'!K:K,'caseload data'!$C:$C,'divisional &amp; regional caseload%'!$B$43,'caseload data'!$D:$D,"PSO")/SUMIF('caseload data'!$C:$C,'divisional &amp; regional caseload%'!$B$43,'caseload data'!K:K),"")</f>
        <v/>
      </c>
      <c r="J46" s="181" t="str">
        <f>IFERROR(SUMIFS('caseload data'!L:L,'caseload data'!$C:$C,'divisional &amp; regional caseload%'!$B$43,'caseload data'!$D:$D,"PSO")/SUMIF('caseload data'!$C:$C,'divisional &amp; regional caseload%'!$B$43,'caseload data'!L:L),"")</f>
        <v/>
      </c>
      <c r="K46" s="181" t="str">
        <f>IFERROR(SUMIFS('caseload data'!M:M,'caseload data'!$C:$C,'divisional &amp; regional caseload%'!$B$43,'caseload data'!$D:$D,"PSO")/SUMIF('caseload data'!$C:$C,'divisional &amp; regional caseload%'!$B$43,'caseload data'!M:M),"")</f>
        <v/>
      </c>
      <c r="L46" s="181" t="str">
        <f>IFERROR(SUMIFS('caseload data'!N:N,'caseload data'!$C:$C,'divisional &amp; regional caseload%'!$B$43,'caseload data'!$D:$D,"PSO")/SUMIF('caseload data'!$C:$C,'divisional &amp; regional caseload%'!$B$43,'caseload data'!N:N),"")</f>
        <v/>
      </c>
      <c r="M46" s="181" t="str">
        <f>IFERROR(SUMIFS('caseload data'!O:O,'caseload data'!$C:$C,'divisional &amp; regional caseload%'!$B$43,'caseload data'!$D:$D,"PSO")/SUMIF('caseload data'!$C:$C,'divisional &amp; regional caseload%'!$B$43,'caseload data'!O:O),"")</f>
        <v/>
      </c>
      <c r="N46" s="181" t="str">
        <f>IFERROR(SUMIFS('caseload data'!P:P,'caseload data'!$C:$C,'divisional &amp; regional caseload%'!$B$43,'caseload data'!$D:$D,"PSO")/SUMIF('caseload data'!$C:$C,'divisional &amp; regional caseload%'!$B$43,'caseload data'!P:P),"")</f>
        <v/>
      </c>
      <c r="O46" s="181" t="str">
        <f>IFERROR(SUMIFS('caseload data'!Q:Q,'caseload data'!$C:$C,'divisional &amp; regional caseload%'!$B$43,'caseload data'!$D:$D,"PSO")/SUMIF('caseload data'!$C:$C,'divisional &amp; regional caseload%'!$B$43,'caseload data'!Q:Q),"")</f>
        <v/>
      </c>
      <c r="P46" s="181" t="str">
        <f>IFERROR(SUMIFS('caseload data'!R:R,'caseload data'!$C:$C,'divisional &amp; regional caseload%'!$B$43,'caseload data'!$D:$D,"PSO")/SUMIF('caseload data'!$C:$C,'divisional &amp; regional caseload%'!$B$43,'caseload data'!R:R),"")</f>
        <v/>
      </c>
      <c r="Q46" s="181" t="str">
        <f>IFERROR(SUMIFS('caseload data'!S:S,'caseload data'!$C:$C,'divisional &amp; regional caseload%'!$B$43,'caseload data'!$D:$D,"PSO")/SUMIF('caseload data'!$C:$C,'divisional &amp; regional caseload%'!$B$43,'caseload data'!S:S),"")</f>
        <v/>
      </c>
      <c r="R46" s="181" t="str">
        <f>IFERROR(SUMIFS('caseload data'!T:T,'caseload data'!$C:$C,'divisional &amp; regional caseload%'!$B$43,'caseload data'!$D:$D,"PSO")/SUMIF('caseload data'!$C:$C,'divisional &amp; regional caseload%'!$B$43,'caseload data'!T:T),"")</f>
        <v/>
      </c>
      <c r="S46" s="73"/>
      <c r="T46" s="107" t="s">
        <v>912</v>
      </c>
      <c r="U46" s="181" t="str">
        <f>IFERROR(SUMIFS('caseload data'!E:E,'caseload data'!$C:$C,'divisional &amp; regional caseload%'!$T$43,'caseload data'!$D:$D,"PSO")/SUMIF('caseload data'!$C:$C,'divisional &amp; regional caseload%'!$T$36,'caseload data'!E:E),"")</f>
        <v/>
      </c>
      <c r="V46" s="181" t="str">
        <f>IFERROR(SUMIFS('caseload data'!F:F,'caseload data'!$C:$C,'divisional &amp; regional caseload%'!$T$43,'caseload data'!$D:$D,"PSO")/SUMIF('caseload data'!$C:$C,'divisional &amp; regional caseload%'!$T$36,'caseload data'!F:F),"")</f>
        <v/>
      </c>
      <c r="W46" s="181" t="str">
        <f>IFERROR(SUMIFS('caseload data'!G:G,'caseload data'!$C:$C,'divisional &amp; regional caseload%'!$T$43,'caseload data'!$D:$D,"PSO")/SUMIF('caseload data'!$C:$C,'divisional &amp; regional caseload%'!$T$36,'caseload data'!G:G),"")</f>
        <v/>
      </c>
      <c r="X46" s="181" t="str">
        <f>IFERROR(SUMIFS('caseload data'!H:H,'caseload data'!$C:$C,'divisional &amp; regional caseload%'!$T$43,'caseload data'!$D:$D,"PSO")/SUMIF('caseload data'!$C:$C,'divisional &amp; regional caseload%'!$T$36,'caseload data'!H:H),"")</f>
        <v/>
      </c>
      <c r="Y46" s="181" t="str">
        <f>IFERROR(SUMIFS('caseload data'!I:I,'caseload data'!$C:$C,'divisional &amp; regional caseload%'!$T$43,'caseload data'!$D:$D,"PSO")/SUMIF('caseload data'!$C:$C,'divisional &amp; regional caseload%'!$T$36,'caseload data'!I:I),"")</f>
        <v/>
      </c>
      <c r="Z46" s="181" t="str">
        <f>IFERROR(SUMIFS('caseload data'!J:J,'caseload data'!$C:$C,'divisional &amp; regional caseload%'!$T$43,'caseload data'!$D:$D,"PSO")/SUMIF('caseload data'!$C:$C,'divisional &amp; regional caseload%'!$T$36,'caseload data'!J:J),"")</f>
        <v/>
      </c>
      <c r="AA46" s="181" t="str">
        <f>IFERROR(SUMIFS('caseload data'!K:K,'caseload data'!$C:$C,'divisional &amp; regional caseload%'!$T$43,'caseload data'!$D:$D,"PSO")/SUMIF('caseload data'!$C:$C,'divisional &amp; regional caseload%'!$T$36,'caseload data'!K:K),"")</f>
        <v/>
      </c>
      <c r="AB46" s="181" t="str">
        <f>IFERROR(SUMIFS('caseload data'!L:L,'caseload data'!$C:$C,'divisional &amp; regional caseload%'!$T$43,'caseload data'!$D:$D,"PSO")/SUMIF('caseload data'!$C:$C,'divisional &amp; regional caseload%'!$T$36,'caseload data'!L:L),"")</f>
        <v/>
      </c>
      <c r="AC46" s="181" t="str">
        <f>IFERROR(SUMIFS('caseload data'!M:M,'caseload data'!$C:$C,'divisional &amp; regional caseload%'!$T$43,'caseload data'!$D:$D,"PSO")/SUMIF('caseload data'!$C:$C,'divisional &amp; regional caseload%'!$T$36,'caseload data'!M:M),"")</f>
        <v/>
      </c>
      <c r="AD46" s="181" t="str">
        <f>IFERROR(SUMIFS('caseload data'!N:N,'caseload data'!$C:$C,'divisional &amp; regional caseload%'!$T$43,'caseload data'!$D:$D,"PSO")/SUMIF('caseload data'!$C:$C,'divisional &amp; regional caseload%'!$T$36,'caseload data'!N:N),"")</f>
        <v/>
      </c>
      <c r="AE46" s="181" t="str">
        <f>IFERROR(SUMIFS('caseload data'!O:O,'caseload data'!$C:$C,'divisional &amp; regional caseload%'!$T$43,'caseload data'!$D:$D,"PSO")/SUMIF('caseload data'!$C:$C,'divisional &amp; regional caseload%'!$T$36,'caseload data'!O:O),"")</f>
        <v/>
      </c>
      <c r="AF46" s="181" t="str">
        <f>IFERROR(SUMIFS('caseload data'!P:P,'caseload data'!$C:$C,'divisional &amp; regional caseload%'!$T$43,'caseload data'!$D:$D,"PSO")/SUMIF('caseload data'!$C:$C,'divisional &amp; regional caseload%'!$T$36,'caseload data'!P:P),"")</f>
        <v/>
      </c>
      <c r="AG46" s="181" t="str">
        <f>IFERROR(SUMIFS('caseload data'!Q:Q,'caseload data'!$C:$C,'divisional &amp; regional caseload%'!$T$43,'caseload data'!$D:$D,"PSO")/SUMIF('caseload data'!$C:$C,'divisional &amp; regional caseload%'!$T$36,'caseload data'!Q:Q),"")</f>
        <v/>
      </c>
      <c r="AH46" s="181" t="str">
        <f>IFERROR(SUMIFS('caseload data'!R:R,'caseload data'!$C:$C,'divisional &amp; regional caseload%'!$T$43,'caseload data'!$D:$D,"PSO")/SUMIF('caseload data'!$C:$C,'divisional &amp; regional caseload%'!$T$36,'caseload data'!R:R),"")</f>
        <v/>
      </c>
      <c r="AI46" s="181" t="str">
        <f>IFERROR(SUMIFS('caseload data'!S:S,'caseload data'!$C:$C,'divisional &amp; regional caseload%'!$T$43,'caseload data'!$D:$D,"PSO")/SUMIF('caseload data'!$C:$C,'divisional &amp; regional caseload%'!$T$36,'caseload data'!S:S),"")</f>
        <v/>
      </c>
      <c r="AJ46" s="181" t="str">
        <f>IFERROR(SUMIFS('caseload data'!T:T,'caseload data'!$C:$C,'divisional &amp; regional caseload%'!$T$43,'caseload data'!$D:$D,"PSO")/SUMIF('caseload data'!$C:$C,'divisional &amp; regional caseload%'!$T$36,'caseload data'!T:T),"")</f>
        <v/>
      </c>
    </row>
    <row r="47" spans="2:36" x14ac:dyDescent="0.15">
      <c r="B47" s="107" t="s">
        <v>913</v>
      </c>
      <c r="C47" s="181" t="str">
        <f>IFERROR(SUMIFS('caseload data'!E:E,'caseload data'!$C:$C,'divisional &amp; regional caseload%'!$B$43,'caseload data'!$D:$D,"TPO")/SUMIF('caseload data'!$C:$C,'divisional &amp; regional caseload%'!$B$43,'caseload data'!E:E),"")</f>
        <v/>
      </c>
      <c r="D47" s="181" t="str">
        <f>IFERROR(SUMIFS('caseload data'!F:F,'caseload data'!$C:$C,'divisional &amp; regional caseload%'!$B$43,'caseload data'!$D:$D,"TPO")/SUMIF('caseload data'!$C:$C,'divisional &amp; regional caseload%'!$B$43,'caseload data'!F:F),"")</f>
        <v/>
      </c>
      <c r="E47" s="181" t="str">
        <f>IFERROR(SUMIFS('caseload data'!G:G,'caseload data'!$C:$C,'divisional &amp; regional caseload%'!$B$43,'caseload data'!$D:$D,"TPO")/SUMIF('caseload data'!$C:$C,'divisional &amp; regional caseload%'!$B$43,'caseload data'!G:G),"")</f>
        <v/>
      </c>
      <c r="F47" s="181" t="str">
        <f>IFERROR(SUMIFS('caseload data'!H:H,'caseload data'!$C:$C,'divisional &amp; regional caseload%'!$B$43,'caseload data'!$D:$D,"TPO")/SUMIF('caseload data'!$C:$C,'divisional &amp; regional caseload%'!$B$43,'caseload data'!H:H),"")</f>
        <v/>
      </c>
      <c r="G47" s="181" t="str">
        <f>IFERROR(SUMIFS('caseload data'!I:I,'caseload data'!$C:$C,'divisional &amp; regional caseload%'!$B$43,'caseload data'!$D:$D,"TPO")/SUMIF('caseload data'!$C:$C,'divisional &amp; regional caseload%'!$B$43,'caseload data'!I:I),"")</f>
        <v/>
      </c>
      <c r="H47" s="181" t="str">
        <f>IFERROR(SUMIFS('caseload data'!J:J,'caseload data'!$C:$C,'divisional &amp; regional caseload%'!$B$43,'caseload data'!$D:$D,"TPO")/SUMIF('caseload data'!$C:$C,'divisional &amp; regional caseload%'!$B$43,'caseload data'!J:J),"")</f>
        <v/>
      </c>
      <c r="I47" s="181" t="str">
        <f>IFERROR(SUMIFS('caseload data'!K:K,'caseload data'!$C:$C,'divisional &amp; regional caseload%'!$B$43,'caseload data'!$D:$D,"TPO")/SUMIF('caseload data'!$C:$C,'divisional &amp; regional caseload%'!$B$43,'caseload data'!K:K),"")</f>
        <v/>
      </c>
      <c r="J47" s="181" t="str">
        <f>IFERROR(SUMIFS('caseload data'!L:L,'caseload data'!$C:$C,'divisional &amp; regional caseload%'!$B$43,'caseload data'!$D:$D,"TPO")/SUMIF('caseload data'!$C:$C,'divisional &amp; regional caseload%'!$B$43,'caseload data'!L:L),"")</f>
        <v/>
      </c>
      <c r="K47" s="181" t="str">
        <f>IFERROR(SUMIFS('caseload data'!M:M,'caseload data'!$C:$C,'divisional &amp; regional caseload%'!$B$43,'caseload data'!$D:$D,"TPO")/SUMIF('caseload data'!$C:$C,'divisional &amp; regional caseload%'!$B$43,'caseload data'!M:M),"")</f>
        <v/>
      </c>
      <c r="L47" s="181" t="str">
        <f>IFERROR(SUMIFS('caseload data'!N:N,'caseload data'!$C:$C,'divisional &amp; regional caseload%'!$B$43,'caseload data'!$D:$D,"TPO")/SUMIF('caseload data'!$C:$C,'divisional &amp; regional caseload%'!$B$43,'caseload data'!N:N),"")</f>
        <v/>
      </c>
      <c r="M47" s="181" t="str">
        <f>IFERROR(SUMIFS('caseload data'!O:O,'caseload data'!$C:$C,'divisional &amp; regional caseload%'!$B$43,'caseload data'!$D:$D,"TPO")/SUMIF('caseload data'!$C:$C,'divisional &amp; regional caseload%'!$B$43,'caseload data'!O:O),"")</f>
        <v/>
      </c>
      <c r="N47" s="181" t="str">
        <f>IFERROR(SUMIFS('caseload data'!P:P,'caseload data'!$C:$C,'divisional &amp; regional caseload%'!$B$43,'caseload data'!$D:$D,"TPO")/SUMIF('caseload data'!$C:$C,'divisional &amp; regional caseload%'!$B$43,'caseload data'!P:P),"")</f>
        <v/>
      </c>
      <c r="O47" s="181" t="str">
        <f>IFERROR(SUMIFS('caseload data'!Q:Q,'caseload data'!$C:$C,'divisional &amp; regional caseload%'!$B$43,'caseload data'!$D:$D,"TPO")/SUMIF('caseload data'!$C:$C,'divisional &amp; regional caseload%'!$B$43,'caseload data'!Q:Q),"")</f>
        <v/>
      </c>
      <c r="P47" s="181" t="str">
        <f>IFERROR(SUMIFS('caseload data'!R:R,'caseload data'!$C:$C,'divisional &amp; regional caseload%'!$B$43,'caseload data'!$D:$D,"TPO")/SUMIF('caseload data'!$C:$C,'divisional &amp; regional caseload%'!$B$43,'caseload data'!R:R),"")</f>
        <v/>
      </c>
      <c r="Q47" s="181" t="str">
        <f>IFERROR(SUMIFS('caseload data'!S:S,'caseload data'!$C:$C,'divisional &amp; regional caseload%'!$B$43,'caseload data'!$D:$D,"TPO")/SUMIF('caseload data'!$C:$C,'divisional &amp; regional caseload%'!$B$43,'caseload data'!S:S),"")</f>
        <v/>
      </c>
      <c r="R47" s="181" t="str">
        <f>IFERROR(SUMIFS('caseload data'!T:T,'caseload data'!$C:$C,'divisional &amp; regional caseload%'!$B$43,'caseload data'!$D:$D,"TPO")/SUMIF('caseload data'!$C:$C,'divisional &amp; regional caseload%'!$B$43,'caseload data'!T:T),"")</f>
        <v/>
      </c>
      <c r="S47" s="73"/>
      <c r="T47" s="107" t="s">
        <v>913</v>
      </c>
      <c r="U47" s="181" t="str">
        <f>IFERROR(SUMIFS('caseload data'!E:E,'caseload data'!$C:$C,'divisional &amp; regional caseload%'!$T$43,'caseload data'!$D:$D,"TPO")/SUMIF('caseload data'!$C:$C,'divisional &amp; regional caseload%'!$T$36,'caseload data'!E:E),"")</f>
        <v/>
      </c>
      <c r="V47" s="181" t="str">
        <f>IFERROR(SUMIFS('caseload data'!F:F,'caseload data'!$C:$C,'divisional &amp; regional caseload%'!$T$43,'caseload data'!$D:$D,"TPO")/SUMIF('caseload data'!$C:$C,'divisional &amp; regional caseload%'!$T$36,'caseload data'!F:F),"")</f>
        <v/>
      </c>
      <c r="W47" s="181" t="str">
        <f>IFERROR(SUMIFS('caseload data'!G:G,'caseload data'!$C:$C,'divisional &amp; regional caseload%'!$T$43,'caseload data'!$D:$D,"TPO")/SUMIF('caseload data'!$C:$C,'divisional &amp; regional caseload%'!$T$36,'caseload data'!G:G),"")</f>
        <v/>
      </c>
      <c r="X47" s="181" t="str">
        <f>IFERROR(SUMIFS('caseload data'!H:H,'caseload data'!$C:$C,'divisional &amp; regional caseload%'!$T$43,'caseload data'!$D:$D,"TPO")/SUMIF('caseload data'!$C:$C,'divisional &amp; regional caseload%'!$T$36,'caseload data'!H:H),"")</f>
        <v/>
      </c>
      <c r="Y47" s="181" t="str">
        <f>IFERROR(SUMIFS('caseload data'!I:I,'caseload data'!$C:$C,'divisional &amp; regional caseload%'!$T$43,'caseload data'!$D:$D,"TPO")/SUMIF('caseload data'!$C:$C,'divisional &amp; regional caseload%'!$T$36,'caseload data'!I:I),"")</f>
        <v/>
      </c>
      <c r="Z47" s="181" t="str">
        <f>IFERROR(SUMIFS('caseload data'!J:J,'caseload data'!$C:$C,'divisional &amp; regional caseload%'!$T$43,'caseload data'!$D:$D,"TPO")/SUMIF('caseload data'!$C:$C,'divisional &amp; regional caseload%'!$T$36,'caseload data'!J:J),"")</f>
        <v/>
      </c>
      <c r="AA47" s="181" t="str">
        <f>IFERROR(SUMIFS('caseload data'!K:K,'caseload data'!$C:$C,'divisional &amp; regional caseload%'!$T$43,'caseload data'!$D:$D,"TPO")/SUMIF('caseload data'!$C:$C,'divisional &amp; regional caseload%'!$T$36,'caseload data'!K:K),"")</f>
        <v/>
      </c>
      <c r="AB47" s="181" t="str">
        <f>IFERROR(SUMIFS('caseload data'!L:L,'caseload data'!$C:$C,'divisional &amp; regional caseload%'!$T$43,'caseload data'!$D:$D,"TPO")/SUMIF('caseload data'!$C:$C,'divisional &amp; regional caseload%'!$T$36,'caseload data'!L:L),"")</f>
        <v/>
      </c>
      <c r="AC47" s="181" t="str">
        <f>IFERROR(SUMIFS('caseload data'!M:M,'caseload data'!$C:$C,'divisional &amp; regional caseload%'!$T$43,'caseload data'!$D:$D,"TPO")/SUMIF('caseload data'!$C:$C,'divisional &amp; regional caseload%'!$T$36,'caseload data'!M:M),"")</f>
        <v/>
      </c>
      <c r="AD47" s="181" t="str">
        <f>IFERROR(SUMIFS('caseload data'!N:N,'caseload data'!$C:$C,'divisional &amp; regional caseload%'!$T$43,'caseload data'!$D:$D,"TPO")/SUMIF('caseload data'!$C:$C,'divisional &amp; regional caseload%'!$T$36,'caseload data'!N:N),"")</f>
        <v/>
      </c>
      <c r="AE47" s="181" t="str">
        <f>IFERROR(SUMIFS('caseload data'!O:O,'caseload data'!$C:$C,'divisional &amp; regional caseload%'!$T$43,'caseload data'!$D:$D,"TPO")/SUMIF('caseload data'!$C:$C,'divisional &amp; regional caseload%'!$T$36,'caseload data'!O:O),"")</f>
        <v/>
      </c>
      <c r="AF47" s="181" t="str">
        <f>IFERROR(SUMIFS('caseload data'!P:P,'caseload data'!$C:$C,'divisional &amp; regional caseload%'!$T$43,'caseload data'!$D:$D,"TPO")/SUMIF('caseload data'!$C:$C,'divisional &amp; regional caseload%'!$T$36,'caseload data'!P:P),"")</f>
        <v/>
      </c>
      <c r="AG47" s="181" t="str">
        <f>IFERROR(SUMIFS('caseload data'!Q:Q,'caseload data'!$C:$C,'divisional &amp; regional caseload%'!$T$43,'caseload data'!$D:$D,"TPO")/SUMIF('caseload data'!$C:$C,'divisional &amp; regional caseload%'!$T$36,'caseload data'!Q:Q),"")</f>
        <v/>
      </c>
      <c r="AH47" s="181" t="str">
        <f>IFERROR(SUMIFS('caseload data'!R:R,'caseload data'!$C:$C,'divisional &amp; regional caseload%'!$T$43,'caseload data'!$D:$D,"TPO")/SUMIF('caseload data'!$C:$C,'divisional &amp; regional caseload%'!$T$36,'caseload data'!R:R),"")</f>
        <v/>
      </c>
      <c r="AI47" s="181" t="str">
        <f>IFERROR(SUMIFS('caseload data'!S:S,'caseload data'!$C:$C,'divisional &amp; regional caseload%'!$T$43,'caseload data'!$D:$D,"TPO")/SUMIF('caseload data'!$C:$C,'divisional &amp; regional caseload%'!$T$36,'caseload data'!S:S),"")</f>
        <v/>
      </c>
      <c r="AJ47" s="181" t="str">
        <f>IFERROR(SUMIFS('caseload data'!T:T,'caseload data'!$C:$C,'divisional &amp; regional caseload%'!$T$43,'caseload data'!$D:$D,"TPO")/SUMIF('caseload data'!$C:$C,'divisional &amp; regional caseload%'!$T$36,'caseload data'!T:T),"")</f>
        <v/>
      </c>
    </row>
    <row r="48" spans="2:36" x14ac:dyDescent="0.15">
      <c r="B48" s="108" t="s">
        <v>914</v>
      </c>
      <c r="C48" s="181" t="str">
        <f>IFERROR(SUMIFS('caseload data'!E:E,'caseload data'!$C:$C,'divisional &amp; regional caseload%'!$B$43,'caseload data'!$D:$D,"SPO")/SUMIF('caseload data'!$C:$C,'divisional &amp; regional caseload%'!$B$43,'caseload data'!E:E),"")</f>
        <v/>
      </c>
      <c r="D48" s="181" t="str">
        <f>IFERROR(SUMIFS('caseload data'!F:F,'caseload data'!$C:$C,'divisional &amp; regional caseload%'!$B$43,'caseload data'!$D:$D,"SPO")/SUMIF('caseload data'!$C:$C,'divisional &amp; regional caseload%'!$B$43,'caseload data'!F:F),"")</f>
        <v/>
      </c>
      <c r="E48" s="181" t="str">
        <f>IFERROR(SUMIFS('caseload data'!G:G,'caseload data'!$C:$C,'divisional &amp; regional caseload%'!$B$43,'caseload data'!$D:$D,"SPO")/SUMIF('caseload data'!$C:$C,'divisional &amp; regional caseload%'!$B$43,'caseload data'!G:G),"")</f>
        <v/>
      </c>
      <c r="F48" s="181" t="str">
        <f>IFERROR(SUMIFS('caseload data'!H:H,'caseload data'!$C:$C,'divisional &amp; regional caseload%'!$B$43,'caseload data'!$D:$D,"SPO")/SUMIF('caseload data'!$C:$C,'divisional &amp; regional caseload%'!$B$43,'caseload data'!H:H),"")</f>
        <v/>
      </c>
      <c r="G48" s="181" t="str">
        <f>IFERROR(SUMIFS('caseload data'!I:I,'caseload data'!$C:$C,'divisional &amp; regional caseload%'!$B$43,'caseload data'!$D:$D,"SPO")/SUMIF('caseload data'!$C:$C,'divisional &amp; regional caseload%'!$B$43,'caseload data'!I:I),"")</f>
        <v/>
      </c>
      <c r="H48" s="181" t="str">
        <f>IFERROR(SUMIFS('caseload data'!J:J,'caseload data'!$C:$C,'divisional &amp; regional caseload%'!$B$43,'caseload data'!$D:$D,"SPO")/SUMIF('caseload data'!$C:$C,'divisional &amp; regional caseload%'!$B$43,'caseload data'!J:J),"")</f>
        <v/>
      </c>
      <c r="I48" s="181" t="str">
        <f>IFERROR(SUMIFS('caseload data'!K:K,'caseload data'!$C:$C,'divisional &amp; regional caseload%'!$B$43,'caseload data'!$D:$D,"SPO")/SUMIF('caseload data'!$C:$C,'divisional &amp; regional caseload%'!$B$43,'caseload data'!K:K),"")</f>
        <v/>
      </c>
      <c r="J48" s="181" t="str">
        <f>IFERROR(SUMIFS('caseload data'!L:L,'caseload data'!$C:$C,'divisional &amp; regional caseload%'!$B$43,'caseload data'!$D:$D,"SPO")/SUMIF('caseload data'!$C:$C,'divisional &amp; regional caseload%'!$B$43,'caseload data'!L:L),"")</f>
        <v/>
      </c>
      <c r="K48" s="181" t="str">
        <f>IFERROR(SUMIFS('caseload data'!M:M,'caseload data'!$C:$C,'divisional &amp; regional caseload%'!$B$43,'caseload data'!$D:$D,"SPO")/SUMIF('caseload data'!$C:$C,'divisional &amp; regional caseload%'!$B$43,'caseload data'!M:M),"")</f>
        <v/>
      </c>
      <c r="L48" s="181" t="str">
        <f>IFERROR(SUMIFS('caseload data'!N:N,'caseload data'!$C:$C,'divisional &amp; regional caseload%'!$B$43,'caseload data'!$D:$D,"SPO")/SUMIF('caseload data'!$C:$C,'divisional &amp; regional caseload%'!$B$43,'caseload data'!N:N),"")</f>
        <v/>
      </c>
      <c r="M48" s="181" t="str">
        <f>IFERROR(SUMIFS('caseload data'!O:O,'caseload data'!$C:$C,'divisional &amp; regional caseload%'!$B$43,'caseload data'!$D:$D,"SPO")/SUMIF('caseload data'!$C:$C,'divisional &amp; regional caseload%'!$B$43,'caseload data'!O:O),"")</f>
        <v/>
      </c>
      <c r="N48" s="181" t="str">
        <f>IFERROR(SUMIFS('caseload data'!P:P,'caseload data'!$C:$C,'divisional &amp; regional caseload%'!$B$43,'caseload data'!$D:$D,"SPO")/SUMIF('caseload data'!$C:$C,'divisional &amp; regional caseload%'!$B$43,'caseload data'!P:P),"")</f>
        <v/>
      </c>
      <c r="O48" s="181" t="str">
        <f>IFERROR(SUMIFS('caseload data'!Q:Q,'caseload data'!$C:$C,'divisional &amp; regional caseload%'!$B$43,'caseload data'!$D:$D,"SPO")/SUMIF('caseload data'!$C:$C,'divisional &amp; regional caseload%'!$B$43,'caseload data'!Q:Q),"")</f>
        <v/>
      </c>
      <c r="P48" s="181" t="str">
        <f>IFERROR(SUMIFS('caseload data'!R:R,'caseload data'!$C:$C,'divisional &amp; regional caseload%'!$B$43,'caseload data'!$D:$D,"SPO")/SUMIF('caseload data'!$C:$C,'divisional &amp; regional caseload%'!$B$43,'caseload data'!R:R),"")</f>
        <v/>
      </c>
      <c r="Q48" s="181" t="str">
        <f>IFERROR(SUMIFS('caseload data'!S:S,'caseload data'!$C:$C,'divisional &amp; regional caseload%'!$B$43,'caseload data'!$D:$D,"SPO")/SUMIF('caseload data'!$C:$C,'divisional &amp; regional caseload%'!$B$43,'caseload data'!S:S),"")</f>
        <v/>
      </c>
      <c r="R48" s="181" t="str">
        <f>IFERROR(SUMIFS('caseload data'!T:T,'caseload data'!$C:$C,'divisional &amp; regional caseload%'!$B$43,'caseload data'!$D:$D,"SPO")/SUMIF('caseload data'!$C:$C,'divisional &amp; regional caseload%'!$B$43,'caseload data'!T:T),"")</f>
        <v/>
      </c>
      <c r="S48" s="73"/>
      <c r="T48" s="108" t="s">
        <v>914</v>
      </c>
      <c r="U48" s="181" t="str">
        <f>IFERROR(SUMIFS('caseload data'!E:E,'caseload data'!$C:$C,'divisional &amp; regional caseload%'!$T$43,'caseload data'!$D:$D,"SPO")/SUMIF('caseload data'!$C:$C,'divisional &amp; regional caseload%'!$T$36,'caseload data'!E:E),"")</f>
        <v/>
      </c>
      <c r="V48" s="181" t="str">
        <f>IFERROR(SUMIFS('caseload data'!F:F,'caseload data'!$C:$C,'divisional &amp; regional caseload%'!$T$43,'caseload data'!$D:$D,"SPO")/SUMIF('caseload data'!$C:$C,'divisional &amp; regional caseload%'!$T$36,'caseload data'!F:F),"")</f>
        <v/>
      </c>
      <c r="W48" s="181" t="str">
        <f>IFERROR(SUMIFS('caseload data'!G:G,'caseload data'!$C:$C,'divisional &amp; regional caseload%'!$T$43,'caseload data'!$D:$D,"SPO")/SUMIF('caseload data'!$C:$C,'divisional &amp; regional caseload%'!$T$36,'caseload data'!G:G),"")</f>
        <v/>
      </c>
      <c r="X48" s="181" t="str">
        <f>IFERROR(SUMIFS('caseload data'!H:H,'caseload data'!$C:$C,'divisional &amp; regional caseload%'!$T$43,'caseload data'!$D:$D,"SPO")/SUMIF('caseload data'!$C:$C,'divisional &amp; regional caseload%'!$T$36,'caseload data'!H:H),"")</f>
        <v/>
      </c>
      <c r="Y48" s="181" t="str">
        <f>IFERROR(SUMIFS('caseload data'!I:I,'caseload data'!$C:$C,'divisional &amp; regional caseload%'!$T$43,'caseload data'!$D:$D,"SPO")/SUMIF('caseload data'!$C:$C,'divisional &amp; regional caseload%'!$T$36,'caseload data'!I:I),"")</f>
        <v/>
      </c>
      <c r="Z48" s="181" t="str">
        <f>IFERROR(SUMIFS('caseload data'!J:J,'caseload data'!$C:$C,'divisional &amp; regional caseload%'!$T$43,'caseload data'!$D:$D,"SPO")/SUMIF('caseload data'!$C:$C,'divisional &amp; regional caseload%'!$T$36,'caseload data'!J:J),"")</f>
        <v/>
      </c>
      <c r="AA48" s="181" t="str">
        <f>IFERROR(SUMIFS('caseload data'!K:K,'caseload data'!$C:$C,'divisional &amp; regional caseload%'!$T$43,'caseload data'!$D:$D,"SPO")/SUMIF('caseload data'!$C:$C,'divisional &amp; regional caseload%'!$T$36,'caseload data'!K:K),"")</f>
        <v/>
      </c>
      <c r="AB48" s="181" t="str">
        <f>IFERROR(SUMIFS('caseload data'!L:L,'caseload data'!$C:$C,'divisional &amp; regional caseload%'!$T$43,'caseload data'!$D:$D,"SPO")/SUMIF('caseload data'!$C:$C,'divisional &amp; regional caseload%'!$T$36,'caseload data'!L:L),"")</f>
        <v/>
      </c>
      <c r="AC48" s="181" t="str">
        <f>IFERROR(SUMIFS('caseload data'!M:M,'caseload data'!$C:$C,'divisional &amp; regional caseload%'!$T$43,'caseload data'!$D:$D,"SPO")/SUMIF('caseload data'!$C:$C,'divisional &amp; regional caseload%'!$T$36,'caseload data'!M:M),"")</f>
        <v/>
      </c>
      <c r="AD48" s="181" t="str">
        <f>IFERROR(SUMIFS('caseload data'!N:N,'caseload data'!$C:$C,'divisional &amp; regional caseload%'!$T$43,'caseload data'!$D:$D,"SPO")/SUMIF('caseload data'!$C:$C,'divisional &amp; regional caseload%'!$T$36,'caseload data'!N:N),"")</f>
        <v/>
      </c>
      <c r="AE48" s="181" t="str">
        <f>IFERROR(SUMIFS('caseload data'!O:O,'caseload data'!$C:$C,'divisional &amp; regional caseload%'!$T$43,'caseload data'!$D:$D,"SPO")/SUMIF('caseload data'!$C:$C,'divisional &amp; regional caseload%'!$T$36,'caseload data'!O:O),"")</f>
        <v/>
      </c>
      <c r="AF48" s="181" t="str">
        <f>IFERROR(SUMIFS('caseload data'!P:P,'caseload data'!$C:$C,'divisional &amp; regional caseload%'!$T$43,'caseload data'!$D:$D,"SPO")/SUMIF('caseload data'!$C:$C,'divisional &amp; regional caseload%'!$T$36,'caseload data'!P:P),"")</f>
        <v/>
      </c>
      <c r="AG48" s="181" t="str">
        <f>IFERROR(SUMIFS('caseload data'!Q:Q,'caseload data'!$C:$C,'divisional &amp; regional caseload%'!$T$43,'caseload data'!$D:$D,"SPO")/SUMIF('caseload data'!$C:$C,'divisional &amp; regional caseload%'!$T$36,'caseload data'!Q:Q),"")</f>
        <v/>
      </c>
      <c r="AH48" s="181" t="str">
        <f>IFERROR(SUMIFS('caseload data'!R:R,'caseload data'!$C:$C,'divisional &amp; regional caseload%'!$T$43,'caseload data'!$D:$D,"SPO")/SUMIF('caseload data'!$C:$C,'divisional &amp; regional caseload%'!$T$36,'caseload data'!R:R),"")</f>
        <v/>
      </c>
      <c r="AI48" s="181" t="str">
        <f>IFERROR(SUMIFS('caseload data'!S:S,'caseload data'!$C:$C,'divisional &amp; regional caseload%'!$T$43,'caseload data'!$D:$D,"SPO")/SUMIF('caseload data'!$C:$C,'divisional &amp; regional caseload%'!$T$36,'caseload data'!S:S),"")</f>
        <v/>
      </c>
      <c r="AJ48" s="181" t="str">
        <f>IFERROR(SUMIFS('caseload data'!T:T,'caseload data'!$C:$C,'divisional &amp; regional caseload%'!$T$43,'caseload data'!$D:$D,"SPO")/SUMIF('caseload data'!$C:$C,'divisional &amp; regional caseload%'!$T$36,'caseload data'!T:T),"")</f>
        <v/>
      </c>
    </row>
    <row r="49" spans="2:36" x14ac:dyDescent="0.15">
      <c r="B49" s="101"/>
      <c r="C49" s="73"/>
      <c r="D49" s="73"/>
      <c r="E49" s="73"/>
      <c r="F49" s="73"/>
      <c r="G49" s="73"/>
      <c r="H49" s="73"/>
      <c r="I49" s="73"/>
      <c r="J49" s="73"/>
      <c r="K49" s="73"/>
      <c r="L49" s="73"/>
      <c r="M49" s="73"/>
      <c r="N49" s="73"/>
      <c r="O49" s="73"/>
      <c r="P49" s="73"/>
      <c r="Q49" s="73"/>
      <c r="R49" s="73"/>
      <c r="S49" s="73"/>
      <c r="T49" s="101"/>
      <c r="U49" s="73"/>
      <c r="V49" s="73"/>
      <c r="W49" s="73"/>
      <c r="X49" s="73"/>
      <c r="Y49" s="73"/>
      <c r="Z49" s="73"/>
      <c r="AA49" s="73"/>
      <c r="AB49" s="73"/>
      <c r="AC49" s="73"/>
      <c r="AD49" s="73"/>
      <c r="AE49" s="73"/>
      <c r="AF49" s="73"/>
      <c r="AG49" s="73"/>
      <c r="AH49" s="73"/>
      <c r="AI49" s="73"/>
      <c r="AJ49" s="73"/>
    </row>
    <row r="50" spans="2:36" ht="30" customHeight="1" x14ac:dyDescent="0.15">
      <c r="B50" s="156" t="str">
        <f>HLOOKUP($B$5,Region_Table,14,0)</f>
        <v>Inactive Level 2(N07)</v>
      </c>
      <c r="C50" s="367" t="s">
        <v>1130</v>
      </c>
      <c r="D50" s="368"/>
      <c r="E50" s="368"/>
      <c r="F50" s="368"/>
      <c r="G50" s="368"/>
      <c r="H50" s="368"/>
      <c r="I50" s="368"/>
      <c r="J50" s="368"/>
      <c r="K50" s="368"/>
      <c r="L50" s="368"/>
      <c r="M50" s="377"/>
      <c r="N50" s="377"/>
      <c r="O50" s="378"/>
      <c r="P50" s="371">
        <f>SUMIF('caseload data'!$C:$C,'divisional &amp; regional caseload%'!B50,'caseload data'!V:V)</f>
        <v>0</v>
      </c>
      <c r="Q50" s="379"/>
      <c r="R50" s="380"/>
      <c r="S50" s="73"/>
      <c r="T50" s="156" t="str">
        <f>HLOOKUP($B$5,Region_Table,15,0)</f>
        <v>Kingston, Richmond and Hounslow</v>
      </c>
      <c r="U50" s="367" t="s">
        <v>1130</v>
      </c>
      <c r="V50" s="368"/>
      <c r="W50" s="368"/>
      <c r="X50" s="368"/>
      <c r="Y50" s="368"/>
      <c r="Z50" s="368"/>
      <c r="AA50" s="368"/>
      <c r="AB50" s="368"/>
      <c r="AC50" s="368"/>
      <c r="AD50" s="368"/>
      <c r="AE50" s="377"/>
      <c r="AF50" s="377"/>
      <c r="AG50" s="378"/>
      <c r="AH50" s="371">
        <f>SUMIF('caseload data'!$C:$C,'divisional &amp; regional caseload%'!T50,'caseload data'!V:V)</f>
        <v>0</v>
      </c>
      <c r="AI50" s="379"/>
      <c r="AJ50" s="380"/>
    </row>
    <row r="51" spans="2:36" x14ac:dyDescent="0.15">
      <c r="B51" s="105" t="s">
        <v>1065</v>
      </c>
      <c r="C51" s="41" t="s">
        <v>922</v>
      </c>
      <c r="D51" s="41" t="s">
        <v>923</v>
      </c>
      <c r="E51" s="41" t="s">
        <v>924</v>
      </c>
      <c r="F51" s="41" t="s">
        <v>925</v>
      </c>
      <c r="G51" s="41" t="s">
        <v>926</v>
      </c>
      <c r="H51" s="41" t="s">
        <v>927</v>
      </c>
      <c r="I51" s="41" t="s">
        <v>928</v>
      </c>
      <c r="J51" s="41" t="s">
        <v>929</v>
      </c>
      <c r="K51" s="41" t="s">
        <v>930</v>
      </c>
      <c r="L51" s="41" t="s">
        <v>931</v>
      </c>
      <c r="M51" s="41" t="s">
        <v>932</v>
      </c>
      <c r="N51" s="41" t="s">
        <v>933</v>
      </c>
      <c r="O51" s="41" t="s">
        <v>934</v>
      </c>
      <c r="P51" s="41" t="s">
        <v>935</v>
      </c>
      <c r="Q51" s="41" t="s">
        <v>936</v>
      </c>
      <c r="R51" s="41" t="s">
        <v>937</v>
      </c>
      <c r="S51" s="73"/>
      <c r="T51" s="105" t="s">
        <v>1065</v>
      </c>
      <c r="U51" s="41" t="s">
        <v>922</v>
      </c>
      <c r="V51" s="41" t="s">
        <v>923</v>
      </c>
      <c r="W51" s="41" t="s">
        <v>924</v>
      </c>
      <c r="X51" s="41" t="s">
        <v>925</v>
      </c>
      <c r="Y51" s="41" t="s">
        <v>926</v>
      </c>
      <c r="Z51" s="41" t="s">
        <v>927</v>
      </c>
      <c r="AA51" s="41" t="s">
        <v>928</v>
      </c>
      <c r="AB51" s="41" t="s">
        <v>929</v>
      </c>
      <c r="AC51" s="41" t="s">
        <v>930</v>
      </c>
      <c r="AD51" s="41" t="s">
        <v>931</v>
      </c>
      <c r="AE51" s="41" t="s">
        <v>932</v>
      </c>
      <c r="AF51" s="41" t="s">
        <v>933</v>
      </c>
      <c r="AG51" s="41" t="s">
        <v>934</v>
      </c>
      <c r="AH51" s="41" t="s">
        <v>935</v>
      </c>
      <c r="AI51" s="41" t="s">
        <v>936</v>
      </c>
      <c r="AJ51" s="41" t="s">
        <v>937</v>
      </c>
    </row>
    <row r="52" spans="2:36" x14ac:dyDescent="0.15">
      <c r="B52" s="106" t="s">
        <v>911</v>
      </c>
      <c r="C52" s="181" t="str">
        <f>IFERROR(SUMIFS('caseload data'!E:E,'caseload data'!$C:$C,'divisional &amp; regional caseload%'!$B$50,'caseload data'!$D:$D,"PO")/SUMIF('caseload data'!$C:$C,'divisional &amp; regional caseload%'!$B$50,'caseload data'!E:E),"")</f>
        <v/>
      </c>
      <c r="D52" s="181" t="str">
        <f>IFERROR(SUMIFS('caseload data'!F:F,'caseload data'!$C:$C,'divisional &amp; regional caseload%'!$B$50,'caseload data'!$D:$D,"PO")/SUMIF('caseload data'!$C:$C,'divisional &amp; regional caseload%'!$B$50,'caseload data'!F:F),"")</f>
        <v/>
      </c>
      <c r="E52" s="181" t="str">
        <f>IFERROR(SUMIFS('caseload data'!G:G,'caseload data'!$C:$C,'divisional &amp; regional caseload%'!$B$50,'caseload data'!$D:$D,"PO")/SUMIF('caseload data'!$C:$C,'divisional &amp; regional caseload%'!$B$50,'caseload data'!G:G),"")</f>
        <v/>
      </c>
      <c r="F52" s="181" t="str">
        <f>IFERROR(SUMIFS('caseload data'!H:H,'caseload data'!$C:$C,'divisional &amp; regional caseload%'!$B$50,'caseload data'!$D:$D,"PO")/SUMIF('caseload data'!$C:$C,'divisional &amp; regional caseload%'!$B$50,'caseload data'!H:H),"")</f>
        <v/>
      </c>
      <c r="G52" s="181" t="str">
        <f>IFERROR(SUMIFS('caseload data'!I:I,'caseload data'!$C:$C,'divisional &amp; regional caseload%'!$B$50,'caseload data'!$D:$D,"PO")/SUMIF('caseload data'!$C:$C,'divisional &amp; regional caseload%'!$B$50,'caseload data'!I:I),"")</f>
        <v/>
      </c>
      <c r="H52" s="181" t="str">
        <f>IFERROR(SUMIFS('caseload data'!J:J,'caseload data'!$C:$C,'divisional &amp; regional caseload%'!$B$50,'caseload data'!$D:$D,"PO")/SUMIF('caseload data'!$C:$C,'divisional &amp; regional caseload%'!$B$50,'caseload data'!J:J),"")</f>
        <v/>
      </c>
      <c r="I52" s="181" t="str">
        <f>IFERROR(SUMIFS('caseload data'!K:K,'caseload data'!$C:$C,'divisional &amp; regional caseload%'!$B$50,'caseload data'!$D:$D,"PO")/SUMIF('caseload data'!$C:$C,'divisional &amp; regional caseload%'!$B$50,'caseload data'!K:K),"")</f>
        <v/>
      </c>
      <c r="J52" s="181" t="str">
        <f>IFERROR(SUMIFS('caseload data'!L:L,'caseload data'!$C:$C,'divisional &amp; regional caseload%'!$B$50,'caseload data'!$D:$D,"PO")/SUMIF('caseload data'!$C:$C,'divisional &amp; regional caseload%'!$B$50,'caseload data'!L:L),"")</f>
        <v/>
      </c>
      <c r="K52" s="181" t="str">
        <f>IFERROR(SUMIFS('caseload data'!M:M,'caseload data'!$C:$C,'divisional &amp; regional caseload%'!$B$50,'caseload data'!$D:$D,"PO")/SUMIF('caseload data'!$C:$C,'divisional &amp; regional caseload%'!$B$50,'caseload data'!M:M),"")</f>
        <v/>
      </c>
      <c r="L52" s="181" t="str">
        <f>IFERROR(SUMIFS('caseload data'!N:N,'caseload data'!$C:$C,'divisional &amp; regional caseload%'!$B$50,'caseload data'!$D:$D,"PO")/SUMIF('caseload data'!$C:$C,'divisional &amp; regional caseload%'!$B$50,'caseload data'!N:N),"")</f>
        <v/>
      </c>
      <c r="M52" s="181" t="str">
        <f>IFERROR(SUMIFS('caseload data'!O:O,'caseload data'!$C:$C,'divisional &amp; regional caseload%'!$B$50,'caseload data'!$D:$D,"PO")/SUMIF('caseload data'!$C:$C,'divisional &amp; regional caseload%'!$B$50,'caseload data'!O:O),"")</f>
        <v/>
      </c>
      <c r="N52" s="181" t="str">
        <f>IFERROR(SUMIFS('caseload data'!P:P,'caseload data'!$C:$C,'divisional &amp; regional caseload%'!$B$50,'caseload data'!$D:$D,"PO")/SUMIF('caseload data'!$C:$C,'divisional &amp; regional caseload%'!$B$50,'caseload data'!P:P),"")</f>
        <v/>
      </c>
      <c r="O52" s="181" t="str">
        <f>IFERROR(SUMIFS('caseload data'!Q:Q,'caseload data'!$C:$C,'divisional &amp; regional caseload%'!$B$50,'caseload data'!$D:$D,"PO")/SUMIF('caseload data'!$C:$C,'divisional &amp; regional caseload%'!$B$50,'caseload data'!Q:Q),"")</f>
        <v/>
      </c>
      <c r="P52" s="181" t="str">
        <f>IFERROR(SUMIFS('caseload data'!R:R,'caseload data'!$C:$C,'divisional &amp; regional caseload%'!$B$50,'caseload data'!$D:$D,"PO")/SUMIF('caseload data'!$C:$C,'divisional &amp; regional caseload%'!$B$50,'caseload data'!R:R),"")</f>
        <v/>
      </c>
      <c r="Q52" s="181" t="str">
        <f>IFERROR(SUMIFS('caseload data'!S:S,'caseload data'!$C:$C,'divisional &amp; regional caseload%'!$B$50,'caseload data'!$D:$D,"PO")/SUMIF('caseload data'!$C:$C,'divisional &amp; regional caseload%'!$B$50,'caseload data'!S:S),"")</f>
        <v/>
      </c>
      <c r="R52" s="181" t="str">
        <f>IFERROR(SUMIFS('caseload data'!T:T,'caseload data'!$C:$C,'divisional &amp; regional caseload%'!$B$50,'caseload data'!$D:$D,"PO")/SUMIF('caseload data'!$C:$C,'divisional &amp; regional caseload%'!$B$50,'caseload data'!T:T),"")</f>
        <v/>
      </c>
      <c r="S52" s="73"/>
      <c r="T52" s="106" t="s">
        <v>911</v>
      </c>
      <c r="U52" s="181" t="str">
        <f>IFERROR(SUMIFS('caseload data'!E:E,'caseload data'!$C:$C,'divisional &amp; regional caseload%'!$T$50,'caseload data'!$D:$D,"PO")/SUMIF('caseload data'!$C:$C,'divisional &amp; regional caseload%'!$T$50,'caseload data'!E:E),"")</f>
        <v/>
      </c>
      <c r="V52" s="181" t="str">
        <f>IFERROR(SUMIFS('caseload data'!F:F,'caseload data'!$C:$C,'divisional &amp; regional caseload%'!$T$50,'caseload data'!$D:$D,"PO")/SUMIF('caseload data'!$C:$C,'divisional &amp; regional caseload%'!$T$50,'caseload data'!F:F),"")</f>
        <v/>
      </c>
      <c r="W52" s="181" t="str">
        <f>IFERROR(SUMIFS('caseload data'!G:G,'caseload data'!$C:$C,'divisional &amp; regional caseload%'!$T$50,'caseload data'!$D:$D,"PO")/SUMIF('caseload data'!$C:$C,'divisional &amp; regional caseload%'!$T$50,'caseload data'!G:G),"")</f>
        <v/>
      </c>
      <c r="X52" s="181" t="str">
        <f>IFERROR(SUMIFS('caseload data'!H:H,'caseload data'!$C:$C,'divisional &amp; regional caseload%'!$T$50,'caseload data'!$D:$D,"PO")/SUMIF('caseload data'!$C:$C,'divisional &amp; regional caseload%'!$T$50,'caseload data'!H:H),"")</f>
        <v/>
      </c>
      <c r="Y52" s="181" t="str">
        <f>IFERROR(SUMIFS('caseload data'!I:I,'caseload data'!$C:$C,'divisional &amp; regional caseload%'!$T$50,'caseload data'!$D:$D,"PO")/SUMIF('caseload data'!$C:$C,'divisional &amp; regional caseload%'!$T$50,'caseload data'!I:I),"")</f>
        <v/>
      </c>
      <c r="Z52" s="181" t="str">
        <f>IFERROR(SUMIFS('caseload data'!J:J,'caseload data'!$C:$C,'divisional &amp; regional caseload%'!$T$50,'caseload data'!$D:$D,"PO")/SUMIF('caseload data'!$C:$C,'divisional &amp; regional caseload%'!$T$50,'caseload data'!J:J),"")</f>
        <v/>
      </c>
      <c r="AA52" s="181" t="str">
        <f>IFERROR(SUMIFS('caseload data'!K:K,'caseload data'!$C:$C,'divisional &amp; regional caseload%'!$T$50,'caseload data'!$D:$D,"PO")/SUMIF('caseload data'!$C:$C,'divisional &amp; regional caseload%'!$T$50,'caseload data'!K:K),"")</f>
        <v/>
      </c>
      <c r="AB52" s="181" t="str">
        <f>IFERROR(SUMIFS('caseload data'!L:L,'caseload data'!$C:$C,'divisional &amp; regional caseload%'!$T$50,'caseload data'!$D:$D,"PO")/SUMIF('caseload data'!$C:$C,'divisional &amp; regional caseload%'!$T$50,'caseload data'!L:L),"")</f>
        <v/>
      </c>
      <c r="AC52" s="181" t="str">
        <f>IFERROR(SUMIFS('caseload data'!M:M,'caseload data'!$C:$C,'divisional &amp; regional caseload%'!$T$50,'caseload data'!$D:$D,"PO")/SUMIF('caseload data'!$C:$C,'divisional &amp; regional caseload%'!$T$50,'caseload data'!M:M),"")</f>
        <v/>
      </c>
      <c r="AD52" s="181" t="str">
        <f>IFERROR(SUMIFS('caseload data'!N:N,'caseload data'!$C:$C,'divisional &amp; regional caseload%'!$T$50,'caseload data'!$D:$D,"PO")/SUMIF('caseload data'!$C:$C,'divisional &amp; regional caseload%'!$T$50,'caseload data'!N:N),"")</f>
        <v/>
      </c>
      <c r="AE52" s="181" t="str">
        <f>IFERROR(SUMIFS('caseload data'!O:O,'caseload data'!$C:$C,'divisional &amp; regional caseload%'!$T$50,'caseload data'!$D:$D,"PO")/SUMIF('caseload data'!$C:$C,'divisional &amp; regional caseload%'!$T$50,'caseload data'!O:O),"")</f>
        <v/>
      </c>
      <c r="AF52" s="181" t="str">
        <f>IFERROR(SUMIFS('caseload data'!P:P,'caseload data'!$C:$C,'divisional &amp; regional caseload%'!$T$50,'caseload data'!$D:$D,"PO")/SUMIF('caseload data'!$C:$C,'divisional &amp; regional caseload%'!$T$50,'caseload data'!P:P),"")</f>
        <v/>
      </c>
      <c r="AG52" s="181" t="str">
        <f>IFERROR(SUMIFS('caseload data'!Q:Q,'caseload data'!$C:$C,'divisional &amp; regional caseload%'!$T$50,'caseload data'!$D:$D,"PO")/SUMIF('caseload data'!$C:$C,'divisional &amp; regional caseload%'!$T$50,'caseload data'!Q:Q),"")</f>
        <v/>
      </c>
      <c r="AH52" s="181" t="str">
        <f>IFERROR(SUMIFS('caseload data'!R:R,'caseload data'!$C:$C,'divisional &amp; regional caseload%'!$T$50,'caseload data'!$D:$D,"PO")/SUMIF('caseload data'!$C:$C,'divisional &amp; regional caseload%'!$T$50,'caseload data'!R:R),"")</f>
        <v/>
      </c>
      <c r="AI52" s="181" t="str">
        <f>IFERROR(SUMIFS('caseload data'!S:S,'caseload data'!$C:$C,'divisional &amp; regional caseload%'!$T$50,'caseload data'!$D:$D,"PO")/SUMIF('caseload data'!$C:$C,'divisional &amp; regional caseload%'!$T$50,'caseload data'!S:S),"")</f>
        <v/>
      </c>
      <c r="AJ52" s="181" t="str">
        <f>IFERROR(SUMIFS('caseload data'!T:T,'caseload data'!$C:$C,'divisional &amp; regional caseload%'!$T$50,'caseload data'!$D:$D,"PO")/SUMIF('caseload data'!$C:$C,'divisional &amp; regional caseload%'!$T$50,'caseload data'!T:T),"")</f>
        <v/>
      </c>
    </row>
    <row r="53" spans="2:36" x14ac:dyDescent="0.15">
      <c r="B53" s="107" t="s">
        <v>912</v>
      </c>
      <c r="C53" s="181" t="str">
        <f>IFERROR(SUMIFS('caseload data'!E:E,'caseload data'!$C:$C,'divisional &amp; regional caseload%'!$B$50,'caseload data'!$D:$D,"PSO")/SUMIF('caseload data'!$C:$C,'divisional &amp; regional caseload%'!$B$50,'caseload data'!E:E),"")</f>
        <v/>
      </c>
      <c r="D53" s="181" t="str">
        <f>IFERROR(SUMIFS('caseload data'!F:F,'caseload data'!$C:$C,'divisional &amp; regional caseload%'!$B$50,'caseload data'!$D:$D,"PSO")/SUMIF('caseload data'!$C:$C,'divisional &amp; regional caseload%'!$B$50,'caseload data'!F:F),"")</f>
        <v/>
      </c>
      <c r="E53" s="181" t="str">
        <f>IFERROR(SUMIFS('caseload data'!G:G,'caseload data'!$C:$C,'divisional &amp; regional caseload%'!$B$50,'caseload data'!$D:$D,"PSO")/SUMIF('caseload data'!$C:$C,'divisional &amp; regional caseload%'!$B$50,'caseload data'!G:G),"")</f>
        <v/>
      </c>
      <c r="F53" s="181" t="str">
        <f>IFERROR(SUMIFS('caseload data'!H:H,'caseload data'!$C:$C,'divisional &amp; regional caseload%'!$B$50,'caseload data'!$D:$D,"PSO")/SUMIF('caseload data'!$C:$C,'divisional &amp; regional caseload%'!$B$50,'caseload data'!H:H),"")</f>
        <v/>
      </c>
      <c r="G53" s="181" t="str">
        <f>IFERROR(SUMIFS('caseload data'!I:I,'caseload data'!$C:$C,'divisional &amp; regional caseload%'!$B$50,'caseload data'!$D:$D,"PSO")/SUMIF('caseload data'!$C:$C,'divisional &amp; regional caseload%'!$B$50,'caseload data'!I:I),"")</f>
        <v/>
      </c>
      <c r="H53" s="181" t="str">
        <f>IFERROR(SUMIFS('caseload data'!J:J,'caseload data'!$C:$C,'divisional &amp; regional caseload%'!$B$50,'caseload data'!$D:$D,"PSO")/SUMIF('caseload data'!$C:$C,'divisional &amp; regional caseload%'!$B$50,'caseload data'!J:J),"")</f>
        <v/>
      </c>
      <c r="I53" s="181" t="str">
        <f>IFERROR(SUMIFS('caseload data'!K:K,'caseload data'!$C:$C,'divisional &amp; regional caseload%'!$B$50,'caseload data'!$D:$D,"PSO")/SUMIF('caseload data'!$C:$C,'divisional &amp; regional caseload%'!$B$50,'caseload data'!K:K),"")</f>
        <v/>
      </c>
      <c r="J53" s="181" t="str">
        <f>IFERROR(SUMIFS('caseload data'!L:L,'caseload data'!$C:$C,'divisional &amp; regional caseload%'!$B$50,'caseload data'!$D:$D,"PSO")/SUMIF('caseload data'!$C:$C,'divisional &amp; regional caseload%'!$B$50,'caseload data'!L:L),"")</f>
        <v/>
      </c>
      <c r="K53" s="181" t="str">
        <f>IFERROR(SUMIFS('caseload data'!M:M,'caseload data'!$C:$C,'divisional &amp; regional caseload%'!$B$50,'caseload data'!$D:$D,"PSO")/SUMIF('caseload data'!$C:$C,'divisional &amp; regional caseload%'!$B$50,'caseload data'!M:M),"")</f>
        <v/>
      </c>
      <c r="L53" s="181" t="str">
        <f>IFERROR(SUMIFS('caseload data'!N:N,'caseload data'!$C:$C,'divisional &amp; regional caseload%'!$B$50,'caseload data'!$D:$D,"PSO")/SUMIF('caseload data'!$C:$C,'divisional &amp; regional caseload%'!$B$50,'caseload data'!N:N),"")</f>
        <v/>
      </c>
      <c r="M53" s="181" t="str">
        <f>IFERROR(SUMIFS('caseload data'!O:O,'caseload data'!$C:$C,'divisional &amp; regional caseload%'!$B$50,'caseload data'!$D:$D,"PSO")/SUMIF('caseload data'!$C:$C,'divisional &amp; regional caseload%'!$B$50,'caseload data'!O:O),"")</f>
        <v/>
      </c>
      <c r="N53" s="181" t="str">
        <f>IFERROR(SUMIFS('caseload data'!P:P,'caseload data'!$C:$C,'divisional &amp; regional caseload%'!$B$50,'caseload data'!$D:$D,"PSO")/SUMIF('caseload data'!$C:$C,'divisional &amp; regional caseload%'!$B$50,'caseload data'!P:P),"")</f>
        <v/>
      </c>
      <c r="O53" s="181" t="str">
        <f>IFERROR(SUMIFS('caseload data'!Q:Q,'caseload data'!$C:$C,'divisional &amp; regional caseload%'!$B$50,'caseload data'!$D:$D,"PSO")/SUMIF('caseload data'!$C:$C,'divisional &amp; regional caseload%'!$B$50,'caseload data'!Q:Q),"")</f>
        <v/>
      </c>
      <c r="P53" s="181" t="str">
        <f>IFERROR(SUMIFS('caseload data'!R:R,'caseload data'!$C:$C,'divisional &amp; regional caseload%'!$B$50,'caseload data'!$D:$D,"PSO")/SUMIF('caseload data'!$C:$C,'divisional &amp; regional caseload%'!$B$50,'caseload data'!R:R),"")</f>
        <v/>
      </c>
      <c r="Q53" s="181" t="str">
        <f>IFERROR(SUMIFS('caseload data'!S:S,'caseload data'!$C:$C,'divisional &amp; regional caseload%'!$B$50,'caseload data'!$D:$D,"PSO")/SUMIF('caseload data'!$C:$C,'divisional &amp; regional caseload%'!$B$50,'caseload data'!S:S),"")</f>
        <v/>
      </c>
      <c r="R53" s="181" t="str">
        <f>IFERROR(SUMIFS('caseload data'!T:T,'caseload data'!$C:$C,'divisional &amp; regional caseload%'!$B$50,'caseload data'!$D:$D,"PSO")/SUMIF('caseload data'!$C:$C,'divisional &amp; regional caseload%'!$B$50,'caseload data'!T:T),"")</f>
        <v/>
      </c>
      <c r="S53" s="73"/>
      <c r="T53" s="107" t="s">
        <v>912</v>
      </c>
      <c r="U53" s="181" t="str">
        <f>IFERROR(SUMIFS('caseload data'!E:E,'caseload data'!$C:$C,'divisional &amp; regional caseload%'!$T$50,'caseload data'!$D:$D,"PSO")/SUMIF('caseload data'!$C:$C,'divisional &amp; regional caseload%'!$T$50,'caseload data'!E:E),"")</f>
        <v/>
      </c>
      <c r="V53" s="181" t="str">
        <f>IFERROR(SUMIFS('caseload data'!F:F,'caseload data'!$C:$C,'divisional &amp; regional caseload%'!$T$50,'caseload data'!$D:$D,"PSO")/SUMIF('caseload data'!$C:$C,'divisional &amp; regional caseload%'!$T$50,'caseload data'!F:F),"")</f>
        <v/>
      </c>
      <c r="W53" s="181" t="str">
        <f>IFERROR(SUMIFS('caseload data'!G:G,'caseload data'!$C:$C,'divisional &amp; regional caseload%'!$T$50,'caseload data'!$D:$D,"PSO")/SUMIF('caseload data'!$C:$C,'divisional &amp; regional caseload%'!$T$50,'caseload data'!G:G),"")</f>
        <v/>
      </c>
      <c r="X53" s="181" t="str">
        <f>IFERROR(SUMIFS('caseload data'!H:H,'caseload data'!$C:$C,'divisional &amp; regional caseload%'!$T$50,'caseload data'!$D:$D,"PSO")/SUMIF('caseload data'!$C:$C,'divisional &amp; regional caseload%'!$T$50,'caseload data'!H:H),"")</f>
        <v/>
      </c>
      <c r="Y53" s="181" t="str">
        <f>IFERROR(SUMIFS('caseload data'!I:I,'caseload data'!$C:$C,'divisional &amp; regional caseload%'!$T$50,'caseload data'!$D:$D,"PSO")/SUMIF('caseload data'!$C:$C,'divisional &amp; regional caseload%'!$T$50,'caseload data'!I:I),"")</f>
        <v/>
      </c>
      <c r="Z53" s="181" t="str">
        <f>IFERROR(SUMIFS('caseload data'!J:J,'caseload data'!$C:$C,'divisional &amp; regional caseload%'!$T$50,'caseload data'!$D:$D,"PSO")/SUMIF('caseload data'!$C:$C,'divisional &amp; regional caseload%'!$T$50,'caseload data'!J:J),"")</f>
        <v/>
      </c>
      <c r="AA53" s="181" t="str">
        <f>IFERROR(SUMIFS('caseload data'!K:K,'caseload data'!$C:$C,'divisional &amp; regional caseload%'!$T$50,'caseload data'!$D:$D,"PSO")/SUMIF('caseload data'!$C:$C,'divisional &amp; regional caseload%'!$T$50,'caseload data'!K:K),"")</f>
        <v/>
      </c>
      <c r="AB53" s="181" t="str">
        <f>IFERROR(SUMIFS('caseload data'!L:L,'caseload data'!$C:$C,'divisional &amp; regional caseload%'!$T$50,'caseload data'!$D:$D,"PSO")/SUMIF('caseload data'!$C:$C,'divisional &amp; regional caseload%'!$T$50,'caseload data'!L:L),"")</f>
        <v/>
      </c>
      <c r="AC53" s="181" t="str">
        <f>IFERROR(SUMIFS('caseload data'!M:M,'caseload data'!$C:$C,'divisional &amp; regional caseload%'!$T$50,'caseload data'!$D:$D,"PSO")/SUMIF('caseload data'!$C:$C,'divisional &amp; regional caseload%'!$T$50,'caseload data'!M:M),"")</f>
        <v/>
      </c>
      <c r="AD53" s="181" t="str">
        <f>IFERROR(SUMIFS('caseload data'!N:N,'caseload data'!$C:$C,'divisional &amp; regional caseload%'!$T$50,'caseload data'!$D:$D,"PSO")/SUMIF('caseload data'!$C:$C,'divisional &amp; regional caseload%'!$T$50,'caseload data'!N:N),"")</f>
        <v/>
      </c>
      <c r="AE53" s="181" t="str">
        <f>IFERROR(SUMIFS('caseload data'!O:O,'caseload data'!$C:$C,'divisional &amp; regional caseload%'!$T$50,'caseload data'!$D:$D,"PSO")/SUMIF('caseload data'!$C:$C,'divisional &amp; regional caseload%'!$T$50,'caseload data'!O:O),"")</f>
        <v/>
      </c>
      <c r="AF53" s="181" t="str">
        <f>IFERROR(SUMIFS('caseload data'!P:P,'caseload data'!$C:$C,'divisional &amp; regional caseload%'!$T$50,'caseload data'!$D:$D,"PSO")/SUMIF('caseload data'!$C:$C,'divisional &amp; regional caseload%'!$T$50,'caseload data'!P:P),"")</f>
        <v/>
      </c>
      <c r="AG53" s="181" t="str">
        <f>IFERROR(SUMIFS('caseload data'!Q:Q,'caseload data'!$C:$C,'divisional &amp; regional caseload%'!$T$50,'caseload data'!$D:$D,"PSO")/SUMIF('caseload data'!$C:$C,'divisional &amp; regional caseload%'!$T$50,'caseload data'!Q:Q),"")</f>
        <v/>
      </c>
      <c r="AH53" s="181" t="str">
        <f>IFERROR(SUMIFS('caseload data'!R:R,'caseload data'!$C:$C,'divisional &amp; regional caseload%'!$T$50,'caseload data'!$D:$D,"PSO")/SUMIF('caseload data'!$C:$C,'divisional &amp; regional caseload%'!$T$50,'caseload data'!R:R),"")</f>
        <v/>
      </c>
      <c r="AI53" s="181" t="str">
        <f>IFERROR(SUMIFS('caseload data'!S:S,'caseload data'!$C:$C,'divisional &amp; regional caseload%'!$T$50,'caseload data'!$D:$D,"PSO")/SUMIF('caseload data'!$C:$C,'divisional &amp; regional caseload%'!$T$50,'caseload data'!S:S),"")</f>
        <v/>
      </c>
      <c r="AJ53" s="181" t="str">
        <f>IFERROR(SUMIFS('caseload data'!T:T,'caseload data'!$C:$C,'divisional &amp; regional caseload%'!$T$50,'caseload data'!$D:$D,"PSO")/SUMIF('caseload data'!$C:$C,'divisional &amp; regional caseload%'!$T$50,'caseload data'!T:T),"")</f>
        <v/>
      </c>
    </row>
    <row r="54" spans="2:36" x14ac:dyDescent="0.15">
      <c r="B54" s="107" t="s">
        <v>913</v>
      </c>
      <c r="C54" s="181" t="str">
        <f>IFERROR(SUMIFS('caseload data'!E:E,'caseload data'!$C:$C,'divisional &amp; regional caseload%'!$B$50,'caseload data'!$D:$D,"TPO")/SUMIF('caseload data'!$C:$C,'divisional &amp; regional caseload%'!$B$50,'caseload data'!E:E),"")</f>
        <v/>
      </c>
      <c r="D54" s="181" t="str">
        <f>IFERROR(SUMIFS('caseload data'!F:F,'caseload data'!$C:$C,'divisional &amp; regional caseload%'!$B$50,'caseload data'!$D:$D,"TPO")/SUMIF('caseload data'!$C:$C,'divisional &amp; regional caseload%'!$B$50,'caseload data'!F:F),"")</f>
        <v/>
      </c>
      <c r="E54" s="181" t="str">
        <f>IFERROR(SUMIFS('caseload data'!G:G,'caseload data'!$C:$C,'divisional &amp; regional caseload%'!$B$50,'caseload data'!$D:$D,"TPO")/SUMIF('caseload data'!$C:$C,'divisional &amp; regional caseload%'!$B$50,'caseload data'!G:G),"")</f>
        <v/>
      </c>
      <c r="F54" s="181" t="str">
        <f>IFERROR(SUMIFS('caseload data'!H:H,'caseload data'!$C:$C,'divisional &amp; regional caseload%'!$B$50,'caseload data'!$D:$D,"TPO")/SUMIF('caseload data'!$C:$C,'divisional &amp; regional caseload%'!$B$50,'caseload data'!H:H),"")</f>
        <v/>
      </c>
      <c r="G54" s="181" t="str">
        <f>IFERROR(SUMIFS('caseload data'!I:I,'caseload data'!$C:$C,'divisional &amp; regional caseload%'!$B$50,'caseload data'!$D:$D,"TPO")/SUMIF('caseload data'!$C:$C,'divisional &amp; regional caseload%'!$B$50,'caseload data'!I:I),"")</f>
        <v/>
      </c>
      <c r="H54" s="181" t="str">
        <f>IFERROR(SUMIFS('caseload data'!J:J,'caseload data'!$C:$C,'divisional &amp; regional caseload%'!$B$50,'caseload data'!$D:$D,"TPO")/SUMIF('caseload data'!$C:$C,'divisional &amp; regional caseload%'!$B$50,'caseload data'!J:J),"")</f>
        <v/>
      </c>
      <c r="I54" s="181" t="str">
        <f>IFERROR(SUMIFS('caseload data'!K:K,'caseload data'!$C:$C,'divisional &amp; regional caseload%'!$B$50,'caseload data'!$D:$D,"TPO")/SUMIF('caseload data'!$C:$C,'divisional &amp; regional caseload%'!$B$50,'caseload data'!K:K),"")</f>
        <v/>
      </c>
      <c r="J54" s="181" t="str">
        <f>IFERROR(SUMIFS('caseload data'!L:L,'caseload data'!$C:$C,'divisional &amp; regional caseload%'!$B$50,'caseload data'!$D:$D,"TPO")/SUMIF('caseload data'!$C:$C,'divisional &amp; regional caseload%'!$B$50,'caseload data'!L:L),"")</f>
        <v/>
      </c>
      <c r="K54" s="181" t="str">
        <f>IFERROR(SUMIFS('caseload data'!M:M,'caseload data'!$C:$C,'divisional &amp; regional caseload%'!$B$50,'caseload data'!$D:$D,"TPO")/SUMIF('caseload data'!$C:$C,'divisional &amp; regional caseload%'!$B$50,'caseload data'!M:M),"")</f>
        <v/>
      </c>
      <c r="L54" s="181" t="str">
        <f>IFERROR(SUMIFS('caseload data'!N:N,'caseload data'!$C:$C,'divisional &amp; regional caseload%'!$B$50,'caseload data'!$D:$D,"TPO")/SUMIF('caseload data'!$C:$C,'divisional &amp; regional caseload%'!$B$50,'caseload data'!N:N),"")</f>
        <v/>
      </c>
      <c r="M54" s="181" t="str">
        <f>IFERROR(SUMIFS('caseload data'!O:O,'caseload data'!$C:$C,'divisional &amp; regional caseload%'!$B$50,'caseload data'!$D:$D,"TPO")/SUMIF('caseload data'!$C:$C,'divisional &amp; regional caseload%'!$B$50,'caseload data'!O:O),"")</f>
        <v/>
      </c>
      <c r="N54" s="181" t="str">
        <f>IFERROR(SUMIFS('caseload data'!P:P,'caseload data'!$C:$C,'divisional &amp; regional caseload%'!$B$50,'caseload data'!$D:$D,"TPO")/SUMIF('caseload data'!$C:$C,'divisional &amp; regional caseload%'!$B$50,'caseload data'!P:P),"")</f>
        <v/>
      </c>
      <c r="O54" s="181" t="str">
        <f>IFERROR(SUMIFS('caseload data'!Q:Q,'caseload data'!$C:$C,'divisional &amp; regional caseload%'!$B$50,'caseload data'!$D:$D,"TPO")/SUMIF('caseload data'!$C:$C,'divisional &amp; regional caseload%'!$B$50,'caseload data'!Q:Q),"")</f>
        <v/>
      </c>
      <c r="P54" s="181" t="str">
        <f>IFERROR(SUMIFS('caseload data'!R:R,'caseload data'!$C:$C,'divisional &amp; regional caseload%'!$B$50,'caseload data'!$D:$D,"TPO")/SUMIF('caseload data'!$C:$C,'divisional &amp; regional caseload%'!$B$50,'caseload data'!R:R),"")</f>
        <v/>
      </c>
      <c r="Q54" s="181" t="str">
        <f>IFERROR(SUMIFS('caseload data'!S:S,'caseload data'!$C:$C,'divisional &amp; regional caseload%'!$B$50,'caseload data'!$D:$D,"TPO")/SUMIF('caseload data'!$C:$C,'divisional &amp; regional caseload%'!$B$50,'caseload data'!S:S),"")</f>
        <v/>
      </c>
      <c r="R54" s="181" t="str">
        <f>IFERROR(SUMIFS('caseload data'!T:T,'caseload data'!$C:$C,'divisional &amp; regional caseload%'!$B$50,'caseload data'!$D:$D,"TPO")/SUMIF('caseload data'!$C:$C,'divisional &amp; regional caseload%'!$B$50,'caseload data'!T:T),"")</f>
        <v/>
      </c>
      <c r="S54" s="73"/>
      <c r="T54" s="107" t="s">
        <v>913</v>
      </c>
      <c r="U54" s="181" t="str">
        <f>IFERROR(SUMIFS('caseload data'!E:E,'caseload data'!$C:$C,'divisional &amp; regional caseload%'!$T$50,'caseload data'!$D:$D,"TPO")/SUMIF('caseload data'!$C:$C,'divisional &amp; regional caseload%'!$T$50,'caseload data'!E:E),"")</f>
        <v/>
      </c>
      <c r="V54" s="181" t="str">
        <f>IFERROR(SUMIFS('caseload data'!F:F,'caseload data'!$C:$C,'divisional &amp; regional caseload%'!$T$50,'caseload data'!$D:$D,"TPO")/SUMIF('caseload data'!$C:$C,'divisional &amp; regional caseload%'!$T$50,'caseload data'!F:F),"")</f>
        <v/>
      </c>
      <c r="W54" s="181" t="str">
        <f>IFERROR(SUMIFS('caseload data'!G:G,'caseload data'!$C:$C,'divisional &amp; regional caseload%'!$T$50,'caseload data'!$D:$D,"TPO")/SUMIF('caseload data'!$C:$C,'divisional &amp; regional caseload%'!$T$50,'caseload data'!G:G),"")</f>
        <v/>
      </c>
      <c r="X54" s="181" t="str">
        <f>IFERROR(SUMIFS('caseload data'!H:H,'caseload data'!$C:$C,'divisional &amp; regional caseload%'!$T$50,'caseload data'!$D:$D,"TPO")/SUMIF('caseload data'!$C:$C,'divisional &amp; regional caseload%'!$T$50,'caseload data'!H:H),"")</f>
        <v/>
      </c>
      <c r="Y54" s="181" t="str">
        <f>IFERROR(SUMIFS('caseload data'!I:I,'caseload data'!$C:$C,'divisional &amp; regional caseload%'!$T$50,'caseload data'!$D:$D,"TPO")/SUMIF('caseload data'!$C:$C,'divisional &amp; regional caseload%'!$T$50,'caseload data'!I:I),"")</f>
        <v/>
      </c>
      <c r="Z54" s="181" t="str">
        <f>IFERROR(SUMIFS('caseload data'!J:J,'caseload data'!$C:$C,'divisional &amp; regional caseload%'!$T$50,'caseload data'!$D:$D,"TPO")/SUMIF('caseload data'!$C:$C,'divisional &amp; regional caseload%'!$T$50,'caseload data'!J:J),"")</f>
        <v/>
      </c>
      <c r="AA54" s="181" t="str">
        <f>IFERROR(SUMIFS('caseload data'!K:K,'caseload data'!$C:$C,'divisional &amp; regional caseload%'!$T$50,'caseload data'!$D:$D,"TPO")/SUMIF('caseload data'!$C:$C,'divisional &amp; regional caseload%'!$T$50,'caseload data'!K:K),"")</f>
        <v/>
      </c>
      <c r="AB54" s="181" t="str">
        <f>IFERROR(SUMIFS('caseload data'!L:L,'caseload data'!$C:$C,'divisional &amp; regional caseload%'!$T$50,'caseload data'!$D:$D,"TPO")/SUMIF('caseload data'!$C:$C,'divisional &amp; regional caseload%'!$T$50,'caseload data'!L:L),"")</f>
        <v/>
      </c>
      <c r="AC54" s="181" t="str">
        <f>IFERROR(SUMIFS('caseload data'!M:M,'caseload data'!$C:$C,'divisional &amp; regional caseload%'!$T$50,'caseload data'!$D:$D,"TPO")/SUMIF('caseload data'!$C:$C,'divisional &amp; regional caseload%'!$T$50,'caseload data'!M:M),"")</f>
        <v/>
      </c>
      <c r="AD54" s="181" t="str">
        <f>IFERROR(SUMIFS('caseload data'!N:N,'caseload data'!$C:$C,'divisional &amp; regional caseload%'!$T$50,'caseload data'!$D:$D,"TPO")/SUMIF('caseload data'!$C:$C,'divisional &amp; regional caseload%'!$T$50,'caseload data'!N:N),"")</f>
        <v/>
      </c>
      <c r="AE54" s="181" t="str">
        <f>IFERROR(SUMIFS('caseload data'!O:O,'caseload data'!$C:$C,'divisional &amp; regional caseload%'!$T$50,'caseload data'!$D:$D,"TPO")/SUMIF('caseload data'!$C:$C,'divisional &amp; regional caseload%'!$T$50,'caseload data'!O:O),"")</f>
        <v/>
      </c>
      <c r="AF54" s="181" t="str">
        <f>IFERROR(SUMIFS('caseload data'!P:P,'caseload data'!$C:$C,'divisional &amp; regional caseload%'!$T$50,'caseload data'!$D:$D,"TPO")/SUMIF('caseload data'!$C:$C,'divisional &amp; regional caseload%'!$T$50,'caseload data'!P:P),"")</f>
        <v/>
      </c>
      <c r="AG54" s="181" t="str">
        <f>IFERROR(SUMIFS('caseload data'!Q:Q,'caseload data'!$C:$C,'divisional &amp; regional caseload%'!$T$50,'caseload data'!$D:$D,"TPO")/SUMIF('caseload data'!$C:$C,'divisional &amp; regional caseload%'!$T$50,'caseload data'!Q:Q),"")</f>
        <v/>
      </c>
      <c r="AH54" s="181" t="str">
        <f>IFERROR(SUMIFS('caseload data'!R:R,'caseload data'!$C:$C,'divisional &amp; regional caseload%'!$T$50,'caseload data'!$D:$D,"TPO")/SUMIF('caseload data'!$C:$C,'divisional &amp; regional caseload%'!$T$50,'caseload data'!R:R),"")</f>
        <v/>
      </c>
      <c r="AI54" s="181" t="str">
        <f>IFERROR(SUMIFS('caseload data'!S:S,'caseload data'!$C:$C,'divisional &amp; regional caseload%'!$T$50,'caseload data'!$D:$D,"TPO")/SUMIF('caseload data'!$C:$C,'divisional &amp; regional caseload%'!$T$50,'caseload data'!S:S),"")</f>
        <v/>
      </c>
      <c r="AJ54" s="181" t="str">
        <f>IFERROR(SUMIFS('caseload data'!T:T,'caseload data'!$C:$C,'divisional &amp; regional caseload%'!$T$50,'caseload data'!$D:$D,"TPO")/SUMIF('caseload data'!$C:$C,'divisional &amp; regional caseload%'!$T$50,'caseload data'!T:T),"")</f>
        <v/>
      </c>
    </row>
    <row r="55" spans="2:36" x14ac:dyDescent="0.15">
      <c r="B55" s="108" t="s">
        <v>914</v>
      </c>
      <c r="C55" s="181" t="str">
        <f>IFERROR(SUMIFS('caseload data'!E:E,'caseload data'!$C:$C,'divisional &amp; regional caseload%'!$B$50,'caseload data'!$D:$D,"SPO")/SUMIF('caseload data'!$C:$C,'divisional &amp; regional caseload%'!$B$50,'caseload data'!E:E),"")</f>
        <v/>
      </c>
      <c r="D55" s="181" t="str">
        <f>IFERROR(SUMIFS('caseload data'!F:F,'caseload data'!$C:$C,'divisional &amp; regional caseload%'!$B$50,'caseload data'!$D:$D,"SPO")/SUMIF('caseload data'!$C:$C,'divisional &amp; regional caseload%'!$B$50,'caseload data'!F:F),"")</f>
        <v/>
      </c>
      <c r="E55" s="181" t="str">
        <f>IFERROR(SUMIFS('caseload data'!G:G,'caseload data'!$C:$C,'divisional &amp; regional caseload%'!$B$50,'caseload data'!$D:$D,"SPO")/SUMIF('caseload data'!$C:$C,'divisional &amp; regional caseload%'!$B$50,'caseload data'!G:G),"")</f>
        <v/>
      </c>
      <c r="F55" s="181" t="str">
        <f>IFERROR(SUMIFS('caseload data'!H:H,'caseload data'!$C:$C,'divisional &amp; regional caseload%'!$B$50,'caseload data'!$D:$D,"SPO")/SUMIF('caseload data'!$C:$C,'divisional &amp; regional caseload%'!$B$50,'caseload data'!H:H),"")</f>
        <v/>
      </c>
      <c r="G55" s="181" t="str">
        <f>IFERROR(SUMIFS('caseload data'!I:I,'caseload data'!$C:$C,'divisional &amp; regional caseload%'!$B$50,'caseload data'!$D:$D,"SPO")/SUMIF('caseload data'!$C:$C,'divisional &amp; regional caseload%'!$B$50,'caseload data'!I:I),"")</f>
        <v/>
      </c>
      <c r="H55" s="181" t="str">
        <f>IFERROR(SUMIFS('caseload data'!J:J,'caseload data'!$C:$C,'divisional &amp; regional caseload%'!$B$50,'caseload data'!$D:$D,"SPO")/SUMIF('caseload data'!$C:$C,'divisional &amp; regional caseload%'!$B$50,'caseload data'!J:J),"")</f>
        <v/>
      </c>
      <c r="I55" s="181" t="str">
        <f>IFERROR(SUMIFS('caseload data'!K:K,'caseload data'!$C:$C,'divisional &amp; regional caseload%'!$B$50,'caseload data'!$D:$D,"SPO")/SUMIF('caseload data'!$C:$C,'divisional &amp; regional caseload%'!$B$50,'caseload data'!K:K),"")</f>
        <v/>
      </c>
      <c r="J55" s="181" t="str">
        <f>IFERROR(SUMIFS('caseload data'!L:L,'caseload data'!$C:$C,'divisional &amp; regional caseload%'!$B$50,'caseload data'!$D:$D,"SPO")/SUMIF('caseload data'!$C:$C,'divisional &amp; regional caseload%'!$B$50,'caseload data'!L:L),"")</f>
        <v/>
      </c>
      <c r="K55" s="181" t="str">
        <f>IFERROR(SUMIFS('caseload data'!M:M,'caseload data'!$C:$C,'divisional &amp; regional caseload%'!$B$50,'caseload data'!$D:$D,"SPO")/SUMIF('caseload data'!$C:$C,'divisional &amp; regional caseload%'!$B$50,'caseload data'!M:M),"")</f>
        <v/>
      </c>
      <c r="L55" s="181" t="str">
        <f>IFERROR(SUMIFS('caseload data'!N:N,'caseload data'!$C:$C,'divisional &amp; regional caseload%'!$B$50,'caseload data'!$D:$D,"SPO")/SUMIF('caseload data'!$C:$C,'divisional &amp; regional caseload%'!$B$50,'caseload data'!N:N),"")</f>
        <v/>
      </c>
      <c r="M55" s="181" t="str">
        <f>IFERROR(SUMIFS('caseload data'!O:O,'caseload data'!$C:$C,'divisional &amp; regional caseload%'!$B$50,'caseload data'!$D:$D,"SPO")/SUMIF('caseload data'!$C:$C,'divisional &amp; regional caseload%'!$B$50,'caseload data'!O:O),"")</f>
        <v/>
      </c>
      <c r="N55" s="181" t="str">
        <f>IFERROR(SUMIFS('caseload data'!P:P,'caseload data'!$C:$C,'divisional &amp; regional caseload%'!$B$50,'caseload data'!$D:$D,"SPO")/SUMIF('caseload data'!$C:$C,'divisional &amp; regional caseload%'!$B$50,'caseload data'!P:P),"")</f>
        <v/>
      </c>
      <c r="O55" s="181" t="str">
        <f>IFERROR(SUMIFS('caseload data'!Q:Q,'caseload data'!$C:$C,'divisional &amp; regional caseload%'!$B$50,'caseload data'!$D:$D,"SPO")/SUMIF('caseload data'!$C:$C,'divisional &amp; regional caseload%'!$B$50,'caseload data'!Q:Q),"")</f>
        <v/>
      </c>
      <c r="P55" s="181" t="str">
        <f>IFERROR(SUMIFS('caseload data'!R:R,'caseload data'!$C:$C,'divisional &amp; regional caseload%'!$B$50,'caseload data'!$D:$D,"SPO")/SUMIF('caseload data'!$C:$C,'divisional &amp; regional caseload%'!$B$50,'caseload data'!R:R),"")</f>
        <v/>
      </c>
      <c r="Q55" s="181" t="str">
        <f>IFERROR(SUMIFS('caseload data'!S:S,'caseload data'!$C:$C,'divisional &amp; regional caseload%'!$B$50,'caseload data'!$D:$D,"SPO")/SUMIF('caseload data'!$C:$C,'divisional &amp; regional caseload%'!$B$50,'caseload data'!S:S),"")</f>
        <v/>
      </c>
      <c r="R55" s="181" t="str">
        <f>IFERROR(SUMIFS('caseload data'!T:T,'caseload data'!$C:$C,'divisional &amp; regional caseload%'!$B$50,'caseload data'!$D:$D,"SPO")/SUMIF('caseload data'!$C:$C,'divisional &amp; regional caseload%'!$B$50,'caseload data'!T:T),"")</f>
        <v/>
      </c>
      <c r="S55" s="73"/>
      <c r="T55" s="108" t="s">
        <v>914</v>
      </c>
      <c r="U55" s="181" t="str">
        <f>IFERROR(SUMIFS('caseload data'!E:E,'caseload data'!$C:$C,'divisional &amp; regional caseload%'!$T$50,'caseload data'!$D:$D,"SPO")/SUMIF('caseload data'!$C:$C,'divisional &amp; regional caseload%'!$T$50,'caseload data'!E:E),"")</f>
        <v/>
      </c>
      <c r="V55" s="181" t="str">
        <f>IFERROR(SUMIFS('caseload data'!F:F,'caseload data'!$C:$C,'divisional &amp; regional caseload%'!$T$50,'caseload data'!$D:$D,"SPO")/SUMIF('caseload data'!$C:$C,'divisional &amp; regional caseload%'!$T$50,'caseload data'!F:F),"")</f>
        <v/>
      </c>
      <c r="W55" s="181" t="str">
        <f>IFERROR(SUMIFS('caseload data'!G:G,'caseload data'!$C:$C,'divisional &amp; regional caseload%'!$T$50,'caseload data'!$D:$D,"SPO")/SUMIF('caseload data'!$C:$C,'divisional &amp; regional caseload%'!$T$50,'caseload data'!G:G),"")</f>
        <v/>
      </c>
      <c r="X55" s="181" t="str">
        <f>IFERROR(SUMIFS('caseload data'!H:H,'caseload data'!$C:$C,'divisional &amp; regional caseload%'!$T$50,'caseload data'!$D:$D,"SPO")/SUMIF('caseload data'!$C:$C,'divisional &amp; regional caseload%'!$T$50,'caseload data'!H:H),"")</f>
        <v/>
      </c>
      <c r="Y55" s="181" t="str">
        <f>IFERROR(SUMIFS('caseload data'!I:I,'caseload data'!$C:$C,'divisional &amp; regional caseload%'!$T$50,'caseload data'!$D:$D,"SPO")/SUMIF('caseload data'!$C:$C,'divisional &amp; regional caseload%'!$T$50,'caseload data'!I:I),"")</f>
        <v/>
      </c>
      <c r="Z55" s="181" t="str">
        <f>IFERROR(SUMIFS('caseload data'!J:J,'caseload data'!$C:$C,'divisional &amp; regional caseload%'!$T$50,'caseload data'!$D:$D,"SPO")/SUMIF('caseload data'!$C:$C,'divisional &amp; regional caseload%'!$T$50,'caseload data'!J:J),"")</f>
        <v/>
      </c>
      <c r="AA55" s="181" t="str">
        <f>IFERROR(SUMIFS('caseload data'!K:K,'caseload data'!$C:$C,'divisional &amp; regional caseload%'!$T$50,'caseload data'!$D:$D,"SPO")/SUMIF('caseload data'!$C:$C,'divisional &amp; regional caseload%'!$T$50,'caseload data'!K:K),"")</f>
        <v/>
      </c>
      <c r="AB55" s="181" t="str">
        <f>IFERROR(SUMIFS('caseload data'!L:L,'caseload data'!$C:$C,'divisional &amp; regional caseload%'!$T$50,'caseload data'!$D:$D,"SPO")/SUMIF('caseload data'!$C:$C,'divisional &amp; regional caseload%'!$T$50,'caseload data'!L:L),"")</f>
        <v/>
      </c>
      <c r="AC55" s="181" t="str">
        <f>IFERROR(SUMIFS('caseload data'!M:M,'caseload data'!$C:$C,'divisional &amp; regional caseload%'!$T$50,'caseload data'!$D:$D,"SPO")/SUMIF('caseload data'!$C:$C,'divisional &amp; regional caseload%'!$T$50,'caseload data'!M:M),"")</f>
        <v/>
      </c>
      <c r="AD55" s="181" t="str">
        <f>IFERROR(SUMIFS('caseload data'!N:N,'caseload data'!$C:$C,'divisional &amp; regional caseload%'!$T$50,'caseload data'!$D:$D,"SPO")/SUMIF('caseload data'!$C:$C,'divisional &amp; regional caseload%'!$T$50,'caseload data'!N:N),"")</f>
        <v/>
      </c>
      <c r="AE55" s="181" t="str">
        <f>IFERROR(SUMIFS('caseload data'!O:O,'caseload data'!$C:$C,'divisional &amp; regional caseload%'!$T$50,'caseload data'!$D:$D,"SPO")/SUMIF('caseload data'!$C:$C,'divisional &amp; regional caseload%'!$T$50,'caseload data'!O:O),"")</f>
        <v/>
      </c>
      <c r="AF55" s="181" t="str">
        <f>IFERROR(SUMIFS('caseload data'!P:P,'caseload data'!$C:$C,'divisional &amp; regional caseload%'!$T$50,'caseload data'!$D:$D,"SPO")/SUMIF('caseload data'!$C:$C,'divisional &amp; regional caseload%'!$T$50,'caseload data'!P:P),"")</f>
        <v/>
      </c>
      <c r="AG55" s="181" t="str">
        <f>IFERROR(SUMIFS('caseload data'!Q:Q,'caseload data'!$C:$C,'divisional &amp; regional caseload%'!$T$50,'caseload data'!$D:$D,"SPO")/SUMIF('caseload data'!$C:$C,'divisional &amp; regional caseload%'!$T$50,'caseload data'!Q:Q),"")</f>
        <v/>
      </c>
      <c r="AH55" s="181" t="str">
        <f>IFERROR(SUMIFS('caseload data'!R:R,'caseload data'!$C:$C,'divisional &amp; regional caseload%'!$T$50,'caseload data'!$D:$D,"SPO")/SUMIF('caseload data'!$C:$C,'divisional &amp; regional caseload%'!$T$50,'caseload data'!R:R),"")</f>
        <v/>
      </c>
      <c r="AI55" s="181" t="str">
        <f>IFERROR(SUMIFS('caseload data'!S:S,'caseload data'!$C:$C,'divisional &amp; regional caseload%'!$T$50,'caseload data'!$D:$D,"SPO")/SUMIF('caseload data'!$C:$C,'divisional &amp; regional caseload%'!$T$50,'caseload data'!S:S),"")</f>
        <v/>
      </c>
      <c r="AJ55" s="181" t="str">
        <f>IFERROR(SUMIFS('caseload data'!T:T,'caseload data'!$C:$C,'divisional &amp; regional caseload%'!$T$50,'caseload data'!$D:$D,"SPO")/SUMIF('caseload data'!$C:$C,'divisional &amp; regional caseload%'!$T$50,'caseload data'!T:T),"")</f>
        <v/>
      </c>
    </row>
    <row r="56" spans="2:36" x14ac:dyDescent="0.15">
      <c r="B56" s="101"/>
      <c r="C56" s="73"/>
      <c r="D56" s="73"/>
      <c r="E56" s="73"/>
      <c r="F56" s="73"/>
      <c r="G56" s="73"/>
      <c r="H56" s="73"/>
      <c r="I56" s="73"/>
      <c r="J56" s="73"/>
      <c r="K56" s="73"/>
      <c r="L56" s="73"/>
      <c r="M56" s="73"/>
      <c r="N56" s="73"/>
      <c r="O56" s="73"/>
      <c r="P56" s="73"/>
      <c r="Q56" s="73"/>
      <c r="R56" s="73"/>
      <c r="S56" s="73"/>
      <c r="T56" s="101"/>
      <c r="U56" s="73"/>
      <c r="V56" s="73"/>
      <c r="W56" s="73"/>
      <c r="X56" s="73"/>
      <c r="Y56" s="73"/>
      <c r="Z56" s="73"/>
      <c r="AA56" s="73"/>
      <c r="AB56" s="73"/>
      <c r="AC56" s="73"/>
      <c r="AD56" s="73"/>
      <c r="AE56" s="73"/>
      <c r="AF56" s="73"/>
      <c r="AG56" s="73"/>
      <c r="AH56" s="73"/>
      <c r="AI56" s="73"/>
      <c r="AJ56" s="73"/>
    </row>
    <row r="57" spans="2:36" ht="28.5" customHeight="1" x14ac:dyDescent="0.15">
      <c r="B57" s="156" t="str">
        <f>HLOOKUP($B$5,Region_Table,16,0)</f>
        <v>Lambeth - N07</v>
      </c>
      <c r="C57" s="367" t="s">
        <v>1130</v>
      </c>
      <c r="D57" s="368"/>
      <c r="E57" s="368"/>
      <c r="F57" s="368"/>
      <c r="G57" s="368"/>
      <c r="H57" s="368"/>
      <c r="I57" s="368"/>
      <c r="J57" s="368"/>
      <c r="K57" s="368"/>
      <c r="L57" s="368"/>
      <c r="M57" s="377"/>
      <c r="N57" s="377"/>
      <c r="O57" s="378"/>
      <c r="P57" s="371">
        <f>SUMIF('caseload data'!$C:$C,'divisional &amp; regional caseload%'!B57,'caseload data'!V:V)</f>
        <v>0</v>
      </c>
      <c r="Q57" s="379"/>
      <c r="R57" s="380"/>
      <c r="S57" s="73"/>
      <c r="T57" s="156" t="str">
        <f>HLOOKUP($B$5,Region_Table,17,0)</f>
        <v>Lewisham and Bromley</v>
      </c>
      <c r="U57" s="367" t="s">
        <v>1130</v>
      </c>
      <c r="V57" s="368"/>
      <c r="W57" s="368"/>
      <c r="X57" s="368"/>
      <c r="Y57" s="368"/>
      <c r="Z57" s="368"/>
      <c r="AA57" s="368"/>
      <c r="AB57" s="368"/>
      <c r="AC57" s="368"/>
      <c r="AD57" s="368"/>
      <c r="AE57" s="377"/>
      <c r="AF57" s="377"/>
      <c r="AG57" s="378"/>
      <c r="AH57" s="371">
        <f>SUMIF('caseload data'!$C:$C,'divisional &amp; regional caseload%'!T57,'caseload data'!V:V)</f>
        <v>0</v>
      </c>
      <c r="AI57" s="379"/>
      <c r="AJ57" s="380"/>
    </row>
    <row r="58" spans="2:36" x14ac:dyDescent="0.15">
      <c r="B58" s="105" t="s">
        <v>1065</v>
      </c>
      <c r="C58" s="41" t="s">
        <v>922</v>
      </c>
      <c r="D58" s="41" t="s">
        <v>923</v>
      </c>
      <c r="E58" s="41" t="s">
        <v>924</v>
      </c>
      <c r="F58" s="41" t="s">
        <v>925</v>
      </c>
      <c r="G58" s="41" t="s">
        <v>926</v>
      </c>
      <c r="H58" s="41" t="s">
        <v>927</v>
      </c>
      <c r="I58" s="41" t="s">
        <v>928</v>
      </c>
      <c r="J58" s="41" t="s">
        <v>929</v>
      </c>
      <c r="K58" s="41" t="s">
        <v>930</v>
      </c>
      <c r="L58" s="41" t="s">
        <v>931</v>
      </c>
      <c r="M58" s="41" t="s">
        <v>932</v>
      </c>
      <c r="N58" s="41" t="s">
        <v>933</v>
      </c>
      <c r="O58" s="41" t="s">
        <v>934</v>
      </c>
      <c r="P58" s="41" t="s">
        <v>935</v>
      </c>
      <c r="Q58" s="41" t="s">
        <v>936</v>
      </c>
      <c r="R58" s="41" t="s">
        <v>937</v>
      </c>
      <c r="S58" s="73"/>
      <c r="T58" s="105" t="s">
        <v>1065</v>
      </c>
      <c r="U58" s="41" t="s">
        <v>922</v>
      </c>
      <c r="V58" s="41" t="s">
        <v>923</v>
      </c>
      <c r="W58" s="41" t="s">
        <v>924</v>
      </c>
      <c r="X58" s="41" t="s">
        <v>925</v>
      </c>
      <c r="Y58" s="41" t="s">
        <v>926</v>
      </c>
      <c r="Z58" s="41" t="s">
        <v>927</v>
      </c>
      <c r="AA58" s="41" t="s">
        <v>928</v>
      </c>
      <c r="AB58" s="41" t="s">
        <v>929</v>
      </c>
      <c r="AC58" s="41" t="s">
        <v>930</v>
      </c>
      <c r="AD58" s="41" t="s">
        <v>931</v>
      </c>
      <c r="AE58" s="41" t="s">
        <v>932</v>
      </c>
      <c r="AF58" s="41" t="s">
        <v>933</v>
      </c>
      <c r="AG58" s="41" t="s">
        <v>934</v>
      </c>
      <c r="AH58" s="41" t="s">
        <v>935</v>
      </c>
      <c r="AI58" s="41" t="s">
        <v>936</v>
      </c>
      <c r="AJ58" s="41" t="s">
        <v>937</v>
      </c>
    </row>
    <row r="59" spans="2:36" x14ac:dyDescent="0.15">
      <c r="B59" s="106" t="s">
        <v>911</v>
      </c>
      <c r="C59" s="181" t="str">
        <f>IFERROR(SUMIFS('caseload data'!E:E,'caseload data'!$C:$C,'divisional &amp; regional caseload%'!$B$57,'caseload data'!$D:$D,"PO")/SUMIF('caseload data'!$C:$C,'divisional &amp; regional caseload%'!$B$57,'caseload data'!E:E),"")</f>
        <v/>
      </c>
      <c r="D59" s="181" t="str">
        <f>IFERROR(SUMIFS('caseload data'!F:F,'caseload data'!$C:$C,'divisional &amp; regional caseload%'!$B$57,'caseload data'!$D:$D,"PO")/SUMIF('caseload data'!$C:$C,'divisional &amp; regional caseload%'!$B$57,'caseload data'!F:F),"")</f>
        <v/>
      </c>
      <c r="E59" s="181" t="str">
        <f>IFERROR(SUMIFS('caseload data'!G:G,'caseload data'!$C:$C,'divisional &amp; regional caseload%'!$B$57,'caseload data'!$D:$D,"PO")/SUMIF('caseload data'!$C:$C,'divisional &amp; regional caseload%'!$B$57,'caseload data'!G:G),"")</f>
        <v/>
      </c>
      <c r="F59" s="181" t="str">
        <f>IFERROR(SUMIFS('caseload data'!H:H,'caseload data'!$C:$C,'divisional &amp; regional caseload%'!$B$57,'caseload data'!$D:$D,"PO")/SUMIF('caseload data'!$C:$C,'divisional &amp; regional caseload%'!$B$57,'caseload data'!H:H),"")</f>
        <v/>
      </c>
      <c r="G59" s="181" t="str">
        <f>IFERROR(SUMIFS('caseload data'!I:I,'caseload data'!$C:$C,'divisional &amp; regional caseload%'!$B$57,'caseload data'!$D:$D,"PO")/SUMIF('caseload data'!$C:$C,'divisional &amp; regional caseload%'!$B$57,'caseload data'!I:I),"")</f>
        <v/>
      </c>
      <c r="H59" s="181" t="str">
        <f>IFERROR(SUMIFS('caseload data'!J:J,'caseload data'!$C:$C,'divisional &amp; regional caseload%'!$B$57,'caseload data'!$D:$D,"PO")/SUMIF('caseload data'!$C:$C,'divisional &amp; regional caseload%'!$B$57,'caseload data'!J:J),"")</f>
        <v/>
      </c>
      <c r="I59" s="181" t="str">
        <f>IFERROR(SUMIFS('caseload data'!K:K,'caseload data'!$C:$C,'divisional &amp; regional caseload%'!$B$57,'caseload data'!$D:$D,"PO")/SUMIF('caseload data'!$C:$C,'divisional &amp; regional caseload%'!$B$57,'caseload data'!K:K),"")</f>
        <v/>
      </c>
      <c r="J59" s="181" t="str">
        <f>IFERROR(SUMIFS('caseload data'!L:L,'caseload data'!$C:$C,'divisional &amp; regional caseload%'!$B$57,'caseload data'!$D:$D,"PO")/SUMIF('caseload data'!$C:$C,'divisional &amp; regional caseload%'!$B$57,'caseload data'!L:L),"")</f>
        <v/>
      </c>
      <c r="K59" s="181" t="str">
        <f>IFERROR(SUMIFS('caseload data'!M:M,'caseload data'!$C:$C,'divisional &amp; regional caseload%'!$B$57,'caseload data'!$D:$D,"PO")/SUMIF('caseload data'!$C:$C,'divisional &amp; regional caseload%'!$B$57,'caseload data'!M:M),"")</f>
        <v/>
      </c>
      <c r="L59" s="181" t="str">
        <f>IFERROR(SUMIFS('caseload data'!N:N,'caseload data'!$C:$C,'divisional &amp; regional caseload%'!$B$57,'caseload data'!$D:$D,"PO")/SUMIF('caseload data'!$C:$C,'divisional &amp; regional caseload%'!$B$57,'caseload data'!N:N),"")</f>
        <v/>
      </c>
      <c r="M59" s="181" t="str">
        <f>IFERROR(SUMIFS('caseload data'!O:O,'caseload data'!$C:$C,'divisional &amp; regional caseload%'!$B$57,'caseload data'!$D:$D,"PO")/SUMIF('caseload data'!$C:$C,'divisional &amp; regional caseload%'!$B$57,'caseload data'!O:O),"")</f>
        <v/>
      </c>
      <c r="N59" s="181" t="str">
        <f>IFERROR(SUMIFS('caseload data'!P:P,'caseload data'!$C:$C,'divisional &amp; regional caseload%'!$B$57,'caseload data'!$D:$D,"PO")/SUMIF('caseload data'!$C:$C,'divisional &amp; regional caseload%'!$B$57,'caseload data'!P:P),"")</f>
        <v/>
      </c>
      <c r="O59" s="181" t="str">
        <f>IFERROR(SUMIFS('caseload data'!Q:Q,'caseload data'!$C:$C,'divisional &amp; regional caseload%'!$B$57,'caseload data'!$D:$D,"PO")/SUMIF('caseload data'!$C:$C,'divisional &amp; regional caseload%'!$B$57,'caseload data'!Q:Q),"")</f>
        <v/>
      </c>
      <c r="P59" s="181" t="str">
        <f>IFERROR(SUMIFS('caseload data'!R:R,'caseload data'!$C:$C,'divisional &amp; regional caseload%'!$B$57,'caseload data'!$D:$D,"PO")/SUMIF('caseload data'!$C:$C,'divisional &amp; regional caseload%'!$B$57,'caseload data'!R:R),"")</f>
        <v/>
      </c>
      <c r="Q59" s="181" t="str">
        <f>IFERROR(SUMIFS('caseload data'!S:S,'caseload data'!$C:$C,'divisional &amp; regional caseload%'!$B$57,'caseload data'!$D:$D,"PO")/SUMIF('caseload data'!$C:$C,'divisional &amp; regional caseload%'!$B$57,'caseload data'!S:S),"")</f>
        <v/>
      </c>
      <c r="R59" s="181" t="str">
        <f>IFERROR(SUMIFS('caseload data'!T:T,'caseload data'!$C:$C,'divisional &amp; regional caseload%'!$B$57,'caseload data'!$D:$D,"PO")/SUMIF('caseload data'!$C:$C,'divisional &amp; regional caseload%'!$B$57,'caseload data'!T:T),"")</f>
        <v/>
      </c>
      <c r="S59" s="73"/>
      <c r="T59" s="106" t="s">
        <v>911</v>
      </c>
      <c r="U59" s="181" t="str">
        <f>IFERROR(SUMIFS('caseload data'!E:E,'caseload data'!$C:$C,'divisional &amp; regional caseload%'!$T$57,'caseload data'!$D:$D,"PO")/SUMIF('caseload data'!$C:$C,'divisional &amp; regional caseload%'!$T$57,'caseload data'!E:E),"")</f>
        <v/>
      </c>
      <c r="V59" s="181" t="str">
        <f>IFERROR(SUMIFS('caseload data'!F:F,'caseload data'!$C:$C,'divisional &amp; regional caseload%'!$T$57,'caseload data'!$D:$D,"PO")/SUMIF('caseload data'!$C:$C,'divisional &amp; regional caseload%'!$T$57,'caseload data'!F:F),"")</f>
        <v/>
      </c>
      <c r="W59" s="181" t="str">
        <f>IFERROR(SUMIFS('caseload data'!G:G,'caseload data'!$C:$C,'divisional &amp; regional caseload%'!$T$57,'caseload data'!$D:$D,"PO")/SUMIF('caseload data'!$C:$C,'divisional &amp; regional caseload%'!$T$57,'caseload data'!G:G),"")</f>
        <v/>
      </c>
      <c r="X59" s="181" t="str">
        <f>IFERROR(SUMIFS('caseload data'!H:H,'caseload data'!$C:$C,'divisional &amp; regional caseload%'!$T$57,'caseload data'!$D:$D,"PO")/SUMIF('caseload data'!$C:$C,'divisional &amp; regional caseload%'!$T$57,'caseload data'!H:H),"")</f>
        <v/>
      </c>
      <c r="Y59" s="181" t="str">
        <f>IFERROR(SUMIFS('caseload data'!I:I,'caseload data'!$C:$C,'divisional &amp; regional caseload%'!$T$57,'caseload data'!$D:$D,"PO")/SUMIF('caseload data'!$C:$C,'divisional &amp; regional caseload%'!$T$57,'caseload data'!I:I),"")</f>
        <v/>
      </c>
      <c r="Z59" s="181" t="str">
        <f>IFERROR(SUMIFS('caseload data'!J:J,'caseload data'!$C:$C,'divisional &amp; regional caseload%'!$T$57,'caseload data'!$D:$D,"PO")/SUMIF('caseload data'!$C:$C,'divisional &amp; regional caseload%'!$T$57,'caseload data'!J:J),"")</f>
        <v/>
      </c>
      <c r="AA59" s="181" t="str">
        <f>IFERROR(SUMIFS('caseload data'!K:K,'caseload data'!$C:$C,'divisional &amp; regional caseload%'!$T$57,'caseload data'!$D:$D,"PO")/SUMIF('caseload data'!$C:$C,'divisional &amp; regional caseload%'!$T$57,'caseload data'!K:K),"")</f>
        <v/>
      </c>
      <c r="AB59" s="181" t="str">
        <f>IFERROR(SUMIFS('caseload data'!L:L,'caseload data'!$C:$C,'divisional &amp; regional caseload%'!$T$57,'caseload data'!$D:$D,"PO")/SUMIF('caseload data'!$C:$C,'divisional &amp; regional caseload%'!$T$57,'caseload data'!L:L),"")</f>
        <v/>
      </c>
      <c r="AC59" s="181" t="str">
        <f>IFERROR(SUMIFS('caseload data'!M:M,'caseload data'!$C:$C,'divisional &amp; regional caseload%'!$T$57,'caseload data'!$D:$D,"PO")/SUMIF('caseload data'!$C:$C,'divisional &amp; regional caseload%'!$T$57,'caseload data'!M:M),"")</f>
        <v/>
      </c>
      <c r="AD59" s="181" t="str">
        <f>IFERROR(SUMIFS('caseload data'!N:N,'caseload data'!$C:$C,'divisional &amp; regional caseload%'!$T$57,'caseload data'!$D:$D,"PO")/SUMIF('caseload data'!$C:$C,'divisional &amp; regional caseload%'!$T$57,'caseload data'!N:N),"")</f>
        <v/>
      </c>
      <c r="AE59" s="181" t="str">
        <f>IFERROR(SUMIFS('caseload data'!O:O,'caseload data'!$C:$C,'divisional &amp; regional caseload%'!$T$57,'caseload data'!$D:$D,"PO")/SUMIF('caseload data'!$C:$C,'divisional &amp; regional caseload%'!$T$57,'caseload data'!O:O),"")</f>
        <v/>
      </c>
      <c r="AF59" s="181" t="str">
        <f>IFERROR(SUMIFS('caseload data'!P:P,'caseload data'!$C:$C,'divisional &amp; regional caseload%'!$T$57,'caseload data'!$D:$D,"PO")/SUMIF('caseload data'!$C:$C,'divisional &amp; regional caseload%'!$T$57,'caseload data'!P:P),"")</f>
        <v/>
      </c>
      <c r="AG59" s="181" t="str">
        <f>IFERROR(SUMIFS('caseload data'!Q:Q,'caseload data'!$C:$C,'divisional &amp; regional caseload%'!$T$57,'caseload data'!$D:$D,"PO")/SUMIF('caseload data'!$C:$C,'divisional &amp; regional caseload%'!$T$57,'caseload data'!Q:Q),"")</f>
        <v/>
      </c>
      <c r="AH59" s="181" t="str">
        <f>IFERROR(SUMIFS('caseload data'!R:R,'caseload data'!$C:$C,'divisional &amp; regional caseload%'!$T$57,'caseload data'!$D:$D,"PO")/SUMIF('caseload data'!$C:$C,'divisional &amp; regional caseload%'!$T$57,'caseload data'!R:R),"")</f>
        <v/>
      </c>
      <c r="AI59" s="181" t="str">
        <f>IFERROR(SUMIFS('caseload data'!S:S,'caseload data'!$C:$C,'divisional &amp; regional caseload%'!$T$57,'caseload data'!$D:$D,"PO")/SUMIF('caseload data'!$C:$C,'divisional &amp; regional caseload%'!$T$57,'caseload data'!S:S),"")</f>
        <v/>
      </c>
      <c r="AJ59" s="181" t="str">
        <f>IFERROR(SUMIFS('caseload data'!T:T,'caseload data'!$C:$C,'divisional &amp; regional caseload%'!$T$57,'caseload data'!$D:$D,"PO")/SUMIF('caseload data'!$C:$C,'divisional &amp; regional caseload%'!$T$57,'caseload data'!T:T),"")</f>
        <v/>
      </c>
    </row>
    <row r="60" spans="2:36" x14ac:dyDescent="0.15">
      <c r="B60" s="107" t="s">
        <v>912</v>
      </c>
      <c r="C60" s="181" t="str">
        <f>IFERROR(SUMIFS('caseload data'!E:E,'caseload data'!$C:$C,'divisional &amp; regional caseload%'!$B$57,'caseload data'!$D:$D,"PSO")/SUMIF('caseload data'!$C:$C,'divisional &amp; regional caseload%'!$B$57,'caseload data'!E:E),"")</f>
        <v/>
      </c>
      <c r="D60" s="181" t="str">
        <f>IFERROR(SUMIFS('caseload data'!F:F,'caseload data'!$C:$C,'divisional &amp; regional caseload%'!$B$57,'caseload data'!$D:$D,"PSO")/SUMIF('caseload data'!$C:$C,'divisional &amp; regional caseload%'!$B$57,'caseload data'!F:F),"")</f>
        <v/>
      </c>
      <c r="E60" s="181" t="str">
        <f>IFERROR(SUMIFS('caseload data'!G:G,'caseload data'!$C:$C,'divisional &amp; regional caseload%'!$B$57,'caseload data'!$D:$D,"PSO")/SUMIF('caseload data'!$C:$C,'divisional &amp; regional caseload%'!$B$57,'caseload data'!G:G),"")</f>
        <v/>
      </c>
      <c r="F60" s="181" t="str">
        <f>IFERROR(SUMIFS('caseload data'!H:H,'caseload data'!$C:$C,'divisional &amp; regional caseload%'!$B$57,'caseload data'!$D:$D,"PSO")/SUMIF('caseload data'!$C:$C,'divisional &amp; regional caseload%'!$B$57,'caseload data'!H:H),"")</f>
        <v/>
      </c>
      <c r="G60" s="181" t="str">
        <f>IFERROR(SUMIFS('caseload data'!I:I,'caseload data'!$C:$C,'divisional &amp; regional caseload%'!$B$57,'caseload data'!$D:$D,"PSO")/SUMIF('caseload data'!$C:$C,'divisional &amp; regional caseload%'!$B$57,'caseload data'!I:I),"")</f>
        <v/>
      </c>
      <c r="H60" s="181" t="str">
        <f>IFERROR(SUMIFS('caseload data'!J:J,'caseload data'!$C:$C,'divisional &amp; regional caseload%'!$B$57,'caseload data'!$D:$D,"PSO")/SUMIF('caseload data'!$C:$C,'divisional &amp; regional caseload%'!$B$57,'caseload data'!J:J),"")</f>
        <v/>
      </c>
      <c r="I60" s="181" t="str">
        <f>IFERROR(SUMIFS('caseload data'!K:K,'caseload data'!$C:$C,'divisional &amp; regional caseload%'!$B$57,'caseload data'!$D:$D,"PSO")/SUMIF('caseload data'!$C:$C,'divisional &amp; regional caseload%'!$B$57,'caseload data'!K:K),"")</f>
        <v/>
      </c>
      <c r="J60" s="181" t="str">
        <f>IFERROR(SUMIFS('caseload data'!L:L,'caseload data'!$C:$C,'divisional &amp; regional caseload%'!$B$57,'caseload data'!$D:$D,"PSO")/SUMIF('caseload data'!$C:$C,'divisional &amp; regional caseload%'!$B$57,'caseload data'!L:L),"")</f>
        <v/>
      </c>
      <c r="K60" s="181" t="str">
        <f>IFERROR(SUMIFS('caseload data'!M:M,'caseload data'!$C:$C,'divisional &amp; regional caseload%'!$B$57,'caseload data'!$D:$D,"PSO")/SUMIF('caseload data'!$C:$C,'divisional &amp; regional caseload%'!$B$57,'caseload data'!M:M),"")</f>
        <v/>
      </c>
      <c r="L60" s="181" t="str">
        <f>IFERROR(SUMIFS('caseload data'!N:N,'caseload data'!$C:$C,'divisional &amp; regional caseload%'!$B$57,'caseload data'!$D:$D,"PSO")/SUMIF('caseload data'!$C:$C,'divisional &amp; regional caseload%'!$B$57,'caseload data'!N:N),"")</f>
        <v/>
      </c>
      <c r="M60" s="181" t="str">
        <f>IFERROR(SUMIFS('caseload data'!O:O,'caseload data'!$C:$C,'divisional &amp; regional caseload%'!$B$57,'caseload data'!$D:$D,"PSO")/SUMIF('caseload data'!$C:$C,'divisional &amp; regional caseload%'!$B$57,'caseload data'!O:O),"")</f>
        <v/>
      </c>
      <c r="N60" s="181" t="str">
        <f>IFERROR(SUMIFS('caseload data'!P:P,'caseload data'!$C:$C,'divisional &amp; regional caseload%'!$B$57,'caseload data'!$D:$D,"PSO")/SUMIF('caseload data'!$C:$C,'divisional &amp; regional caseload%'!$B$57,'caseload data'!P:P),"")</f>
        <v/>
      </c>
      <c r="O60" s="181" t="str">
        <f>IFERROR(SUMIFS('caseload data'!Q:Q,'caseload data'!$C:$C,'divisional &amp; regional caseload%'!$B$57,'caseload data'!$D:$D,"PSO")/SUMIF('caseload data'!$C:$C,'divisional &amp; regional caseload%'!$B$57,'caseload data'!Q:Q),"")</f>
        <v/>
      </c>
      <c r="P60" s="181" t="str">
        <f>IFERROR(SUMIFS('caseload data'!R:R,'caseload data'!$C:$C,'divisional &amp; regional caseload%'!$B$57,'caseload data'!$D:$D,"PSO")/SUMIF('caseload data'!$C:$C,'divisional &amp; regional caseload%'!$B$57,'caseload data'!R:R),"")</f>
        <v/>
      </c>
      <c r="Q60" s="181" t="str">
        <f>IFERROR(SUMIFS('caseload data'!S:S,'caseload data'!$C:$C,'divisional &amp; regional caseload%'!$B$57,'caseload data'!$D:$D,"PSO")/SUMIF('caseload data'!$C:$C,'divisional &amp; regional caseload%'!$B$57,'caseload data'!S:S),"")</f>
        <v/>
      </c>
      <c r="R60" s="181" t="str">
        <f>IFERROR(SUMIFS('caseload data'!T:T,'caseload data'!$C:$C,'divisional &amp; regional caseload%'!$B$57,'caseload data'!$D:$D,"PSO")/SUMIF('caseload data'!$C:$C,'divisional &amp; regional caseload%'!$B$57,'caseload data'!T:T),"")</f>
        <v/>
      </c>
      <c r="S60" s="73"/>
      <c r="T60" s="107" t="s">
        <v>912</v>
      </c>
      <c r="U60" s="181" t="str">
        <f>IFERROR(SUMIFS('caseload data'!E:E,'caseload data'!$C:$C,'divisional &amp; regional caseload%'!$T$57,'caseload data'!$D:$D,"PSO")/SUMIF('caseload data'!$C:$C,'divisional &amp; regional caseload%'!$T$57,'caseload data'!E:E),"")</f>
        <v/>
      </c>
      <c r="V60" s="181" t="str">
        <f>IFERROR(SUMIFS('caseload data'!F:F,'caseload data'!$C:$C,'divisional &amp; regional caseload%'!$T$57,'caseload data'!$D:$D,"PSO")/SUMIF('caseload data'!$C:$C,'divisional &amp; regional caseload%'!$T$57,'caseload data'!F:F),"")</f>
        <v/>
      </c>
      <c r="W60" s="181" t="str">
        <f>IFERROR(SUMIFS('caseload data'!G:G,'caseload data'!$C:$C,'divisional &amp; regional caseload%'!$T$57,'caseload data'!$D:$D,"PSO")/SUMIF('caseload data'!$C:$C,'divisional &amp; regional caseload%'!$T$57,'caseload data'!G:G),"")</f>
        <v/>
      </c>
      <c r="X60" s="181" t="str">
        <f>IFERROR(SUMIFS('caseload data'!H:H,'caseload data'!$C:$C,'divisional &amp; regional caseload%'!$T$57,'caseload data'!$D:$D,"PSO")/SUMIF('caseload data'!$C:$C,'divisional &amp; regional caseload%'!$T$57,'caseload data'!H:H),"")</f>
        <v/>
      </c>
      <c r="Y60" s="181" t="str">
        <f>IFERROR(SUMIFS('caseload data'!I:I,'caseload data'!$C:$C,'divisional &amp; regional caseload%'!$T$57,'caseload data'!$D:$D,"PSO")/SUMIF('caseload data'!$C:$C,'divisional &amp; regional caseload%'!$T$57,'caseload data'!I:I),"")</f>
        <v/>
      </c>
      <c r="Z60" s="181" t="str">
        <f>IFERROR(SUMIFS('caseload data'!J:J,'caseload data'!$C:$C,'divisional &amp; regional caseload%'!$T$57,'caseload data'!$D:$D,"PSO")/SUMIF('caseload data'!$C:$C,'divisional &amp; regional caseload%'!$T$57,'caseload data'!J:J),"")</f>
        <v/>
      </c>
      <c r="AA60" s="181" t="str">
        <f>IFERROR(SUMIFS('caseload data'!K:K,'caseload data'!$C:$C,'divisional &amp; regional caseload%'!$T$57,'caseload data'!$D:$D,"PSO")/SUMIF('caseload data'!$C:$C,'divisional &amp; regional caseload%'!$T$57,'caseload data'!K:K),"")</f>
        <v/>
      </c>
      <c r="AB60" s="181" t="str">
        <f>IFERROR(SUMIFS('caseload data'!L:L,'caseload data'!$C:$C,'divisional &amp; regional caseload%'!$T$57,'caseload data'!$D:$D,"PSO")/SUMIF('caseload data'!$C:$C,'divisional &amp; regional caseload%'!$T$57,'caseload data'!L:L),"")</f>
        <v/>
      </c>
      <c r="AC60" s="181" t="str">
        <f>IFERROR(SUMIFS('caseload data'!M:M,'caseload data'!$C:$C,'divisional &amp; regional caseload%'!$T$57,'caseload data'!$D:$D,"PSO")/SUMIF('caseload data'!$C:$C,'divisional &amp; regional caseload%'!$T$57,'caseload data'!M:M),"")</f>
        <v/>
      </c>
      <c r="AD60" s="181" t="str">
        <f>IFERROR(SUMIFS('caseload data'!N:N,'caseload data'!$C:$C,'divisional &amp; regional caseload%'!$T$57,'caseload data'!$D:$D,"PSO")/SUMIF('caseload data'!$C:$C,'divisional &amp; regional caseload%'!$T$57,'caseload data'!N:N),"")</f>
        <v/>
      </c>
      <c r="AE60" s="181" t="str">
        <f>IFERROR(SUMIFS('caseload data'!O:O,'caseload data'!$C:$C,'divisional &amp; regional caseload%'!$T$57,'caseload data'!$D:$D,"PSO")/SUMIF('caseload data'!$C:$C,'divisional &amp; regional caseload%'!$T$57,'caseload data'!O:O),"")</f>
        <v/>
      </c>
      <c r="AF60" s="181" t="str">
        <f>IFERROR(SUMIFS('caseload data'!P:P,'caseload data'!$C:$C,'divisional &amp; regional caseload%'!$T$57,'caseload data'!$D:$D,"PSO")/SUMIF('caseload data'!$C:$C,'divisional &amp; regional caseload%'!$T$57,'caseload data'!P:P),"")</f>
        <v/>
      </c>
      <c r="AG60" s="181" t="str">
        <f>IFERROR(SUMIFS('caseload data'!Q:Q,'caseload data'!$C:$C,'divisional &amp; regional caseload%'!$T$57,'caseload data'!$D:$D,"PSO")/SUMIF('caseload data'!$C:$C,'divisional &amp; regional caseload%'!$T$57,'caseload data'!Q:Q),"")</f>
        <v/>
      </c>
      <c r="AH60" s="181" t="str">
        <f>IFERROR(SUMIFS('caseload data'!R:R,'caseload data'!$C:$C,'divisional &amp; regional caseload%'!$T$57,'caseload data'!$D:$D,"PSO")/SUMIF('caseload data'!$C:$C,'divisional &amp; regional caseload%'!$T$57,'caseload data'!R:R),"")</f>
        <v/>
      </c>
      <c r="AI60" s="181" t="str">
        <f>IFERROR(SUMIFS('caseload data'!S:S,'caseload data'!$C:$C,'divisional &amp; regional caseload%'!$T$57,'caseload data'!$D:$D,"PSO")/SUMIF('caseload data'!$C:$C,'divisional &amp; regional caseload%'!$T$57,'caseload data'!S:S),"")</f>
        <v/>
      </c>
      <c r="AJ60" s="181" t="str">
        <f>IFERROR(SUMIFS('caseload data'!T:T,'caseload data'!$C:$C,'divisional &amp; regional caseload%'!$T$57,'caseload data'!$D:$D,"PSO")/SUMIF('caseload data'!$C:$C,'divisional &amp; regional caseload%'!$T$57,'caseload data'!T:T),"")</f>
        <v/>
      </c>
    </row>
    <row r="61" spans="2:36" x14ac:dyDescent="0.15">
      <c r="B61" s="107" t="s">
        <v>913</v>
      </c>
      <c r="C61" s="181" t="str">
        <f>IFERROR(SUMIFS('caseload data'!E:E,'caseload data'!$C:$C,'divisional &amp; regional caseload%'!$B$57,'caseload data'!$D:$D,"TPO")/SUMIF('caseload data'!$C:$C,'divisional &amp; regional caseload%'!$B$57,'caseload data'!E:E),"")</f>
        <v/>
      </c>
      <c r="D61" s="181" t="str">
        <f>IFERROR(SUMIFS('caseload data'!F:F,'caseload data'!$C:$C,'divisional &amp; regional caseload%'!$B$57,'caseload data'!$D:$D,"TPO")/SUMIF('caseload data'!$C:$C,'divisional &amp; regional caseload%'!$B$57,'caseload data'!F:F),"")</f>
        <v/>
      </c>
      <c r="E61" s="181" t="str">
        <f>IFERROR(SUMIFS('caseload data'!G:G,'caseload data'!$C:$C,'divisional &amp; regional caseload%'!$B$57,'caseload data'!$D:$D,"TPO")/SUMIF('caseload data'!$C:$C,'divisional &amp; regional caseload%'!$B$57,'caseload data'!G:G),"")</f>
        <v/>
      </c>
      <c r="F61" s="181" t="str">
        <f>IFERROR(SUMIFS('caseload data'!H:H,'caseload data'!$C:$C,'divisional &amp; regional caseload%'!$B$57,'caseload data'!$D:$D,"TPO")/SUMIF('caseload data'!$C:$C,'divisional &amp; regional caseload%'!$B$57,'caseload data'!H:H),"")</f>
        <v/>
      </c>
      <c r="G61" s="181" t="str">
        <f>IFERROR(SUMIFS('caseload data'!I:I,'caseload data'!$C:$C,'divisional &amp; regional caseload%'!$B$57,'caseload data'!$D:$D,"TPO")/SUMIF('caseload data'!$C:$C,'divisional &amp; regional caseload%'!$B$57,'caseload data'!I:I),"")</f>
        <v/>
      </c>
      <c r="H61" s="181" t="str">
        <f>IFERROR(SUMIFS('caseload data'!J:J,'caseload data'!$C:$C,'divisional &amp; regional caseload%'!$B$57,'caseload data'!$D:$D,"TPO")/SUMIF('caseload data'!$C:$C,'divisional &amp; regional caseload%'!$B$57,'caseload data'!J:J),"")</f>
        <v/>
      </c>
      <c r="I61" s="181" t="str">
        <f>IFERROR(SUMIFS('caseload data'!K:K,'caseload data'!$C:$C,'divisional &amp; regional caseload%'!$B$57,'caseload data'!$D:$D,"TPO")/SUMIF('caseload data'!$C:$C,'divisional &amp; regional caseload%'!$B$57,'caseload data'!K:K),"")</f>
        <v/>
      </c>
      <c r="J61" s="181" t="str">
        <f>IFERROR(SUMIFS('caseload data'!L:L,'caseload data'!$C:$C,'divisional &amp; regional caseload%'!$B$57,'caseload data'!$D:$D,"TPO")/SUMIF('caseload data'!$C:$C,'divisional &amp; regional caseload%'!$B$57,'caseload data'!L:L),"")</f>
        <v/>
      </c>
      <c r="K61" s="181" t="str">
        <f>IFERROR(SUMIFS('caseload data'!M:M,'caseload data'!$C:$C,'divisional &amp; regional caseload%'!$B$57,'caseload data'!$D:$D,"TPO")/SUMIF('caseload data'!$C:$C,'divisional &amp; regional caseload%'!$B$57,'caseload data'!M:M),"")</f>
        <v/>
      </c>
      <c r="L61" s="181" t="str">
        <f>IFERROR(SUMIFS('caseload data'!N:N,'caseload data'!$C:$C,'divisional &amp; regional caseload%'!$B$57,'caseload data'!$D:$D,"TPO")/SUMIF('caseload data'!$C:$C,'divisional &amp; regional caseload%'!$B$57,'caseload data'!N:N),"")</f>
        <v/>
      </c>
      <c r="M61" s="181" t="str">
        <f>IFERROR(SUMIFS('caseload data'!O:O,'caseload data'!$C:$C,'divisional &amp; regional caseload%'!$B$57,'caseload data'!$D:$D,"TPO")/SUMIF('caseload data'!$C:$C,'divisional &amp; regional caseload%'!$B$57,'caseload data'!O:O),"")</f>
        <v/>
      </c>
      <c r="N61" s="181" t="str">
        <f>IFERROR(SUMIFS('caseload data'!P:P,'caseload data'!$C:$C,'divisional &amp; regional caseload%'!$B$57,'caseload data'!$D:$D,"TPO")/SUMIF('caseload data'!$C:$C,'divisional &amp; regional caseload%'!$B$57,'caseload data'!P:P),"")</f>
        <v/>
      </c>
      <c r="O61" s="181" t="str">
        <f>IFERROR(SUMIFS('caseload data'!Q:Q,'caseload data'!$C:$C,'divisional &amp; regional caseload%'!$B$57,'caseload data'!$D:$D,"TPO")/SUMIF('caseload data'!$C:$C,'divisional &amp; regional caseload%'!$B$57,'caseload data'!Q:Q),"")</f>
        <v/>
      </c>
      <c r="P61" s="181" t="str">
        <f>IFERROR(SUMIFS('caseload data'!R:R,'caseload data'!$C:$C,'divisional &amp; regional caseload%'!$B$57,'caseload data'!$D:$D,"TPO")/SUMIF('caseload data'!$C:$C,'divisional &amp; regional caseload%'!$B$57,'caseload data'!R:R),"")</f>
        <v/>
      </c>
      <c r="Q61" s="181" t="str">
        <f>IFERROR(SUMIFS('caseload data'!S:S,'caseload data'!$C:$C,'divisional &amp; regional caseload%'!$B$57,'caseload data'!$D:$D,"TPO")/SUMIF('caseload data'!$C:$C,'divisional &amp; regional caseload%'!$B$57,'caseload data'!S:S),"")</f>
        <v/>
      </c>
      <c r="R61" s="181" t="str">
        <f>IFERROR(SUMIFS('caseload data'!T:T,'caseload data'!$C:$C,'divisional &amp; regional caseload%'!$B$57,'caseload data'!$D:$D,"TPO")/SUMIF('caseload data'!$C:$C,'divisional &amp; regional caseload%'!$B$57,'caseload data'!T:T),"")</f>
        <v/>
      </c>
      <c r="S61" s="73"/>
      <c r="T61" s="107" t="s">
        <v>913</v>
      </c>
      <c r="U61" s="181" t="str">
        <f>IFERROR(SUMIFS('caseload data'!E:E,'caseload data'!$C:$C,'divisional &amp; regional caseload%'!$T$57,'caseload data'!$D:$D,"TPO")/SUMIF('caseload data'!$C:$C,'divisional &amp; regional caseload%'!$T$57,'caseload data'!E:E),"")</f>
        <v/>
      </c>
      <c r="V61" s="181" t="str">
        <f>IFERROR(SUMIFS('caseload data'!F:F,'caseload data'!$C:$C,'divisional &amp; regional caseload%'!$T$57,'caseload data'!$D:$D,"TPO")/SUMIF('caseload data'!$C:$C,'divisional &amp; regional caseload%'!$T$57,'caseload data'!F:F),"")</f>
        <v/>
      </c>
      <c r="W61" s="181" t="str">
        <f>IFERROR(SUMIFS('caseload data'!G:G,'caseload data'!$C:$C,'divisional &amp; regional caseload%'!$T$57,'caseload data'!$D:$D,"TPO")/SUMIF('caseload data'!$C:$C,'divisional &amp; regional caseload%'!$T$57,'caseload data'!G:G),"")</f>
        <v/>
      </c>
      <c r="X61" s="181" t="str">
        <f>IFERROR(SUMIFS('caseload data'!H:H,'caseload data'!$C:$C,'divisional &amp; regional caseload%'!$T$57,'caseload data'!$D:$D,"TPO")/SUMIF('caseload data'!$C:$C,'divisional &amp; regional caseload%'!$T$57,'caseload data'!H:H),"")</f>
        <v/>
      </c>
      <c r="Y61" s="181" t="str">
        <f>IFERROR(SUMIFS('caseload data'!I:I,'caseload data'!$C:$C,'divisional &amp; regional caseload%'!$T$57,'caseload data'!$D:$D,"TPO")/SUMIF('caseload data'!$C:$C,'divisional &amp; regional caseload%'!$T$57,'caseload data'!I:I),"")</f>
        <v/>
      </c>
      <c r="Z61" s="181" t="str">
        <f>IFERROR(SUMIFS('caseload data'!J:J,'caseload data'!$C:$C,'divisional &amp; regional caseload%'!$T$57,'caseload data'!$D:$D,"TPO")/SUMIF('caseload data'!$C:$C,'divisional &amp; regional caseload%'!$T$57,'caseload data'!J:J),"")</f>
        <v/>
      </c>
      <c r="AA61" s="181" t="str">
        <f>IFERROR(SUMIFS('caseload data'!K:K,'caseload data'!$C:$C,'divisional &amp; regional caseload%'!$T$57,'caseload data'!$D:$D,"TPO")/SUMIF('caseload data'!$C:$C,'divisional &amp; regional caseload%'!$T$57,'caseload data'!K:K),"")</f>
        <v/>
      </c>
      <c r="AB61" s="181" t="str">
        <f>IFERROR(SUMIFS('caseload data'!L:L,'caseload data'!$C:$C,'divisional &amp; regional caseload%'!$T$57,'caseload data'!$D:$D,"TPO")/SUMIF('caseload data'!$C:$C,'divisional &amp; regional caseload%'!$T$57,'caseload data'!L:L),"")</f>
        <v/>
      </c>
      <c r="AC61" s="181" t="str">
        <f>IFERROR(SUMIFS('caseload data'!M:M,'caseload data'!$C:$C,'divisional &amp; regional caseload%'!$T$57,'caseload data'!$D:$D,"TPO")/SUMIF('caseload data'!$C:$C,'divisional &amp; regional caseload%'!$T$57,'caseload data'!M:M),"")</f>
        <v/>
      </c>
      <c r="AD61" s="181" t="str">
        <f>IFERROR(SUMIFS('caseload data'!N:N,'caseload data'!$C:$C,'divisional &amp; regional caseload%'!$T$57,'caseload data'!$D:$D,"TPO")/SUMIF('caseload data'!$C:$C,'divisional &amp; regional caseload%'!$T$57,'caseload data'!N:N),"")</f>
        <v/>
      </c>
      <c r="AE61" s="181" t="str">
        <f>IFERROR(SUMIFS('caseload data'!O:O,'caseload data'!$C:$C,'divisional &amp; regional caseload%'!$T$57,'caseload data'!$D:$D,"TPO")/SUMIF('caseload data'!$C:$C,'divisional &amp; regional caseload%'!$T$57,'caseload data'!O:O),"")</f>
        <v/>
      </c>
      <c r="AF61" s="181" t="str">
        <f>IFERROR(SUMIFS('caseload data'!P:P,'caseload data'!$C:$C,'divisional &amp; regional caseload%'!$T$57,'caseload data'!$D:$D,"TPO")/SUMIF('caseload data'!$C:$C,'divisional &amp; regional caseload%'!$T$57,'caseload data'!P:P),"")</f>
        <v/>
      </c>
      <c r="AG61" s="181" t="str">
        <f>IFERROR(SUMIFS('caseload data'!Q:Q,'caseload data'!$C:$C,'divisional &amp; regional caseload%'!$T$57,'caseload data'!$D:$D,"TPO")/SUMIF('caseload data'!$C:$C,'divisional &amp; regional caseload%'!$T$57,'caseload data'!Q:Q),"")</f>
        <v/>
      </c>
      <c r="AH61" s="181" t="str">
        <f>IFERROR(SUMIFS('caseload data'!R:R,'caseload data'!$C:$C,'divisional &amp; regional caseload%'!$T$57,'caseload data'!$D:$D,"TPO")/SUMIF('caseload data'!$C:$C,'divisional &amp; regional caseload%'!$T$57,'caseload data'!R:R),"")</f>
        <v/>
      </c>
      <c r="AI61" s="181" t="str">
        <f>IFERROR(SUMIFS('caseload data'!S:S,'caseload data'!$C:$C,'divisional &amp; regional caseload%'!$T$57,'caseload data'!$D:$D,"TPO")/SUMIF('caseload data'!$C:$C,'divisional &amp; regional caseload%'!$T$57,'caseload data'!S:S),"")</f>
        <v/>
      </c>
      <c r="AJ61" s="181" t="str">
        <f>IFERROR(SUMIFS('caseload data'!T:T,'caseload data'!$C:$C,'divisional &amp; regional caseload%'!$T$57,'caseload data'!$D:$D,"TPO")/SUMIF('caseload data'!$C:$C,'divisional &amp; regional caseload%'!$T$57,'caseload data'!T:T),"")</f>
        <v/>
      </c>
    </row>
    <row r="62" spans="2:36" x14ac:dyDescent="0.15">
      <c r="B62" s="108" t="s">
        <v>914</v>
      </c>
      <c r="C62" s="181" t="str">
        <f>IFERROR(SUMIFS('caseload data'!E:E,'caseload data'!$C:$C,'divisional &amp; regional caseload%'!$B$57,'caseload data'!$D:$D,"SPO")/SUMIF('caseload data'!$C:$C,'divisional &amp; regional caseload%'!$B$57,'caseload data'!E:E),"")</f>
        <v/>
      </c>
      <c r="D62" s="181" t="str">
        <f>IFERROR(SUMIFS('caseload data'!F:F,'caseload data'!$C:$C,'divisional &amp; regional caseload%'!$B$57,'caseload data'!$D:$D,"SPO")/SUMIF('caseload data'!$C:$C,'divisional &amp; regional caseload%'!$B$57,'caseload data'!F:F),"")</f>
        <v/>
      </c>
      <c r="E62" s="181" t="str">
        <f>IFERROR(SUMIFS('caseload data'!G:G,'caseload data'!$C:$C,'divisional &amp; regional caseload%'!$B$57,'caseload data'!$D:$D,"SPO")/SUMIF('caseload data'!$C:$C,'divisional &amp; regional caseload%'!$B$57,'caseload data'!G:G),"")</f>
        <v/>
      </c>
      <c r="F62" s="181" t="str">
        <f>IFERROR(SUMIFS('caseload data'!H:H,'caseload data'!$C:$C,'divisional &amp; regional caseload%'!$B$57,'caseload data'!$D:$D,"SPO")/SUMIF('caseload data'!$C:$C,'divisional &amp; regional caseload%'!$B$57,'caseload data'!H:H),"")</f>
        <v/>
      </c>
      <c r="G62" s="181" t="str">
        <f>IFERROR(SUMIFS('caseload data'!I:I,'caseload data'!$C:$C,'divisional &amp; regional caseload%'!$B$57,'caseload data'!$D:$D,"SPO")/SUMIF('caseload data'!$C:$C,'divisional &amp; regional caseload%'!$B$57,'caseload data'!I:I),"")</f>
        <v/>
      </c>
      <c r="H62" s="181" t="str">
        <f>IFERROR(SUMIFS('caseload data'!J:J,'caseload data'!$C:$C,'divisional &amp; regional caseload%'!$B$57,'caseload data'!$D:$D,"SPO")/SUMIF('caseload data'!$C:$C,'divisional &amp; regional caseload%'!$B$57,'caseload data'!J:J),"")</f>
        <v/>
      </c>
      <c r="I62" s="181" t="str">
        <f>IFERROR(SUMIFS('caseload data'!K:K,'caseload data'!$C:$C,'divisional &amp; regional caseload%'!$B$57,'caseload data'!$D:$D,"SPO")/SUMIF('caseload data'!$C:$C,'divisional &amp; regional caseload%'!$B$57,'caseload data'!K:K),"")</f>
        <v/>
      </c>
      <c r="J62" s="181" t="str">
        <f>IFERROR(SUMIFS('caseload data'!L:L,'caseload data'!$C:$C,'divisional &amp; regional caseload%'!$B$57,'caseload data'!$D:$D,"SPO")/SUMIF('caseload data'!$C:$C,'divisional &amp; regional caseload%'!$B$57,'caseload data'!L:L),"")</f>
        <v/>
      </c>
      <c r="K62" s="181" t="str">
        <f>IFERROR(SUMIFS('caseload data'!M:M,'caseload data'!$C:$C,'divisional &amp; regional caseload%'!$B$57,'caseload data'!$D:$D,"SPO")/SUMIF('caseload data'!$C:$C,'divisional &amp; regional caseload%'!$B$57,'caseload data'!M:M),"")</f>
        <v/>
      </c>
      <c r="L62" s="181" t="str">
        <f>IFERROR(SUMIFS('caseload data'!N:N,'caseload data'!$C:$C,'divisional &amp; regional caseload%'!$B$57,'caseload data'!$D:$D,"SPO")/SUMIF('caseload data'!$C:$C,'divisional &amp; regional caseload%'!$B$57,'caseload data'!N:N),"")</f>
        <v/>
      </c>
      <c r="M62" s="181" t="str">
        <f>IFERROR(SUMIFS('caseload data'!O:O,'caseload data'!$C:$C,'divisional &amp; regional caseload%'!$B$57,'caseload data'!$D:$D,"SPO")/SUMIF('caseload data'!$C:$C,'divisional &amp; regional caseload%'!$B$57,'caseload data'!O:O),"")</f>
        <v/>
      </c>
      <c r="N62" s="181" t="str">
        <f>IFERROR(SUMIFS('caseload data'!P:P,'caseload data'!$C:$C,'divisional &amp; regional caseload%'!$B$57,'caseload data'!$D:$D,"SPO")/SUMIF('caseload data'!$C:$C,'divisional &amp; regional caseload%'!$B$57,'caseload data'!P:P),"")</f>
        <v/>
      </c>
      <c r="O62" s="181" t="str">
        <f>IFERROR(SUMIFS('caseload data'!Q:Q,'caseload data'!$C:$C,'divisional &amp; regional caseload%'!$B$57,'caseload data'!$D:$D,"SPO")/SUMIF('caseload data'!$C:$C,'divisional &amp; regional caseload%'!$B$57,'caseload data'!Q:Q),"")</f>
        <v/>
      </c>
      <c r="P62" s="181" t="str">
        <f>IFERROR(SUMIFS('caseload data'!R:R,'caseload data'!$C:$C,'divisional &amp; regional caseload%'!$B$57,'caseload data'!$D:$D,"SPO")/SUMIF('caseload data'!$C:$C,'divisional &amp; regional caseload%'!$B$57,'caseload data'!R:R),"")</f>
        <v/>
      </c>
      <c r="Q62" s="181" t="str">
        <f>IFERROR(SUMIFS('caseload data'!S:S,'caseload data'!$C:$C,'divisional &amp; regional caseload%'!$B$57,'caseload data'!$D:$D,"SPO")/SUMIF('caseload data'!$C:$C,'divisional &amp; regional caseload%'!$B$57,'caseload data'!S:S),"")</f>
        <v/>
      </c>
      <c r="R62" s="181" t="str">
        <f>IFERROR(SUMIFS('caseload data'!T:T,'caseload data'!$C:$C,'divisional &amp; regional caseload%'!$B$57,'caseload data'!$D:$D,"SPO")/SUMIF('caseload data'!$C:$C,'divisional &amp; regional caseload%'!$B$57,'caseload data'!T:T),"")</f>
        <v/>
      </c>
      <c r="S62" s="73"/>
      <c r="T62" s="108" t="s">
        <v>914</v>
      </c>
      <c r="U62" s="181" t="str">
        <f>IFERROR(SUMIFS('caseload data'!E:E,'caseload data'!$C:$C,'divisional &amp; regional caseload%'!$T$57,'caseload data'!$D:$D,"SPO")/SUMIF('caseload data'!$C:$C,'divisional &amp; regional caseload%'!$T$57,'caseload data'!E:E),"")</f>
        <v/>
      </c>
      <c r="V62" s="181" t="str">
        <f>IFERROR(SUMIFS('caseload data'!F:F,'caseload data'!$C:$C,'divisional &amp; regional caseload%'!$T$57,'caseload data'!$D:$D,"SPO")/SUMIF('caseload data'!$C:$C,'divisional &amp; regional caseload%'!$T$57,'caseload data'!F:F),"")</f>
        <v/>
      </c>
      <c r="W62" s="181" t="str">
        <f>IFERROR(SUMIFS('caseload data'!G:G,'caseload data'!$C:$C,'divisional &amp; regional caseload%'!$T$57,'caseload data'!$D:$D,"SPO")/SUMIF('caseload data'!$C:$C,'divisional &amp; regional caseload%'!$T$57,'caseload data'!G:G),"")</f>
        <v/>
      </c>
      <c r="X62" s="181" t="str">
        <f>IFERROR(SUMIFS('caseload data'!H:H,'caseload data'!$C:$C,'divisional &amp; regional caseload%'!$T$57,'caseload data'!$D:$D,"SPO")/SUMIF('caseload data'!$C:$C,'divisional &amp; regional caseload%'!$T$57,'caseload data'!H:H),"")</f>
        <v/>
      </c>
      <c r="Y62" s="181" t="str">
        <f>IFERROR(SUMIFS('caseload data'!I:I,'caseload data'!$C:$C,'divisional &amp; regional caseload%'!$T$57,'caseload data'!$D:$D,"SPO")/SUMIF('caseload data'!$C:$C,'divisional &amp; regional caseload%'!$T$57,'caseload data'!I:I),"")</f>
        <v/>
      </c>
      <c r="Z62" s="181" t="str">
        <f>IFERROR(SUMIFS('caseload data'!J:J,'caseload data'!$C:$C,'divisional &amp; regional caseload%'!$T$57,'caseload data'!$D:$D,"SPO")/SUMIF('caseload data'!$C:$C,'divisional &amp; regional caseload%'!$T$57,'caseload data'!J:J),"")</f>
        <v/>
      </c>
      <c r="AA62" s="181" t="str">
        <f>IFERROR(SUMIFS('caseload data'!K:K,'caseload data'!$C:$C,'divisional &amp; regional caseload%'!$T$57,'caseload data'!$D:$D,"SPO")/SUMIF('caseload data'!$C:$C,'divisional &amp; regional caseload%'!$T$57,'caseload data'!K:K),"")</f>
        <v/>
      </c>
      <c r="AB62" s="181" t="str">
        <f>IFERROR(SUMIFS('caseload data'!L:L,'caseload data'!$C:$C,'divisional &amp; regional caseload%'!$T$57,'caseload data'!$D:$D,"SPO")/SUMIF('caseload data'!$C:$C,'divisional &amp; regional caseload%'!$T$57,'caseload data'!L:L),"")</f>
        <v/>
      </c>
      <c r="AC62" s="181" t="str">
        <f>IFERROR(SUMIFS('caseload data'!M:M,'caseload data'!$C:$C,'divisional &amp; regional caseload%'!$T$57,'caseload data'!$D:$D,"SPO")/SUMIF('caseload data'!$C:$C,'divisional &amp; regional caseload%'!$T$57,'caseload data'!M:M),"")</f>
        <v/>
      </c>
      <c r="AD62" s="181" t="str">
        <f>IFERROR(SUMIFS('caseload data'!N:N,'caseload data'!$C:$C,'divisional &amp; regional caseload%'!$T$57,'caseload data'!$D:$D,"SPO")/SUMIF('caseload data'!$C:$C,'divisional &amp; regional caseload%'!$T$57,'caseload data'!N:N),"")</f>
        <v/>
      </c>
      <c r="AE62" s="181" t="str">
        <f>IFERROR(SUMIFS('caseload data'!O:O,'caseload data'!$C:$C,'divisional &amp; regional caseload%'!$T$57,'caseload data'!$D:$D,"SPO")/SUMIF('caseload data'!$C:$C,'divisional &amp; regional caseload%'!$T$57,'caseload data'!O:O),"")</f>
        <v/>
      </c>
      <c r="AF62" s="181" t="str">
        <f>IFERROR(SUMIFS('caseload data'!P:P,'caseload data'!$C:$C,'divisional &amp; regional caseload%'!$T$57,'caseload data'!$D:$D,"SPO")/SUMIF('caseload data'!$C:$C,'divisional &amp; regional caseload%'!$T$57,'caseload data'!P:P),"")</f>
        <v/>
      </c>
      <c r="AG62" s="181" t="str">
        <f>IFERROR(SUMIFS('caseload data'!Q:Q,'caseload data'!$C:$C,'divisional &amp; regional caseload%'!$T$57,'caseload data'!$D:$D,"SPO")/SUMIF('caseload data'!$C:$C,'divisional &amp; regional caseload%'!$T$57,'caseload data'!Q:Q),"")</f>
        <v/>
      </c>
      <c r="AH62" s="181" t="str">
        <f>IFERROR(SUMIFS('caseload data'!R:R,'caseload data'!$C:$C,'divisional &amp; regional caseload%'!$T$57,'caseload data'!$D:$D,"SPO")/SUMIF('caseload data'!$C:$C,'divisional &amp; regional caseload%'!$T$57,'caseload data'!R:R),"")</f>
        <v/>
      </c>
      <c r="AI62" s="181" t="str">
        <f>IFERROR(SUMIFS('caseload data'!S:S,'caseload data'!$C:$C,'divisional &amp; regional caseload%'!$T$57,'caseload data'!$D:$D,"SPO")/SUMIF('caseload data'!$C:$C,'divisional &amp; regional caseload%'!$T$57,'caseload data'!S:S),"")</f>
        <v/>
      </c>
      <c r="AJ62" s="181" t="str">
        <f>IFERROR(SUMIFS('caseload data'!T:T,'caseload data'!$C:$C,'divisional &amp; regional caseload%'!$T$57,'caseload data'!$D:$D,"SPO")/SUMIF('caseload data'!$C:$C,'divisional &amp; regional caseload%'!$T$57,'caseload data'!T:T),"")</f>
        <v/>
      </c>
    </row>
    <row r="64" spans="2:36" ht="29.5" customHeight="1" x14ac:dyDescent="0.15">
      <c r="B64" s="156" t="str">
        <f>HLOOKUP($B$5,Region_Table,18,0)</f>
        <v>Newham - N07</v>
      </c>
      <c r="C64" s="367" t="s">
        <v>1130</v>
      </c>
      <c r="D64" s="368"/>
      <c r="E64" s="368"/>
      <c r="F64" s="368"/>
      <c r="G64" s="368"/>
      <c r="H64" s="368"/>
      <c r="I64" s="368"/>
      <c r="J64" s="368"/>
      <c r="K64" s="368"/>
      <c r="L64" s="368"/>
      <c r="M64" s="377"/>
      <c r="N64" s="377"/>
      <c r="O64" s="378"/>
      <c r="P64" s="371">
        <f>SUMIF('caseload data'!$C:$C,'divisional &amp; regional caseload%'!B64,'caseload data'!V:V)</f>
        <v>0</v>
      </c>
      <c r="Q64" s="379"/>
      <c r="R64" s="380"/>
      <c r="S64" s="73"/>
      <c r="T64" s="156" t="str">
        <f>HLOOKUP($B$5,Region_Table,19,0)</f>
        <v>Public Protection London</v>
      </c>
      <c r="U64" s="367" t="s">
        <v>1130</v>
      </c>
      <c r="V64" s="368"/>
      <c r="W64" s="368"/>
      <c r="X64" s="368"/>
      <c r="Y64" s="368"/>
      <c r="Z64" s="368"/>
      <c r="AA64" s="368"/>
      <c r="AB64" s="368"/>
      <c r="AC64" s="368"/>
      <c r="AD64" s="368"/>
      <c r="AE64" s="377"/>
      <c r="AF64" s="377"/>
      <c r="AG64" s="378"/>
      <c r="AH64" s="371">
        <f>SUMIF('caseload data'!$C:$C,'divisional &amp; regional caseload%'!T64,'caseload data'!V:V)</f>
        <v>0</v>
      </c>
      <c r="AI64" s="379"/>
      <c r="AJ64" s="380"/>
    </row>
    <row r="65" spans="2:36" x14ac:dyDescent="0.15">
      <c r="B65" s="105" t="s">
        <v>1065</v>
      </c>
      <c r="C65" s="41" t="s">
        <v>922</v>
      </c>
      <c r="D65" s="41" t="s">
        <v>923</v>
      </c>
      <c r="E65" s="41" t="s">
        <v>924</v>
      </c>
      <c r="F65" s="41" t="s">
        <v>925</v>
      </c>
      <c r="G65" s="41" t="s">
        <v>926</v>
      </c>
      <c r="H65" s="41" t="s">
        <v>927</v>
      </c>
      <c r="I65" s="41" t="s">
        <v>928</v>
      </c>
      <c r="J65" s="41" t="s">
        <v>929</v>
      </c>
      <c r="K65" s="41" t="s">
        <v>930</v>
      </c>
      <c r="L65" s="41" t="s">
        <v>931</v>
      </c>
      <c r="M65" s="41" t="s">
        <v>932</v>
      </c>
      <c r="N65" s="41" t="s">
        <v>933</v>
      </c>
      <c r="O65" s="41" t="s">
        <v>934</v>
      </c>
      <c r="P65" s="41" t="s">
        <v>935</v>
      </c>
      <c r="Q65" s="41" t="s">
        <v>936</v>
      </c>
      <c r="R65" s="41" t="s">
        <v>937</v>
      </c>
      <c r="S65" s="73"/>
      <c r="T65" s="105" t="s">
        <v>1065</v>
      </c>
      <c r="U65" s="41" t="s">
        <v>922</v>
      </c>
      <c r="V65" s="41" t="s">
        <v>923</v>
      </c>
      <c r="W65" s="41" t="s">
        <v>924</v>
      </c>
      <c r="X65" s="41" t="s">
        <v>925</v>
      </c>
      <c r="Y65" s="41" t="s">
        <v>926</v>
      </c>
      <c r="Z65" s="41" t="s">
        <v>927</v>
      </c>
      <c r="AA65" s="41" t="s">
        <v>928</v>
      </c>
      <c r="AB65" s="41" t="s">
        <v>929</v>
      </c>
      <c r="AC65" s="41" t="s">
        <v>930</v>
      </c>
      <c r="AD65" s="41" t="s">
        <v>931</v>
      </c>
      <c r="AE65" s="41" t="s">
        <v>932</v>
      </c>
      <c r="AF65" s="41" t="s">
        <v>933</v>
      </c>
      <c r="AG65" s="41" t="s">
        <v>934</v>
      </c>
      <c r="AH65" s="41" t="s">
        <v>935</v>
      </c>
      <c r="AI65" s="41" t="s">
        <v>936</v>
      </c>
      <c r="AJ65" s="41" t="s">
        <v>937</v>
      </c>
    </row>
    <row r="66" spans="2:36" x14ac:dyDescent="0.15">
      <c r="B66" s="106" t="s">
        <v>911</v>
      </c>
      <c r="C66" s="181" t="str">
        <f>IFERROR(SUMIFS('caseload data'!E:E,'caseload data'!$C:$C,'divisional &amp; regional caseload%'!$B$64,'caseload data'!$D:$D,"PO")/SUMIF('caseload data'!$C:$C,'divisional &amp; regional caseload%'!$B$64,'caseload data'!E:E),"")</f>
        <v/>
      </c>
      <c r="D66" s="181" t="str">
        <f>IFERROR(SUMIFS('caseload data'!F:F,'caseload data'!$C:$C,'divisional &amp; regional caseload%'!$B$64,'caseload data'!$D:$D,"PO")/SUMIF('caseload data'!$C:$C,'divisional &amp; regional caseload%'!$B$64,'caseload data'!F:F),"")</f>
        <v/>
      </c>
      <c r="E66" s="181" t="str">
        <f>IFERROR(SUMIFS('caseload data'!G:G,'caseload data'!$C:$C,'divisional &amp; regional caseload%'!$B$64,'caseload data'!$D:$D,"PO")/SUMIF('caseload data'!$C:$C,'divisional &amp; regional caseload%'!$B$64,'caseload data'!G:G),"")</f>
        <v/>
      </c>
      <c r="F66" s="181" t="str">
        <f>IFERROR(SUMIFS('caseload data'!H:H,'caseload data'!$C:$C,'divisional &amp; regional caseload%'!$B$64,'caseload data'!$D:$D,"PO")/SUMIF('caseload data'!$C:$C,'divisional &amp; regional caseload%'!$B$64,'caseload data'!H:H),"")</f>
        <v/>
      </c>
      <c r="G66" s="181" t="str">
        <f>IFERROR(SUMIFS('caseload data'!I:I,'caseload data'!$C:$C,'divisional &amp; regional caseload%'!$B$64,'caseload data'!$D:$D,"PO")/SUMIF('caseload data'!$C:$C,'divisional &amp; regional caseload%'!$B$64,'caseload data'!I:I),"")</f>
        <v/>
      </c>
      <c r="H66" s="181" t="str">
        <f>IFERROR(SUMIFS('caseload data'!J:J,'caseload data'!$C:$C,'divisional &amp; regional caseload%'!$B$64,'caseload data'!$D:$D,"PO")/SUMIF('caseload data'!$C:$C,'divisional &amp; regional caseload%'!$B$64,'caseload data'!J:J),"")</f>
        <v/>
      </c>
      <c r="I66" s="181" t="str">
        <f>IFERROR(SUMIFS('caseload data'!K:K,'caseload data'!$C:$C,'divisional &amp; regional caseload%'!$B$64,'caseload data'!$D:$D,"PO")/SUMIF('caseload data'!$C:$C,'divisional &amp; regional caseload%'!$B$64,'caseload data'!K:K),"")</f>
        <v/>
      </c>
      <c r="J66" s="181" t="str">
        <f>IFERROR(SUMIFS('caseload data'!L:L,'caseload data'!$C:$C,'divisional &amp; regional caseload%'!$B$64,'caseload data'!$D:$D,"PO")/SUMIF('caseload data'!$C:$C,'divisional &amp; regional caseload%'!$B$64,'caseload data'!L:L),"")</f>
        <v/>
      </c>
      <c r="K66" s="181" t="str">
        <f>IFERROR(SUMIFS('caseload data'!M:M,'caseload data'!$C:$C,'divisional &amp; regional caseload%'!$B$64,'caseload data'!$D:$D,"PO")/SUMIF('caseload data'!$C:$C,'divisional &amp; regional caseload%'!$B$64,'caseload data'!M:M),"")</f>
        <v/>
      </c>
      <c r="L66" s="181" t="str">
        <f>IFERROR(SUMIFS('caseload data'!N:N,'caseload data'!$C:$C,'divisional &amp; regional caseload%'!$B$64,'caseload data'!$D:$D,"PO")/SUMIF('caseload data'!$C:$C,'divisional &amp; regional caseload%'!$B$64,'caseload data'!N:N),"")</f>
        <v/>
      </c>
      <c r="M66" s="181" t="str">
        <f>IFERROR(SUMIFS('caseload data'!O:O,'caseload data'!$C:$C,'divisional &amp; regional caseload%'!$B$64,'caseload data'!$D:$D,"PO")/SUMIF('caseload data'!$C:$C,'divisional &amp; regional caseload%'!$B$64,'caseload data'!O:O),"")</f>
        <v/>
      </c>
      <c r="N66" s="181" t="str">
        <f>IFERROR(SUMIFS('caseload data'!P:P,'caseload data'!$C:$C,'divisional &amp; regional caseload%'!$B$64,'caseload data'!$D:$D,"PO")/SUMIF('caseload data'!$C:$C,'divisional &amp; regional caseload%'!$B$64,'caseload data'!P:P),"")</f>
        <v/>
      </c>
      <c r="O66" s="181" t="str">
        <f>IFERROR(SUMIFS('caseload data'!Q:Q,'caseload data'!$C:$C,'divisional &amp; regional caseload%'!$B$64,'caseload data'!$D:$D,"PO")/SUMIF('caseload data'!$C:$C,'divisional &amp; regional caseload%'!$B$64,'caseload data'!Q:Q),"")</f>
        <v/>
      </c>
      <c r="P66" s="181" t="str">
        <f>IFERROR(SUMIFS('caseload data'!R:R,'caseload data'!$C:$C,'divisional &amp; regional caseload%'!$B$64,'caseload data'!$D:$D,"PO")/SUMIF('caseload data'!$C:$C,'divisional &amp; regional caseload%'!$B$64,'caseload data'!R:R),"")</f>
        <v/>
      </c>
      <c r="Q66" s="181" t="str">
        <f>IFERROR(SUMIFS('caseload data'!S:S,'caseload data'!$C:$C,'divisional &amp; regional caseload%'!$B$64,'caseload data'!$D:$D,"PO")/SUMIF('caseload data'!$C:$C,'divisional &amp; regional caseload%'!$B$64,'caseload data'!S:S),"")</f>
        <v/>
      </c>
      <c r="R66" s="181" t="str">
        <f>IFERROR(SUMIFS('caseload data'!T:T,'caseload data'!$C:$C,'divisional &amp; regional caseload%'!$B$64,'caseload data'!$D:$D,"PO")/SUMIF('caseload data'!$C:$C,'divisional &amp; regional caseload%'!$B$64,'caseload data'!T:T),"")</f>
        <v/>
      </c>
      <c r="S66" s="73"/>
      <c r="T66" s="106" t="s">
        <v>911</v>
      </c>
      <c r="U66" s="181" t="str">
        <f>IFERROR(SUMIFS('caseload data'!E:E,'caseload data'!$C:$C,'divisional &amp; regional caseload%'!$T$64,'caseload data'!$D:$D,"PO")/SUMIF('caseload data'!$C:$C,'divisional &amp; regional caseload%'!$T$64,'caseload data'!E:E),"")</f>
        <v/>
      </c>
      <c r="V66" s="181" t="str">
        <f>IFERROR(SUMIFS('caseload data'!F:F,'caseload data'!$C:$C,'divisional &amp; regional caseload%'!$T$64,'caseload data'!$D:$D,"PO")/SUMIF('caseload data'!$C:$C,'divisional &amp; regional caseload%'!$T$64,'caseload data'!F:F),"")</f>
        <v/>
      </c>
      <c r="W66" s="181" t="str">
        <f>IFERROR(SUMIFS('caseload data'!G:G,'caseload data'!$C:$C,'divisional &amp; regional caseload%'!$T$64,'caseload data'!$D:$D,"PO")/SUMIF('caseload data'!$C:$C,'divisional &amp; regional caseload%'!$T$64,'caseload data'!G:G),"")</f>
        <v/>
      </c>
      <c r="X66" s="181" t="str">
        <f>IFERROR(SUMIFS('caseload data'!H:H,'caseload data'!$C:$C,'divisional &amp; regional caseload%'!$T$64,'caseload data'!$D:$D,"PO")/SUMIF('caseload data'!$C:$C,'divisional &amp; regional caseload%'!$T$64,'caseload data'!H:H),"")</f>
        <v/>
      </c>
      <c r="Y66" s="181" t="str">
        <f>IFERROR(SUMIFS('caseload data'!I:I,'caseload data'!$C:$C,'divisional &amp; regional caseload%'!$T$64,'caseload data'!$D:$D,"PO")/SUMIF('caseload data'!$C:$C,'divisional &amp; regional caseload%'!$T$64,'caseload data'!I:I),"")</f>
        <v/>
      </c>
      <c r="Z66" s="181" t="str">
        <f>IFERROR(SUMIFS('caseload data'!J:J,'caseload data'!$C:$C,'divisional &amp; regional caseload%'!$T$64,'caseload data'!$D:$D,"PO")/SUMIF('caseload data'!$C:$C,'divisional &amp; regional caseload%'!$T$64,'caseload data'!J:J),"")</f>
        <v/>
      </c>
      <c r="AA66" s="181" t="str">
        <f>IFERROR(SUMIFS('caseload data'!K:K,'caseload data'!$C:$C,'divisional &amp; regional caseload%'!$T$64,'caseload data'!$D:$D,"PO")/SUMIF('caseload data'!$C:$C,'divisional &amp; regional caseload%'!$T$64,'caseload data'!K:K),"")</f>
        <v/>
      </c>
      <c r="AB66" s="181" t="str">
        <f>IFERROR(SUMIFS('caseload data'!L:L,'caseload data'!$C:$C,'divisional &amp; regional caseload%'!$T$64,'caseload data'!$D:$D,"PO")/SUMIF('caseload data'!$C:$C,'divisional &amp; regional caseload%'!$T$64,'caseload data'!L:L),"")</f>
        <v/>
      </c>
      <c r="AC66" s="181" t="str">
        <f>IFERROR(SUMIFS('caseload data'!M:M,'caseload data'!$C:$C,'divisional &amp; regional caseload%'!$T$64,'caseload data'!$D:$D,"PO")/SUMIF('caseload data'!$C:$C,'divisional &amp; regional caseload%'!$T$64,'caseload data'!M:M),"")</f>
        <v/>
      </c>
      <c r="AD66" s="181" t="str">
        <f>IFERROR(SUMIFS('caseload data'!N:N,'caseload data'!$C:$C,'divisional &amp; regional caseload%'!$T$64,'caseload data'!$D:$D,"PO")/SUMIF('caseload data'!$C:$C,'divisional &amp; regional caseload%'!$T$64,'caseload data'!N:N),"")</f>
        <v/>
      </c>
      <c r="AE66" s="181" t="str">
        <f>IFERROR(SUMIFS('caseload data'!O:O,'caseload data'!$C:$C,'divisional &amp; regional caseload%'!$T$64,'caseload data'!$D:$D,"PO")/SUMIF('caseload data'!$C:$C,'divisional &amp; regional caseload%'!$T$64,'caseload data'!O:O),"")</f>
        <v/>
      </c>
      <c r="AF66" s="181" t="str">
        <f>IFERROR(SUMIFS('caseload data'!P:P,'caseload data'!$C:$C,'divisional &amp; regional caseload%'!$T$64,'caseload data'!$D:$D,"PO")/SUMIF('caseload data'!$C:$C,'divisional &amp; regional caseload%'!$T$64,'caseload data'!P:P),"")</f>
        <v/>
      </c>
      <c r="AG66" s="181" t="str">
        <f>IFERROR(SUMIFS('caseload data'!Q:Q,'caseload data'!$C:$C,'divisional &amp; regional caseload%'!$T$64,'caseload data'!$D:$D,"PO")/SUMIF('caseload data'!$C:$C,'divisional &amp; regional caseload%'!$T$64,'caseload data'!Q:Q),"")</f>
        <v/>
      </c>
      <c r="AH66" s="181" t="str">
        <f>IFERROR(SUMIFS('caseload data'!R:R,'caseload data'!$C:$C,'divisional &amp; regional caseload%'!$T$64,'caseload data'!$D:$D,"PO")/SUMIF('caseload data'!$C:$C,'divisional &amp; regional caseload%'!$T$64,'caseload data'!R:R),"")</f>
        <v/>
      </c>
      <c r="AI66" s="181" t="str">
        <f>IFERROR(SUMIFS('caseload data'!S:S,'caseload data'!$C:$C,'divisional &amp; regional caseload%'!$T$64,'caseload data'!$D:$D,"PO")/SUMIF('caseload data'!$C:$C,'divisional &amp; regional caseload%'!$T$64,'caseload data'!S:S),"")</f>
        <v/>
      </c>
      <c r="AJ66" s="181" t="str">
        <f>IFERROR(SUMIFS('caseload data'!T:T,'caseload data'!$C:$C,'divisional &amp; regional caseload%'!$T$64,'caseload data'!$D:$D,"PO")/SUMIF('caseload data'!$C:$C,'divisional &amp; regional caseload%'!$T$64,'caseload data'!T:T),"")</f>
        <v/>
      </c>
    </row>
    <row r="67" spans="2:36" x14ac:dyDescent="0.15">
      <c r="B67" s="107" t="s">
        <v>912</v>
      </c>
      <c r="C67" s="181" t="str">
        <f>IFERROR(SUMIFS('caseload data'!E:E,'caseload data'!$C:$C,'divisional &amp; regional caseload%'!$B$64,'caseload data'!$D:$D,"PSO")/SUMIF('caseload data'!$C:$C,'divisional &amp; regional caseload%'!$B$64,'caseload data'!E:E),"")</f>
        <v/>
      </c>
      <c r="D67" s="181" t="str">
        <f>IFERROR(SUMIFS('caseload data'!F:F,'caseload data'!$C:$C,'divisional &amp; regional caseload%'!$B$64,'caseload data'!$D:$D,"PSO")/SUMIF('caseload data'!$C:$C,'divisional &amp; regional caseload%'!$B$64,'caseload data'!F:F),"")</f>
        <v/>
      </c>
      <c r="E67" s="181" t="str">
        <f>IFERROR(SUMIFS('caseload data'!G:G,'caseload data'!$C:$C,'divisional &amp; regional caseload%'!$B$64,'caseload data'!$D:$D,"PSO")/SUMIF('caseload data'!$C:$C,'divisional &amp; regional caseload%'!$B$64,'caseload data'!G:G),"")</f>
        <v/>
      </c>
      <c r="F67" s="181" t="str">
        <f>IFERROR(SUMIFS('caseload data'!H:H,'caseload data'!$C:$C,'divisional &amp; regional caseload%'!$B$64,'caseload data'!$D:$D,"PSO")/SUMIF('caseload data'!$C:$C,'divisional &amp; regional caseload%'!$B$64,'caseload data'!H:H),"")</f>
        <v/>
      </c>
      <c r="G67" s="181" t="str">
        <f>IFERROR(SUMIFS('caseload data'!I:I,'caseload data'!$C:$C,'divisional &amp; regional caseload%'!$B$64,'caseload data'!$D:$D,"PSO")/SUMIF('caseload data'!$C:$C,'divisional &amp; regional caseload%'!$B$64,'caseload data'!I:I),"")</f>
        <v/>
      </c>
      <c r="H67" s="181" t="str">
        <f>IFERROR(SUMIFS('caseload data'!J:J,'caseload data'!$C:$C,'divisional &amp; regional caseload%'!$B$64,'caseload data'!$D:$D,"PSO")/SUMIF('caseload data'!$C:$C,'divisional &amp; regional caseload%'!$B$64,'caseload data'!J:J),"")</f>
        <v/>
      </c>
      <c r="I67" s="181" t="str">
        <f>IFERROR(SUMIFS('caseload data'!K:K,'caseload data'!$C:$C,'divisional &amp; regional caseload%'!$B$64,'caseload data'!$D:$D,"PSO")/SUMIF('caseload data'!$C:$C,'divisional &amp; regional caseload%'!$B$64,'caseload data'!K:K),"")</f>
        <v/>
      </c>
      <c r="J67" s="181" t="str">
        <f>IFERROR(SUMIFS('caseload data'!L:L,'caseload data'!$C:$C,'divisional &amp; regional caseload%'!$B$64,'caseload data'!$D:$D,"PSO")/SUMIF('caseload data'!$C:$C,'divisional &amp; regional caseload%'!$B$64,'caseload data'!L:L),"")</f>
        <v/>
      </c>
      <c r="K67" s="181" t="str">
        <f>IFERROR(SUMIFS('caseload data'!M:M,'caseload data'!$C:$C,'divisional &amp; regional caseload%'!$B$64,'caseload data'!$D:$D,"PSO")/SUMIF('caseload data'!$C:$C,'divisional &amp; regional caseload%'!$B$64,'caseload data'!M:M),"")</f>
        <v/>
      </c>
      <c r="L67" s="181" t="str">
        <f>IFERROR(SUMIFS('caseload data'!N:N,'caseload data'!$C:$C,'divisional &amp; regional caseload%'!$B$64,'caseload data'!$D:$D,"PSO")/SUMIF('caseload data'!$C:$C,'divisional &amp; regional caseload%'!$B$64,'caseload data'!N:N),"")</f>
        <v/>
      </c>
      <c r="M67" s="181" t="str">
        <f>IFERROR(SUMIFS('caseload data'!O:O,'caseload data'!$C:$C,'divisional &amp; regional caseload%'!$B$64,'caseload data'!$D:$D,"PSO")/SUMIF('caseload data'!$C:$C,'divisional &amp; regional caseload%'!$B$64,'caseload data'!O:O),"")</f>
        <v/>
      </c>
      <c r="N67" s="181" t="str">
        <f>IFERROR(SUMIFS('caseload data'!P:P,'caseload data'!$C:$C,'divisional &amp; regional caseload%'!$B$64,'caseload data'!$D:$D,"PSO")/SUMIF('caseload data'!$C:$C,'divisional &amp; regional caseload%'!$B$64,'caseload data'!P:P),"")</f>
        <v/>
      </c>
      <c r="O67" s="181" t="str">
        <f>IFERROR(SUMIFS('caseload data'!Q:Q,'caseload data'!$C:$C,'divisional &amp; regional caseload%'!$B$64,'caseload data'!$D:$D,"PSO")/SUMIF('caseload data'!$C:$C,'divisional &amp; regional caseload%'!$B$64,'caseload data'!Q:Q),"")</f>
        <v/>
      </c>
      <c r="P67" s="181" t="str">
        <f>IFERROR(SUMIFS('caseload data'!R:R,'caseload data'!$C:$C,'divisional &amp; regional caseload%'!$B$64,'caseload data'!$D:$D,"PSO")/SUMIF('caseload data'!$C:$C,'divisional &amp; regional caseload%'!$B$64,'caseload data'!R:R),"")</f>
        <v/>
      </c>
      <c r="Q67" s="181" t="str">
        <f>IFERROR(SUMIFS('caseload data'!S:S,'caseload data'!$C:$C,'divisional &amp; regional caseload%'!$B$64,'caseload data'!$D:$D,"PSO")/SUMIF('caseload data'!$C:$C,'divisional &amp; regional caseload%'!$B$64,'caseload data'!S:S),"")</f>
        <v/>
      </c>
      <c r="R67" s="181" t="str">
        <f>IFERROR(SUMIFS('caseload data'!T:T,'caseload data'!$C:$C,'divisional &amp; regional caseload%'!$B$64,'caseload data'!$D:$D,"PSO")/SUMIF('caseload data'!$C:$C,'divisional &amp; regional caseload%'!$B$64,'caseload data'!T:T),"")</f>
        <v/>
      </c>
      <c r="S67" s="73"/>
      <c r="T67" s="107" t="s">
        <v>912</v>
      </c>
      <c r="U67" s="181" t="str">
        <f>IFERROR(SUMIFS('caseload data'!E:E,'caseload data'!$C:$C,'divisional &amp; regional caseload%'!$T$64,'caseload data'!$D:$D,"PSO")/SUMIF('caseload data'!$C:$C,'divisional &amp; regional caseload%'!$T$64,'caseload data'!E:E),"")</f>
        <v/>
      </c>
      <c r="V67" s="181" t="str">
        <f>IFERROR(SUMIFS('caseload data'!F:F,'caseload data'!$C:$C,'divisional &amp; regional caseload%'!$T$64,'caseload data'!$D:$D,"PSO")/SUMIF('caseload data'!$C:$C,'divisional &amp; regional caseload%'!$T$64,'caseload data'!F:F),"")</f>
        <v/>
      </c>
      <c r="W67" s="181" t="str">
        <f>IFERROR(SUMIFS('caseload data'!G:G,'caseload data'!$C:$C,'divisional &amp; regional caseload%'!$T$64,'caseload data'!$D:$D,"PSO")/SUMIF('caseload data'!$C:$C,'divisional &amp; regional caseload%'!$T$64,'caseload data'!G:G),"")</f>
        <v/>
      </c>
      <c r="X67" s="181" t="str">
        <f>IFERROR(SUMIFS('caseload data'!H:H,'caseload data'!$C:$C,'divisional &amp; regional caseload%'!$T$64,'caseload data'!$D:$D,"PSO")/SUMIF('caseload data'!$C:$C,'divisional &amp; regional caseload%'!$T$64,'caseload data'!H:H),"")</f>
        <v/>
      </c>
      <c r="Y67" s="181" t="str">
        <f>IFERROR(SUMIFS('caseload data'!I:I,'caseload data'!$C:$C,'divisional &amp; regional caseload%'!$T$64,'caseload data'!$D:$D,"PSO")/SUMIF('caseload data'!$C:$C,'divisional &amp; regional caseload%'!$T$64,'caseload data'!I:I),"")</f>
        <v/>
      </c>
      <c r="Z67" s="181" t="str">
        <f>IFERROR(SUMIFS('caseload data'!J:J,'caseload data'!$C:$C,'divisional &amp; regional caseload%'!$T$64,'caseload data'!$D:$D,"PSO")/SUMIF('caseload data'!$C:$C,'divisional &amp; regional caseload%'!$T$64,'caseload data'!J:J),"")</f>
        <v/>
      </c>
      <c r="AA67" s="181" t="str">
        <f>IFERROR(SUMIFS('caseload data'!K:K,'caseload data'!$C:$C,'divisional &amp; regional caseload%'!$T$64,'caseload data'!$D:$D,"PSO")/SUMIF('caseload data'!$C:$C,'divisional &amp; regional caseload%'!$T$64,'caseload data'!K:K),"")</f>
        <v/>
      </c>
      <c r="AB67" s="181" t="str">
        <f>IFERROR(SUMIFS('caseload data'!L:L,'caseload data'!$C:$C,'divisional &amp; regional caseload%'!$T$64,'caseload data'!$D:$D,"PSO")/SUMIF('caseload data'!$C:$C,'divisional &amp; regional caseload%'!$T$64,'caseload data'!L:L),"")</f>
        <v/>
      </c>
      <c r="AC67" s="181" t="str">
        <f>IFERROR(SUMIFS('caseload data'!M:M,'caseload data'!$C:$C,'divisional &amp; regional caseload%'!$T$64,'caseload data'!$D:$D,"PSO")/SUMIF('caseload data'!$C:$C,'divisional &amp; regional caseload%'!$T$64,'caseload data'!M:M),"")</f>
        <v/>
      </c>
      <c r="AD67" s="181" t="str">
        <f>IFERROR(SUMIFS('caseload data'!N:N,'caseload data'!$C:$C,'divisional &amp; regional caseload%'!$T$64,'caseload data'!$D:$D,"PSO")/SUMIF('caseload data'!$C:$C,'divisional &amp; regional caseload%'!$T$64,'caseload data'!N:N),"")</f>
        <v/>
      </c>
      <c r="AE67" s="181" t="str">
        <f>IFERROR(SUMIFS('caseload data'!O:O,'caseload data'!$C:$C,'divisional &amp; regional caseload%'!$T$64,'caseload data'!$D:$D,"PSO")/SUMIF('caseload data'!$C:$C,'divisional &amp; regional caseload%'!$T$64,'caseload data'!O:O),"")</f>
        <v/>
      </c>
      <c r="AF67" s="181" t="str">
        <f>IFERROR(SUMIFS('caseload data'!P:P,'caseload data'!$C:$C,'divisional &amp; regional caseload%'!$T$64,'caseload data'!$D:$D,"PSO")/SUMIF('caseload data'!$C:$C,'divisional &amp; regional caseload%'!$T$64,'caseload data'!P:P),"")</f>
        <v/>
      </c>
      <c r="AG67" s="181" t="str">
        <f>IFERROR(SUMIFS('caseload data'!Q:Q,'caseload data'!$C:$C,'divisional &amp; regional caseload%'!$T$64,'caseload data'!$D:$D,"PSO")/SUMIF('caseload data'!$C:$C,'divisional &amp; regional caseload%'!$T$64,'caseload data'!Q:Q),"")</f>
        <v/>
      </c>
      <c r="AH67" s="181" t="str">
        <f>IFERROR(SUMIFS('caseload data'!R:R,'caseload data'!$C:$C,'divisional &amp; regional caseload%'!$T$64,'caseload data'!$D:$D,"PSO")/SUMIF('caseload data'!$C:$C,'divisional &amp; regional caseload%'!$T$64,'caseload data'!R:R),"")</f>
        <v/>
      </c>
      <c r="AI67" s="181" t="str">
        <f>IFERROR(SUMIFS('caseload data'!S:S,'caseload data'!$C:$C,'divisional &amp; regional caseload%'!$T$64,'caseload data'!$D:$D,"PSO")/SUMIF('caseload data'!$C:$C,'divisional &amp; regional caseload%'!$T$64,'caseload data'!S:S),"")</f>
        <v/>
      </c>
      <c r="AJ67" s="181" t="str">
        <f>IFERROR(SUMIFS('caseload data'!T:T,'caseload data'!$C:$C,'divisional &amp; regional caseload%'!$T$64,'caseload data'!$D:$D,"PSO")/SUMIF('caseload data'!$C:$C,'divisional &amp; regional caseload%'!$T$64,'caseload data'!T:T),"")</f>
        <v/>
      </c>
    </row>
    <row r="68" spans="2:36" x14ac:dyDescent="0.15">
      <c r="B68" s="107" t="s">
        <v>913</v>
      </c>
      <c r="C68" s="181" t="str">
        <f>IFERROR(SUMIFS('caseload data'!E:E,'caseload data'!$C:$C,'divisional &amp; regional caseload%'!$B$64,'caseload data'!$D:$D,"TPO")/SUMIF('caseload data'!$C:$C,'divisional &amp; regional caseload%'!$B$64,'caseload data'!E:E),"")</f>
        <v/>
      </c>
      <c r="D68" s="181" t="str">
        <f>IFERROR(SUMIFS('caseload data'!F:F,'caseload data'!$C:$C,'divisional &amp; regional caseload%'!$B$64,'caseload data'!$D:$D,"TPO")/SUMIF('caseload data'!$C:$C,'divisional &amp; regional caseload%'!$B$64,'caseload data'!F:F),"")</f>
        <v/>
      </c>
      <c r="E68" s="181" t="str">
        <f>IFERROR(SUMIFS('caseload data'!G:G,'caseload data'!$C:$C,'divisional &amp; regional caseload%'!$B$64,'caseload data'!$D:$D,"TPO")/SUMIF('caseload data'!$C:$C,'divisional &amp; regional caseload%'!$B$64,'caseload data'!G:G),"")</f>
        <v/>
      </c>
      <c r="F68" s="181" t="str">
        <f>IFERROR(SUMIFS('caseload data'!H:H,'caseload data'!$C:$C,'divisional &amp; regional caseload%'!$B$64,'caseload data'!$D:$D,"TPO")/SUMIF('caseload data'!$C:$C,'divisional &amp; regional caseload%'!$B$64,'caseload data'!H:H),"")</f>
        <v/>
      </c>
      <c r="G68" s="181" t="str">
        <f>IFERROR(SUMIFS('caseload data'!I:I,'caseload data'!$C:$C,'divisional &amp; regional caseload%'!$B$64,'caseload data'!$D:$D,"TPO")/SUMIF('caseload data'!$C:$C,'divisional &amp; regional caseload%'!$B$64,'caseload data'!I:I),"")</f>
        <v/>
      </c>
      <c r="H68" s="181" t="str">
        <f>IFERROR(SUMIFS('caseload data'!J:J,'caseload data'!$C:$C,'divisional &amp; regional caseload%'!$B$64,'caseload data'!$D:$D,"TPO")/SUMIF('caseload data'!$C:$C,'divisional &amp; regional caseload%'!$B$64,'caseload data'!J:J),"")</f>
        <v/>
      </c>
      <c r="I68" s="181" t="str">
        <f>IFERROR(SUMIFS('caseload data'!K:K,'caseload data'!$C:$C,'divisional &amp; regional caseload%'!$B$64,'caseload data'!$D:$D,"TPO")/SUMIF('caseload data'!$C:$C,'divisional &amp; regional caseload%'!$B$64,'caseload data'!K:K),"")</f>
        <v/>
      </c>
      <c r="J68" s="181" t="str">
        <f>IFERROR(SUMIFS('caseload data'!L:L,'caseload data'!$C:$C,'divisional &amp; regional caseload%'!$B$64,'caseload data'!$D:$D,"TPO")/SUMIF('caseload data'!$C:$C,'divisional &amp; regional caseload%'!$B$64,'caseload data'!L:L),"")</f>
        <v/>
      </c>
      <c r="K68" s="181" t="str">
        <f>IFERROR(SUMIFS('caseload data'!M:M,'caseload data'!$C:$C,'divisional &amp; regional caseload%'!$B$64,'caseload data'!$D:$D,"TPO")/SUMIF('caseload data'!$C:$C,'divisional &amp; regional caseload%'!$B$64,'caseload data'!M:M),"")</f>
        <v/>
      </c>
      <c r="L68" s="181" t="str">
        <f>IFERROR(SUMIFS('caseload data'!N:N,'caseload data'!$C:$C,'divisional &amp; regional caseload%'!$B$64,'caseload data'!$D:$D,"TPO")/SUMIF('caseload data'!$C:$C,'divisional &amp; regional caseload%'!$B$64,'caseload data'!N:N),"")</f>
        <v/>
      </c>
      <c r="M68" s="181" t="str">
        <f>IFERROR(SUMIFS('caseload data'!O:O,'caseload data'!$C:$C,'divisional &amp; regional caseload%'!$B$64,'caseload data'!$D:$D,"TPO")/SUMIF('caseload data'!$C:$C,'divisional &amp; regional caseload%'!$B$64,'caseload data'!O:O),"")</f>
        <v/>
      </c>
      <c r="N68" s="181" t="str">
        <f>IFERROR(SUMIFS('caseload data'!P:P,'caseload data'!$C:$C,'divisional &amp; regional caseload%'!$B$64,'caseload data'!$D:$D,"TPO")/SUMIF('caseload data'!$C:$C,'divisional &amp; regional caseload%'!$B$64,'caseload data'!P:P),"")</f>
        <v/>
      </c>
      <c r="O68" s="181" t="str">
        <f>IFERROR(SUMIFS('caseload data'!Q:Q,'caseload data'!$C:$C,'divisional &amp; regional caseload%'!$B$64,'caseload data'!$D:$D,"TPO")/SUMIF('caseload data'!$C:$C,'divisional &amp; regional caseload%'!$B$64,'caseload data'!Q:Q),"")</f>
        <v/>
      </c>
      <c r="P68" s="181" t="str">
        <f>IFERROR(SUMIFS('caseload data'!R:R,'caseload data'!$C:$C,'divisional &amp; regional caseload%'!$B$64,'caseload data'!$D:$D,"TPO")/SUMIF('caseload data'!$C:$C,'divisional &amp; regional caseload%'!$B$64,'caseload data'!R:R),"")</f>
        <v/>
      </c>
      <c r="Q68" s="181" t="str">
        <f>IFERROR(SUMIFS('caseload data'!S:S,'caseload data'!$C:$C,'divisional &amp; regional caseload%'!$B$64,'caseload data'!$D:$D,"TPO")/SUMIF('caseload data'!$C:$C,'divisional &amp; regional caseload%'!$B$64,'caseload data'!S:S),"")</f>
        <v/>
      </c>
      <c r="R68" s="181" t="str">
        <f>IFERROR(SUMIFS('caseload data'!T:T,'caseload data'!$C:$C,'divisional &amp; regional caseload%'!$B$64,'caseload data'!$D:$D,"TPO")/SUMIF('caseload data'!$C:$C,'divisional &amp; regional caseload%'!$B$64,'caseload data'!T:T),"")</f>
        <v/>
      </c>
      <c r="S68" s="73"/>
      <c r="T68" s="107" t="s">
        <v>913</v>
      </c>
      <c r="U68" s="181" t="str">
        <f>IFERROR(SUMIFS('caseload data'!E:E,'caseload data'!$C:$C,'divisional &amp; regional caseload%'!$T$64,'caseload data'!$D:$D,"TPO")/SUMIF('caseload data'!$C:$C,'divisional &amp; regional caseload%'!$T$64,'caseload data'!E:E),"")</f>
        <v/>
      </c>
      <c r="V68" s="181" t="str">
        <f>IFERROR(SUMIFS('caseload data'!F:F,'caseload data'!$C:$C,'divisional &amp; regional caseload%'!$T$64,'caseload data'!$D:$D,"TPO")/SUMIF('caseload data'!$C:$C,'divisional &amp; regional caseload%'!$T$64,'caseload data'!F:F),"")</f>
        <v/>
      </c>
      <c r="W68" s="181" t="str">
        <f>IFERROR(SUMIFS('caseload data'!G:G,'caseload data'!$C:$C,'divisional &amp; regional caseload%'!$T$64,'caseload data'!$D:$D,"TPO")/SUMIF('caseload data'!$C:$C,'divisional &amp; regional caseload%'!$T$64,'caseload data'!G:G),"")</f>
        <v/>
      </c>
      <c r="X68" s="181" t="str">
        <f>IFERROR(SUMIFS('caseload data'!H:H,'caseload data'!$C:$C,'divisional &amp; regional caseload%'!$T$64,'caseload data'!$D:$D,"TPO")/SUMIF('caseload data'!$C:$C,'divisional &amp; regional caseload%'!$T$64,'caseload data'!H:H),"")</f>
        <v/>
      </c>
      <c r="Y68" s="181" t="str">
        <f>IFERROR(SUMIFS('caseload data'!I:I,'caseload data'!$C:$C,'divisional &amp; regional caseload%'!$T$64,'caseload data'!$D:$D,"TPO")/SUMIF('caseload data'!$C:$C,'divisional &amp; regional caseload%'!$T$64,'caseload data'!I:I),"")</f>
        <v/>
      </c>
      <c r="Z68" s="181" t="str">
        <f>IFERROR(SUMIFS('caseload data'!J:J,'caseload data'!$C:$C,'divisional &amp; regional caseload%'!$T$64,'caseload data'!$D:$D,"TPO")/SUMIF('caseload data'!$C:$C,'divisional &amp; regional caseload%'!$T$64,'caseload data'!J:J),"")</f>
        <v/>
      </c>
      <c r="AA68" s="181" t="str">
        <f>IFERROR(SUMIFS('caseload data'!K:K,'caseload data'!$C:$C,'divisional &amp; regional caseload%'!$T$64,'caseload data'!$D:$D,"TPO")/SUMIF('caseload data'!$C:$C,'divisional &amp; regional caseload%'!$T$64,'caseload data'!K:K),"")</f>
        <v/>
      </c>
      <c r="AB68" s="181" t="str">
        <f>IFERROR(SUMIFS('caseload data'!L:L,'caseload data'!$C:$C,'divisional &amp; regional caseload%'!$T$64,'caseload data'!$D:$D,"TPO")/SUMIF('caseload data'!$C:$C,'divisional &amp; regional caseload%'!$T$64,'caseload data'!L:L),"")</f>
        <v/>
      </c>
      <c r="AC68" s="181" t="str">
        <f>IFERROR(SUMIFS('caseload data'!M:M,'caseload data'!$C:$C,'divisional &amp; regional caseload%'!$T$64,'caseload data'!$D:$D,"TPO")/SUMIF('caseload data'!$C:$C,'divisional &amp; regional caseload%'!$T$64,'caseload data'!M:M),"")</f>
        <v/>
      </c>
      <c r="AD68" s="181" t="str">
        <f>IFERROR(SUMIFS('caseload data'!N:N,'caseload data'!$C:$C,'divisional &amp; regional caseload%'!$T$64,'caseload data'!$D:$D,"TPO")/SUMIF('caseload data'!$C:$C,'divisional &amp; regional caseload%'!$T$64,'caseload data'!N:N),"")</f>
        <v/>
      </c>
      <c r="AE68" s="181" t="str">
        <f>IFERROR(SUMIFS('caseload data'!O:O,'caseload data'!$C:$C,'divisional &amp; regional caseload%'!$T$64,'caseload data'!$D:$D,"TPO")/SUMIF('caseload data'!$C:$C,'divisional &amp; regional caseload%'!$T$64,'caseload data'!O:O),"")</f>
        <v/>
      </c>
      <c r="AF68" s="181" t="str">
        <f>IFERROR(SUMIFS('caseload data'!P:P,'caseload data'!$C:$C,'divisional &amp; regional caseload%'!$T$64,'caseload data'!$D:$D,"TPO")/SUMIF('caseload data'!$C:$C,'divisional &amp; regional caseload%'!$T$64,'caseload data'!P:P),"")</f>
        <v/>
      </c>
      <c r="AG68" s="181" t="str">
        <f>IFERROR(SUMIFS('caseload data'!Q:Q,'caseload data'!$C:$C,'divisional &amp; regional caseload%'!$T$64,'caseload data'!$D:$D,"TPO")/SUMIF('caseload data'!$C:$C,'divisional &amp; regional caseload%'!$T$64,'caseload data'!Q:Q),"")</f>
        <v/>
      </c>
      <c r="AH68" s="181" t="str">
        <f>IFERROR(SUMIFS('caseload data'!R:R,'caseload data'!$C:$C,'divisional &amp; regional caseload%'!$T$64,'caseload data'!$D:$D,"TPO")/SUMIF('caseload data'!$C:$C,'divisional &amp; regional caseload%'!$T$64,'caseload data'!R:R),"")</f>
        <v/>
      </c>
      <c r="AI68" s="181" t="str">
        <f>IFERROR(SUMIFS('caseload data'!S:S,'caseload data'!$C:$C,'divisional &amp; regional caseload%'!$T$64,'caseload data'!$D:$D,"TPO")/SUMIF('caseload data'!$C:$C,'divisional &amp; regional caseload%'!$T$64,'caseload data'!S:S),"")</f>
        <v/>
      </c>
      <c r="AJ68" s="181" t="str">
        <f>IFERROR(SUMIFS('caseload data'!T:T,'caseload data'!$C:$C,'divisional &amp; regional caseload%'!$T$64,'caseload data'!$D:$D,"TPO")/SUMIF('caseload data'!$C:$C,'divisional &amp; regional caseload%'!$T$64,'caseload data'!T:T),"")</f>
        <v/>
      </c>
    </row>
    <row r="69" spans="2:36" x14ac:dyDescent="0.15">
      <c r="B69" s="108" t="s">
        <v>914</v>
      </c>
      <c r="C69" s="181" t="str">
        <f>IFERROR(SUMIFS('caseload data'!E:E,'caseload data'!$C:$C,'divisional &amp; regional caseload%'!$B$64,'caseload data'!$D:$D,"SPO")/SUMIF('caseload data'!$C:$C,'divisional &amp; regional caseload%'!$B$64,'caseload data'!E:E),"")</f>
        <v/>
      </c>
      <c r="D69" s="181" t="str">
        <f>IFERROR(SUMIFS('caseload data'!F:F,'caseload data'!$C:$C,'divisional &amp; regional caseload%'!$B$64,'caseload data'!$D:$D,"SPO")/SUMIF('caseload data'!$C:$C,'divisional &amp; regional caseload%'!$B$64,'caseload data'!F:F),"")</f>
        <v/>
      </c>
      <c r="E69" s="181" t="str">
        <f>IFERROR(SUMIFS('caseload data'!G:G,'caseload data'!$C:$C,'divisional &amp; regional caseload%'!$B$64,'caseload data'!$D:$D,"SPO")/SUMIF('caseload data'!$C:$C,'divisional &amp; regional caseload%'!$B$64,'caseload data'!G:G),"")</f>
        <v/>
      </c>
      <c r="F69" s="181" t="str">
        <f>IFERROR(SUMIFS('caseload data'!H:H,'caseload data'!$C:$C,'divisional &amp; regional caseload%'!$B$64,'caseload data'!$D:$D,"SPO")/SUMIF('caseload data'!$C:$C,'divisional &amp; regional caseload%'!$B$64,'caseload data'!H:H),"")</f>
        <v/>
      </c>
      <c r="G69" s="181" t="str">
        <f>IFERROR(SUMIFS('caseload data'!I:I,'caseload data'!$C:$C,'divisional &amp; regional caseload%'!$B$64,'caseload data'!$D:$D,"SPO")/SUMIF('caseload data'!$C:$C,'divisional &amp; regional caseload%'!$B$64,'caseload data'!I:I),"")</f>
        <v/>
      </c>
      <c r="H69" s="181" t="str">
        <f>IFERROR(SUMIFS('caseload data'!J:J,'caseload data'!$C:$C,'divisional &amp; regional caseload%'!$B$64,'caseload data'!$D:$D,"SPO")/SUMIF('caseload data'!$C:$C,'divisional &amp; regional caseload%'!$B$64,'caseload data'!J:J),"")</f>
        <v/>
      </c>
      <c r="I69" s="181" t="str">
        <f>IFERROR(SUMIFS('caseload data'!K:K,'caseload data'!$C:$C,'divisional &amp; regional caseload%'!$B$64,'caseload data'!$D:$D,"SPO")/SUMIF('caseload data'!$C:$C,'divisional &amp; regional caseload%'!$B$64,'caseload data'!K:K),"")</f>
        <v/>
      </c>
      <c r="J69" s="181" t="str">
        <f>IFERROR(SUMIFS('caseload data'!L:L,'caseload data'!$C:$C,'divisional &amp; regional caseload%'!$B$64,'caseload data'!$D:$D,"SPO")/SUMIF('caseload data'!$C:$C,'divisional &amp; regional caseload%'!$B$64,'caseload data'!L:L),"")</f>
        <v/>
      </c>
      <c r="K69" s="181" t="str">
        <f>IFERROR(SUMIFS('caseload data'!M:M,'caseload data'!$C:$C,'divisional &amp; regional caseload%'!$B$64,'caseload data'!$D:$D,"SPO")/SUMIF('caseload data'!$C:$C,'divisional &amp; regional caseload%'!$B$64,'caseload data'!M:M),"")</f>
        <v/>
      </c>
      <c r="L69" s="181" t="str">
        <f>IFERROR(SUMIFS('caseload data'!N:N,'caseload data'!$C:$C,'divisional &amp; regional caseload%'!$B$64,'caseload data'!$D:$D,"SPO")/SUMIF('caseload data'!$C:$C,'divisional &amp; regional caseload%'!$B$64,'caseload data'!N:N),"")</f>
        <v/>
      </c>
      <c r="M69" s="181" t="str">
        <f>IFERROR(SUMIFS('caseload data'!O:O,'caseload data'!$C:$C,'divisional &amp; regional caseload%'!$B$64,'caseload data'!$D:$D,"SPO")/SUMIF('caseload data'!$C:$C,'divisional &amp; regional caseload%'!$B$64,'caseload data'!O:O),"")</f>
        <v/>
      </c>
      <c r="N69" s="181" t="str">
        <f>IFERROR(SUMIFS('caseload data'!P:P,'caseload data'!$C:$C,'divisional &amp; regional caseload%'!$B$64,'caseload data'!$D:$D,"SPO")/SUMIF('caseload data'!$C:$C,'divisional &amp; regional caseload%'!$B$64,'caseload data'!P:P),"")</f>
        <v/>
      </c>
      <c r="O69" s="181" t="str">
        <f>IFERROR(SUMIFS('caseload data'!Q:Q,'caseload data'!$C:$C,'divisional &amp; regional caseload%'!$B$64,'caseload data'!$D:$D,"SPO")/SUMIF('caseload data'!$C:$C,'divisional &amp; regional caseload%'!$B$64,'caseload data'!Q:Q),"")</f>
        <v/>
      </c>
      <c r="P69" s="181" t="str">
        <f>IFERROR(SUMIFS('caseload data'!R:R,'caseload data'!$C:$C,'divisional &amp; regional caseload%'!$B$64,'caseload data'!$D:$D,"SPO")/SUMIF('caseload data'!$C:$C,'divisional &amp; regional caseload%'!$B$64,'caseload data'!R:R),"")</f>
        <v/>
      </c>
      <c r="Q69" s="181" t="str">
        <f>IFERROR(SUMIFS('caseload data'!S:S,'caseload data'!$C:$C,'divisional &amp; regional caseload%'!$B$64,'caseload data'!$D:$D,"SPO")/SUMIF('caseload data'!$C:$C,'divisional &amp; regional caseload%'!$B$64,'caseload data'!S:S),"")</f>
        <v/>
      </c>
      <c r="R69" s="181" t="str">
        <f>IFERROR(SUMIFS('caseload data'!T:T,'caseload data'!$C:$C,'divisional &amp; regional caseload%'!$B$64,'caseload data'!$D:$D,"SPO")/SUMIF('caseload data'!$C:$C,'divisional &amp; regional caseload%'!$B$64,'caseload data'!T:T),"")</f>
        <v/>
      </c>
      <c r="S69" s="73"/>
      <c r="T69" s="108" t="s">
        <v>914</v>
      </c>
      <c r="U69" s="181" t="str">
        <f>IFERROR(SUMIFS('caseload data'!E:E,'caseload data'!$C:$C,'divisional &amp; regional caseload%'!$T$64,'caseload data'!$D:$D,"SPO")/SUMIF('caseload data'!$C:$C,'divisional &amp; regional caseload%'!$T$64,'caseload data'!E:E),"")</f>
        <v/>
      </c>
      <c r="V69" s="181" t="str">
        <f>IFERROR(SUMIFS('caseload data'!F:F,'caseload data'!$C:$C,'divisional &amp; regional caseload%'!$T$64,'caseload data'!$D:$D,"SPO")/SUMIF('caseload data'!$C:$C,'divisional &amp; regional caseload%'!$T$64,'caseload data'!F:F),"")</f>
        <v/>
      </c>
      <c r="W69" s="181" t="str">
        <f>IFERROR(SUMIFS('caseload data'!G:G,'caseload data'!$C:$C,'divisional &amp; regional caseload%'!$T$64,'caseload data'!$D:$D,"SPO")/SUMIF('caseload data'!$C:$C,'divisional &amp; regional caseload%'!$T$64,'caseload data'!G:G),"")</f>
        <v/>
      </c>
      <c r="X69" s="181" t="str">
        <f>IFERROR(SUMIFS('caseload data'!H:H,'caseload data'!$C:$C,'divisional &amp; regional caseload%'!$T$64,'caseload data'!$D:$D,"SPO")/SUMIF('caseload data'!$C:$C,'divisional &amp; regional caseload%'!$T$64,'caseload data'!H:H),"")</f>
        <v/>
      </c>
      <c r="Y69" s="181" t="str">
        <f>IFERROR(SUMIFS('caseload data'!I:I,'caseload data'!$C:$C,'divisional &amp; regional caseload%'!$T$64,'caseload data'!$D:$D,"SPO")/SUMIF('caseload data'!$C:$C,'divisional &amp; regional caseload%'!$T$64,'caseload data'!I:I),"")</f>
        <v/>
      </c>
      <c r="Z69" s="181" t="str">
        <f>IFERROR(SUMIFS('caseload data'!J:J,'caseload data'!$C:$C,'divisional &amp; regional caseload%'!$T$64,'caseload data'!$D:$D,"SPO")/SUMIF('caseload data'!$C:$C,'divisional &amp; regional caseload%'!$T$64,'caseload data'!J:J),"")</f>
        <v/>
      </c>
      <c r="AA69" s="181" t="str">
        <f>IFERROR(SUMIFS('caseload data'!K:K,'caseload data'!$C:$C,'divisional &amp; regional caseload%'!$T$64,'caseload data'!$D:$D,"SPO")/SUMIF('caseload data'!$C:$C,'divisional &amp; regional caseload%'!$T$64,'caseload data'!K:K),"")</f>
        <v/>
      </c>
      <c r="AB69" s="181" t="str">
        <f>IFERROR(SUMIFS('caseload data'!L:L,'caseload data'!$C:$C,'divisional &amp; regional caseload%'!$T$64,'caseload data'!$D:$D,"SPO")/SUMIF('caseload data'!$C:$C,'divisional &amp; regional caseload%'!$T$64,'caseload data'!L:L),"")</f>
        <v/>
      </c>
      <c r="AC69" s="181" t="str">
        <f>IFERROR(SUMIFS('caseload data'!M:M,'caseload data'!$C:$C,'divisional &amp; regional caseload%'!$T$64,'caseload data'!$D:$D,"SPO")/SUMIF('caseload data'!$C:$C,'divisional &amp; regional caseload%'!$T$64,'caseload data'!M:M),"")</f>
        <v/>
      </c>
      <c r="AD69" s="181" t="str">
        <f>IFERROR(SUMIFS('caseload data'!N:N,'caseload data'!$C:$C,'divisional &amp; regional caseload%'!$T$64,'caseload data'!$D:$D,"SPO")/SUMIF('caseload data'!$C:$C,'divisional &amp; regional caseload%'!$T$64,'caseload data'!N:N),"")</f>
        <v/>
      </c>
      <c r="AE69" s="181" t="str">
        <f>IFERROR(SUMIFS('caseload data'!O:O,'caseload data'!$C:$C,'divisional &amp; regional caseload%'!$T$64,'caseload data'!$D:$D,"SPO")/SUMIF('caseload data'!$C:$C,'divisional &amp; regional caseload%'!$T$64,'caseload data'!O:O),"")</f>
        <v/>
      </c>
      <c r="AF69" s="181" t="str">
        <f>IFERROR(SUMIFS('caseload data'!P:P,'caseload data'!$C:$C,'divisional &amp; regional caseload%'!$T$64,'caseload data'!$D:$D,"SPO")/SUMIF('caseload data'!$C:$C,'divisional &amp; regional caseload%'!$T$64,'caseload data'!P:P),"")</f>
        <v/>
      </c>
      <c r="AG69" s="181" t="str">
        <f>IFERROR(SUMIFS('caseload data'!Q:Q,'caseload data'!$C:$C,'divisional &amp; regional caseload%'!$T$64,'caseload data'!$D:$D,"SPO")/SUMIF('caseload data'!$C:$C,'divisional &amp; regional caseload%'!$T$64,'caseload data'!Q:Q),"")</f>
        <v/>
      </c>
      <c r="AH69" s="181" t="str">
        <f>IFERROR(SUMIFS('caseload data'!R:R,'caseload data'!$C:$C,'divisional &amp; regional caseload%'!$T$64,'caseload data'!$D:$D,"SPO")/SUMIF('caseload data'!$C:$C,'divisional &amp; regional caseload%'!$T$64,'caseload data'!R:R),"")</f>
        <v/>
      </c>
      <c r="AI69" s="181" t="str">
        <f>IFERROR(SUMIFS('caseload data'!S:S,'caseload data'!$C:$C,'divisional &amp; regional caseload%'!$T$64,'caseload data'!$D:$D,"SPO")/SUMIF('caseload data'!$C:$C,'divisional &amp; regional caseload%'!$T$64,'caseload data'!S:S),"")</f>
        <v/>
      </c>
      <c r="AJ69" s="181" t="str">
        <f>IFERROR(SUMIFS('caseload data'!T:T,'caseload data'!$C:$C,'divisional &amp; regional caseload%'!$T$64,'caseload data'!$D:$D,"SPO")/SUMIF('caseload data'!$C:$C,'divisional &amp; regional caseload%'!$T$64,'caseload data'!T:T),"")</f>
        <v/>
      </c>
    </row>
    <row r="71" spans="2:36" ht="14" customHeight="1" x14ac:dyDescent="0.15">
      <c r="B71" s="156" t="str">
        <f>HLOOKUP($B$5,Region_Table,20,0)</f>
        <v>Redbridge and Waltham Forest</v>
      </c>
      <c r="C71" s="367" t="s">
        <v>1130</v>
      </c>
      <c r="D71" s="368"/>
      <c r="E71" s="368"/>
      <c r="F71" s="368"/>
      <c r="G71" s="368"/>
      <c r="H71" s="368"/>
      <c r="I71" s="368"/>
      <c r="J71" s="368"/>
      <c r="K71" s="368"/>
      <c r="L71" s="368"/>
      <c r="M71" s="377"/>
      <c r="N71" s="377"/>
      <c r="O71" s="378"/>
      <c r="P71" s="371">
        <f>SUMIF('caseload data'!$C:$C,'divisional &amp; regional caseload%'!B71,'caseload data'!V:V)</f>
        <v>0</v>
      </c>
      <c r="Q71" s="379"/>
      <c r="R71" s="380"/>
      <c r="T71" s="156" t="str">
        <f>HLOOKUP($B$5,Region_Table,21,0)</f>
        <v>Southwark - N07</v>
      </c>
      <c r="U71" s="367" t="s">
        <v>1130</v>
      </c>
      <c r="V71" s="368"/>
      <c r="W71" s="368"/>
      <c r="X71" s="368"/>
      <c r="Y71" s="368"/>
      <c r="Z71" s="368"/>
      <c r="AA71" s="368"/>
      <c r="AB71" s="368"/>
      <c r="AC71" s="368"/>
      <c r="AD71" s="368"/>
      <c r="AE71" s="377"/>
      <c r="AF71" s="377"/>
      <c r="AG71" s="378"/>
      <c r="AH71" s="371">
        <f>SUMIF('caseload data'!$C:$C,'divisional &amp; regional caseload%'!T71,'caseload data'!V:V)</f>
        <v>0</v>
      </c>
      <c r="AI71" s="379"/>
      <c r="AJ71" s="380"/>
    </row>
    <row r="72" spans="2:36" x14ac:dyDescent="0.15">
      <c r="B72" s="105" t="s">
        <v>1065</v>
      </c>
      <c r="C72" s="41" t="s">
        <v>922</v>
      </c>
      <c r="D72" s="41" t="s">
        <v>923</v>
      </c>
      <c r="E72" s="41" t="s">
        <v>924</v>
      </c>
      <c r="F72" s="41" t="s">
        <v>925</v>
      </c>
      <c r="G72" s="41" t="s">
        <v>926</v>
      </c>
      <c r="H72" s="41" t="s">
        <v>927</v>
      </c>
      <c r="I72" s="41" t="s">
        <v>928</v>
      </c>
      <c r="J72" s="41" t="s">
        <v>929</v>
      </c>
      <c r="K72" s="41" t="s">
        <v>930</v>
      </c>
      <c r="L72" s="41" t="s">
        <v>931</v>
      </c>
      <c r="M72" s="41" t="s">
        <v>932</v>
      </c>
      <c r="N72" s="41" t="s">
        <v>933</v>
      </c>
      <c r="O72" s="41" t="s">
        <v>934</v>
      </c>
      <c r="P72" s="41" t="s">
        <v>935</v>
      </c>
      <c r="Q72" s="41" t="s">
        <v>936</v>
      </c>
      <c r="R72" s="41" t="s">
        <v>937</v>
      </c>
      <c r="T72" s="105" t="s">
        <v>1065</v>
      </c>
      <c r="U72" s="41" t="s">
        <v>922</v>
      </c>
      <c r="V72" s="41" t="s">
        <v>923</v>
      </c>
      <c r="W72" s="41" t="s">
        <v>924</v>
      </c>
      <c r="X72" s="41" t="s">
        <v>925</v>
      </c>
      <c r="Y72" s="41" t="s">
        <v>926</v>
      </c>
      <c r="Z72" s="41" t="s">
        <v>927</v>
      </c>
      <c r="AA72" s="41" t="s">
        <v>928</v>
      </c>
      <c r="AB72" s="41" t="s">
        <v>929</v>
      </c>
      <c r="AC72" s="41" t="s">
        <v>930</v>
      </c>
      <c r="AD72" s="41" t="s">
        <v>931</v>
      </c>
      <c r="AE72" s="41" t="s">
        <v>932</v>
      </c>
      <c r="AF72" s="41" t="s">
        <v>933</v>
      </c>
      <c r="AG72" s="41" t="s">
        <v>934</v>
      </c>
      <c r="AH72" s="41" t="s">
        <v>935</v>
      </c>
      <c r="AI72" s="41" t="s">
        <v>936</v>
      </c>
      <c r="AJ72" s="41" t="s">
        <v>937</v>
      </c>
    </row>
    <row r="73" spans="2:36" x14ac:dyDescent="0.15">
      <c r="B73" s="106" t="s">
        <v>911</v>
      </c>
      <c r="C73" s="181" t="str">
        <f>IFERROR(SUMIFS('caseload data'!E:E,'caseload data'!$C:$C,'divisional &amp; regional caseload%'!$B$71,'caseload data'!$D:$D,"PO")/SUMIF('caseload data'!$C:$C,'divisional &amp; regional caseload%'!$B$71,'caseload data'!E:E),"")</f>
        <v/>
      </c>
      <c r="D73" s="181" t="str">
        <f>IFERROR(SUMIFS('caseload data'!F:F,'caseload data'!$C:$C,'divisional &amp; regional caseload%'!$B$71,'caseload data'!$D:$D,"PO")/SUMIF('caseload data'!$C:$C,'divisional &amp; regional caseload%'!$B$71,'caseload data'!F:F),"")</f>
        <v/>
      </c>
      <c r="E73" s="181" t="str">
        <f>IFERROR(SUMIFS('caseload data'!G:G,'caseload data'!$C:$C,'divisional &amp; regional caseload%'!$B$71,'caseload data'!$D:$D,"PO")/SUMIF('caseload data'!$C:$C,'divisional &amp; regional caseload%'!$B$71,'caseload data'!G:G),"")</f>
        <v/>
      </c>
      <c r="F73" s="181" t="str">
        <f>IFERROR(SUMIFS('caseload data'!H:H,'caseload data'!$C:$C,'divisional &amp; regional caseload%'!$B$71,'caseload data'!$D:$D,"PO")/SUMIF('caseload data'!$C:$C,'divisional &amp; regional caseload%'!$B$71,'caseload data'!H:H),"")</f>
        <v/>
      </c>
      <c r="G73" s="181" t="str">
        <f>IFERROR(SUMIFS('caseload data'!I:I,'caseload data'!$C:$C,'divisional &amp; regional caseload%'!$B$71,'caseload data'!$D:$D,"PO")/SUMIF('caseload data'!$C:$C,'divisional &amp; regional caseload%'!$B$71,'caseload data'!I:I),"")</f>
        <v/>
      </c>
      <c r="H73" s="181" t="str">
        <f>IFERROR(SUMIFS('caseload data'!J:J,'caseload data'!$C:$C,'divisional &amp; regional caseload%'!$B$71,'caseload data'!$D:$D,"PO")/SUMIF('caseload data'!$C:$C,'divisional &amp; regional caseload%'!$B$71,'caseload data'!J:J),"")</f>
        <v/>
      </c>
      <c r="I73" s="181" t="str">
        <f>IFERROR(SUMIFS('caseload data'!K:K,'caseload data'!$C:$C,'divisional &amp; regional caseload%'!$B$71,'caseload data'!$D:$D,"PO")/SUMIF('caseload data'!$C:$C,'divisional &amp; regional caseload%'!$B$71,'caseload data'!K:K),"")</f>
        <v/>
      </c>
      <c r="J73" s="181" t="str">
        <f>IFERROR(SUMIFS('caseload data'!L:L,'caseload data'!$C:$C,'divisional &amp; regional caseload%'!$B$71,'caseload data'!$D:$D,"PO")/SUMIF('caseload data'!$C:$C,'divisional &amp; regional caseload%'!$B$71,'caseload data'!L:L),"")</f>
        <v/>
      </c>
      <c r="K73" s="181" t="str">
        <f>IFERROR(SUMIFS('caseload data'!M:M,'caseload data'!$C:$C,'divisional &amp; regional caseload%'!$B$71,'caseload data'!$D:$D,"PO")/SUMIF('caseload data'!$C:$C,'divisional &amp; regional caseload%'!$B$71,'caseload data'!M:M),"")</f>
        <v/>
      </c>
      <c r="L73" s="181" t="str">
        <f>IFERROR(SUMIFS('caseload data'!N:N,'caseload data'!$C:$C,'divisional &amp; regional caseload%'!$B$71,'caseload data'!$D:$D,"PO")/SUMIF('caseload data'!$C:$C,'divisional &amp; regional caseload%'!$B$71,'caseload data'!N:N),"")</f>
        <v/>
      </c>
      <c r="M73" s="181" t="str">
        <f>IFERROR(SUMIFS('caseload data'!O:O,'caseload data'!$C:$C,'divisional &amp; regional caseload%'!$B$71,'caseload data'!$D:$D,"PO")/SUMIF('caseload data'!$C:$C,'divisional &amp; regional caseload%'!$B$71,'caseload data'!O:O),"")</f>
        <v/>
      </c>
      <c r="N73" s="181" t="str">
        <f>IFERROR(SUMIFS('caseload data'!P:P,'caseload data'!$C:$C,'divisional &amp; regional caseload%'!$B$71,'caseload data'!$D:$D,"PO")/SUMIF('caseload data'!$C:$C,'divisional &amp; regional caseload%'!$B$71,'caseload data'!P:P),"")</f>
        <v/>
      </c>
      <c r="O73" s="181" t="str">
        <f>IFERROR(SUMIFS('caseload data'!Q:Q,'caseload data'!$C:$C,'divisional &amp; regional caseload%'!$B$71,'caseload data'!$D:$D,"PO")/SUMIF('caseload data'!$C:$C,'divisional &amp; regional caseload%'!$B$71,'caseload data'!Q:Q),"")</f>
        <v/>
      </c>
      <c r="P73" s="181" t="str">
        <f>IFERROR(SUMIFS('caseload data'!R:R,'caseload data'!$C:$C,'divisional &amp; regional caseload%'!$B$71,'caseload data'!$D:$D,"PO")/SUMIF('caseload data'!$C:$C,'divisional &amp; regional caseload%'!$B$71,'caseload data'!R:R),"")</f>
        <v/>
      </c>
      <c r="Q73" s="181" t="str">
        <f>IFERROR(SUMIFS('caseload data'!S:S,'caseload data'!$C:$C,'divisional &amp; regional caseload%'!$B$71,'caseload data'!$D:$D,"PO")/SUMIF('caseload data'!$C:$C,'divisional &amp; regional caseload%'!$B$71,'caseload data'!S:S),"")</f>
        <v/>
      </c>
      <c r="R73" s="181" t="str">
        <f>IFERROR(SUMIFS('caseload data'!T:T,'caseload data'!$C:$C,'divisional &amp; regional caseload%'!$B$71,'caseload data'!$D:$D,"PO")/SUMIF('caseload data'!$C:$C,'divisional &amp; regional caseload%'!$B$71,'caseload data'!T:T),"")</f>
        <v/>
      </c>
      <c r="T73" s="106" t="s">
        <v>911</v>
      </c>
      <c r="U73" s="181" t="str">
        <f>IFERROR(SUMIFS('caseload data'!E:E,'caseload data'!$C:$C,'divisional &amp; regional caseload%'!$T$71,'caseload data'!$D:$D,"PO")/SUMIF('caseload data'!$C:$C,'divisional &amp; regional caseload%'!$T$71,'caseload data'!E:E),"")</f>
        <v/>
      </c>
      <c r="V73" s="181" t="str">
        <f>IFERROR(SUMIFS('caseload data'!F:F,'caseload data'!$C:$C,'divisional &amp; regional caseload%'!$T$71,'caseload data'!$D:$D,"PO")/SUMIF('caseload data'!$C:$C,'divisional &amp; regional caseload%'!$T$71,'caseload data'!F:F),"")</f>
        <v/>
      </c>
      <c r="W73" s="181" t="str">
        <f>IFERROR(SUMIFS('caseload data'!G:G,'caseload data'!$C:$C,'divisional &amp; regional caseload%'!$T$71,'caseload data'!$D:$D,"PO")/SUMIF('caseload data'!$C:$C,'divisional &amp; regional caseload%'!$T$71,'caseload data'!G:G),"")</f>
        <v/>
      </c>
      <c r="X73" s="181" t="str">
        <f>IFERROR(SUMIFS('caseload data'!H:H,'caseload data'!$C:$C,'divisional &amp; regional caseload%'!$T$71,'caseload data'!$D:$D,"PO")/SUMIF('caseload data'!$C:$C,'divisional &amp; regional caseload%'!$T$71,'caseload data'!H:H),"")</f>
        <v/>
      </c>
      <c r="Y73" s="181" t="str">
        <f>IFERROR(SUMIFS('caseload data'!I:I,'caseload data'!$C:$C,'divisional &amp; regional caseload%'!$T$71,'caseload data'!$D:$D,"PO")/SUMIF('caseload data'!$C:$C,'divisional &amp; regional caseload%'!$T$71,'caseload data'!I:I),"")</f>
        <v/>
      </c>
      <c r="Z73" s="181" t="str">
        <f>IFERROR(SUMIFS('caseload data'!J:J,'caseload data'!$C:$C,'divisional &amp; regional caseload%'!$T$71,'caseload data'!$D:$D,"PO")/SUMIF('caseload data'!$C:$C,'divisional &amp; regional caseload%'!$T$71,'caseload data'!J:J),"")</f>
        <v/>
      </c>
      <c r="AA73" s="181" t="str">
        <f>IFERROR(SUMIFS('caseload data'!K:K,'caseload data'!$C:$C,'divisional &amp; regional caseload%'!$T$71,'caseload data'!$D:$D,"PO")/SUMIF('caseload data'!$C:$C,'divisional &amp; regional caseload%'!$T$71,'caseload data'!K:K),"")</f>
        <v/>
      </c>
      <c r="AB73" s="181" t="str">
        <f>IFERROR(SUMIFS('caseload data'!L:L,'caseload data'!$C:$C,'divisional &amp; regional caseload%'!$T$71,'caseload data'!$D:$D,"PO")/SUMIF('caseload data'!$C:$C,'divisional &amp; regional caseload%'!$T$71,'caseload data'!L:L),"")</f>
        <v/>
      </c>
      <c r="AC73" s="181" t="str">
        <f>IFERROR(SUMIFS('caseload data'!M:M,'caseload data'!$C:$C,'divisional &amp; regional caseload%'!$T$71,'caseload data'!$D:$D,"PO")/SUMIF('caseload data'!$C:$C,'divisional &amp; regional caseload%'!$T$71,'caseload data'!M:M),"")</f>
        <v/>
      </c>
      <c r="AD73" s="181" t="str">
        <f>IFERROR(SUMIFS('caseload data'!N:N,'caseload data'!$C:$C,'divisional &amp; regional caseload%'!$T$71,'caseload data'!$D:$D,"PO")/SUMIF('caseload data'!$C:$C,'divisional &amp; regional caseload%'!$T$71,'caseload data'!N:N),"")</f>
        <v/>
      </c>
      <c r="AE73" s="181" t="str">
        <f>IFERROR(SUMIFS('caseload data'!O:O,'caseload data'!$C:$C,'divisional &amp; regional caseload%'!$T$71,'caseload data'!$D:$D,"PO")/SUMIF('caseload data'!$C:$C,'divisional &amp; regional caseload%'!$T$71,'caseload data'!O:O),"")</f>
        <v/>
      </c>
      <c r="AF73" s="181" t="str">
        <f>IFERROR(SUMIFS('caseload data'!P:P,'caseload data'!$C:$C,'divisional &amp; regional caseload%'!$T$71,'caseload data'!$D:$D,"PO")/SUMIF('caseload data'!$C:$C,'divisional &amp; regional caseload%'!$T$71,'caseload data'!P:P),"")</f>
        <v/>
      </c>
      <c r="AG73" s="181" t="str">
        <f>IFERROR(SUMIFS('caseload data'!Q:Q,'caseload data'!$C:$C,'divisional &amp; regional caseload%'!$T$71,'caseload data'!$D:$D,"PO")/SUMIF('caseload data'!$C:$C,'divisional &amp; regional caseload%'!$T$71,'caseload data'!Q:Q),"")</f>
        <v/>
      </c>
      <c r="AH73" s="181" t="str">
        <f>IFERROR(SUMIFS('caseload data'!R:R,'caseload data'!$C:$C,'divisional &amp; regional caseload%'!$T$71,'caseload data'!$D:$D,"PO")/SUMIF('caseload data'!$C:$C,'divisional &amp; regional caseload%'!$T$71,'caseload data'!R:R),"")</f>
        <v/>
      </c>
      <c r="AI73" s="181" t="str">
        <f>IFERROR(SUMIFS('caseload data'!S:S,'caseload data'!$C:$C,'divisional &amp; regional caseload%'!$T$71,'caseload data'!$D:$D,"PO")/SUMIF('caseload data'!$C:$C,'divisional &amp; regional caseload%'!$T$71,'caseload data'!S:S),"")</f>
        <v/>
      </c>
      <c r="AJ73" s="181" t="str">
        <f>IFERROR(SUMIFS('caseload data'!T:T,'caseload data'!$C:$C,'divisional &amp; regional caseload%'!$T$71,'caseload data'!$D:$D,"PO")/SUMIF('caseload data'!$C:$C,'divisional &amp; regional caseload%'!$T$71,'caseload data'!T:T),"")</f>
        <v/>
      </c>
    </row>
    <row r="74" spans="2:36" x14ac:dyDescent="0.15">
      <c r="B74" s="107" t="s">
        <v>912</v>
      </c>
      <c r="C74" s="181" t="str">
        <f>IFERROR(SUMIFS('caseload data'!E:E,'caseload data'!$C:$C,'divisional &amp; regional caseload%'!$B$71,'caseload data'!$D:$D,"PSO")/SUMIF('caseload data'!$C:$C,'divisional &amp; regional caseload%'!$B$71,'caseload data'!E:E),"")</f>
        <v/>
      </c>
      <c r="D74" s="181" t="str">
        <f>IFERROR(SUMIFS('caseload data'!F:F,'caseload data'!$C:$C,'divisional &amp; regional caseload%'!$B$71,'caseload data'!$D:$D,"PSO")/SUMIF('caseload data'!$C:$C,'divisional &amp; regional caseload%'!$B$71,'caseload data'!F:F),"")</f>
        <v/>
      </c>
      <c r="E74" s="181" t="str">
        <f>IFERROR(SUMIFS('caseload data'!G:G,'caseload data'!$C:$C,'divisional &amp; regional caseload%'!$B$71,'caseload data'!$D:$D,"PSO")/SUMIF('caseload data'!$C:$C,'divisional &amp; regional caseload%'!$B$71,'caseload data'!G:G),"")</f>
        <v/>
      </c>
      <c r="F74" s="181" t="str">
        <f>IFERROR(SUMIFS('caseload data'!H:H,'caseload data'!$C:$C,'divisional &amp; regional caseload%'!$B$71,'caseload data'!$D:$D,"PSO")/SUMIF('caseload data'!$C:$C,'divisional &amp; regional caseload%'!$B$71,'caseload data'!H:H),"")</f>
        <v/>
      </c>
      <c r="G74" s="181" t="str">
        <f>IFERROR(SUMIFS('caseload data'!I:I,'caseload data'!$C:$C,'divisional &amp; regional caseload%'!$B$71,'caseload data'!$D:$D,"PSO")/SUMIF('caseload data'!$C:$C,'divisional &amp; regional caseload%'!$B$71,'caseload data'!I:I),"")</f>
        <v/>
      </c>
      <c r="H74" s="181" t="str">
        <f>IFERROR(SUMIFS('caseload data'!J:J,'caseload data'!$C:$C,'divisional &amp; regional caseload%'!$B$71,'caseload data'!$D:$D,"PSO")/SUMIF('caseload data'!$C:$C,'divisional &amp; regional caseload%'!$B$71,'caseload data'!J:J),"")</f>
        <v/>
      </c>
      <c r="I74" s="181" t="str">
        <f>IFERROR(SUMIFS('caseload data'!K:K,'caseload data'!$C:$C,'divisional &amp; regional caseload%'!$B$71,'caseload data'!$D:$D,"PSO")/SUMIF('caseload data'!$C:$C,'divisional &amp; regional caseload%'!$B$71,'caseload data'!K:K),"")</f>
        <v/>
      </c>
      <c r="J74" s="181" t="str">
        <f>IFERROR(SUMIFS('caseload data'!L:L,'caseload data'!$C:$C,'divisional &amp; regional caseload%'!$B$71,'caseload data'!$D:$D,"PSO")/SUMIF('caseload data'!$C:$C,'divisional &amp; regional caseload%'!$B$71,'caseload data'!L:L),"")</f>
        <v/>
      </c>
      <c r="K74" s="181" t="str">
        <f>IFERROR(SUMIFS('caseload data'!M:M,'caseload data'!$C:$C,'divisional &amp; regional caseload%'!$B$71,'caseload data'!$D:$D,"PSO")/SUMIF('caseload data'!$C:$C,'divisional &amp; regional caseload%'!$B$71,'caseload data'!M:M),"")</f>
        <v/>
      </c>
      <c r="L74" s="181" t="str">
        <f>IFERROR(SUMIFS('caseload data'!N:N,'caseload data'!$C:$C,'divisional &amp; regional caseload%'!$B$71,'caseload data'!$D:$D,"PSO")/SUMIF('caseload data'!$C:$C,'divisional &amp; regional caseload%'!$B$71,'caseload data'!N:N),"")</f>
        <v/>
      </c>
      <c r="M74" s="181" t="str">
        <f>IFERROR(SUMIFS('caseload data'!O:O,'caseload data'!$C:$C,'divisional &amp; regional caseload%'!$B$71,'caseload data'!$D:$D,"PSO")/SUMIF('caseload data'!$C:$C,'divisional &amp; regional caseload%'!$B$71,'caseload data'!O:O),"")</f>
        <v/>
      </c>
      <c r="N74" s="181" t="str">
        <f>IFERROR(SUMIFS('caseload data'!P:P,'caseload data'!$C:$C,'divisional &amp; regional caseload%'!$B$71,'caseload data'!$D:$D,"PSO")/SUMIF('caseload data'!$C:$C,'divisional &amp; regional caseload%'!$B$71,'caseload data'!P:P),"")</f>
        <v/>
      </c>
      <c r="O74" s="181" t="str">
        <f>IFERROR(SUMIFS('caseload data'!Q:Q,'caseload data'!$C:$C,'divisional &amp; regional caseload%'!$B$71,'caseload data'!$D:$D,"PSO")/SUMIF('caseload data'!$C:$C,'divisional &amp; regional caseload%'!$B$71,'caseload data'!Q:Q),"")</f>
        <v/>
      </c>
      <c r="P74" s="181" t="str">
        <f>IFERROR(SUMIFS('caseload data'!R:R,'caseload data'!$C:$C,'divisional &amp; regional caseload%'!$B$71,'caseload data'!$D:$D,"PSO")/SUMIF('caseload data'!$C:$C,'divisional &amp; regional caseload%'!$B$71,'caseload data'!R:R),"")</f>
        <v/>
      </c>
      <c r="Q74" s="181" t="str">
        <f>IFERROR(SUMIFS('caseload data'!S:S,'caseload data'!$C:$C,'divisional &amp; regional caseload%'!$B$71,'caseload data'!$D:$D,"PSO")/SUMIF('caseload data'!$C:$C,'divisional &amp; regional caseload%'!$B$71,'caseload data'!S:S),"")</f>
        <v/>
      </c>
      <c r="R74" s="181" t="str">
        <f>IFERROR(SUMIFS('caseload data'!T:T,'caseload data'!$C:$C,'divisional &amp; regional caseload%'!$B$71,'caseload data'!$D:$D,"PSO")/SUMIF('caseload data'!$C:$C,'divisional &amp; regional caseload%'!$B$71,'caseload data'!T:T),"")</f>
        <v/>
      </c>
      <c r="T74" s="107" t="s">
        <v>912</v>
      </c>
      <c r="U74" s="181" t="str">
        <f>IFERROR(SUMIFS('caseload data'!E:E,'caseload data'!$C:$C,'divisional &amp; regional caseload%'!$T$71,'caseload data'!$D:$D,"PSO")/SUMIF('caseload data'!$C:$C,'divisional &amp; regional caseload%'!$T$71,'caseload data'!E:E),"")</f>
        <v/>
      </c>
      <c r="V74" s="181" t="str">
        <f>IFERROR(SUMIFS('caseload data'!F:F,'caseload data'!$C:$C,'divisional &amp; regional caseload%'!$T$71,'caseload data'!$D:$D,"PSO")/SUMIF('caseload data'!$C:$C,'divisional &amp; regional caseload%'!$T$71,'caseload data'!F:F),"")</f>
        <v/>
      </c>
      <c r="W74" s="181" t="str">
        <f>IFERROR(SUMIFS('caseload data'!G:G,'caseload data'!$C:$C,'divisional &amp; regional caseload%'!$T$71,'caseload data'!$D:$D,"PSO")/SUMIF('caseload data'!$C:$C,'divisional &amp; regional caseload%'!$T$71,'caseload data'!G:G),"")</f>
        <v/>
      </c>
      <c r="X74" s="181" t="str">
        <f>IFERROR(SUMIFS('caseload data'!H:H,'caseload data'!$C:$C,'divisional &amp; regional caseload%'!$T$71,'caseload data'!$D:$D,"PSO")/SUMIF('caseload data'!$C:$C,'divisional &amp; regional caseload%'!$T$71,'caseload data'!H:H),"")</f>
        <v/>
      </c>
      <c r="Y74" s="181" t="str">
        <f>IFERROR(SUMIFS('caseload data'!I:I,'caseload data'!$C:$C,'divisional &amp; regional caseload%'!$T$71,'caseload data'!$D:$D,"PSO")/SUMIF('caseload data'!$C:$C,'divisional &amp; regional caseload%'!$T$71,'caseload data'!I:I),"")</f>
        <v/>
      </c>
      <c r="Z74" s="181" t="str">
        <f>IFERROR(SUMIFS('caseload data'!J:J,'caseload data'!$C:$C,'divisional &amp; regional caseload%'!$T$71,'caseload data'!$D:$D,"PSO")/SUMIF('caseload data'!$C:$C,'divisional &amp; regional caseload%'!$T$71,'caseload data'!J:J),"")</f>
        <v/>
      </c>
      <c r="AA74" s="181" t="str">
        <f>IFERROR(SUMIFS('caseload data'!K:K,'caseload data'!$C:$C,'divisional &amp; regional caseload%'!$T$71,'caseload data'!$D:$D,"PSO")/SUMIF('caseload data'!$C:$C,'divisional &amp; regional caseload%'!$T$71,'caseload data'!K:K),"")</f>
        <v/>
      </c>
      <c r="AB74" s="181" t="str">
        <f>IFERROR(SUMIFS('caseload data'!L:L,'caseload data'!$C:$C,'divisional &amp; regional caseload%'!$T$71,'caseload data'!$D:$D,"PSO")/SUMIF('caseload data'!$C:$C,'divisional &amp; regional caseload%'!$T$71,'caseload data'!L:L),"")</f>
        <v/>
      </c>
      <c r="AC74" s="181" t="str">
        <f>IFERROR(SUMIFS('caseload data'!M:M,'caseload data'!$C:$C,'divisional &amp; regional caseload%'!$T$71,'caseload data'!$D:$D,"PSO")/SUMIF('caseload data'!$C:$C,'divisional &amp; regional caseload%'!$T$71,'caseload data'!M:M),"")</f>
        <v/>
      </c>
      <c r="AD74" s="181" t="str">
        <f>IFERROR(SUMIFS('caseload data'!N:N,'caseload data'!$C:$C,'divisional &amp; regional caseload%'!$T$71,'caseload data'!$D:$D,"PSO")/SUMIF('caseload data'!$C:$C,'divisional &amp; regional caseload%'!$T$71,'caseload data'!N:N),"")</f>
        <v/>
      </c>
      <c r="AE74" s="181" t="str">
        <f>IFERROR(SUMIFS('caseload data'!O:O,'caseload data'!$C:$C,'divisional &amp; regional caseload%'!$T$71,'caseload data'!$D:$D,"PSO")/SUMIF('caseload data'!$C:$C,'divisional &amp; regional caseload%'!$T$71,'caseload data'!O:O),"")</f>
        <v/>
      </c>
      <c r="AF74" s="181" t="str">
        <f>IFERROR(SUMIFS('caseload data'!P:P,'caseload data'!$C:$C,'divisional &amp; regional caseload%'!$T$71,'caseload data'!$D:$D,"PSO")/SUMIF('caseload data'!$C:$C,'divisional &amp; regional caseload%'!$T$71,'caseload data'!P:P),"")</f>
        <v/>
      </c>
      <c r="AG74" s="181" t="str">
        <f>IFERROR(SUMIFS('caseload data'!Q:Q,'caseload data'!$C:$C,'divisional &amp; regional caseload%'!$T$71,'caseload data'!$D:$D,"PSO")/SUMIF('caseload data'!$C:$C,'divisional &amp; regional caseload%'!$T$71,'caseload data'!Q:Q),"")</f>
        <v/>
      </c>
      <c r="AH74" s="181" t="str">
        <f>IFERROR(SUMIFS('caseload data'!R:R,'caseload data'!$C:$C,'divisional &amp; regional caseload%'!$T$71,'caseload data'!$D:$D,"PSO")/SUMIF('caseload data'!$C:$C,'divisional &amp; regional caseload%'!$T$71,'caseload data'!R:R),"")</f>
        <v/>
      </c>
      <c r="AI74" s="181" t="str">
        <f>IFERROR(SUMIFS('caseload data'!S:S,'caseload data'!$C:$C,'divisional &amp; regional caseload%'!$T$71,'caseload data'!$D:$D,"PSO")/SUMIF('caseload data'!$C:$C,'divisional &amp; regional caseload%'!$T$71,'caseload data'!S:S),"")</f>
        <v/>
      </c>
      <c r="AJ74" s="181" t="str">
        <f>IFERROR(SUMIFS('caseload data'!T:T,'caseload data'!$C:$C,'divisional &amp; regional caseload%'!$T$71,'caseload data'!$D:$D,"PSO")/SUMIF('caseload data'!$C:$C,'divisional &amp; regional caseload%'!$T$71,'caseload data'!T:T),"")</f>
        <v/>
      </c>
    </row>
    <row r="75" spans="2:36" x14ac:dyDescent="0.15">
      <c r="B75" s="107" t="s">
        <v>913</v>
      </c>
      <c r="C75" s="181" t="str">
        <f>IFERROR(SUMIFS('caseload data'!E:E,'caseload data'!$C:$C,'divisional &amp; regional caseload%'!$B$71,'caseload data'!$D:$D,"TPO")/SUMIF('caseload data'!$C:$C,'divisional &amp; regional caseload%'!$B$71,'caseload data'!E:E),"")</f>
        <v/>
      </c>
      <c r="D75" s="181" t="str">
        <f>IFERROR(SUMIFS('caseload data'!F:F,'caseload data'!$C:$C,'divisional &amp; regional caseload%'!$B$71,'caseload data'!$D:$D,"TPO")/SUMIF('caseload data'!$C:$C,'divisional &amp; regional caseload%'!$B$71,'caseload data'!F:F),"")</f>
        <v/>
      </c>
      <c r="E75" s="181" t="str">
        <f>IFERROR(SUMIFS('caseload data'!G:G,'caseload data'!$C:$C,'divisional &amp; regional caseload%'!$B$71,'caseload data'!$D:$D,"TPO")/SUMIF('caseload data'!$C:$C,'divisional &amp; regional caseload%'!$B$71,'caseload data'!G:G),"")</f>
        <v/>
      </c>
      <c r="F75" s="181" t="str">
        <f>IFERROR(SUMIFS('caseload data'!H:H,'caseload data'!$C:$C,'divisional &amp; regional caseload%'!$B$71,'caseload data'!$D:$D,"TPO")/SUMIF('caseload data'!$C:$C,'divisional &amp; regional caseload%'!$B$71,'caseload data'!H:H),"")</f>
        <v/>
      </c>
      <c r="G75" s="181" t="str">
        <f>IFERROR(SUMIFS('caseload data'!I:I,'caseload data'!$C:$C,'divisional &amp; regional caseload%'!$B$71,'caseload data'!$D:$D,"TPO")/SUMIF('caseload data'!$C:$C,'divisional &amp; regional caseload%'!$B$71,'caseload data'!I:I),"")</f>
        <v/>
      </c>
      <c r="H75" s="181" t="str">
        <f>IFERROR(SUMIFS('caseload data'!J:J,'caseload data'!$C:$C,'divisional &amp; regional caseload%'!$B$71,'caseload data'!$D:$D,"TPO")/SUMIF('caseload data'!$C:$C,'divisional &amp; regional caseload%'!$B$71,'caseload data'!J:J),"")</f>
        <v/>
      </c>
      <c r="I75" s="181" t="str">
        <f>IFERROR(SUMIFS('caseload data'!K:K,'caseload data'!$C:$C,'divisional &amp; regional caseload%'!$B$71,'caseload data'!$D:$D,"TPO")/SUMIF('caseload data'!$C:$C,'divisional &amp; regional caseload%'!$B$71,'caseload data'!K:K),"")</f>
        <v/>
      </c>
      <c r="J75" s="181" t="str">
        <f>IFERROR(SUMIFS('caseload data'!L:L,'caseload data'!$C:$C,'divisional &amp; regional caseload%'!$B$71,'caseload data'!$D:$D,"TPO")/SUMIF('caseload data'!$C:$C,'divisional &amp; regional caseload%'!$B$71,'caseload data'!L:L),"")</f>
        <v/>
      </c>
      <c r="K75" s="181" t="str">
        <f>IFERROR(SUMIFS('caseload data'!M:M,'caseload data'!$C:$C,'divisional &amp; regional caseload%'!$B$71,'caseload data'!$D:$D,"TPO")/SUMIF('caseload data'!$C:$C,'divisional &amp; regional caseload%'!$B$71,'caseload data'!M:M),"")</f>
        <v/>
      </c>
      <c r="L75" s="181" t="str">
        <f>IFERROR(SUMIFS('caseload data'!N:N,'caseload data'!$C:$C,'divisional &amp; regional caseload%'!$B$71,'caseload data'!$D:$D,"TPO")/SUMIF('caseload data'!$C:$C,'divisional &amp; regional caseload%'!$B$71,'caseload data'!N:N),"")</f>
        <v/>
      </c>
      <c r="M75" s="181" t="str">
        <f>IFERROR(SUMIFS('caseload data'!O:O,'caseload data'!$C:$C,'divisional &amp; regional caseload%'!$B$71,'caseload data'!$D:$D,"TPO")/SUMIF('caseload data'!$C:$C,'divisional &amp; regional caseload%'!$B$71,'caseload data'!O:O),"")</f>
        <v/>
      </c>
      <c r="N75" s="181" t="str">
        <f>IFERROR(SUMIFS('caseload data'!P:P,'caseload data'!$C:$C,'divisional &amp; regional caseload%'!$B$71,'caseload data'!$D:$D,"TPO")/SUMIF('caseload data'!$C:$C,'divisional &amp; regional caseload%'!$B$71,'caseload data'!P:P),"")</f>
        <v/>
      </c>
      <c r="O75" s="181" t="str">
        <f>IFERROR(SUMIFS('caseload data'!Q:Q,'caseload data'!$C:$C,'divisional &amp; regional caseload%'!$B$71,'caseload data'!$D:$D,"TPO")/SUMIF('caseload data'!$C:$C,'divisional &amp; regional caseload%'!$B$71,'caseload data'!Q:Q),"")</f>
        <v/>
      </c>
      <c r="P75" s="181" t="str">
        <f>IFERROR(SUMIFS('caseload data'!R:R,'caseload data'!$C:$C,'divisional &amp; regional caseload%'!$B$71,'caseload data'!$D:$D,"TPO")/SUMIF('caseload data'!$C:$C,'divisional &amp; regional caseload%'!$B$71,'caseload data'!R:R),"")</f>
        <v/>
      </c>
      <c r="Q75" s="181" t="str">
        <f>IFERROR(SUMIFS('caseload data'!S:S,'caseload data'!$C:$C,'divisional &amp; regional caseload%'!$B$71,'caseload data'!$D:$D,"TPO")/SUMIF('caseload data'!$C:$C,'divisional &amp; regional caseload%'!$B$71,'caseload data'!S:S),"")</f>
        <v/>
      </c>
      <c r="R75" s="181" t="str">
        <f>IFERROR(SUMIFS('caseload data'!T:T,'caseload data'!$C:$C,'divisional &amp; regional caseload%'!$B$71,'caseload data'!$D:$D,"TPO")/SUMIF('caseload data'!$C:$C,'divisional &amp; regional caseload%'!$B$71,'caseload data'!T:T),"")</f>
        <v/>
      </c>
      <c r="T75" s="107" t="s">
        <v>913</v>
      </c>
      <c r="U75" s="181" t="str">
        <f>IFERROR(SUMIFS('caseload data'!E:E,'caseload data'!$C:$C,'divisional &amp; regional caseload%'!$T$71,'caseload data'!$D:$D,"TPO")/SUMIF('caseload data'!$C:$C,'divisional &amp; regional caseload%'!$T$71,'caseload data'!E:E),"")</f>
        <v/>
      </c>
      <c r="V75" s="181" t="str">
        <f>IFERROR(SUMIFS('caseload data'!F:F,'caseload data'!$C:$C,'divisional &amp; regional caseload%'!$T$71,'caseload data'!$D:$D,"TPO")/SUMIF('caseload data'!$C:$C,'divisional &amp; regional caseload%'!$T$71,'caseload data'!F:F),"")</f>
        <v/>
      </c>
      <c r="W75" s="181" t="str">
        <f>IFERROR(SUMIFS('caseload data'!G:G,'caseload data'!$C:$C,'divisional &amp; regional caseload%'!$T$71,'caseload data'!$D:$D,"TPO")/SUMIF('caseload data'!$C:$C,'divisional &amp; regional caseload%'!$T$71,'caseload data'!G:G),"")</f>
        <v/>
      </c>
      <c r="X75" s="181" t="str">
        <f>IFERROR(SUMIFS('caseload data'!H:H,'caseload data'!$C:$C,'divisional &amp; regional caseload%'!$T$71,'caseload data'!$D:$D,"TPO")/SUMIF('caseload data'!$C:$C,'divisional &amp; regional caseload%'!$T$71,'caseload data'!H:H),"")</f>
        <v/>
      </c>
      <c r="Y75" s="181" t="str">
        <f>IFERROR(SUMIFS('caseload data'!I:I,'caseload data'!$C:$C,'divisional &amp; regional caseload%'!$T$71,'caseload data'!$D:$D,"TPO")/SUMIF('caseload data'!$C:$C,'divisional &amp; regional caseload%'!$T$71,'caseload data'!I:I),"")</f>
        <v/>
      </c>
      <c r="Z75" s="181" t="str">
        <f>IFERROR(SUMIFS('caseload data'!J:J,'caseload data'!$C:$C,'divisional &amp; regional caseload%'!$T$71,'caseload data'!$D:$D,"TPO")/SUMIF('caseload data'!$C:$C,'divisional &amp; regional caseload%'!$T$71,'caseload data'!J:J),"")</f>
        <v/>
      </c>
      <c r="AA75" s="181" t="str">
        <f>IFERROR(SUMIFS('caseload data'!K:K,'caseload data'!$C:$C,'divisional &amp; regional caseload%'!$T$71,'caseload data'!$D:$D,"TPO")/SUMIF('caseload data'!$C:$C,'divisional &amp; regional caseload%'!$T$71,'caseload data'!K:K),"")</f>
        <v/>
      </c>
      <c r="AB75" s="181" t="str">
        <f>IFERROR(SUMIFS('caseload data'!L:L,'caseload data'!$C:$C,'divisional &amp; regional caseload%'!$T$71,'caseload data'!$D:$D,"TPO")/SUMIF('caseload data'!$C:$C,'divisional &amp; regional caseload%'!$T$71,'caseload data'!L:L),"")</f>
        <v/>
      </c>
      <c r="AC75" s="181" t="str">
        <f>IFERROR(SUMIFS('caseload data'!M:M,'caseload data'!$C:$C,'divisional &amp; regional caseload%'!$T$71,'caseload data'!$D:$D,"TPO")/SUMIF('caseload data'!$C:$C,'divisional &amp; regional caseload%'!$T$71,'caseload data'!M:M),"")</f>
        <v/>
      </c>
      <c r="AD75" s="181" t="str">
        <f>IFERROR(SUMIFS('caseload data'!N:N,'caseload data'!$C:$C,'divisional &amp; regional caseload%'!$T$71,'caseload data'!$D:$D,"TPO")/SUMIF('caseload data'!$C:$C,'divisional &amp; regional caseload%'!$T$71,'caseload data'!N:N),"")</f>
        <v/>
      </c>
      <c r="AE75" s="181" t="str">
        <f>IFERROR(SUMIFS('caseload data'!O:O,'caseload data'!$C:$C,'divisional &amp; regional caseload%'!$T$71,'caseload data'!$D:$D,"TPO")/SUMIF('caseload data'!$C:$C,'divisional &amp; regional caseload%'!$T$71,'caseload data'!O:O),"")</f>
        <v/>
      </c>
      <c r="AF75" s="181" t="str">
        <f>IFERROR(SUMIFS('caseload data'!P:P,'caseload data'!$C:$C,'divisional &amp; regional caseload%'!$T$71,'caseload data'!$D:$D,"TPO")/SUMIF('caseload data'!$C:$C,'divisional &amp; regional caseload%'!$T$71,'caseload data'!P:P),"")</f>
        <v/>
      </c>
      <c r="AG75" s="181" t="str">
        <f>IFERROR(SUMIFS('caseload data'!Q:Q,'caseload data'!$C:$C,'divisional &amp; regional caseload%'!$T$71,'caseload data'!$D:$D,"TPO")/SUMIF('caseload data'!$C:$C,'divisional &amp; regional caseload%'!$T$71,'caseload data'!Q:Q),"")</f>
        <v/>
      </c>
      <c r="AH75" s="181" t="str">
        <f>IFERROR(SUMIFS('caseload data'!R:R,'caseload data'!$C:$C,'divisional &amp; regional caseload%'!$T$71,'caseload data'!$D:$D,"TPO")/SUMIF('caseload data'!$C:$C,'divisional &amp; regional caseload%'!$T$71,'caseload data'!R:R),"")</f>
        <v/>
      </c>
      <c r="AI75" s="181" t="str">
        <f>IFERROR(SUMIFS('caseload data'!S:S,'caseload data'!$C:$C,'divisional &amp; regional caseload%'!$T$71,'caseload data'!$D:$D,"TPO")/SUMIF('caseload data'!$C:$C,'divisional &amp; regional caseload%'!$T$71,'caseload data'!S:S),"")</f>
        <v/>
      </c>
      <c r="AJ75" s="181" t="str">
        <f>IFERROR(SUMIFS('caseload data'!T:T,'caseload data'!$C:$C,'divisional &amp; regional caseload%'!$T$71,'caseload data'!$D:$D,"TPO")/SUMIF('caseload data'!$C:$C,'divisional &amp; regional caseload%'!$T$71,'caseload data'!T:T),"")</f>
        <v/>
      </c>
    </row>
    <row r="76" spans="2:36" x14ac:dyDescent="0.15">
      <c r="B76" s="108" t="s">
        <v>914</v>
      </c>
      <c r="C76" s="181" t="str">
        <f>IFERROR(SUMIFS('caseload data'!E:E,'caseload data'!$C:$C,'divisional &amp; regional caseload%'!$B$71,'caseload data'!$D:$D,"SPO")/SUMIF('caseload data'!$C:$C,'divisional &amp; regional caseload%'!$B$71,'caseload data'!E:E),"")</f>
        <v/>
      </c>
      <c r="D76" s="181" t="str">
        <f>IFERROR(SUMIFS('caseload data'!F:F,'caseload data'!$C:$C,'divisional &amp; regional caseload%'!$B$71,'caseload data'!$D:$D,"SPO")/SUMIF('caseload data'!$C:$C,'divisional &amp; regional caseload%'!$B$71,'caseload data'!F:F),"")</f>
        <v/>
      </c>
      <c r="E76" s="181" t="str">
        <f>IFERROR(SUMIFS('caseload data'!G:G,'caseload data'!$C:$C,'divisional &amp; regional caseload%'!$B$71,'caseload data'!$D:$D,"SPO")/SUMIF('caseload data'!$C:$C,'divisional &amp; regional caseload%'!$B$71,'caseload data'!G:G),"")</f>
        <v/>
      </c>
      <c r="F76" s="181" t="str">
        <f>IFERROR(SUMIFS('caseload data'!H:H,'caseload data'!$C:$C,'divisional &amp; regional caseload%'!$B$71,'caseload data'!$D:$D,"SPO")/SUMIF('caseload data'!$C:$C,'divisional &amp; regional caseload%'!$B$71,'caseload data'!H:H),"")</f>
        <v/>
      </c>
      <c r="G76" s="181" t="str">
        <f>IFERROR(SUMIFS('caseload data'!I:I,'caseload data'!$C:$C,'divisional &amp; regional caseload%'!$B$71,'caseload data'!$D:$D,"SPO")/SUMIF('caseload data'!$C:$C,'divisional &amp; regional caseload%'!$B$71,'caseload data'!I:I),"")</f>
        <v/>
      </c>
      <c r="H76" s="181" t="str">
        <f>IFERROR(SUMIFS('caseload data'!J:J,'caseload data'!$C:$C,'divisional &amp; regional caseload%'!$B$71,'caseload data'!$D:$D,"SPO")/SUMIF('caseload data'!$C:$C,'divisional &amp; regional caseload%'!$B$71,'caseload data'!J:J),"")</f>
        <v/>
      </c>
      <c r="I76" s="181" t="str">
        <f>IFERROR(SUMIFS('caseload data'!K:K,'caseload data'!$C:$C,'divisional &amp; regional caseload%'!$B$71,'caseload data'!$D:$D,"SPO")/SUMIF('caseload data'!$C:$C,'divisional &amp; regional caseload%'!$B$71,'caseload data'!K:K),"")</f>
        <v/>
      </c>
      <c r="J76" s="181" t="str">
        <f>IFERROR(SUMIFS('caseload data'!L:L,'caseload data'!$C:$C,'divisional &amp; regional caseload%'!$B$71,'caseload data'!$D:$D,"SPO")/SUMIF('caseload data'!$C:$C,'divisional &amp; regional caseload%'!$B$71,'caseload data'!L:L),"")</f>
        <v/>
      </c>
      <c r="K76" s="181" t="str">
        <f>IFERROR(SUMIFS('caseload data'!M:M,'caseload data'!$C:$C,'divisional &amp; regional caseload%'!$B$71,'caseload data'!$D:$D,"SPO")/SUMIF('caseload data'!$C:$C,'divisional &amp; regional caseload%'!$B$71,'caseload data'!M:M),"")</f>
        <v/>
      </c>
      <c r="L76" s="181" t="str">
        <f>IFERROR(SUMIFS('caseload data'!N:N,'caseload data'!$C:$C,'divisional &amp; regional caseload%'!$B$71,'caseload data'!$D:$D,"SPO")/SUMIF('caseload data'!$C:$C,'divisional &amp; regional caseload%'!$B$71,'caseload data'!N:N),"")</f>
        <v/>
      </c>
      <c r="M76" s="181" t="str">
        <f>IFERROR(SUMIFS('caseload data'!O:O,'caseload data'!$C:$C,'divisional &amp; regional caseload%'!$B$71,'caseload data'!$D:$D,"SPO")/SUMIF('caseload data'!$C:$C,'divisional &amp; regional caseload%'!$B$71,'caseload data'!O:O),"")</f>
        <v/>
      </c>
      <c r="N76" s="181" t="str">
        <f>IFERROR(SUMIFS('caseload data'!P:P,'caseload data'!$C:$C,'divisional &amp; regional caseload%'!$B$71,'caseload data'!$D:$D,"SPO")/SUMIF('caseload data'!$C:$C,'divisional &amp; regional caseload%'!$B$71,'caseload data'!P:P),"")</f>
        <v/>
      </c>
      <c r="O76" s="181" t="str">
        <f>IFERROR(SUMIFS('caseload data'!Q:Q,'caseload data'!$C:$C,'divisional &amp; regional caseload%'!$B$71,'caseload data'!$D:$D,"SPO")/SUMIF('caseload data'!$C:$C,'divisional &amp; regional caseload%'!$B$71,'caseload data'!Q:Q),"")</f>
        <v/>
      </c>
      <c r="P76" s="181" t="str">
        <f>IFERROR(SUMIFS('caseload data'!R:R,'caseload data'!$C:$C,'divisional &amp; regional caseload%'!$B$71,'caseload data'!$D:$D,"SPO")/SUMIF('caseload data'!$C:$C,'divisional &amp; regional caseload%'!$B$71,'caseload data'!R:R),"")</f>
        <v/>
      </c>
      <c r="Q76" s="181" t="str">
        <f>IFERROR(SUMIFS('caseload data'!S:S,'caseload data'!$C:$C,'divisional &amp; regional caseload%'!$B$71,'caseload data'!$D:$D,"SPO")/SUMIF('caseload data'!$C:$C,'divisional &amp; regional caseload%'!$B$71,'caseload data'!S:S),"")</f>
        <v/>
      </c>
      <c r="R76" s="181" t="str">
        <f>IFERROR(SUMIFS('caseload data'!T:T,'caseload data'!$C:$C,'divisional &amp; regional caseload%'!$B$71,'caseload data'!$D:$D,"SPO")/SUMIF('caseload data'!$C:$C,'divisional &amp; regional caseload%'!$B$71,'caseload data'!T:T),"")</f>
        <v/>
      </c>
      <c r="T76" s="108" t="s">
        <v>914</v>
      </c>
      <c r="U76" s="181" t="str">
        <f>IFERROR(SUMIFS('caseload data'!E:E,'caseload data'!$C:$C,'divisional &amp; regional caseload%'!$T$71,'caseload data'!$D:$D,"SPO")/SUMIF('caseload data'!$C:$C,'divisional &amp; regional caseload%'!$T$71,'caseload data'!E:E),"")</f>
        <v/>
      </c>
      <c r="V76" s="181" t="str">
        <f>IFERROR(SUMIFS('caseload data'!F:F,'caseload data'!$C:$C,'divisional &amp; regional caseload%'!$T$71,'caseload data'!$D:$D,"SPO")/SUMIF('caseload data'!$C:$C,'divisional &amp; regional caseload%'!$T$71,'caseload data'!F:F),"")</f>
        <v/>
      </c>
      <c r="W76" s="181" t="str">
        <f>IFERROR(SUMIFS('caseload data'!G:G,'caseload data'!$C:$C,'divisional &amp; regional caseload%'!$T$71,'caseload data'!$D:$D,"SPO")/SUMIF('caseload data'!$C:$C,'divisional &amp; regional caseload%'!$T$71,'caseload data'!G:G),"")</f>
        <v/>
      </c>
      <c r="X76" s="181" t="str">
        <f>IFERROR(SUMIFS('caseload data'!H:H,'caseload data'!$C:$C,'divisional &amp; regional caseload%'!$T$71,'caseload data'!$D:$D,"SPO")/SUMIF('caseload data'!$C:$C,'divisional &amp; regional caseload%'!$T$71,'caseload data'!H:H),"")</f>
        <v/>
      </c>
      <c r="Y76" s="181" t="str">
        <f>IFERROR(SUMIFS('caseload data'!I:I,'caseload data'!$C:$C,'divisional &amp; regional caseload%'!$T$71,'caseload data'!$D:$D,"SPO")/SUMIF('caseload data'!$C:$C,'divisional &amp; regional caseload%'!$T$71,'caseload data'!I:I),"")</f>
        <v/>
      </c>
      <c r="Z76" s="181" t="str">
        <f>IFERROR(SUMIFS('caseload data'!J:J,'caseload data'!$C:$C,'divisional &amp; regional caseload%'!$T$71,'caseload data'!$D:$D,"SPO")/SUMIF('caseload data'!$C:$C,'divisional &amp; regional caseload%'!$T$71,'caseload data'!J:J),"")</f>
        <v/>
      </c>
      <c r="AA76" s="181" t="str">
        <f>IFERROR(SUMIFS('caseload data'!K:K,'caseload data'!$C:$C,'divisional &amp; regional caseload%'!$T$71,'caseload data'!$D:$D,"SPO")/SUMIF('caseload data'!$C:$C,'divisional &amp; regional caseload%'!$T$71,'caseload data'!K:K),"")</f>
        <v/>
      </c>
      <c r="AB76" s="181" t="str">
        <f>IFERROR(SUMIFS('caseload data'!L:L,'caseload data'!$C:$C,'divisional &amp; regional caseload%'!$T$71,'caseload data'!$D:$D,"SPO")/SUMIF('caseload data'!$C:$C,'divisional &amp; regional caseload%'!$T$71,'caseload data'!L:L),"")</f>
        <v/>
      </c>
      <c r="AC76" s="181" t="str">
        <f>IFERROR(SUMIFS('caseload data'!M:M,'caseload data'!$C:$C,'divisional &amp; regional caseload%'!$T$71,'caseload data'!$D:$D,"SPO")/SUMIF('caseload data'!$C:$C,'divisional &amp; regional caseload%'!$T$71,'caseload data'!M:M),"")</f>
        <v/>
      </c>
      <c r="AD76" s="181" t="str">
        <f>IFERROR(SUMIFS('caseload data'!N:N,'caseload data'!$C:$C,'divisional &amp; regional caseload%'!$T$71,'caseload data'!$D:$D,"SPO")/SUMIF('caseload data'!$C:$C,'divisional &amp; regional caseload%'!$T$71,'caseload data'!N:N),"")</f>
        <v/>
      </c>
      <c r="AE76" s="181" t="str">
        <f>IFERROR(SUMIFS('caseload data'!O:O,'caseload data'!$C:$C,'divisional &amp; regional caseload%'!$T$71,'caseload data'!$D:$D,"SPO")/SUMIF('caseload data'!$C:$C,'divisional &amp; regional caseload%'!$T$71,'caseload data'!O:O),"")</f>
        <v/>
      </c>
      <c r="AF76" s="181" t="str">
        <f>IFERROR(SUMIFS('caseload data'!P:P,'caseload data'!$C:$C,'divisional &amp; regional caseload%'!$T$71,'caseload data'!$D:$D,"SPO")/SUMIF('caseload data'!$C:$C,'divisional &amp; regional caseload%'!$T$71,'caseload data'!P:P),"")</f>
        <v/>
      </c>
      <c r="AG76" s="181" t="str">
        <f>IFERROR(SUMIFS('caseload data'!Q:Q,'caseload data'!$C:$C,'divisional &amp; regional caseload%'!$T$71,'caseload data'!$D:$D,"SPO")/SUMIF('caseload data'!$C:$C,'divisional &amp; regional caseload%'!$T$71,'caseload data'!Q:Q),"")</f>
        <v/>
      </c>
      <c r="AH76" s="181" t="str">
        <f>IFERROR(SUMIFS('caseload data'!R:R,'caseload data'!$C:$C,'divisional &amp; regional caseload%'!$T$71,'caseload data'!$D:$D,"SPO")/SUMIF('caseload data'!$C:$C,'divisional &amp; regional caseload%'!$T$71,'caseload data'!R:R),"")</f>
        <v/>
      </c>
      <c r="AI76" s="181" t="str">
        <f>IFERROR(SUMIFS('caseload data'!S:S,'caseload data'!$C:$C,'divisional &amp; regional caseload%'!$T$71,'caseload data'!$D:$D,"SPO")/SUMIF('caseload data'!$C:$C,'divisional &amp; regional caseload%'!$T$71,'caseload data'!S:S),"")</f>
        <v/>
      </c>
      <c r="AJ76" s="181" t="str">
        <f>IFERROR(SUMIFS('caseload data'!T:T,'caseload data'!$C:$C,'divisional &amp; regional caseload%'!$T$71,'caseload data'!$D:$D,"SPO")/SUMIF('caseload data'!$C:$C,'divisional &amp; regional caseload%'!$T$71,'caseload data'!T:T),"")</f>
        <v/>
      </c>
    </row>
    <row r="78" spans="2:36" x14ac:dyDescent="0.15">
      <c r="B78" s="156" t="str">
        <f>HLOOKUP($B$5,Region_Table,22,0)</f>
        <v>Tower Hamlets</v>
      </c>
      <c r="C78" s="367" t="s">
        <v>1130</v>
      </c>
      <c r="D78" s="368"/>
      <c r="E78" s="368"/>
      <c r="F78" s="368"/>
      <c r="G78" s="368"/>
      <c r="H78" s="368"/>
      <c r="I78" s="368"/>
      <c r="J78" s="368"/>
      <c r="K78" s="368"/>
      <c r="L78" s="368"/>
      <c r="M78" s="377"/>
      <c r="N78" s="377"/>
      <c r="O78" s="378"/>
      <c r="P78" s="371">
        <f>SUMIF('caseload data'!$C:$C,'divisional &amp; regional caseload%'!B78,'caseload data'!V:V)</f>
        <v>0</v>
      </c>
      <c r="Q78" s="379"/>
      <c r="R78" s="380"/>
      <c r="T78" s="156" t="str">
        <f>HLOOKUP($B$5,Region_Table,23,0)</f>
        <v>Unallocated Level 2(N07)</v>
      </c>
      <c r="U78" s="367" t="s">
        <v>1130</v>
      </c>
      <c r="V78" s="368"/>
      <c r="W78" s="368"/>
      <c r="X78" s="368"/>
      <c r="Y78" s="368"/>
      <c r="Z78" s="368"/>
      <c r="AA78" s="368"/>
      <c r="AB78" s="368"/>
      <c r="AC78" s="368"/>
      <c r="AD78" s="368"/>
      <c r="AE78" s="377"/>
      <c r="AF78" s="377"/>
      <c r="AG78" s="378"/>
      <c r="AH78" s="371">
        <f>SUMIF('caseload data'!$C:$C,'divisional &amp; regional caseload%'!T78,'caseload data'!V:V)</f>
        <v>0</v>
      </c>
      <c r="AI78" s="379"/>
      <c r="AJ78" s="380"/>
    </row>
    <row r="79" spans="2:36" x14ac:dyDescent="0.15">
      <c r="B79" s="105" t="s">
        <v>1065</v>
      </c>
      <c r="C79" s="41" t="s">
        <v>922</v>
      </c>
      <c r="D79" s="41" t="s">
        <v>923</v>
      </c>
      <c r="E79" s="41" t="s">
        <v>924</v>
      </c>
      <c r="F79" s="41" t="s">
        <v>925</v>
      </c>
      <c r="G79" s="41" t="s">
        <v>926</v>
      </c>
      <c r="H79" s="41" t="s">
        <v>927</v>
      </c>
      <c r="I79" s="41" t="s">
        <v>928</v>
      </c>
      <c r="J79" s="41" t="s">
        <v>929</v>
      </c>
      <c r="K79" s="41" t="s">
        <v>930</v>
      </c>
      <c r="L79" s="41" t="s">
        <v>931</v>
      </c>
      <c r="M79" s="41" t="s">
        <v>932</v>
      </c>
      <c r="N79" s="41" t="s">
        <v>933</v>
      </c>
      <c r="O79" s="41" t="s">
        <v>934</v>
      </c>
      <c r="P79" s="41" t="s">
        <v>935</v>
      </c>
      <c r="Q79" s="41" t="s">
        <v>936</v>
      </c>
      <c r="R79" s="41" t="s">
        <v>937</v>
      </c>
      <c r="T79" s="105" t="s">
        <v>1065</v>
      </c>
      <c r="U79" s="41" t="s">
        <v>922</v>
      </c>
      <c r="V79" s="41" t="s">
        <v>923</v>
      </c>
      <c r="W79" s="41" t="s">
        <v>924</v>
      </c>
      <c r="X79" s="41" t="s">
        <v>925</v>
      </c>
      <c r="Y79" s="41" t="s">
        <v>926</v>
      </c>
      <c r="Z79" s="41" t="s">
        <v>927</v>
      </c>
      <c r="AA79" s="41" t="s">
        <v>928</v>
      </c>
      <c r="AB79" s="41" t="s">
        <v>929</v>
      </c>
      <c r="AC79" s="41" t="s">
        <v>930</v>
      </c>
      <c r="AD79" s="41" t="s">
        <v>931</v>
      </c>
      <c r="AE79" s="41" t="s">
        <v>932</v>
      </c>
      <c r="AF79" s="41" t="s">
        <v>933</v>
      </c>
      <c r="AG79" s="41" t="s">
        <v>934</v>
      </c>
      <c r="AH79" s="41" t="s">
        <v>935</v>
      </c>
      <c r="AI79" s="41" t="s">
        <v>936</v>
      </c>
      <c r="AJ79" s="41" t="s">
        <v>937</v>
      </c>
    </row>
    <row r="80" spans="2:36" x14ac:dyDescent="0.15">
      <c r="B80" s="106" t="s">
        <v>911</v>
      </c>
      <c r="C80" s="181" t="str">
        <f>IFERROR(SUMIFS('caseload data'!E:E,'caseload data'!$C:$C,'divisional &amp; regional caseload%'!$B$78,'caseload data'!$D:$D,"PO")/SUMIF('caseload data'!$C:$C,'divisional &amp; regional caseload%'!$B$78,'caseload data'!E:E),"")</f>
        <v/>
      </c>
      <c r="D80" s="181" t="str">
        <f>IFERROR(SUMIFS('caseload data'!F:F,'caseload data'!$C:$C,'divisional &amp; regional caseload%'!$B$78,'caseload data'!$D:$D,"PO")/SUMIF('caseload data'!$C:$C,'divisional &amp; regional caseload%'!$B$78,'caseload data'!F:F),"")</f>
        <v/>
      </c>
      <c r="E80" s="181" t="str">
        <f>IFERROR(SUMIFS('caseload data'!G:G,'caseload data'!$C:$C,'divisional &amp; regional caseload%'!$B$78,'caseload data'!$D:$D,"PO")/SUMIF('caseload data'!$C:$C,'divisional &amp; regional caseload%'!$B$78,'caseload data'!G:G),"")</f>
        <v/>
      </c>
      <c r="F80" s="181" t="str">
        <f>IFERROR(SUMIFS('caseload data'!H:H,'caseload data'!$C:$C,'divisional &amp; regional caseload%'!$B$78,'caseload data'!$D:$D,"PO")/SUMIF('caseload data'!$C:$C,'divisional &amp; regional caseload%'!$B$78,'caseload data'!H:H),"")</f>
        <v/>
      </c>
      <c r="G80" s="181" t="str">
        <f>IFERROR(SUMIFS('caseload data'!I:I,'caseload data'!$C:$C,'divisional &amp; regional caseload%'!$B$78,'caseload data'!$D:$D,"PO")/SUMIF('caseload data'!$C:$C,'divisional &amp; regional caseload%'!$B$78,'caseload data'!I:I),"")</f>
        <v/>
      </c>
      <c r="H80" s="181" t="str">
        <f>IFERROR(SUMIFS('caseload data'!J:J,'caseload data'!$C:$C,'divisional &amp; regional caseload%'!$B$78,'caseload data'!$D:$D,"PO")/SUMIF('caseload data'!$C:$C,'divisional &amp; regional caseload%'!$B$78,'caseload data'!J:J),"")</f>
        <v/>
      </c>
      <c r="I80" s="181" t="str">
        <f>IFERROR(SUMIFS('caseload data'!K:K,'caseload data'!$C:$C,'divisional &amp; regional caseload%'!$B$78,'caseload data'!$D:$D,"PO")/SUMIF('caseload data'!$C:$C,'divisional &amp; regional caseload%'!$B$78,'caseload data'!K:K),"")</f>
        <v/>
      </c>
      <c r="J80" s="181" t="str">
        <f>IFERROR(SUMIFS('caseload data'!L:L,'caseload data'!$C:$C,'divisional &amp; regional caseload%'!$B$78,'caseload data'!$D:$D,"PO")/SUMIF('caseload data'!$C:$C,'divisional &amp; regional caseload%'!$B$78,'caseload data'!L:L),"")</f>
        <v/>
      </c>
      <c r="K80" s="181" t="str">
        <f>IFERROR(SUMIFS('caseload data'!M:M,'caseload data'!$C:$C,'divisional &amp; regional caseload%'!$B$78,'caseload data'!$D:$D,"PO")/SUMIF('caseload data'!$C:$C,'divisional &amp; regional caseload%'!$B$78,'caseload data'!M:M),"")</f>
        <v/>
      </c>
      <c r="L80" s="181" t="str">
        <f>IFERROR(SUMIFS('caseload data'!N:N,'caseload data'!$C:$C,'divisional &amp; regional caseload%'!$B$78,'caseload data'!$D:$D,"PO")/SUMIF('caseload data'!$C:$C,'divisional &amp; regional caseload%'!$B$78,'caseload data'!N:N),"")</f>
        <v/>
      </c>
      <c r="M80" s="181" t="str">
        <f>IFERROR(SUMIFS('caseload data'!O:O,'caseload data'!$C:$C,'divisional &amp; regional caseload%'!$B$78,'caseload data'!$D:$D,"PO")/SUMIF('caseload data'!$C:$C,'divisional &amp; regional caseload%'!$B$78,'caseload data'!O:O),"")</f>
        <v/>
      </c>
      <c r="N80" s="181" t="str">
        <f>IFERROR(SUMIFS('caseload data'!P:P,'caseload data'!$C:$C,'divisional &amp; regional caseload%'!$B$78,'caseload data'!$D:$D,"PO")/SUMIF('caseload data'!$C:$C,'divisional &amp; regional caseload%'!$B$78,'caseload data'!P:P),"")</f>
        <v/>
      </c>
      <c r="O80" s="181" t="str">
        <f>IFERROR(SUMIFS('caseload data'!Q:Q,'caseload data'!$C:$C,'divisional &amp; regional caseload%'!$B$78,'caseload data'!$D:$D,"PO")/SUMIF('caseload data'!$C:$C,'divisional &amp; regional caseload%'!$B$78,'caseload data'!Q:Q),"")</f>
        <v/>
      </c>
      <c r="P80" s="181" t="str">
        <f>IFERROR(SUMIFS('caseload data'!R:R,'caseload data'!$C:$C,'divisional &amp; regional caseload%'!$B$78,'caseload data'!$D:$D,"PO")/SUMIF('caseload data'!$C:$C,'divisional &amp; regional caseload%'!$B$78,'caseload data'!R:R),"")</f>
        <v/>
      </c>
      <c r="Q80" s="181" t="str">
        <f>IFERROR(SUMIFS('caseload data'!S:S,'caseload data'!$C:$C,'divisional &amp; regional caseload%'!$B$78,'caseload data'!$D:$D,"PO")/SUMIF('caseload data'!$C:$C,'divisional &amp; regional caseload%'!$B$78,'caseload data'!S:S),"")</f>
        <v/>
      </c>
      <c r="R80" s="181" t="str">
        <f>IFERROR(SUMIFS('caseload data'!T:T,'caseload data'!$C:$C,'divisional &amp; regional caseload%'!$B$78,'caseload data'!$D:$D,"PO")/SUMIF('caseload data'!$C:$C,'divisional &amp; regional caseload%'!$B$78,'caseload data'!T:T),"")</f>
        <v/>
      </c>
      <c r="T80" s="106" t="s">
        <v>911</v>
      </c>
      <c r="U80" s="181" t="str">
        <f>IFERROR(SUMIFS('caseload data'!E:E,'caseload data'!$C:$C,'divisional &amp; regional caseload%'!$T$78,'caseload data'!$D:$D,"PO")/SUMIF('caseload data'!$C:$C,'divisional &amp; regional caseload%'!$T$78,'caseload data'!E:E),"")</f>
        <v/>
      </c>
      <c r="V80" s="181" t="str">
        <f>IFERROR(SUMIFS('caseload data'!F:F,'caseload data'!$C:$C,'divisional &amp; regional caseload%'!$T$78,'caseload data'!$D:$D,"PO")/SUMIF('caseload data'!$C:$C,'divisional &amp; regional caseload%'!$T$78,'caseload data'!F:F),"")</f>
        <v/>
      </c>
      <c r="W80" s="181" t="str">
        <f>IFERROR(SUMIFS('caseload data'!G:G,'caseload data'!$C:$C,'divisional &amp; regional caseload%'!$T$78,'caseload data'!$D:$D,"PO")/SUMIF('caseload data'!$C:$C,'divisional &amp; regional caseload%'!$T$78,'caseload data'!G:G),"")</f>
        <v/>
      </c>
      <c r="X80" s="181" t="str">
        <f>IFERROR(SUMIFS('caseload data'!H:H,'caseload data'!$C:$C,'divisional &amp; regional caseload%'!$T$78,'caseload data'!$D:$D,"PO")/SUMIF('caseload data'!$C:$C,'divisional &amp; regional caseload%'!$T$78,'caseload data'!H:H),"")</f>
        <v/>
      </c>
      <c r="Y80" s="181" t="str">
        <f>IFERROR(SUMIFS('caseload data'!I:I,'caseload data'!$C:$C,'divisional &amp; regional caseload%'!$T$78,'caseload data'!$D:$D,"PO")/SUMIF('caseload data'!$C:$C,'divisional &amp; regional caseload%'!$T$78,'caseload data'!I:I),"")</f>
        <v/>
      </c>
      <c r="Z80" s="181" t="str">
        <f>IFERROR(SUMIFS('caseload data'!J:J,'caseload data'!$C:$C,'divisional &amp; regional caseload%'!$T$78,'caseload data'!$D:$D,"PO")/SUMIF('caseload data'!$C:$C,'divisional &amp; regional caseload%'!$T$78,'caseload data'!J:J),"")</f>
        <v/>
      </c>
      <c r="AA80" s="181" t="str">
        <f>IFERROR(SUMIFS('caseload data'!K:K,'caseload data'!$C:$C,'divisional &amp; regional caseload%'!$T$78,'caseload data'!$D:$D,"PO")/SUMIF('caseload data'!$C:$C,'divisional &amp; regional caseload%'!$T$78,'caseload data'!K:K),"")</f>
        <v/>
      </c>
      <c r="AB80" s="181" t="str">
        <f>IFERROR(SUMIFS('caseload data'!L:L,'caseload data'!$C:$C,'divisional &amp; regional caseload%'!$T$78,'caseload data'!$D:$D,"PO")/SUMIF('caseload data'!$C:$C,'divisional &amp; regional caseload%'!$T$78,'caseload data'!L:L),"")</f>
        <v/>
      </c>
      <c r="AC80" s="181" t="str">
        <f>IFERROR(SUMIFS('caseload data'!M:M,'caseload data'!$C:$C,'divisional &amp; regional caseload%'!$T$78,'caseload data'!$D:$D,"PO")/SUMIF('caseload data'!$C:$C,'divisional &amp; regional caseload%'!$T$78,'caseload data'!M:M),"")</f>
        <v/>
      </c>
      <c r="AD80" s="181" t="str">
        <f>IFERROR(SUMIFS('caseload data'!N:N,'caseload data'!$C:$C,'divisional &amp; regional caseload%'!$T$78,'caseload data'!$D:$D,"PO")/SUMIF('caseload data'!$C:$C,'divisional &amp; regional caseload%'!$T$78,'caseload data'!N:N),"")</f>
        <v/>
      </c>
      <c r="AE80" s="181" t="str">
        <f>IFERROR(SUMIFS('caseload data'!O:O,'caseload data'!$C:$C,'divisional &amp; regional caseload%'!$T$78,'caseload data'!$D:$D,"PO")/SUMIF('caseload data'!$C:$C,'divisional &amp; regional caseload%'!$T$78,'caseload data'!O:O),"")</f>
        <v/>
      </c>
      <c r="AF80" s="181" t="str">
        <f>IFERROR(SUMIFS('caseload data'!P:P,'caseload data'!$C:$C,'divisional &amp; regional caseload%'!$T$78,'caseload data'!$D:$D,"PO")/SUMIF('caseload data'!$C:$C,'divisional &amp; regional caseload%'!$T$78,'caseload data'!P:P),"")</f>
        <v/>
      </c>
      <c r="AG80" s="181" t="str">
        <f>IFERROR(SUMIFS('caseload data'!Q:Q,'caseload data'!$C:$C,'divisional &amp; regional caseload%'!$T$78,'caseload data'!$D:$D,"PO")/SUMIF('caseload data'!$C:$C,'divisional &amp; regional caseload%'!$T$78,'caseload data'!Q:Q),"")</f>
        <v/>
      </c>
      <c r="AH80" s="181" t="str">
        <f>IFERROR(SUMIFS('caseload data'!R:R,'caseload data'!$C:$C,'divisional &amp; regional caseload%'!$T$78,'caseload data'!$D:$D,"PO")/SUMIF('caseload data'!$C:$C,'divisional &amp; regional caseload%'!$T$78,'caseload data'!R:R),"")</f>
        <v/>
      </c>
      <c r="AI80" s="181" t="str">
        <f>IFERROR(SUMIFS('caseload data'!S:S,'caseload data'!$C:$C,'divisional &amp; regional caseload%'!$T$78,'caseload data'!$D:$D,"PO")/SUMIF('caseload data'!$C:$C,'divisional &amp; regional caseload%'!$T$78,'caseload data'!S:S),"")</f>
        <v/>
      </c>
      <c r="AJ80" s="181" t="str">
        <f>IFERROR(SUMIFS('caseload data'!T:T,'caseload data'!$C:$C,'divisional &amp; regional caseload%'!$T$78,'caseload data'!$D:$D,"PO")/SUMIF('caseload data'!$C:$C,'divisional &amp; regional caseload%'!$T$78,'caseload data'!T:T),"")</f>
        <v/>
      </c>
    </row>
    <row r="81" spans="2:36" x14ac:dyDescent="0.15">
      <c r="B81" s="107" t="s">
        <v>912</v>
      </c>
      <c r="C81" s="181" t="str">
        <f>IFERROR(SUMIFS('caseload data'!E:E,'caseload data'!$C:$C,'divisional &amp; regional caseload%'!$B$78,'caseload data'!$D:$D,"PSO")/SUMIF('caseload data'!$C:$C,'divisional &amp; regional caseload%'!$B$78,'caseload data'!E:E),"")</f>
        <v/>
      </c>
      <c r="D81" s="181" t="str">
        <f>IFERROR(SUMIFS('caseload data'!F:F,'caseload data'!$C:$C,'divisional &amp; regional caseload%'!$B$78,'caseload data'!$D:$D,"PSO")/SUMIF('caseload data'!$C:$C,'divisional &amp; regional caseload%'!$B$78,'caseload data'!F:F),"")</f>
        <v/>
      </c>
      <c r="E81" s="181" t="str">
        <f>IFERROR(SUMIFS('caseload data'!G:G,'caseload data'!$C:$C,'divisional &amp; regional caseload%'!$B$78,'caseload data'!$D:$D,"PSO")/SUMIF('caseload data'!$C:$C,'divisional &amp; regional caseload%'!$B$78,'caseload data'!G:G),"")</f>
        <v/>
      </c>
      <c r="F81" s="181" t="str">
        <f>IFERROR(SUMIFS('caseload data'!H:H,'caseload data'!$C:$C,'divisional &amp; regional caseload%'!$B$78,'caseload data'!$D:$D,"PSO")/SUMIF('caseload data'!$C:$C,'divisional &amp; regional caseload%'!$B$78,'caseload data'!H:H),"")</f>
        <v/>
      </c>
      <c r="G81" s="181" t="str">
        <f>IFERROR(SUMIFS('caseload data'!I:I,'caseload data'!$C:$C,'divisional &amp; regional caseload%'!$B$78,'caseload data'!$D:$D,"PSO")/SUMIF('caseload data'!$C:$C,'divisional &amp; regional caseload%'!$B$78,'caseload data'!I:I),"")</f>
        <v/>
      </c>
      <c r="H81" s="181" t="str">
        <f>IFERROR(SUMIFS('caseload data'!J:J,'caseload data'!$C:$C,'divisional &amp; regional caseload%'!$B$78,'caseload data'!$D:$D,"PSO")/SUMIF('caseload data'!$C:$C,'divisional &amp; regional caseload%'!$B$78,'caseload data'!J:J),"")</f>
        <v/>
      </c>
      <c r="I81" s="181" t="str">
        <f>IFERROR(SUMIFS('caseload data'!K:K,'caseload data'!$C:$C,'divisional &amp; regional caseload%'!$B$78,'caseload data'!$D:$D,"PSO")/SUMIF('caseload data'!$C:$C,'divisional &amp; regional caseload%'!$B$78,'caseload data'!K:K),"")</f>
        <v/>
      </c>
      <c r="J81" s="181" t="str">
        <f>IFERROR(SUMIFS('caseload data'!L:L,'caseload data'!$C:$C,'divisional &amp; regional caseload%'!$B$78,'caseload data'!$D:$D,"PSO")/SUMIF('caseload data'!$C:$C,'divisional &amp; regional caseload%'!$B$78,'caseload data'!L:L),"")</f>
        <v/>
      </c>
      <c r="K81" s="181" t="str">
        <f>IFERROR(SUMIFS('caseload data'!M:M,'caseload data'!$C:$C,'divisional &amp; regional caseload%'!$B$78,'caseload data'!$D:$D,"PSO")/SUMIF('caseload data'!$C:$C,'divisional &amp; regional caseload%'!$B$78,'caseload data'!M:M),"")</f>
        <v/>
      </c>
      <c r="L81" s="181" t="str">
        <f>IFERROR(SUMIFS('caseload data'!N:N,'caseload data'!$C:$C,'divisional &amp; regional caseload%'!$B$78,'caseload data'!$D:$D,"PSO")/SUMIF('caseload data'!$C:$C,'divisional &amp; regional caseload%'!$B$78,'caseload data'!N:N),"")</f>
        <v/>
      </c>
      <c r="M81" s="181" t="str">
        <f>IFERROR(SUMIFS('caseload data'!O:O,'caseload data'!$C:$C,'divisional &amp; regional caseload%'!$B$78,'caseload data'!$D:$D,"PSO")/SUMIF('caseload data'!$C:$C,'divisional &amp; regional caseload%'!$B$78,'caseload data'!O:O),"")</f>
        <v/>
      </c>
      <c r="N81" s="181" t="str">
        <f>IFERROR(SUMIFS('caseload data'!P:P,'caseload data'!$C:$C,'divisional &amp; regional caseload%'!$B$78,'caseload data'!$D:$D,"PSO")/SUMIF('caseload data'!$C:$C,'divisional &amp; regional caseload%'!$B$78,'caseload data'!P:P),"")</f>
        <v/>
      </c>
      <c r="O81" s="181" t="str">
        <f>IFERROR(SUMIFS('caseload data'!Q:Q,'caseload data'!$C:$C,'divisional &amp; regional caseload%'!$B$78,'caseload data'!$D:$D,"PSO")/SUMIF('caseload data'!$C:$C,'divisional &amp; regional caseload%'!$B$78,'caseload data'!Q:Q),"")</f>
        <v/>
      </c>
      <c r="P81" s="181" t="str">
        <f>IFERROR(SUMIFS('caseload data'!R:R,'caseload data'!$C:$C,'divisional &amp; regional caseload%'!$B$78,'caseload data'!$D:$D,"PSO")/SUMIF('caseload data'!$C:$C,'divisional &amp; regional caseload%'!$B$78,'caseload data'!R:R),"")</f>
        <v/>
      </c>
      <c r="Q81" s="181" t="str">
        <f>IFERROR(SUMIFS('caseload data'!S:S,'caseload data'!$C:$C,'divisional &amp; regional caseload%'!$B$78,'caseload data'!$D:$D,"PSO")/SUMIF('caseload data'!$C:$C,'divisional &amp; regional caseload%'!$B$78,'caseload data'!S:S),"")</f>
        <v/>
      </c>
      <c r="R81" s="181" t="str">
        <f>IFERROR(SUMIFS('caseload data'!T:T,'caseload data'!$C:$C,'divisional &amp; regional caseload%'!$B$78,'caseload data'!$D:$D,"PSO")/SUMIF('caseload data'!$C:$C,'divisional &amp; regional caseload%'!$B$78,'caseload data'!T:T),"")</f>
        <v/>
      </c>
      <c r="T81" s="107" t="s">
        <v>912</v>
      </c>
      <c r="U81" s="181" t="str">
        <f>IFERROR(SUMIFS('caseload data'!E:E,'caseload data'!$C:$C,'divisional &amp; regional caseload%'!$T$78,'caseload data'!$D:$D,"PSO")/SUMIF('caseload data'!$C:$C,'divisional &amp; regional caseload%'!$T$78,'caseload data'!E:E),"")</f>
        <v/>
      </c>
      <c r="V81" s="181" t="str">
        <f>IFERROR(SUMIFS('caseload data'!F:F,'caseload data'!$C:$C,'divisional &amp; regional caseload%'!$T$78,'caseload data'!$D:$D,"PSO")/SUMIF('caseload data'!$C:$C,'divisional &amp; regional caseload%'!$T$78,'caseload data'!F:F),"")</f>
        <v/>
      </c>
      <c r="W81" s="181" t="str">
        <f>IFERROR(SUMIFS('caseload data'!G:G,'caseload data'!$C:$C,'divisional &amp; regional caseload%'!$T$78,'caseload data'!$D:$D,"PSO")/SUMIF('caseload data'!$C:$C,'divisional &amp; regional caseload%'!$T$78,'caseload data'!G:G),"")</f>
        <v/>
      </c>
      <c r="X81" s="181" t="str">
        <f>IFERROR(SUMIFS('caseload data'!H:H,'caseload data'!$C:$C,'divisional &amp; regional caseload%'!$T$78,'caseload data'!$D:$D,"PSO")/SUMIF('caseload data'!$C:$C,'divisional &amp; regional caseload%'!$T$78,'caseload data'!H:H),"")</f>
        <v/>
      </c>
      <c r="Y81" s="181" t="str">
        <f>IFERROR(SUMIFS('caseload data'!I:I,'caseload data'!$C:$C,'divisional &amp; regional caseload%'!$T$78,'caseload data'!$D:$D,"PSO")/SUMIF('caseload data'!$C:$C,'divisional &amp; regional caseload%'!$T$78,'caseload data'!I:I),"")</f>
        <v/>
      </c>
      <c r="Z81" s="181" t="str">
        <f>IFERROR(SUMIFS('caseload data'!J:J,'caseload data'!$C:$C,'divisional &amp; regional caseload%'!$T$78,'caseload data'!$D:$D,"PSO")/SUMIF('caseload data'!$C:$C,'divisional &amp; regional caseload%'!$T$78,'caseload data'!J:J),"")</f>
        <v/>
      </c>
      <c r="AA81" s="181" t="str">
        <f>IFERROR(SUMIFS('caseload data'!K:K,'caseload data'!$C:$C,'divisional &amp; regional caseload%'!$T$78,'caseload data'!$D:$D,"PSO")/SUMIF('caseload data'!$C:$C,'divisional &amp; regional caseload%'!$T$78,'caseload data'!K:K),"")</f>
        <v/>
      </c>
      <c r="AB81" s="181" t="str">
        <f>IFERROR(SUMIFS('caseload data'!L:L,'caseload data'!$C:$C,'divisional &amp; regional caseload%'!$T$78,'caseload data'!$D:$D,"PSO")/SUMIF('caseload data'!$C:$C,'divisional &amp; regional caseload%'!$T$78,'caseload data'!L:L),"")</f>
        <v/>
      </c>
      <c r="AC81" s="181" t="str">
        <f>IFERROR(SUMIFS('caseload data'!M:M,'caseload data'!$C:$C,'divisional &amp; regional caseload%'!$T$78,'caseload data'!$D:$D,"PSO")/SUMIF('caseload data'!$C:$C,'divisional &amp; regional caseload%'!$T$78,'caseload data'!M:M),"")</f>
        <v/>
      </c>
      <c r="AD81" s="181" t="str">
        <f>IFERROR(SUMIFS('caseload data'!N:N,'caseload data'!$C:$C,'divisional &amp; regional caseload%'!$T$78,'caseload data'!$D:$D,"PSO")/SUMIF('caseload data'!$C:$C,'divisional &amp; regional caseload%'!$T$78,'caseload data'!N:N),"")</f>
        <v/>
      </c>
      <c r="AE81" s="181" t="str">
        <f>IFERROR(SUMIFS('caseload data'!O:O,'caseload data'!$C:$C,'divisional &amp; regional caseload%'!$T$78,'caseload data'!$D:$D,"PSO")/SUMIF('caseload data'!$C:$C,'divisional &amp; regional caseload%'!$T$78,'caseload data'!O:O),"")</f>
        <v/>
      </c>
      <c r="AF81" s="181" t="str">
        <f>IFERROR(SUMIFS('caseload data'!P:P,'caseload data'!$C:$C,'divisional &amp; regional caseload%'!$T$78,'caseload data'!$D:$D,"PSO")/SUMIF('caseload data'!$C:$C,'divisional &amp; regional caseload%'!$T$78,'caseload data'!P:P),"")</f>
        <v/>
      </c>
      <c r="AG81" s="181" t="str">
        <f>IFERROR(SUMIFS('caseload data'!Q:Q,'caseload data'!$C:$C,'divisional &amp; regional caseload%'!$T$78,'caseload data'!$D:$D,"PSO")/SUMIF('caseload data'!$C:$C,'divisional &amp; regional caseload%'!$T$78,'caseload data'!Q:Q),"")</f>
        <v/>
      </c>
      <c r="AH81" s="181" t="str">
        <f>IFERROR(SUMIFS('caseload data'!R:R,'caseload data'!$C:$C,'divisional &amp; regional caseload%'!$T$78,'caseload data'!$D:$D,"PSO")/SUMIF('caseload data'!$C:$C,'divisional &amp; regional caseload%'!$T$78,'caseload data'!R:R),"")</f>
        <v/>
      </c>
      <c r="AI81" s="181" t="str">
        <f>IFERROR(SUMIFS('caseload data'!S:S,'caseload data'!$C:$C,'divisional &amp; regional caseload%'!$T$78,'caseload data'!$D:$D,"PSO")/SUMIF('caseload data'!$C:$C,'divisional &amp; regional caseload%'!$T$78,'caseload data'!S:S),"")</f>
        <v/>
      </c>
      <c r="AJ81" s="181" t="str">
        <f>IFERROR(SUMIFS('caseload data'!T:T,'caseload data'!$C:$C,'divisional &amp; regional caseload%'!$T$78,'caseload data'!$D:$D,"PSO")/SUMIF('caseload data'!$C:$C,'divisional &amp; regional caseload%'!$T$78,'caseload data'!T:T),"")</f>
        <v/>
      </c>
    </row>
    <row r="82" spans="2:36" x14ac:dyDescent="0.15">
      <c r="B82" s="107" t="s">
        <v>913</v>
      </c>
      <c r="C82" s="181" t="str">
        <f>IFERROR(SUMIFS('caseload data'!E:E,'caseload data'!$C:$C,'divisional &amp; regional caseload%'!$B$78,'caseload data'!$D:$D,"TPO")/SUMIF('caseload data'!$C:$C,'divisional &amp; regional caseload%'!$B$78,'caseload data'!E:E),"")</f>
        <v/>
      </c>
      <c r="D82" s="181" t="str">
        <f>IFERROR(SUMIFS('caseload data'!F:F,'caseload data'!$C:$C,'divisional &amp; regional caseload%'!$B$78,'caseload data'!$D:$D,"TPO")/SUMIF('caseload data'!$C:$C,'divisional &amp; regional caseload%'!$B$78,'caseload data'!F:F),"")</f>
        <v/>
      </c>
      <c r="E82" s="181" t="str">
        <f>IFERROR(SUMIFS('caseload data'!G:G,'caseload data'!$C:$C,'divisional &amp; regional caseload%'!$B$78,'caseload data'!$D:$D,"TPO")/SUMIF('caseload data'!$C:$C,'divisional &amp; regional caseload%'!$B$78,'caseload data'!G:G),"")</f>
        <v/>
      </c>
      <c r="F82" s="181" t="str">
        <f>IFERROR(SUMIFS('caseload data'!H:H,'caseload data'!$C:$C,'divisional &amp; regional caseload%'!$B$78,'caseload data'!$D:$D,"TPO")/SUMIF('caseload data'!$C:$C,'divisional &amp; regional caseload%'!$B$78,'caseload data'!H:H),"")</f>
        <v/>
      </c>
      <c r="G82" s="181" t="str">
        <f>IFERROR(SUMIFS('caseload data'!I:I,'caseload data'!$C:$C,'divisional &amp; regional caseload%'!$B$78,'caseload data'!$D:$D,"TPO")/SUMIF('caseload data'!$C:$C,'divisional &amp; regional caseload%'!$B$78,'caseload data'!I:I),"")</f>
        <v/>
      </c>
      <c r="H82" s="181" t="str">
        <f>IFERROR(SUMIFS('caseload data'!J:J,'caseload data'!$C:$C,'divisional &amp; regional caseload%'!$B$78,'caseload data'!$D:$D,"TPO")/SUMIF('caseload data'!$C:$C,'divisional &amp; regional caseload%'!$B$78,'caseload data'!J:J),"")</f>
        <v/>
      </c>
      <c r="I82" s="181" t="str">
        <f>IFERROR(SUMIFS('caseload data'!K:K,'caseload data'!$C:$C,'divisional &amp; regional caseload%'!$B$78,'caseload data'!$D:$D,"TPO")/SUMIF('caseload data'!$C:$C,'divisional &amp; regional caseload%'!$B$78,'caseload data'!K:K),"")</f>
        <v/>
      </c>
      <c r="J82" s="181" t="str">
        <f>IFERROR(SUMIFS('caseload data'!L:L,'caseload data'!$C:$C,'divisional &amp; regional caseload%'!$B$78,'caseload data'!$D:$D,"TPO")/SUMIF('caseload data'!$C:$C,'divisional &amp; regional caseload%'!$B$78,'caseload data'!L:L),"")</f>
        <v/>
      </c>
      <c r="K82" s="181" t="str">
        <f>IFERROR(SUMIFS('caseload data'!M:M,'caseload data'!$C:$C,'divisional &amp; regional caseload%'!$B$78,'caseload data'!$D:$D,"TPO")/SUMIF('caseload data'!$C:$C,'divisional &amp; regional caseload%'!$B$78,'caseload data'!M:M),"")</f>
        <v/>
      </c>
      <c r="L82" s="181" t="str">
        <f>IFERROR(SUMIFS('caseload data'!N:N,'caseload data'!$C:$C,'divisional &amp; regional caseload%'!$B$78,'caseload data'!$D:$D,"TPO")/SUMIF('caseload data'!$C:$C,'divisional &amp; regional caseload%'!$B$78,'caseload data'!N:N),"")</f>
        <v/>
      </c>
      <c r="M82" s="181" t="str">
        <f>IFERROR(SUMIFS('caseload data'!O:O,'caseload data'!$C:$C,'divisional &amp; regional caseload%'!$B$78,'caseload data'!$D:$D,"TPO")/SUMIF('caseload data'!$C:$C,'divisional &amp; regional caseload%'!$B$78,'caseload data'!O:O),"")</f>
        <v/>
      </c>
      <c r="N82" s="181" t="str">
        <f>IFERROR(SUMIFS('caseload data'!P:P,'caseload data'!$C:$C,'divisional &amp; regional caseload%'!$B$78,'caseload data'!$D:$D,"TPO")/SUMIF('caseload data'!$C:$C,'divisional &amp; regional caseload%'!$B$78,'caseload data'!P:P),"")</f>
        <v/>
      </c>
      <c r="O82" s="181" t="str">
        <f>IFERROR(SUMIFS('caseload data'!Q:Q,'caseload data'!$C:$C,'divisional &amp; regional caseload%'!$B$78,'caseload data'!$D:$D,"TPO")/SUMIF('caseload data'!$C:$C,'divisional &amp; regional caseload%'!$B$78,'caseload data'!Q:Q),"")</f>
        <v/>
      </c>
      <c r="P82" s="181" t="str">
        <f>IFERROR(SUMIFS('caseload data'!R:R,'caseload data'!$C:$C,'divisional &amp; regional caseload%'!$B$78,'caseload data'!$D:$D,"TPO")/SUMIF('caseload data'!$C:$C,'divisional &amp; regional caseload%'!$B$78,'caseload data'!R:R),"")</f>
        <v/>
      </c>
      <c r="Q82" s="181" t="str">
        <f>IFERROR(SUMIFS('caseload data'!S:S,'caseload data'!$C:$C,'divisional &amp; regional caseload%'!$B$78,'caseload data'!$D:$D,"TPO")/SUMIF('caseload data'!$C:$C,'divisional &amp; regional caseload%'!$B$78,'caseload data'!S:S),"")</f>
        <v/>
      </c>
      <c r="R82" s="181" t="str">
        <f>IFERROR(SUMIFS('caseload data'!T:T,'caseload data'!$C:$C,'divisional &amp; regional caseload%'!$B$78,'caseload data'!$D:$D,"TPO")/SUMIF('caseload data'!$C:$C,'divisional &amp; regional caseload%'!$B$78,'caseload data'!T:T),"")</f>
        <v/>
      </c>
      <c r="T82" s="107" t="s">
        <v>913</v>
      </c>
      <c r="U82" s="181" t="str">
        <f>IFERROR(SUMIFS('caseload data'!E:E,'caseload data'!$C:$C,'divisional &amp; regional caseload%'!$T$78,'caseload data'!$D:$D,"TPO")/SUMIF('caseload data'!$C:$C,'divisional &amp; regional caseload%'!$T$78,'caseload data'!E:E),"")</f>
        <v/>
      </c>
      <c r="V82" s="181" t="str">
        <f>IFERROR(SUMIFS('caseload data'!F:F,'caseload data'!$C:$C,'divisional &amp; regional caseload%'!$T$78,'caseload data'!$D:$D,"TPO")/SUMIF('caseload data'!$C:$C,'divisional &amp; regional caseload%'!$T$78,'caseload data'!F:F),"")</f>
        <v/>
      </c>
      <c r="W82" s="181" t="str">
        <f>IFERROR(SUMIFS('caseload data'!G:G,'caseload data'!$C:$C,'divisional &amp; regional caseload%'!$T$78,'caseload data'!$D:$D,"TPO")/SUMIF('caseload data'!$C:$C,'divisional &amp; regional caseload%'!$T$78,'caseload data'!G:G),"")</f>
        <v/>
      </c>
      <c r="X82" s="181" t="str">
        <f>IFERROR(SUMIFS('caseload data'!H:H,'caseload data'!$C:$C,'divisional &amp; regional caseload%'!$T$78,'caseload data'!$D:$D,"TPO")/SUMIF('caseload data'!$C:$C,'divisional &amp; regional caseload%'!$T$78,'caseload data'!H:H),"")</f>
        <v/>
      </c>
      <c r="Y82" s="181" t="str">
        <f>IFERROR(SUMIFS('caseload data'!I:I,'caseload data'!$C:$C,'divisional &amp; regional caseload%'!$T$78,'caseload data'!$D:$D,"TPO")/SUMIF('caseload data'!$C:$C,'divisional &amp; regional caseload%'!$T$78,'caseload data'!I:I),"")</f>
        <v/>
      </c>
      <c r="Z82" s="181" t="str">
        <f>IFERROR(SUMIFS('caseload data'!J:J,'caseload data'!$C:$C,'divisional &amp; regional caseload%'!$T$78,'caseload data'!$D:$D,"TPO")/SUMIF('caseload data'!$C:$C,'divisional &amp; regional caseload%'!$T$78,'caseload data'!J:J),"")</f>
        <v/>
      </c>
      <c r="AA82" s="181" t="str">
        <f>IFERROR(SUMIFS('caseload data'!K:K,'caseload data'!$C:$C,'divisional &amp; regional caseload%'!$T$78,'caseload data'!$D:$D,"TPO")/SUMIF('caseload data'!$C:$C,'divisional &amp; regional caseload%'!$T$78,'caseload data'!K:K),"")</f>
        <v/>
      </c>
      <c r="AB82" s="181" t="str">
        <f>IFERROR(SUMIFS('caseload data'!L:L,'caseload data'!$C:$C,'divisional &amp; regional caseload%'!$T$78,'caseload data'!$D:$D,"TPO")/SUMIF('caseload data'!$C:$C,'divisional &amp; regional caseload%'!$T$78,'caseload data'!L:L),"")</f>
        <v/>
      </c>
      <c r="AC82" s="181" t="str">
        <f>IFERROR(SUMIFS('caseload data'!M:M,'caseload data'!$C:$C,'divisional &amp; regional caseload%'!$T$78,'caseload data'!$D:$D,"TPO")/SUMIF('caseload data'!$C:$C,'divisional &amp; regional caseload%'!$T$78,'caseload data'!M:M),"")</f>
        <v/>
      </c>
      <c r="AD82" s="181" t="str">
        <f>IFERROR(SUMIFS('caseload data'!N:N,'caseload data'!$C:$C,'divisional &amp; regional caseload%'!$T$78,'caseload data'!$D:$D,"TPO")/SUMIF('caseload data'!$C:$C,'divisional &amp; regional caseload%'!$T$78,'caseload data'!N:N),"")</f>
        <v/>
      </c>
      <c r="AE82" s="181" t="str">
        <f>IFERROR(SUMIFS('caseload data'!O:O,'caseload data'!$C:$C,'divisional &amp; regional caseload%'!$T$78,'caseload data'!$D:$D,"TPO")/SUMIF('caseload data'!$C:$C,'divisional &amp; regional caseload%'!$T$78,'caseload data'!O:O),"")</f>
        <v/>
      </c>
      <c r="AF82" s="181" t="str">
        <f>IFERROR(SUMIFS('caseload data'!P:P,'caseload data'!$C:$C,'divisional &amp; regional caseload%'!$T$78,'caseload data'!$D:$D,"TPO")/SUMIF('caseload data'!$C:$C,'divisional &amp; regional caseload%'!$T$78,'caseload data'!P:P),"")</f>
        <v/>
      </c>
      <c r="AG82" s="181" t="str">
        <f>IFERROR(SUMIFS('caseload data'!Q:Q,'caseload data'!$C:$C,'divisional &amp; regional caseload%'!$T$78,'caseload data'!$D:$D,"TPO")/SUMIF('caseload data'!$C:$C,'divisional &amp; regional caseload%'!$T$78,'caseload data'!Q:Q),"")</f>
        <v/>
      </c>
      <c r="AH82" s="181" t="str">
        <f>IFERROR(SUMIFS('caseload data'!R:R,'caseload data'!$C:$C,'divisional &amp; regional caseload%'!$T$78,'caseload data'!$D:$D,"TPO")/SUMIF('caseload data'!$C:$C,'divisional &amp; regional caseload%'!$T$78,'caseload data'!R:R),"")</f>
        <v/>
      </c>
      <c r="AI82" s="181" t="str">
        <f>IFERROR(SUMIFS('caseload data'!S:S,'caseload data'!$C:$C,'divisional &amp; regional caseload%'!$T$78,'caseload data'!$D:$D,"TPO")/SUMIF('caseload data'!$C:$C,'divisional &amp; regional caseload%'!$T$78,'caseload data'!S:S),"")</f>
        <v/>
      </c>
      <c r="AJ82" s="181" t="str">
        <f>IFERROR(SUMIFS('caseload data'!T:T,'caseload data'!$C:$C,'divisional &amp; regional caseload%'!$T$78,'caseload data'!$D:$D,"TPO")/SUMIF('caseload data'!$C:$C,'divisional &amp; regional caseload%'!$T$78,'caseload data'!T:T),"")</f>
        <v/>
      </c>
    </row>
    <row r="83" spans="2:36" x14ac:dyDescent="0.15">
      <c r="B83" s="108" t="s">
        <v>914</v>
      </c>
      <c r="C83" s="181" t="str">
        <f>IFERROR(SUMIFS('caseload data'!E:E,'caseload data'!$C:$C,'divisional &amp; regional caseload%'!$B$78,'caseload data'!$D:$D,"SPO")/SUMIF('caseload data'!$C:$C,'divisional &amp; regional caseload%'!$B$78,'caseload data'!E:E),"")</f>
        <v/>
      </c>
      <c r="D83" s="181" t="str">
        <f>IFERROR(SUMIFS('caseload data'!F:F,'caseload data'!$C:$C,'divisional &amp; regional caseload%'!$B$78,'caseload data'!$D:$D,"SPO")/SUMIF('caseload data'!$C:$C,'divisional &amp; regional caseload%'!$B$78,'caseload data'!F:F),"")</f>
        <v/>
      </c>
      <c r="E83" s="181" t="str">
        <f>IFERROR(SUMIFS('caseload data'!G:G,'caseload data'!$C:$C,'divisional &amp; regional caseload%'!$B$78,'caseload data'!$D:$D,"SPO")/SUMIF('caseload data'!$C:$C,'divisional &amp; regional caseload%'!$B$78,'caseload data'!G:G),"")</f>
        <v/>
      </c>
      <c r="F83" s="181" t="str">
        <f>IFERROR(SUMIFS('caseload data'!H:H,'caseload data'!$C:$C,'divisional &amp; regional caseload%'!$B$78,'caseload data'!$D:$D,"SPO")/SUMIF('caseload data'!$C:$C,'divisional &amp; regional caseload%'!$B$78,'caseload data'!H:H),"")</f>
        <v/>
      </c>
      <c r="G83" s="181" t="str">
        <f>IFERROR(SUMIFS('caseload data'!I:I,'caseload data'!$C:$C,'divisional &amp; regional caseload%'!$B$78,'caseload data'!$D:$D,"SPO")/SUMIF('caseload data'!$C:$C,'divisional &amp; regional caseload%'!$B$78,'caseload data'!I:I),"")</f>
        <v/>
      </c>
      <c r="H83" s="181" t="str">
        <f>IFERROR(SUMIFS('caseload data'!J:J,'caseload data'!$C:$C,'divisional &amp; regional caseload%'!$B$78,'caseload data'!$D:$D,"SPO")/SUMIF('caseload data'!$C:$C,'divisional &amp; regional caseload%'!$B$78,'caseload data'!J:J),"")</f>
        <v/>
      </c>
      <c r="I83" s="181" t="str">
        <f>IFERROR(SUMIFS('caseload data'!K:K,'caseload data'!$C:$C,'divisional &amp; regional caseload%'!$B$78,'caseload data'!$D:$D,"SPO")/SUMIF('caseload data'!$C:$C,'divisional &amp; regional caseload%'!$B$78,'caseload data'!K:K),"")</f>
        <v/>
      </c>
      <c r="J83" s="181" t="str">
        <f>IFERROR(SUMIFS('caseload data'!L:L,'caseload data'!$C:$C,'divisional &amp; regional caseload%'!$B$78,'caseload data'!$D:$D,"SPO")/SUMIF('caseload data'!$C:$C,'divisional &amp; regional caseload%'!$B$78,'caseload data'!L:L),"")</f>
        <v/>
      </c>
      <c r="K83" s="181" t="str">
        <f>IFERROR(SUMIFS('caseload data'!M:M,'caseload data'!$C:$C,'divisional &amp; regional caseload%'!$B$78,'caseload data'!$D:$D,"SPO")/SUMIF('caseload data'!$C:$C,'divisional &amp; regional caseload%'!$B$78,'caseload data'!M:M),"")</f>
        <v/>
      </c>
      <c r="L83" s="181" t="str">
        <f>IFERROR(SUMIFS('caseload data'!N:N,'caseload data'!$C:$C,'divisional &amp; regional caseload%'!$B$78,'caseload data'!$D:$D,"SPO")/SUMIF('caseload data'!$C:$C,'divisional &amp; regional caseload%'!$B$78,'caseload data'!N:N),"")</f>
        <v/>
      </c>
      <c r="M83" s="181" t="str">
        <f>IFERROR(SUMIFS('caseload data'!O:O,'caseload data'!$C:$C,'divisional &amp; regional caseload%'!$B$78,'caseload data'!$D:$D,"SPO")/SUMIF('caseload data'!$C:$C,'divisional &amp; regional caseload%'!$B$78,'caseload data'!O:O),"")</f>
        <v/>
      </c>
      <c r="N83" s="181" t="str">
        <f>IFERROR(SUMIFS('caseload data'!P:P,'caseload data'!$C:$C,'divisional &amp; regional caseload%'!$B$78,'caseload data'!$D:$D,"SPO")/SUMIF('caseload data'!$C:$C,'divisional &amp; regional caseload%'!$B$78,'caseload data'!P:P),"")</f>
        <v/>
      </c>
      <c r="O83" s="181" t="str">
        <f>IFERROR(SUMIFS('caseload data'!Q:Q,'caseload data'!$C:$C,'divisional &amp; regional caseload%'!$B$78,'caseload data'!$D:$D,"SPO")/SUMIF('caseload data'!$C:$C,'divisional &amp; regional caseload%'!$B$78,'caseload data'!Q:Q),"")</f>
        <v/>
      </c>
      <c r="P83" s="181" t="str">
        <f>IFERROR(SUMIFS('caseload data'!R:R,'caseload data'!$C:$C,'divisional &amp; regional caseload%'!$B$78,'caseload data'!$D:$D,"SPO")/SUMIF('caseload data'!$C:$C,'divisional &amp; regional caseload%'!$B$78,'caseload data'!R:R),"")</f>
        <v/>
      </c>
      <c r="Q83" s="181" t="str">
        <f>IFERROR(SUMIFS('caseload data'!S:S,'caseload data'!$C:$C,'divisional &amp; regional caseload%'!$B$78,'caseload data'!$D:$D,"SPO")/SUMIF('caseload data'!$C:$C,'divisional &amp; regional caseload%'!$B$78,'caseload data'!S:S),"")</f>
        <v/>
      </c>
      <c r="R83" s="181" t="str">
        <f>IFERROR(SUMIFS('caseload data'!T:T,'caseload data'!$C:$C,'divisional &amp; regional caseload%'!$B$78,'caseload data'!$D:$D,"SPO")/SUMIF('caseload data'!$C:$C,'divisional &amp; regional caseload%'!$B$78,'caseload data'!T:T),"")</f>
        <v/>
      </c>
      <c r="T83" s="108" t="s">
        <v>914</v>
      </c>
      <c r="U83" s="181" t="str">
        <f>IFERROR(SUMIFS('caseload data'!E:E,'caseload data'!$C:$C,'divisional &amp; regional caseload%'!$T$78,'caseload data'!$D:$D,"SPO")/SUMIF('caseload data'!$C:$C,'divisional &amp; regional caseload%'!$T$78,'caseload data'!E:E),"")</f>
        <v/>
      </c>
      <c r="V83" s="181" t="str">
        <f>IFERROR(SUMIFS('caseload data'!F:F,'caseload data'!$C:$C,'divisional &amp; regional caseload%'!$T$78,'caseload data'!$D:$D,"SPO")/SUMIF('caseload data'!$C:$C,'divisional &amp; regional caseload%'!$T$78,'caseload data'!F:F),"")</f>
        <v/>
      </c>
      <c r="W83" s="181" t="str">
        <f>IFERROR(SUMIFS('caseload data'!G:G,'caseload data'!$C:$C,'divisional &amp; regional caseload%'!$T$78,'caseload data'!$D:$D,"SPO")/SUMIF('caseload data'!$C:$C,'divisional &amp; regional caseload%'!$T$78,'caseload data'!G:G),"")</f>
        <v/>
      </c>
      <c r="X83" s="181" t="str">
        <f>IFERROR(SUMIFS('caseload data'!H:H,'caseload data'!$C:$C,'divisional &amp; regional caseload%'!$T$78,'caseload data'!$D:$D,"SPO")/SUMIF('caseload data'!$C:$C,'divisional &amp; regional caseload%'!$T$78,'caseload data'!H:H),"")</f>
        <v/>
      </c>
      <c r="Y83" s="181" t="str">
        <f>IFERROR(SUMIFS('caseload data'!I:I,'caseload data'!$C:$C,'divisional &amp; regional caseload%'!$T$78,'caseload data'!$D:$D,"SPO")/SUMIF('caseload data'!$C:$C,'divisional &amp; regional caseload%'!$T$78,'caseload data'!I:I),"")</f>
        <v/>
      </c>
      <c r="Z83" s="181" t="str">
        <f>IFERROR(SUMIFS('caseload data'!J:J,'caseload data'!$C:$C,'divisional &amp; regional caseload%'!$T$78,'caseload data'!$D:$D,"SPO")/SUMIF('caseload data'!$C:$C,'divisional &amp; regional caseload%'!$T$78,'caseload data'!J:J),"")</f>
        <v/>
      </c>
      <c r="AA83" s="181" t="str">
        <f>IFERROR(SUMIFS('caseload data'!K:K,'caseload data'!$C:$C,'divisional &amp; regional caseload%'!$T$78,'caseload data'!$D:$D,"SPO")/SUMIF('caseload data'!$C:$C,'divisional &amp; regional caseload%'!$T$78,'caseload data'!K:K),"")</f>
        <v/>
      </c>
      <c r="AB83" s="181" t="str">
        <f>IFERROR(SUMIFS('caseload data'!L:L,'caseload data'!$C:$C,'divisional &amp; regional caseload%'!$T$78,'caseload data'!$D:$D,"SPO")/SUMIF('caseload data'!$C:$C,'divisional &amp; regional caseload%'!$T$78,'caseload data'!L:L),"")</f>
        <v/>
      </c>
      <c r="AC83" s="181" t="str">
        <f>IFERROR(SUMIFS('caseload data'!M:M,'caseload data'!$C:$C,'divisional &amp; regional caseload%'!$T$78,'caseload data'!$D:$D,"SPO")/SUMIF('caseload data'!$C:$C,'divisional &amp; regional caseload%'!$T$78,'caseload data'!M:M),"")</f>
        <v/>
      </c>
      <c r="AD83" s="181" t="str">
        <f>IFERROR(SUMIFS('caseload data'!N:N,'caseload data'!$C:$C,'divisional &amp; regional caseload%'!$T$78,'caseload data'!$D:$D,"SPO")/SUMIF('caseload data'!$C:$C,'divisional &amp; regional caseload%'!$T$78,'caseload data'!N:N),"")</f>
        <v/>
      </c>
      <c r="AE83" s="181" t="str">
        <f>IFERROR(SUMIFS('caseload data'!O:O,'caseload data'!$C:$C,'divisional &amp; regional caseload%'!$T$78,'caseload data'!$D:$D,"SPO")/SUMIF('caseload data'!$C:$C,'divisional &amp; regional caseload%'!$T$78,'caseload data'!O:O),"")</f>
        <v/>
      </c>
      <c r="AF83" s="181" t="str">
        <f>IFERROR(SUMIFS('caseload data'!P:P,'caseload data'!$C:$C,'divisional &amp; regional caseload%'!$T$78,'caseload data'!$D:$D,"SPO")/SUMIF('caseload data'!$C:$C,'divisional &amp; regional caseload%'!$T$78,'caseload data'!P:P),"")</f>
        <v/>
      </c>
      <c r="AG83" s="181" t="str">
        <f>IFERROR(SUMIFS('caseload data'!Q:Q,'caseload data'!$C:$C,'divisional &amp; regional caseload%'!$T$78,'caseload data'!$D:$D,"SPO")/SUMIF('caseload data'!$C:$C,'divisional &amp; regional caseload%'!$T$78,'caseload data'!Q:Q),"")</f>
        <v/>
      </c>
      <c r="AH83" s="181" t="str">
        <f>IFERROR(SUMIFS('caseload data'!R:R,'caseload data'!$C:$C,'divisional &amp; regional caseload%'!$T$78,'caseload data'!$D:$D,"SPO")/SUMIF('caseload data'!$C:$C,'divisional &amp; regional caseload%'!$T$78,'caseload data'!R:R),"")</f>
        <v/>
      </c>
      <c r="AI83" s="181" t="str">
        <f>IFERROR(SUMIFS('caseload data'!S:S,'caseload data'!$C:$C,'divisional &amp; regional caseload%'!$T$78,'caseload data'!$D:$D,"SPO")/SUMIF('caseload data'!$C:$C,'divisional &amp; regional caseload%'!$T$78,'caseload data'!S:S),"")</f>
        <v/>
      </c>
      <c r="AJ83" s="181" t="str">
        <f>IFERROR(SUMIFS('caseload data'!T:T,'caseload data'!$C:$C,'divisional &amp; regional caseload%'!$T$78,'caseload data'!$D:$D,"SPO")/SUMIF('caseload data'!$C:$C,'divisional &amp; regional caseload%'!$T$78,'caseload data'!T:T),"")</f>
        <v/>
      </c>
    </row>
    <row r="85" spans="2:36" x14ac:dyDescent="0.15">
      <c r="B85" s="156" t="str">
        <f>HLOOKUP($B$5,Region_Table,24,0)</f>
        <v>Unpaid Work and Attendance Centres - N07</v>
      </c>
      <c r="C85" s="367" t="s">
        <v>1130</v>
      </c>
      <c r="D85" s="368"/>
      <c r="E85" s="368"/>
      <c r="F85" s="368"/>
      <c r="G85" s="368"/>
      <c r="H85" s="368"/>
      <c r="I85" s="368"/>
      <c r="J85" s="368"/>
      <c r="K85" s="368"/>
      <c r="L85" s="368"/>
      <c r="M85" s="377"/>
      <c r="N85" s="377"/>
      <c r="O85" s="378"/>
      <c r="P85" s="371">
        <f>SUMIF('caseload data'!$C:$C,'divisional &amp; regional caseload%'!B85,'caseload data'!V:V)</f>
        <v>0</v>
      </c>
      <c r="Q85" s="379"/>
      <c r="R85" s="380"/>
      <c r="T85" s="156" t="str">
        <f>HLOOKUP($B$5,Region_Table,25,0)</f>
        <v>Wandsworth, Merton and Sutton</v>
      </c>
      <c r="U85" s="367" t="s">
        <v>1130</v>
      </c>
      <c r="V85" s="368"/>
      <c r="W85" s="368"/>
      <c r="X85" s="368"/>
      <c r="Y85" s="368"/>
      <c r="Z85" s="368"/>
      <c r="AA85" s="368"/>
      <c r="AB85" s="368"/>
      <c r="AC85" s="368"/>
      <c r="AD85" s="368"/>
      <c r="AE85" s="377"/>
      <c r="AF85" s="377"/>
      <c r="AG85" s="378"/>
      <c r="AH85" s="371">
        <f>SUMIF('caseload data'!$C:$C,'divisional &amp; regional caseload%'!T85,'caseload data'!V:V)</f>
        <v>0</v>
      </c>
      <c r="AI85" s="379"/>
      <c r="AJ85" s="380"/>
    </row>
    <row r="86" spans="2:36" x14ac:dyDescent="0.15">
      <c r="B86" s="105" t="s">
        <v>1065</v>
      </c>
      <c r="C86" s="41" t="s">
        <v>922</v>
      </c>
      <c r="D86" s="41" t="s">
        <v>923</v>
      </c>
      <c r="E86" s="41" t="s">
        <v>924</v>
      </c>
      <c r="F86" s="41" t="s">
        <v>925</v>
      </c>
      <c r="G86" s="41" t="s">
        <v>926</v>
      </c>
      <c r="H86" s="41" t="s">
        <v>927</v>
      </c>
      <c r="I86" s="41" t="s">
        <v>928</v>
      </c>
      <c r="J86" s="41" t="s">
        <v>929</v>
      </c>
      <c r="K86" s="41" t="s">
        <v>930</v>
      </c>
      <c r="L86" s="41" t="s">
        <v>931</v>
      </c>
      <c r="M86" s="41" t="s">
        <v>932</v>
      </c>
      <c r="N86" s="41" t="s">
        <v>933</v>
      </c>
      <c r="O86" s="41" t="s">
        <v>934</v>
      </c>
      <c r="P86" s="41" t="s">
        <v>935</v>
      </c>
      <c r="Q86" s="41" t="s">
        <v>936</v>
      </c>
      <c r="R86" s="41" t="s">
        <v>937</v>
      </c>
      <c r="T86" s="105" t="s">
        <v>1065</v>
      </c>
      <c r="U86" s="41" t="s">
        <v>922</v>
      </c>
      <c r="V86" s="41" t="s">
        <v>923</v>
      </c>
      <c r="W86" s="41" t="s">
        <v>924</v>
      </c>
      <c r="X86" s="41" t="s">
        <v>925</v>
      </c>
      <c r="Y86" s="41" t="s">
        <v>926</v>
      </c>
      <c r="Z86" s="41" t="s">
        <v>927</v>
      </c>
      <c r="AA86" s="41" t="s">
        <v>928</v>
      </c>
      <c r="AB86" s="41" t="s">
        <v>929</v>
      </c>
      <c r="AC86" s="41" t="s">
        <v>930</v>
      </c>
      <c r="AD86" s="41" t="s">
        <v>931</v>
      </c>
      <c r="AE86" s="41" t="s">
        <v>932</v>
      </c>
      <c r="AF86" s="41" t="s">
        <v>933</v>
      </c>
      <c r="AG86" s="41" t="s">
        <v>934</v>
      </c>
      <c r="AH86" s="41" t="s">
        <v>935</v>
      </c>
      <c r="AI86" s="41" t="s">
        <v>936</v>
      </c>
      <c r="AJ86" s="41" t="s">
        <v>937</v>
      </c>
    </row>
    <row r="87" spans="2:36" x14ac:dyDescent="0.15">
      <c r="B87" s="106" t="s">
        <v>911</v>
      </c>
      <c r="C87" s="181" t="str">
        <f>IFERROR(SUMIFS('caseload data'!E:E,'caseload data'!$C:$C,'divisional &amp; regional caseload%'!$B$85,'caseload data'!$D:$D,"PO")/SUMIF('caseload data'!$C:$C,'divisional &amp; regional caseload%'!$B$85,'caseload data'!E:E),"")</f>
        <v/>
      </c>
      <c r="D87" s="181" t="str">
        <f>IFERROR(SUMIFS('caseload data'!F:F,'caseload data'!$C:$C,'divisional &amp; regional caseload%'!$B$85,'caseload data'!$D:$D,"PO")/SUMIF('caseload data'!$C:$C,'divisional &amp; regional caseload%'!$B$85,'caseload data'!F:F),"")</f>
        <v/>
      </c>
      <c r="E87" s="181" t="str">
        <f>IFERROR(SUMIFS('caseload data'!G:G,'caseload data'!$C:$C,'divisional &amp; regional caseload%'!$B$85,'caseload data'!$D:$D,"PO")/SUMIF('caseload data'!$C:$C,'divisional &amp; regional caseload%'!$B$85,'caseload data'!G:G),"")</f>
        <v/>
      </c>
      <c r="F87" s="181" t="str">
        <f>IFERROR(SUMIFS('caseload data'!H:H,'caseload data'!$C:$C,'divisional &amp; regional caseload%'!$B$85,'caseload data'!$D:$D,"PO")/SUMIF('caseload data'!$C:$C,'divisional &amp; regional caseload%'!$B$85,'caseload data'!H:H),"")</f>
        <v/>
      </c>
      <c r="G87" s="181" t="str">
        <f>IFERROR(SUMIFS('caseload data'!I:I,'caseload data'!$C:$C,'divisional &amp; regional caseload%'!$B$85,'caseload data'!$D:$D,"PO")/SUMIF('caseload data'!$C:$C,'divisional &amp; regional caseload%'!$B$85,'caseload data'!I:I),"")</f>
        <v/>
      </c>
      <c r="H87" s="181" t="str">
        <f>IFERROR(SUMIFS('caseload data'!J:J,'caseload data'!$C:$C,'divisional &amp; regional caseload%'!$B$85,'caseload data'!$D:$D,"PO")/SUMIF('caseload data'!$C:$C,'divisional &amp; regional caseload%'!$B$85,'caseload data'!J:J),"")</f>
        <v/>
      </c>
      <c r="I87" s="181" t="str">
        <f>IFERROR(SUMIFS('caseload data'!K:K,'caseload data'!$C:$C,'divisional &amp; regional caseload%'!$B$85,'caseload data'!$D:$D,"PO")/SUMIF('caseload data'!$C:$C,'divisional &amp; regional caseload%'!$B$85,'caseload data'!K:K),"")</f>
        <v/>
      </c>
      <c r="J87" s="181" t="str">
        <f>IFERROR(SUMIFS('caseload data'!L:L,'caseload data'!$C:$C,'divisional &amp; regional caseload%'!$B$85,'caseload data'!$D:$D,"PO")/SUMIF('caseload data'!$C:$C,'divisional &amp; regional caseload%'!$B$85,'caseload data'!L:L),"")</f>
        <v/>
      </c>
      <c r="K87" s="181" t="str">
        <f>IFERROR(SUMIFS('caseload data'!M:M,'caseload data'!$C:$C,'divisional &amp; regional caseload%'!$B$85,'caseload data'!$D:$D,"PO")/SUMIF('caseload data'!$C:$C,'divisional &amp; regional caseload%'!$B$85,'caseload data'!M:M),"")</f>
        <v/>
      </c>
      <c r="L87" s="181" t="str">
        <f>IFERROR(SUMIFS('caseload data'!N:N,'caseload data'!$C:$C,'divisional &amp; regional caseload%'!$B$85,'caseload data'!$D:$D,"PO")/SUMIF('caseload data'!$C:$C,'divisional &amp; regional caseload%'!$B$85,'caseload data'!N:N),"")</f>
        <v/>
      </c>
      <c r="M87" s="181" t="str">
        <f>IFERROR(SUMIFS('caseload data'!O:O,'caseload data'!$C:$C,'divisional &amp; regional caseload%'!$B$85,'caseload data'!$D:$D,"PO")/SUMIF('caseload data'!$C:$C,'divisional &amp; regional caseload%'!$B$85,'caseload data'!O:O),"")</f>
        <v/>
      </c>
      <c r="N87" s="181" t="str">
        <f>IFERROR(SUMIFS('caseload data'!P:P,'caseload data'!$C:$C,'divisional &amp; regional caseload%'!$B$85,'caseload data'!$D:$D,"PO")/SUMIF('caseload data'!$C:$C,'divisional &amp; regional caseload%'!$B$85,'caseload data'!P:P),"")</f>
        <v/>
      </c>
      <c r="O87" s="181" t="str">
        <f>IFERROR(SUMIFS('caseload data'!Q:Q,'caseload data'!$C:$C,'divisional &amp; regional caseload%'!$B$85,'caseload data'!$D:$D,"PO")/SUMIF('caseload data'!$C:$C,'divisional &amp; regional caseload%'!$B$85,'caseload data'!Q:Q),"")</f>
        <v/>
      </c>
      <c r="P87" s="181" t="str">
        <f>IFERROR(SUMIFS('caseload data'!R:R,'caseload data'!$C:$C,'divisional &amp; regional caseload%'!$B$85,'caseload data'!$D:$D,"PO")/SUMIF('caseload data'!$C:$C,'divisional &amp; regional caseload%'!$B$85,'caseload data'!R:R),"")</f>
        <v/>
      </c>
      <c r="Q87" s="181" t="str">
        <f>IFERROR(SUMIFS('caseload data'!S:S,'caseload data'!$C:$C,'divisional &amp; regional caseload%'!$B$85,'caseload data'!$D:$D,"PO")/SUMIF('caseload data'!$C:$C,'divisional &amp; regional caseload%'!$B$85,'caseload data'!S:S),"")</f>
        <v/>
      </c>
      <c r="R87" s="181" t="str">
        <f>IFERROR(SUMIFS('caseload data'!T:T,'caseload data'!$C:$C,'divisional &amp; regional caseload%'!$B$85,'caseload data'!$D:$D,"PO")/SUMIF('caseload data'!$C:$C,'divisional &amp; regional caseload%'!$B$85,'caseload data'!T:T),"")</f>
        <v/>
      </c>
      <c r="T87" s="106" t="s">
        <v>911</v>
      </c>
      <c r="U87" s="181" t="str">
        <f>IFERROR(SUMIFS('caseload data'!E:E,'caseload data'!$C:$C,'divisional &amp; regional caseload%'!$T$85,'caseload data'!$D:$D,"PO")/SUMIF('caseload data'!$C:$C,'divisional &amp; regional caseload%'!$T$85,'caseload data'!E:E),"")</f>
        <v/>
      </c>
      <c r="V87" s="181" t="str">
        <f>IFERROR(SUMIFS('caseload data'!F:F,'caseload data'!$C:$C,'divisional &amp; regional caseload%'!$T$85,'caseload data'!$D:$D,"PO")/SUMIF('caseload data'!$C:$C,'divisional &amp; regional caseload%'!$T$85,'caseload data'!F:F),"")</f>
        <v/>
      </c>
      <c r="W87" s="181" t="str">
        <f>IFERROR(SUMIFS('caseload data'!G:G,'caseload data'!$C:$C,'divisional &amp; regional caseload%'!$T$85,'caseload data'!$D:$D,"PO")/SUMIF('caseload data'!$C:$C,'divisional &amp; regional caseload%'!$T$85,'caseload data'!G:G),"")</f>
        <v/>
      </c>
      <c r="X87" s="181" t="str">
        <f>IFERROR(SUMIFS('caseload data'!H:H,'caseload data'!$C:$C,'divisional &amp; regional caseload%'!$T$85,'caseload data'!$D:$D,"PO")/SUMIF('caseload data'!$C:$C,'divisional &amp; regional caseload%'!$T$85,'caseload data'!H:H),"")</f>
        <v/>
      </c>
      <c r="Y87" s="181" t="str">
        <f>IFERROR(SUMIFS('caseload data'!I:I,'caseload data'!$C:$C,'divisional &amp; regional caseload%'!$T$85,'caseload data'!$D:$D,"PO")/SUMIF('caseload data'!$C:$C,'divisional &amp; regional caseload%'!$T$85,'caseload data'!I:I),"")</f>
        <v/>
      </c>
      <c r="Z87" s="181" t="str">
        <f>IFERROR(SUMIFS('caseload data'!J:J,'caseload data'!$C:$C,'divisional &amp; regional caseload%'!$T$85,'caseload data'!$D:$D,"PO")/SUMIF('caseload data'!$C:$C,'divisional &amp; regional caseload%'!$T$85,'caseload data'!J:J),"")</f>
        <v/>
      </c>
      <c r="AA87" s="181" t="str">
        <f>IFERROR(SUMIFS('caseload data'!K:K,'caseload data'!$C:$C,'divisional &amp; regional caseload%'!$T$85,'caseload data'!$D:$D,"PO")/SUMIF('caseload data'!$C:$C,'divisional &amp; regional caseload%'!$T$85,'caseload data'!K:K),"")</f>
        <v/>
      </c>
      <c r="AB87" s="181" t="str">
        <f>IFERROR(SUMIFS('caseload data'!L:L,'caseload data'!$C:$C,'divisional &amp; regional caseload%'!$T$85,'caseload data'!$D:$D,"PO")/SUMIF('caseload data'!$C:$C,'divisional &amp; regional caseload%'!$T$85,'caseload data'!L:L),"")</f>
        <v/>
      </c>
      <c r="AC87" s="181" t="str">
        <f>IFERROR(SUMIFS('caseload data'!M:M,'caseload data'!$C:$C,'divisional &amp; regional caseload%'!$T$85,'caseload data'!$D:$D,"PO")/SUMIF('caseload data'!$C:$C,'divisional &amp; regional caseload%'!$T$85,'caseload data'!M:M),"")</f>
        <v/>
      </c>
      <c r="AD87" s="181" t="str">
        <f>IFERROR(SUMIFS('caseload data'!N:N,'caseload data'!$C:$C,'divisional &amp; regional caseload%'!$T$85,'caseload data'!$D:$D,"PO")/SUMIF('caseload data'!$C:$C,'divisional &amp; regional caseload%'!$T$85,'caseload data'!N:N),"")</f>
        <v/>
      </c>
      <c r="AE87" s="181" t="str">
        <f>IFERROR(SUMIFS('caseload data'!O:O,'caseload data'!$C:$C,'divisional &amp; regional caseload%'!$T$85,'caseload data'!$D:$D,"PO")/SUMIF('caseload data'!$C:$C,'divisional &amp; regional caseload%'!$T$85,'caseload data'!O:O),"")</f>
        <v/>
      </c>
      <c r="AF87" s="181" t="str">
        <f>IFERROR(SUMIFS('caseload data'!P:P,'caseload data'!$C:$C,'divisional &amp; regional caseload%'!$T$85,'caseload data'!$D:$D,"PO")/SUMIF('caseload data'!$C:$C,'divisional &amp; regional caseload%'!$T$85,'caseload data'!P:P),"")</f>
        <v/>
      </c>
      <c r="AG87" s="181" t="str">
        <f>IFERROR(SUMIFS('caseload data'!Q:Q,'caseload data'!$C:$C,'divisional &amp; regional caseload%'!$T$85,'caseload data'!$D:$D,"PO")/SUMIF('caseload data'!$C:$C,'divisional &amp; regional caseload%'!$T$85,'caseload data'!Q:Q),"")</f>
        <v/>
      </c>
      <c r="AH87" s="181" t="str">
        <f>IFERROR(SUMIFS('caseload data'!R:R,'caseload data'!$C:$C,'divisional &amp; regional caseload%'!$T$85,'caseload data'!$D:$D,"PO")/SUMIF('caseload data'!$C:$C,'divisional &amp; regional caseload%'!$T$85,'caseload data'!R:R),"")</f>
        <v/>
      </c>
      <c r="AI87" s="181" t="str">
        <f>IFERROR(SUMIFS('caseload data'!S:S,'caseload data'!$C:$C,'divisional &amp; regional caseload%'!$T$85,'caseload data'!$D:$D,"PO")/SUMIF('caseload data'!$C:$C,'divisional &amp; regional caseload%'!$T$85,'caseload data'!S:S),"")</f>
        <v/>
      </c>
      <c r="AJ87" s="181" t="str">
        <f>IFERROR(SUMIFS('caseload data'!T:T,'caseload data'!$C:$C,'divisional &amp; regional caseload%'!$T$85,'caseload data'!$D:$D,"PO")/SUMIF('caseload data'!$C:$C,'divisional &amp; regional caseload%'!$T$85,'caseload data'!T:T),"")</f>
        <v/>
      </c>
    </row>
    <row r="88" spans="2:36" x14ac:dyDescent="0.15">
      <c r="B88" s="107" t="s">
        <v>912</v>
      </c>
      <c r="C88" s="181" t="str">
        <f>IFERROR(SUMIFS('caseload data'!E:E,'caseload data'!$C:$C,'divisional &amp; regional caseload%'!$B$85,'caseload data'!$D:$D,"PSO")/SUMIF('caseload data'!$C:$C,'divisional &amp; regional caseload%'!$B$85,'caseload data'!E:E),"")</f>
        <v/>
      </c>
      <c r="D88" s="181" t="str">
        <f>IFERROR(SUMIFS('caseload data'!F:F,'caseload data'!$C:$C,'divisional &amp; regional caseload%'!$B$85,'caseload data'!$D:$D,"PSO")/SUMIF('caseload data'!$C:$C,'divisional &amp; regional caseload%'!$B$85,'caseload data'!F:F),"")</f>
        <v/>
      </c>
      <c r="E88" s="181" t="str">
        <f>IFERROR(SUMIFS('caseload data'!G:G,'caseload data'!$C:$C,'divisional &amp; regional caseload%'!$B$85,'caseload data'!$D:$D,"PSO")/SUMIF('caseload data'!$C:$C,'divisional &amp; regional caseload%'!$B$85,'caseload data'!G:G),"")</f>
        <v/>
      </c>
      <c r="F88" s="181" t="str">
        <f>IFERROR(SUMIFS('caseload data'!H:H,'caseload data'!$C:$C,'divisional &amp; regional caseload%'!$B$85,'caseload data'!$D:$D,"PSO")/SUMIF('caseload data'!$C:$C,'divisional &amp; regional caseload%'!$B$85,'caseload data'!H:H),"")</f>
        <v/>
      </c>
      <c r="G88" s="181" t="str">
        <f>IFERROR(SUMIFS('caseload data'!I:I,'caseload data'!$C:$C,'divisional &amp; regional caseload%'!$B$85,'caseload data'!$D:$D,"PSO")/SUMIF('caseload data'!$C:$C,'divisional &amp; regional caseload%'!$B$85,'caseload data'!I:I),"")</f>
        <v/>
      </c>
      <c r="H88" s="181" t="str">
        <f>IFERROR(SUMIFS('caseload data'!J:J,'caseload data'!$C:$C,'divisional &amp; regional caseload%'!$B$85,'caseload data'!$D:$D,"PSO")/SUMIF('caseload data'!$C:$C,'divisional &amp; regional caseload%'!$B$85,'caseload data'!J:J),"")</f>
        <v/>
      </c>
      <c r="I88" s="181" t="str">
        <f>IFERROR(SUMIFS('caseload data'!K:K,'caseload data'!$C:$C,'divisional &amp; regional caseload%'!$B$85,'caseload data'!$D:$D,"PSO")/SUMIF('caseload data'!$C:$C,'divisional &amp; regional caseload%'!$B$85,'caseload data'!K:K),"")</f>
        <v/>
      </c>
      <c r="J88" s="181" t="str">
        <f>IFERROR(SUMIFS('caseload data'!L:L,'caseload data'!$C:$C,'divisional &amp; regional caseload%'!$B$85,'caseload data'!$D:$D,"PSO")/SUMIF('caseload data'!$C:$C,'divisional &amp; regional caseload%'!$B$85,'caseload data'!L:L),"")</f>
        <v/>
      </c>
      <c r="K88" s="181" t="str">
        <f>IFERROR(SUMIFS('caseload data'!M:M,'caseload data'!$C:$C,'divisional &amp; regional caseload%'!$B$85,'caseload data'!$D:$D,"PSO")/SUMIF('caseload data'!$C:$C,'divisional &amp; regional caseload%'!$B$85,'caseload data'!M:M),"")</f>
        <v/>
      </c>
      <c r="L88" s="181" t="str">
        <f>IFERROR(SUMIFS('caseload data'!N:N,'caseload data'!$C:$C,'divisional &amp; regional caseload%'!$B$85,'caseload data'!$D:$D,"PSO")/SUMIF('caseload data'!$C:$C,'divisional &amp; regional caseload%'!$B$85,'caseload data'!N:N),"")</f>
        <v/>
      </c>
      <c r="M88" s="181" t="str">
        <f>IFERROR(SUMIFS('caseload data'!O:O,'caseload data'!$C:$C,'divisional &amp; regional caseload%'!$B$85,'caseload data'!$D:$D,"PSO")/SUMIF('caseload data'!$C:$C,'divisional &amp; regional caseload%'!$B$85,'caseload data'!O:O),"")</f>
        <v/>
      </c>
      <c r="N88" s="181" t="str">
        <f>IFERROR(SUMIFS('caseload data'!P:P,'caseload data'!$C:$C,'divisional &amp; regional caseload%'!$B$85,'caseload data'!$D:$D,"PSO")/SUMIF('caseload data'!$C:$C,'divisional &amp; regional caseload%'!$B$85,'caseload data'!P:P),"")</f>
        <v/>
      </c>
      <c r="O88" s="181" t="str">
        <f>IFERROR(SUMIFS('caseload data'!Q:Q,'caseload data'!$C:$C,'divisional &amp; regional caseload%'!$B$85,'caseload data'!$D:$D,"PSO")/SUMIF('caseload data'!$C:$C,'divisional &amp; regional caseload%'!$B$85,'caseload data'!Q:Q),"")</f>
        <v/>
      </c>
      <c r="P88" s="181" t="str">
        <f>IFERROR(SUMIFS('caseload data'!R:R,'caseload data'!$C:$C,'divisional &amp; regional caseload%'!$B$85,'caseload data'!$D:$D,"PSO")/SUMIF('caseload data'!$C:$C,'divisional &amp; regional caseload%'!$B$85,'caseload data'!R:R),"")</f>
        <v/>
      </c>
      <c r="Q88" s="181" t="str">
        <f>IFERROR(SUMIFS('caseload data'!S:S,'caseload data'!$C:$C,'divisional &amp; regional caseload%'!$B$85,'caseload data'!$D:$D,"PSO")/SUMIF('caseload data'!$C:$C,'divisional &amp; regional caseload%'!$B$85,'caseload data'!S:S),"")</f>
        <v/>
      </c>
      <c r="R88" s="181" t="str">
        <f>IFERROR(SUMIFS('caseload data'!T:T,'caseload data'!$C:$C,'divisional &amp; regional caseload%'!$B$85,'caseload data'!$D:$D,"PSO")/SUMIF('caseload data'!$C:$C,'divisional &amp; regional caseload%'!$B$85,'caseload data'!T:T),"")</f>
        <v/>
      </c>
      <c r="T88" s="107" t="s">
        <v>912</v>
      </c>
      <c r="U88" s="181" t="str">
        <f>IFERROR(SUMIFS('caseload data'!E:E,'caseload data'!$C:$C,'divisional &amp; regional caseload%'!$T$85,'caseload data'!$D:$D,"PSO")/SUMIF('caseload data'!$C:$C,'divisional &amp; regional caseload%'!$T$85,'caseload data'!E:E),"")</f>
        <v/>
      </c>
      <c r="V88" s="181" t="str">
        <f>IFERROR(SUMIFS('caseload data'!F:F,'caseload data'!$C:$C,'divisional &amp; regional caseload%'!$T$85,'caseload data'!$D:$D,"PSO")/SUMIF('caseload data'!$C:$C,'divisional &amp; regional caseload%'!$T$85,'caseload data'!F:F),"")</f>
        <v/>
      </c>
      <c r="W88" s="181" t="str">
        <f>IFERROR(SUMIFS('caseload data'!G:G,'caseload data'!$C:$C,'divisional &amp; regional caseload%'!$T$85,'caseload data'!$D:$D,"PSO")/SUMIF('caseload data'!$C:$C,'divisional &amp; regional caseload%'!$T$85,'caseload data'!G:G),"")</f>
        <v/>
      </c>
      <c r="X88" s="181" t="str">
        <f>IFERROR(SUMIFS('caseload data'!H:H,'caseload data'!$C:$C,'divisional &amp; regional caseload%'!$T$85,'caseload data'!$D:$D,"PSO")/SUMIF('caseload data'!$C:$C,'divisional &amp; regional caseload%'!$T$85,'caseload data'!H:H),"")</f>
        <v/>
      </c>
      <c r="Y88" s="181" t="str">
        <f>IFERROR(SUMIFS('caseload data'!I:I,'caseload data'!$C:$C,'divisional &amp; regional caseload%'!$T$85,'caseload data'!$D:$D,"PSO")/SUMIF('caseload data'!$C:$C,'divisional &amp; regional caseload%'!$T$85,'caseload data'!I:I),"")</f>
        <v/>
      </c>
      <c r="Z88" s="181" t="str">
        <f>IFERROR(SUMIFS('caseload data'!J:J,'caseload data'!$C:$C,'divisional &amp; regional caseload%'!$T$85,'caseload data'!$D:$D,"PSO")/SUMIF('caseload data'!$C:$C,'divisional &amp; regional caseload%'!$T$85,'caseload data'!J:J),"")</f>
        <v/>
      </c>
      <c r="AA88" s="181" t="str">
        <f>IFERROR(SUMIFS('caseload data'!K:K,'caseload data'!$C:$C,'divisional &amp; regional caseload%'!$T$85,'caseload data'!$D:$D,"PSO")/SUMIF('caseload data'!$C:$C,'divisional &amp; regional caseload%'!$T$85,'caseload data'!K:K),"")</f>
        <v/>
      </c>
      <c r="AB88" s="181" t="str">
        <f>IFERROR(SUMIFS('caseload data'!L:L,'caseload data'!$C:$C,'divisional &amp; regional caseload%'!$T$85,'caseload data'!$D:$D,"PSO")/SUMIF('caseload data'!$C:$C,'divisional &amp; regional caseload%'!$T$85,'caseload data'!L:L),"")</f>
        <v/>
      </c>
      <c r="AC88" s="181" t="str">
        <f>IFERROR(SUMIFS('caseload data'!M:M,'caseload data'!$C:$C,'divisional &amp; regional caseload%'!$T$85,'caseload data'!$D:$D,"PSO")/SUMIF('caseload data'!$C:$C,'divisional &amp; regional caseload%'!$T$85,'caseload data'!M:M),"")</f>
        <v/>
      </c>
      <c r="AD88" s="181" t="str">
        <f>IFERROR(SUMIFS('caseload data'!N:N,'caseload data'!$C:$C,'divisional &amp; regional caseload%'!$T$85,'caseload data'!$D:$D,"PSO")/SUMIF('caseload data'!$C:$C,'divisional &amp; regional caseload%'!$T$85,'caseload data'!N:N),"")</f>
        <v/>
      </c>
      <c r="AE88" s="181" t="str">
        <f>IFERROR(SUMIFS('caseload data'!O:O,'caseload data'!$C:$C,'divisional &amp; regional caseload%'!$T$85,'caseload data'!$D:$D,"PSO")/SUMIF('caseload data'!$C:$C,'divisional &amp; regional caseload%'!$T$85,'caseload data'!O:O),"")</f>
        <v/>
      </c>
      <c r="AF88" s="181" t="str">
        <f>IFERROR(SUMIFS('caseload data'!P:P,'caseload data'!$C:$C,'divisional &amp; regional caseload%'!$T$85,'caseload data'!$D:$D,"PSO")/SUMIF('caseload data'!$C:$C,'divisional &amp; regional caseload%'!$T$85,'caseload data'!P:P),"")</f>
        <v/>
      </c>
      <c r="AG88" s="181" t="str">
        <f>IFERROR(SUMIFS('caseload data'!Q:Q,'caseload data'!$C:$C,'divisional &amp; regional caseload%'!$T$85,'caseload data'!$D:$D,"PSO")/SUMIF('caseload data'!$C:$C,'divisional &amp; regional caseload%'!$T$85,'caseload data'!Q:Q),"")</f>
        <v/>
      </c>
      <c r="AH88" s="181" t="str">
        <f>IFERROR(SUMIFS('caseload data'!R:R,'caseload data'!$C:$C,'divisional &amp; regional caseload%'!$T$85,'caseload data'!$D:$D,"PSO")/SUMIF('caseload data'!$C:$C,'divisional &amp; regional caseload%'!$T$85,'caseload data'!R:R),"")</f>
        <v/>
      </c>
      <c r="AI88" s="181" t="str">
        <f>IFERROR(SUMIFS('caseload data'!S:S,'caseload data'!$C:$C,'divisional &amp; regional caseload%'!$T$85,'caseload data'!$D:$D,"PSO")/SUMIF('caseload data'!$C:$C,'divisional &amp; regional caseload%'!$T$85,'caseload data'!S:S),"")</f>
        <v/>
      </c>
      <c r="AJ88" s="181" t="str">
        <f>IFERROR(SUMIFS('caseload data'!T:T,'caseload data'!$C:$C,'divisional &amp; regional caseload%'!$T$85,'caseload data'!$D:$D,"PSO")/SUMIF('caseload data'!$C:$C,'divisional &amp; regional caseload%'!$T$85,'caseload data'!T:T),"")</f>
        <v/>
      </c>
    </row>
    <row r="89" spans="2:36" x14ac:dyDescent="0.15">
      <c r="B89" s="107" t="s">
        <v>913</v>
      </c>
      <c r="C89" s="181" t="str">
        <f>IFERROR(SUMIFS('caseload data'!E:E,'caseload data'!$C:$C,'divisional &amp; regional caseload%'!$B$85,'caseload data'!$D:$D,"TPO")/SUMIF('caseload data'!$C:$C,'divisional &amp; regional caseload%'!$B$85,'caseload data'!E:E),"")</f>
        <v/>
      </c>
      <c r="D89" s="181" t="str">
        <f>IFERROR(SUMIFS('caseload data'!F:F,'caseload data'!$C:$C,'divisional &amp; regional caseload%'!$B$85,'caseload data'!$D:$D,"TPO")/SUMIF('caseload data'!$C:$C,'divisional &amp; regional caseload%'!$B$85,'caseload data'!F:F),"")</f>
        <v/>
      </c>
      <c r="E89" s="181" t="str">
        <f>IFERROR(SUMIFS('caseload data'!G:G,'caseload data'!$C:$C,'divisional &amp; regional caseload%'!$B$85,'caseload data'!$D:$D,"TPO")/SUMIF('caseload data'!$C:$C,'divisional &amp; regional caseload%'!$B$85,'caseload data'!G:G),"")</f>
        <v/>
      </c>
      <c r="F89" s="181" t="str">
        <f>IFERROR(SUMIFS('caseload data'!H:H,'caseload data'!$C:$C,'divisional &amp; regional caseload%'!$B$85,'caseload data'!$D:$D,"TPO")/SUMIF('caseload data'!$C:$C,'divisional &amp; regional caseload%'!$B$85,'caseload data'!H:H),"")</f>
        <v/>
      </c>
      <c r="G89" s="181" t="str">
        <f>IFERROR(SUMIFS('caseload data'!I:I,'caseload data'!$C:$C,'divisional &amp; regional caseload%'!$B$85,'caseload data'!$D:$D,"TPO")/SUMIF('caseload data'!$C:$C,'divisional &amp; regional caseload%'!$B$85,'caseload data'!I:I),"")</f>
        <v/>
      </c>
      <c r="H89" s="181" t="str">
        <f>IFERROR(SUMIFS('caseload data'!J:J,'caseload data'!$C:$C,'divisional &amp; regional caseload%'!$B$85,'caseload data'!$D:$D,"TPO")/SUMIF('caseload data'!$C:$C,'divisional &amp; regional caseload%'!$B$85,'caseload data'!J:J),"")</f>
        <v/>
      </c>
      <c r="I89" s="181" t="str">
        <f>IFERROR(SUMIFS('caseload data'!K:K,'caseload data'!$C:$C,'divisional &amp; regional caseload%'!$B$85,'caseload data'!$D:$D,"TPO")/SUMIF('caseload data'!$C:$C,'divisional &amp; regional caseload%'!$B$85,'caseload data'!K:K),"")</f>
        <v/>
      </c>
      <c r="J89" s="181" t="str">
        <f>IFERROR(SUMIFS('caseload data'!L:L,'caseload data'!$C:$C,'divisional &amp; regional caseload%'!$B$85,'caseload data'!$D:$D,"TPO")/SUMIF('caseload data'!$C:$C,'divisional &amp; regional caseload%'!$B$85,'caseload data'!L:L),"")</f>
        <v/>
      </c>
      <c r="K89" s="181" t="str">
        <f>IFERROR(SUMIFS('caseload data'!M:M,'caseload data'!$C:$C,'divisional &amp; regional caseload%'!$B$85,'caseload data'!$D:$D,"TPO")/SUMIF('caseload data'!$C:$C,'divisional &amp; regional caseload%'!$B$85,'caseload data'!M:M),"")</f>
        <v/>
      </c>
      <c r="L89" s="181" t="str">
        <f>IFERROR(SUMIFS('caseload data'!N:N,'caseload data'!$C:$C,'divisional &amp; regional caseload%'!$B$85,'caseload data'!$D:$D,"TPO")/SUMIF('caseload data'!$C:$C,'divisional &amp; regional caseload%'!$B$85,'caseload data'!N:N),"")</f>
        <v/>
      </c>
      <c r="M89" s="181" t="str">
        <f>IFERROR(SUMIFS('caseload data'!O:O,'caseload data'!$C:$C,'divisional &amp; regional caseload%'!$B$85,'caseload data'!$D:$D,"TPO")/SUMIF('caseload data'!$C:$C,'divisional &amp; regional caseload%'!$B$85,'caseload data'!O:O),"")</f>
        <v/>
      </c>
      <c r="N89" s="181" t="str">
        <f>IFERROR(SUMIFS('caseload data'!P:P,'caseload data'!$C:$C,'divisional &amp; regional caseload%'!$B$85,'caseload data'!$D:$D,"TPO")/SUMIF('caseload data'!$C:$C,'divisional &amp; regional caseload%'!$B$85,'caseload data'!P:P),"")</f>
        <v/>
      </c>
      <c r="O89" s="181" t="str">
        <f>IFERROR(SUMIFS('caseload data'!Q:Q,'caseload data'!$C:$C,'divisional &amp; regional caseload%'!$B$85,'caseload data'!$D:$D,"TPO")/SUMIF('caseload data'!$C:$C,'divisional &amp; regional caseload%'!$B$85,'caseload data'!Q:Q),"")</f>
        <v/>
      </c>
      <c r="P89" s="181" t="str">
        <f>IFERROR(SUMIFS('caseload data'!R:R,'caseload data'!$C:$C,'divisional &amp; regional caseload%'!$B$85,'caseload data'!$D:$D,"TPO")/SUMIF('caseload data'!$C:$C,'divisional &amp; regional caseload%'!$B$85,'caseload data'!R:R),"")</f>
        <v/>
      </c>
      <c r="Q89" s="181" t="str">
        <f>IFERROR(SUMIFS('caseload data'!S:S,'caseload data'!$C:$C,'divisional &amp; regional caseload%'!$B$85,'caseload data'!$D:$D,"TPO")/SUMIF('caseload data'!$C:$C,'divisional &amp; regional caseload%'!$B$85,'caseload data'!S:S),"")</f>
        <v/>
      </c>
      <c r="R89" s="181" t="str">
        <f>IFERROR(SUMIFS('caseload data'!T:T,'caseload data'!$C:$C,'divisional &amp; regional caseload%'!$B$85,'caseload data'!$D:$D,"TPO")/SUMIF('caseload data'!$C:$C,'divisional &amp; regional caseload%'!$B$85,'caseload data'!T:T),"")</f>
        <v/>
      </c>
      <c r="T89" s="107" t="s">
        <v>913</v>
      </c>
      <c r="U89" s="181" t="str">
        <f>IFERROR(SUMIFS('caseload data'!E:E,'caseload data'!$C:$C,'divisional &amp; regional caseload%'!$T$85,'caseload data'!$D:$D,"TPO")/SUMIF('caseload data'!$C:$C,'divisional &amp; regional caseload%'!$T$85,'caseload data'!E:E),"")</f>
        <v/>
      </c>
      <c r="V89" s="181" t="str">
        <f>IFERROR(SUMIFS('caseload data'!F:F,'caseload data'!$C:$C,'divisional &amp; regional caseload%'!$T$85,'caseload data'!$D:$D,"TPO")/SUMIF('caseload data'!$C:$C,'divisional &amp; regional caseload%'!$T$85,'caseload data'!F:F),"")</f>
        <v/>
      </c>
      <c r="W89" s="181" t="str">
        <f>IFERROR(SUMIFS('caseload data'!G:G,'caseload data'!$C:$C,'divisional &amp; regional caseload%'!$T$85,'caseload data'!$D:$D,"TPO")/SUMIF('caseload data'!$C:$C,'divisional &amp; regional caseload%'!$T$85,'caseload data'!G:G),"")</f>
        <v/>
      </c>
      <c r="X89" s="181" t="str">
        <f>IFERROR(SUMIFS('caseload data'!H:H,'caseload data'!$C:$C,'divisional &amp; regional caseload%'!$T$85,'caseload data'!$D:$D,"TPO")/SUMIF('caseload data'!$C:$C,'divisional &amp; regional caseload%'!$T$85,'caseload data'!H:H),"")</f>
        <v/>
      </c>
      <c r="Y89" s="181" t="str">
        <f>IFERROR(SUMIFS('caseload data'!I:I,'caseload data'!$C:$C,'divisional &amp; regional caseload%'!$T$85,'caseload data'!$D:$D,"TPO")/SUMIF('caseload data'!$C:$C,'divisional &amp; regional caseload%'!$T$85,'caseload data'!I:I),"")</f>
        <v/>
      </c>
      <c r="Z89" s="181" t="str">
        <f>IFERROR(SUMIFS('caseload data'!J:J,'caseload data'!$C:$C,'divisional &amp; regional caseload%'!$T$85,'caseload data'!$D:$D,"TPO")/SUMIF('caseload data'!$C:$C,'divisional &amp; regional caseload%'!$T$85,'caseload data'!J:J),"")</f>
        <v/>
      </c>
      <c r="AA89" s="181" t="str">
        <f>IFERROR(SUMIFS('caseload data'!K:K,'caseload data'!$C:$C,'divisional &amp; regional caseload%'!$T$85,'caseload data'!$D:$D,"TPO")/SUMIF('caseload data'!$C:$C,'divisional &amp; regional caseload%'!$T$85,'caseload data'!K:K),"")</f>
        <v/>
      </c>
      <c r="AB89" s="181" t="str">
        <f>IFERROR(SUMIFS('caseload data'!L:L,'caseload data'!$C:$C,'divisional &amp; regional caseload%'!$T$85,'caseload data'!$D:$D,"TPO")/SUMIF('caseload data'!$C:$C,'divisional &amp; regional caseload%'!$T$85,'caseload data'!L:L),"")</f>
        <v/>
      </c>
      <c r="AC89" s="181" t="str">
        <f>IFERROR(SUMIFS('caseload data'!M:M,'caseload data'!$C:$C,'divisional &amp; regional caseload%'!$T$85,'caseload data'!$D:$D,"TPO")/SUMIF('caseload data'!$C:$C,'divisional &amp; regional caseload%'!$T$85,'caseload data'!M:M),"")</f>
        <v/>
      </c>
      <c r="AD89" s="181" t="str">
        <f>IFERROR(SUMIFS('caseload data'!N:N,'caseload data'!$C:$C,'divisional &amp; regional caseload%'!$T$85,'caseload data'!$D:$D,"TPO")/SUMIF('caseload data'!$C:$C,'divisional &amp; regional caseload%'!$T$85,'caseload data'!N:N),"")</f>
        <v/>
      </c>
      <c r="AE89" s="181" t="str">
        <f>IFERROR(SUMIFS('caseload data'!O:O,'caseload data'!$C:$C,'divisional &amp; regional caseload%'!$T$85,'caseload data'!$D:$D,"TPO")/SUMIF('caseload data'!$C:$C,'divisional &amp; regional caseload%'!$T$85,'caseload data'!O:O),"")</f>
        <v/>
      </c>
      <c r="AF89" s="181" t="str">
        <f>IFERROR(SUMIFS('caseload data'!P:P,'caseload data'!$C:$C,'divisional &amp; regional caseload%'!$T$85,'caseload data'!$D:$D,"TPO")/SUMIF('caseload data'!$C:$C,'divisional &amp; regional caseload%'!$T$85,'caseload data'!P:P),"")</f>
        <v/>
      </c>
      <c r="AG89" s="181" t="str">
        <f>IFERROR(SUMIFS('caseload data'!Q:Q,'caseload data'!$C:$C,'divisional &amp; regional caseload%'!$T$85,'caseload data'!$D:$D,"TPO")/SUMIF('caseload data'!$C:$C,'divisional &amp; regional caseload%'!$T$85,'caseload data'!Q:Q),"")</f>
        <v/>
      </c>
      <c r="AH89" s="181" t="str">
        <f>IFERROR(SUMIFS('caseload data'!R:R,'caseload data'!$C:$C,'divisional &amp; regional caseload%'!$T$85,'caseload data'!$D:$D,"TPO")/SUMIF('caseload data'!$C:$C,'divisional &amp; regional caseload%'!$T$85,'caseload data'!R:R),"")</f>
        <v/>
      </c>
      <c r="AI89" s="181" t="str">
        <f>IFERROR(SUMIFS('caseload data'!S:S,'caseload data'!$C:$C,'divisional &amp; regional caseload%'!$T$85,'caseload data'!$D:$D,"TPO")/SUMIF('caseload data'!$C:$C,'divisional &amp; regional caseload%'!$T$85,'caseload data'!S:S),"")</f>
        <v/>
      </c>
      <c r="AJ89" s="181" t="str">
        <f>IFERROR(SUMIFS('caseload data'!T:T,'caseload data'!$C:$C,'divisional &amp; regional caseload%'!$T$85,'caseload data'!$D:$D,"TPO")/SUMIF('caseload data'!$C:$C,'divisional &amp; regional caseload%'!$T$85,'caseload data'!T:T),"")</f>
        <v/>
      </c>
    </row>
    <row r="90" spans="2:36" x14ac:dyDescent="0.15">
      <c r="B90" s="108" t="s">
        <v>914</v>
      </c>
      <c r="C90" s="181" t="str">
        <f>IFERROR(SUMIFS('caseload data'!E:E,'caseload data'!$C:$C,'divisional &amp; regional caseload%'!$B$85,'caseload data'!$D:$D,"SPO")/SUMIF('caseload data'!$C:$C,'divisional &amp; regional caseload%'!$B$85,'caseload data'!E:E),"")</f>
        <v/>
      </c>
      <c r="D90" s="181" t="str">
        <f>IFERROR(SUMIFS('caseload data'!F:F,'caseload data'!$C:$C,'divisional &amp; regional caseload%'!$B$85,'caseload data'!$D:$D,"SPO")/SUMIF('caseload data'!$C:$C,'divisional &amp; regional caseload%'!$B$85,'caseload data'!F:F),"")</f>
        <v/>
      </c>
      <c r="E90" s="181" t="str">
        <f>IFERROR(SUMIFS('caseload data'!G:G,'caseload data'!$C:$C,'divisional &amp; regional caseload%'!$B$85,'caseload data'!$D:$D,"SPO")/SUMIF('caseload data'!$C:$C,'divisional &amp; regional caseload%'!$B$85,'caseload data'!G:G),"")</f>
        <v/>
      </c>
      <c r="F90" s="181" t="str">
        <f>IFERROR(SUMIFS('caseload data'!H:H,'caseload data'!$C:$C,'divisional &amp; regional caseload%'!$B$85,'caseload data'!$D:$D,"SPO")/SUMIF('caseload data'!$C:$C,'divisional &amp; regional caseload%'!$B$85,'caseload data'!H:H),"")</f>
        <v/>
      </c>
      <c r="G90" s="181" t="str">
        <f>IFERROR(SUMIFS('caseload data'!I:I,'caseload data'!$C:$C,'divisional &amp; regional caseload%'!$B$85,'caseload data'!$D:$D,"SPO")/SUMIF('caseload data'!$C:$C,'divisional &amp; regional caseload%'!$B$85,'caseload data'!I:I),"")</f>
        <v/>
      </c>
      <c r="H90" s="181" t="str">
        <f>IFERROR(SUMIFS('caseload data'!J:J,'caseload data'!$C:$C,'divisional &amp; regional caseload%'!$B$85,'caseload data'!$D:$D,"SPO")/SUMIF('caseload data'!$C:$C,'divisional &amp; regional caseload%'!$B$85,'caseload data'!J:J),"")</f>
        <v/>
      </c>
      <c r="I90" s="181" t="str">
        <f>IFERROR(SUMIFS('caseload data'!K:K,'caseload data'!$C:$C,'divisional &amp; regional caseload%'!$B$85,'caseload data'!$D:$D,"SPO")/SUMIF('caseload data'!$C:$C,'divisional &amp; regional caseload%'!$B$85,'caseload data'!K:K),"")</f>
        <v/>
      </c>
      <c r="J90" s="181" t="str">
        <f>IFERROR(SUMIFS('caseload data'!L:L,'caseload data'!$C:$C,'divisional &amp; regional caseload%'!$B$85,'caseload data'!$D:$D,"SPO")/SUMIF('caseload data'!$C:$C,'divisional &amp; regional caseload%'!$B$85,'caseload data'!L:L),"")</f>
        <v/>
      </c>
      <c r="K90" s="181" t="str">
        <f>IFERROR(SUMIFS('caseload data'!M:M,'caseload data'!$C:$C,'divisional &amp; regional caseload%'!$B$85,'caseload data'!$D:$D,"SPO")/SUMIF('caseload data'!$C:$C,'divisional &amp; regional caseload%'!$B$85,'caseload data'!M:M),"")</f>
        <v/>
      </c>
      <c r="L90" s="181" t="str">
        <f>IFERROR(SUMIFS('caseload data'!N:N,'caseload data'!$C:$C,'divisional &amp; regional caseload%'!$B$85,'caseload data'!$D:$D,"SPO")/SUMIF('caseload data'!$C:$C,'divisional &amp; regional caseload%'!$B$85,'caseload data'!N:N),"")</f>
        <v/>
      </c>
      <c r="M90" s="181" t="str">
        <f>IFERROR(SUMIFS('caseload data'!O:O,'caseload data'!$C:$C,'divisional &amp; regional caseload%'!$B$85,'caseload data'!$D:$D,"SPO")/SUMIF('caseload data'!$C:$C,'divisional &amp; regional caseload%'!$B$85,'caseload data'!O:O),"")</f>
        <v/>
      </c>
      <c r="N90" s="181" t="str">
        <f>IFERROR(SUMIFS('caseload data'!P:P,'caseload data'!$C:$C,'divisional &amp; regional caseload%'!$B$85,'caseload data'!$D:$D,"SPO")/SUMIF('caseload data'!$C:$C,'divisional &amp; regional caseload%'!$B$85,'caseload data'!P:P),"")</f>
        <v/>
      </c>
      <c r="O90" s="181" t="str">
        <f>IFERROR(SUMIFS('caseload data'!Q:Q,'caseload data'!$C:$C,'divisional &amp; regional caseload%'!$B$85,'caseload data'!$D:$D,"SPO")/SUMIF('caseload data'!$C:$C,'divisional &amp; regional caseload%'!$B$85,'caseload data'!Q:Q),"")</f>
        <v/>
      </c>
      <c r="P90" s="181" t="str">
        <f>IFERROR(SUMIFS('caseload data'!R:R,'caseload data'!$C:$C,'divisional &amp; regional caseload%'!$B$85,'caseload data'!$D:$D,"SPO")/SUMIF('caseload data'!$C:$C,'divisional &amp; regional caseload%'!$B$85,'caseload data'!R:R),"")</f>
        <v/>
      </c>
      <c r="Q90" s="181" t="str">
        <f>IFERROR(SUMIFS('caseload data'!S:S,'caseload data'!$C:$C,'divisional &amp; regional caseload%'!$B$85,'caseload data'!$D:$D,"SPO")/SUMIF('caseload data'!$C:$C,'divisional &amp; regional caseload%'!$B$85,'caseload data'!S:S),"")</f>
        <v/>
      </c>
      <c r="R90" s="181" t="str">
        <f>IFERROR(SUMIFS('caseload data'!T:T,'caseload data'!$C:$C,'divisional &amp; regional caseload%'!$B$85,'caseload data'!$D:$D,"SPO")/SUMIF('caseload data'!$C:$C,'divisional &amp; regional caseload%'!$B$85,'caseload data'!T:T),"")</f>
        <v/>
      </c>
      <c r="T90" s="108" t="s">
        <v>914</v>
      </c>
      <c r="U90" s="181" t="str">
        <f>IFERROR(SUMIFS('caseload data'!E:E,'caseload data'!$C:$C,'divisional &amp; regional caseload%'!$T$85,'caseload data'!$D:$D,"SPO")/SUMIF('caseload data'!$C:$C,'divisional &amp; regional caseload%'!$T$85,'caseload data'!E:E),"")</f>
        <v/>
      </c>
      <c r="V90" s="181" t="str">
        <f>IFERROR(SUMIFS('caseload data'!F:F,'caseload data'!$C:$C,'divisional &amp; regional caseload%'!$T$85,'caseload data'!$D:$D,"SPO")/SUMIF('caseload data'!$C:$C,'divisional &amp; regional caseload%'!$T$85,'caseload data'!F:F),"")</f>
        <v/>
      </c>
      <c r="W90" s="181" t="str">
        <f>IFERROR(SUMIFS('caseload data'!G:G,'caseload data'!$C:$C,'divisional &amp; regional caseload%'!$T$85,'caseload data'!$D:$D,"SPO")/SUMIF('caseload data'!$C:$C,'divisional &amp; regional caseload%'!$T$85,'caseload data'!G:G),"")</f>
        <v/>
      </c>
      <c r="X90" s="181" t="str">
        <f>IFERROR(SUMIFS('caseload data'!H:H,'caseload data'!$C:$C,'divisional &amp; regional caseload%'!$T$85,'caseload data'!$D:$D,"SPO")/SUMIF('caseload data'!$C:$C,'divisional &amp; regional caseload%'!$T$85,'caseload data'!H:H),"")</f>
        <v/>
      </c>
      <c r="Y90" s="181" t="str">
        <f>IFERROR(SUMIFS('caseload data'!I:I,'caseload data'!$C:$C,'divisional &amp; regional caseload%'!$T$85,'caseload data'!$D:$D,"SPO")/SUMIF('caseload data'!$C:$C,'divisional &amp; regional caseload%'!$T$85,'caseload data'!I:I),"")</f>
        <v/>
      </c>
      <c r="Z90" s="181" t="str">
        <f>IFERROR(SUMIFS('caseload data'!J:J,'caseload data'!$C:$C,'divisional &amp; regional caseload%'!$T$85,'caseload data'!$D:$D,"SPO")/SUMIF('caseload data'!$C:$C,'divisional &amp; regional caseload%'!$T$85,'caseload data'!J:J),"")</f>
        <v/>
      </c>
      <c r="AA90" s="181" t="str">
        <f>IFERROR(SUMIFS('caseload data'!K:K,'caseload data'!$C:$C,'divisional &amp; regional caseload%'!$T$85,'caseload data'!$D:$D,"SPO")/SUMIF('caseload data'!$C:$C,'divisional &amp; regional caseload%'!$T$85,'caseload data'!K:K),"")</f>
        <v/>
      </c>
      <c r="AB90" s="181" t="str">
        <f>IFERROR(SUMIFS('caseload data'!L:L,'caseload data'!$C:$C,'divisional &amp; regional caseload%'!$T$85,'caseload data'!$D:$D,"SPO")/SUMIF('caseload data'!$C:$C,'divisional &amp; regional caseload%'!$T$85,'caseload data'!L:L),"")</f>
        <v/>
      </c>
      <c r="AC90" s="181" t="str">
        <f>IFERROR(SUMIFS('caseload data'!M:M,'caseload data'!$C:$C,'divisional &amp; regional caseload%'!$T$85,'caseload data'!$D:$D,"SPO")/SUMIF('caseload data'!$C:$C,'divisional &amp; regional caseload%'!$T$85,'caseload data'!M:M),"")</f>
        <v/>
      </c>
      <c r="AD90" s="181" t="str">
        <f>IFERROR(SUMIFS('caseload data'!N:N,'caseload data'!$C:$C,'divisional &amp; regional caseload%'!$T$85,'caseload data'!$D:$D,"SPO")/SUMIF('caseload data'!$C:$C,'divisional &amp; regional caseload%'!$T$85,'caseload data'!N:N),"")</f>
        <v/>
      </c>
      <c r="AE90" s="181" t="str">
        <f>IFERROR(SUMIFS('caseload data'!O:O,'caseload data'!$C:$C,'divisional &amp; regional caseload%'!$T$85,'caseload data'!$D:$D,"SPO")/SUMIF('caseload data'!$C:$C,'divisional &amp; regional caseload%'!$T$85,'caseload data'!O:O),"")</f>
        <v/>
      </c>
      <c r="AF90" s="181" t="str">
        <f>IFERROR(SUMIFS('caseload data'!P:P,'caseload data'!$C:$C,'divisional &amp; regional caseload%'!$T$85,'caseload data'!$D:$D,"SPO")/SUMIF('caseload data'!$C:$C,'divisional &amp; regional caseload%'!$T$85,'caseload data'!P:P),"")</f>
        <v/>
      </c>
      <c r="AG90" s="181" t="str">
        <f>IFERROR(SUMIFS('caseload data'!Q:Q,'caseload data'!$C:$C,'divisional &amp; regional caseload%'!$T$85,'caseload data'!$D:$D,"SPO")/SUMIF('caseload data'!$C:$C,'divisional &amp; regional caseload%'!$T$85,'caseload data'!Q:Q),"")</f>
        <v/>
      </c>
      <c r="AH90" s="181" t="str">
        <f>IFERROR(SUMIFS('caseload data'!R:R,'caseload data'!$C:$C,'divisional &amp; regional caseload%'!$T$85,'caseload data'!$D:$D,"SPO")/SUMIF('caseload data'!$C:$C,'divisional &amp; regional caseload%'!$T$85,'caseload data'!R:R),"")</f>
        <v/>
      </c>
      <c r="AI90" s="181" t="str">
        <f>IFERROR(SUMIFS('caseload data'!S:S,'caseload data'!$C:$C,'divisional &amp; regional caseload%'!$T$85,'caseload data'!$D:$D,"SPO")/SUMIF('caseload data'!$C:$C,'divisional &amp; regional caseload%'!$T$85,'caseload data'!S:S),"")</f>
        <v/>
      </c>
      <c r="AJ90" s="181" t="str">
        <f>IFERROR(SUMIFS('caseload data'!T:T,'caseload data'!$C:$C,'divisional &amp; regional caseload%'!$T$85,'caseload data'!$D:$D,"SPO")/SUMIF('caseload data'!$C:$C,'divisional &amp; regional caseload%'!$T$85,'caseload data'!T:T),"")</f>
        <v/>
      </c>
    </row>
    <row r="92" spans="2:36" x14ac:dyDescent="0.15">
      <c r="B92" s="156">
        <f>HLOOKUP($B$5,Region_Table,26,0)</f>
        <v>0</v>
      </c>
      <c r="C92" s="367" t="s">
        <v>1130</v>
      </c>
      <c r="D92" s="368"/>
      <c r="E92" s="368"/>
      <c r="F92" s="368"/>
      <c r="G92" s="368"/>
      <c r="H92" s="368"/>
      <c r="I92" s="368"/>
      <c r="J92" s="368"/>
      <c r="K92" s="368"/>
      <c r="L92" s="368"/>
      <c r="M92" s="377"/>
      <c r="N92" s="377"/>
      <c r="O92" s="378"/>
      <c r="P92" s="371">
        <f>SUMIF('caseload data'!$C:$C,'divisional &amp; regional caseload%'!B92,'caseload data'!V:V)</f>
        <v>0</v>
      </c>
      <c r="Q92" s="379"/>
      <c r="R92" s="380"/>
      <c r="T92" s="156">
        <f>HLOOKUP($B$5,Region_Table,27,0)</f>
        <v>0</v>
      </c>
      <c r="U92" s="367" t="s">
        <v>1130</v>
      </c>
      <c r="V92" s="368"/>
      <c r="W92" s="368"/>
      <c r="X92" s="368"/>
      <c r="Y92" s="368"/>
      <c r="Z92" s="368"/>
      <c r="AA92" s="368"/>
      <c r="AB92" s="368"/>
      <c r="AC92" s="368"/>
      <c r="AD92" s="368"/>
      <c r="AE92" s="377"/>
      <c r="AF92" s="377"/>
      <c r="AG92" s="378"/>
      <c r="AH92" s="371">
        <f>SUMIF('caseload data'!$C:$C,'divisional &amp; regional caseload%'!T92,'caseload data'!V:V)</f>
        <v>0</v>
      </c>
      <c r="AI92" s="379"/>
      <c r="AJ92" s="380"/>
    </row>
    <row r="93" spans="2:36" x14ac:dyDescent="0.15">
      <c r="B93" s="105" t="s">
        <v>1065</v>
      </c>
      <c r="C93" s="41" t="s">
        <v>922</v>
      </c>
      <c r="D93" s="41" t="s">
        <v>923</v>
      </c>
      <c r="E93" s="41" t="s">
        <v>924</v>
      </c>
      <c r="F93" s="41" t="s">
        <v>925</v>
      </c>
      <c r="G93" s="41" t="s">
        <v>926</v>
      </c>
      <c r="H93" s="41" t="s">
        <v>927</v>
      </c>
      <c r="I93" s="41" t="s">
        <v>928</v>
      </c>
      <c r="J93" s="41" t="s">
        <v>929</v>
      </c>
      <c r="K93" s="41" t="s">
        <v>930</v>
      </c>
      <c r="L93" s="41" t="s">
        <v>931</v>
      </c>
      <c r="M93" s="41" t="s">
        <v>932</v>
      </c>
      <c r="N93" s="41" t="s">
        <v>933</v>
      </c>
      <c r="O93" s="41" t="s">
        <v>934</v>
      </c>
      <c r="P93" s="41" t="s">
        <v>935</v>
      </c>
      <c r="Q93" s="41" t="s">
        <v>936</v>
      </c>
      <c r="R93" s="41" t="s">
        <v>937</v>
      </c>
      <c r="T93" s="105" t="s">
        <v>1065</v>
      </c>
      <c r="U93" s="41" t="s">
        <v>922</v>
      </c>
      <c r="V93" s="41" t="s">
        <v>923</v>
      </c>
      <c r="W93" s="41" t="s">
        <v>924</v>
      </c>
      <c r="X93" s="41" t="s">
        <v>925</v>
      </c>
      <c r="Y93" s="41" t="s">
        <v>926</v>
      </c>
      <c r="Z93" s="41" t="s">
        <v>927</v>
      </c>
      <c r="AA93" s="41" t="s">
        <v>928</v>
      </c>
      <c r="AB93" s="41" t="s">
        <v>929</v>
      </c>
      <c r="AC93" s="41" t="s">
        <v>930</v>
      </c>
      <c r="AD93" s="41" t="s">
        <v>931</v>
      </c>
      <c r="AE93" s="41" t="s">
        <v>932</v>
      </c>
      <c r="AF93" s="41" t="s">
        <v>933</v>
      </c>
      <c r="AG93" s="41" t="s">
        <v>934</v>
      </c>
      <c r="AH93" s="41" t="s">
        <v>935</v>
      </c>
      <c r="AI93" s="41" t="s">
        <v>936</v>
      </c>
      <c r="AJ93" s="41" t="s">
        <v>937</v>
      </c>
    </row>
    <row r="94" spans="2:36" x14ac:dyDescent="0.15">
      <c r="B94" s="106" t="s">
        <v>911</v>
      </c>
      <c r="C94" s="181" t="str">
        <f>IFERROR(SUMIFS('caseload data'!E:E,'caseload data'!$C:$C,'divisional &amp; regional caseload%'!$B$92,'caseload data'!$D:$D,"PO")/SUMIF('caseload data'!$C:$C,'divisional &amp; regional caseload%'!$B$92,'caseload data'!E:E),"")</f>
        <v/>
      </c>
      <c r="D94" s="181" t="str">
        <f>IFERROR(SUMIFS('caseload data'!F:F,'caseload data'!$C:$C,'divisional &amp; regional caseload%'!$B$92,'caseload data'!$D:$D,"PO")/SUMIF('caseload data'!$C:$C,'divisional &amp; regional caseload%'!$B$92,'caseload data'!F:F),"")</f>
        <v/>
      </c>
      <c r="E94" s="181" t="str">
        <f>IFERROR(SUMIFS('caseload data'!G:G,'caseload data'!$C:$C,'divisional &amp; regional caseload%'!$B$92,'caseload data'!$D:$D,"PO")/SUMIF('caseload data'!$C:$C,'divisional &amp; regional caseload%'!$B$92,'caseload data'!G:G),"")</f>
        <v/>
      </c>
      <c r="F94" s="181" t="str">
        <f>IFERROR(SUMIFS('caseload data'!H:H,'caseload data'!$C:$C,'divisional &amp; regional caseload%'!$B$92,'caseload data'!$D:$D,"PO")/SUMIF('caseload data'!$C:$C,'divisional &amp; regional caseload%'!$B$92,'caseload data'!H:H),"")</f>
        <v/>
      </c>
      <c r="G94" s="181" t="str">
        <f>IFERROR(SUMIFS('caseload data'!I:I,'caseload data'!$C:$C,'divisional &amp; regional caseload%'!$B$92,'caseload data'!$D:$D,"PO")/SUMIF('caseload data'!$C:$C,'divisional &amp; regional caseload%'!$B$92,'caseload data'!I:I),"")</f>
        <v/>
      </c>
      <c r="H94" s="181" t="str">
        <f>IFERROR(SUMIFS('caseload data'!J:J,'caseload data'!$C:$C,'divisional &amp; regional caseload%'!$B$92,'caseload data'!$D:$D,"PO")/SUMIF('caseload data'!$C:$C,'divisional &amp; regional caseload%'!$B$92,'caseload data'!J:J),"")</f>
        <v/>
      </c>
      <c r="I94" s="181" t="str">
        <f>IFERROR(SUMIFS('caseload data'!K:K,'caseload data'!$C:$C,'divisional &amp; regional caseload%'!$B$92,'caseload data'!$D:$D,"PO")/SUMIF('caseload data'!$C:$C,'divisional &amp; regional caseload%'!$B$92,'caseload data'!K:K),"")</f>
        <v/>
      </c>
      <c r="J94" s="181" t="str">
        <f>IFERROR(SUMIFS('caseload data'!L:L,'caseload data'!$C:$C,'divisional &amp; regional caseload%'!$B$92,'caseload data'!$D:$D,"PO")/SUMIF('caseload data'!$C:$C,'divisional &amp; regional caseload%'!$B$92,'caseload data'!L:L),"")</f>
        <v/>
      </c>
      <c r="K94" s="181" t="str">
        <f>IFERROR(SUMIFS('caseload data'!M:M,'caseload data'!$C:$C,'divisional &amp; regional caseload%'!$B$92,'caseload data'!$D:$D,"PO")/SUMIF('caseload data'!$C:$C,'divisional &amp; regional caseload%'!$B$92,'caseload data'!M:M),"")</f>
        <v/>
      </c>
      <c r="L94" s="181" t="str">
        <f>IFERROR(SUMIFS('caseload data'!N:N,'caseload data'!$C:$C,'divisional &amp; regional caseload%'!$B$92,'caseload data'!$D:$D,"PO")/SUMIF('caseload data'!$C:$C,'divisional &amp; regional caseload%'!$B$92,'caseload data'!N:N),"")</f>
        <v/>
      </c>
      <c r="M94" s="181" t="str">
        <f>IFERROR(SUMIFS('caseload data'!O:O,'caseload data'!$C:$C,'divisional &amp; regional caseload%'!$B$92,'caseload data'!$D:$D,"PO")/SUMIF('caseload data'!$C:$C,'divisional &amp; regional caseload%'!$B$92,'caseload data'!O:O),"")</f>
        <v/>
      </c>
      <c r="N94" s="181" t="str">
        <f>IFERROR(SUMIFS('caseload data'!P:P,'caseload data'!$C:$C,'divisional &amp; regional caseload%'!$B$92,'caseload data'!$D:$D,"PO")/SUMIF('caseload data'!$C:$C,'divisional &amp; regional caseload%'!$B$92,'caseload data'!P:P),"")</f>
        <v/>
      </c>
      <c r="O94" s="181" t="str">
        <f>IFERROR(SUMIFS('caseload data'!Q:Q,'caseload data'!$C:$C,'divisional &amp; regional caseload%'!$B$92,'caseload data'!$D:$D,"PO")/SUMIF('caseload data'!$C:$C,'divisional &amp; regional caseload%'!$B$92,'caseload data'!Q:Q),"")</f>
        <v/>
      </c>
      <c r="P94" s="181" t="str">
        <f>IFERROR(SUMIFS('caseload data'!R:R,'caseload data'!$C:$C,'divisional &amp; regional caseload%'!$B$92,'caseload data'!$D:$D,"PO")/SUMIF('caseload data'!$C:$C,'divisional &amp; regional caseload%'!$B$92,'caseload data'!R:R),"")</f>
        <v/>
      </c>
      <c r="Q94" s="181" t="str">
        <f>IFERROR(SUMIFS('caseload data'!S:S,'caseload data'!$C:$C,'divisional &amp; regional caseload%'!$B$92,'caseload data'!$D:$D,"PO")/SUMIF('caseload data'!$C:$C,'divisional &amp; regional caseload%'!$B$92,'caseload data'!S:S),"")</f>
        <v/>
      </c>
      <c r="R94" s="181" t="str">
        <f>IFERROR(SUMIFS('caseload data'!T:T,'caseload data'!$C:$C,'divisional &amp; regional caseload%'!$B$92,'caseload data'!$D:$D,"PO")/SUMIF('caseload data'!$C:$C,'divisional &amp; regional caseload%'!$B$92,'caseload data'!T:T),"")</f>
        <v/>
      </c>
      <c r="T94" s="106" t="s">
        <v>911</v>
      </c>
      <c r="U94" s="181" t="str">
        <f>IFERROR(SUMIFS('caseload data'!E:E,'caseload data'!$C:$C,'divisional &amp; regional caseload%'!$T$92,'caseload data'!$D:$D,"PO")/SUMIF('caseload data'!$C:$C,'divisional &amp; regional caseload%'!$T$92,'caseload data'!E:E),"")</f>
        <v/>
      </c>
      <c r="V94" s="181" t="str">
        <f>IFERROR(SUMIFS('caseload data'!F:F,'caseload data'!$C:$C,'divisional &amp; regional caseload%'!$T$92,'caseload data'!$D:$D,"PO")/SUMIF('caseload data'!$C:$C,'divisional &amp; regional caseload%'!$T$92,'caseload data'!F:F),"")</f>
        <v/>
      </c>
      <c r="W94" s="181" t="str">
        <f>IFERROR(SUMIFS('caseload data'!G:G,'caseload data'!$C:$C,'divisional &amp; regional caseload%'!$T$92,'caseload data'!$D:$D,"PO")/SUMIF('caseload data'!$C:$C,'divisional &amp; regional caseload%'!$T$92,'caseload data'!G:G),"")</f>
        <v/>
      </c>
      <c r="X94" s="181" t="str">
        <f>IFERROR(SUMIFS('caseload data'!H:H,'caseload data'!$C:$C,'divisional &amp; regional caseload%'!$T$92,'caseload data'!$D:$D,"PO")/SUMIF('caseload data'!$C:$C,'divisional &amp; regional caseload%'!$T$92,'caseload data'!H:H),"")</f>
        <v/>
      </c>
      <c r="Y94" s="181" t="str">
        <f>IFERROR(SUMIFS('caseload data'!I:I,'caseload data'!$C:$C,'divisional &amp; regional caseload%'!$T$92,'caseload data'!$D:$D,"PO")/SUMIF('caseload data'!$C:$C,'divisional &amp; regional caseload%'!$T$92,'caseload data'!I:I),"")</f>
        <v/>
      </c>
      <c r="Z94" s="181" t="str">
        <f>IFERROR(SUMIFS('caseload data'!J:J,'caseload data'!$C:$C,'divisional &amp; regional caseload%'!$T$92,'caseload data'!$D:$D,"PO")/SUMIF('caseload data'!$C:$C,'divisional &amp; regional caseload%'!$T$92,'caseload data'!J:J),"")</f>
        <v/>
      </c>
      <c r="AA94" s="181" t="str">
        <f>IFERROR(SUMIFS('caseload data'!K:K,'caseload data'!$C:$C,'divisional &amp; regional caseload%'!$T$92,'caseload data'!$D:$D,"PO")/SUMIF('caseload data'!$C:$C,'divisional &amp; regional caseload%'!$T$92,'caseload data'!K:K),"")</f>
        <v/>
      </c>
      <c r="AB94" s="181" t="str">
        <f>IFERROR(SUMIFS('caseload data'!L:L,'caseload data'!$C:$C,'divisional &amp; regional caseload%'!$T$92,'caseload data'!$D:$D,"PO")/SUMIF('caseload data'!$C:$C,'divisional &amp; regional caseload%'!$T$92,'caseload data'!L:L),"")</f>
        <v/>
      </c>
      <c r="AC94" s="181" t="str">
        <f>IFERROR(SUMIFS('caseload data'!M:M,'caseload data'!$C:$C,'divisional &amp; regional caseload%'!$T$92,'caseload data'!$D:$D,"PO")/SUMIF('caseload data'!$C:$C,'divisional &amp; regional caseload%'!$T$92,'caseload data'!M:M),"")</f>
        <v/>
      </c>
      <c r="AD94" s="181" t="str">
        <f>IFERROR(SUMIFS('caseload data'!N:N,'caseload data'!$C:$C,'divisional &amp; regional caseload%'!$T$92,'caseload data'!$D:$D,"PO")/SUMIF('caseload data'!$C:$C,'divisional &amp; regional caseload%'!$T$92,'caseload data'!N:N),"")</f>
        <v/>
      </c>
      <c r="AE94" s="181" t="str">
        <f>IFERROR(SUMIFS('caseload data'!O:O,'caseload data'!$C:$C,'divisional &amp; regional caseload%'!$T$92,'caseload data'!$D:$D,"PO")/SUMIF('caseload data'!$C:$C,'divisional &amp; regional caseload%'!$T$92,'caseload data'!O:O),"")</f>
        <v/>
      </c>
      <c r="AF94" s="181" t="str">
        <f>IFERROR(SUMIFS('caseload data'!P:P,'caseload data'!$C:$C,'divisional &amp; regional caseload%'!$T$92,'caseload data'!$D:$D,"PO")/SUMIF('caseload data'!$C:$C,'divisional &amp; regional caseload%'!$T$92,'caseload data'!P:P),"")</f>
        <v/>
      </c>
      <c r="AG94" s="181" t="str">
        <f>IFERROR(SUMIFS('caseload data'!Q:Q,'caseload data'!$C:$C,'divisional &amp; regional caseload%'!$T$92,'caseload data'!$D:$D,"PO")/SUMIF('caseload data'!$C:$C,'divisional &amp; regional caseload%'!$T$92,'caseload data'!Q:Q),"")</f>
        <v/>
      </c>
      <c r="AH94" s="181" t="str">
        <f>IFERROR(SUMIFS('caseload data'!R:R,'caseload data'!$C:$C,'divisional &amp; regional caseload%'!$T$92,'caseload data'!$D:$D,"PO")/SUMIF('caseload data'!$C:$C,'divisional &amp; regional caseload%'!$T$92,'caseload data'!R:R),"")</f>
        <v/>
      </c>
      <c r="AI94" s="181" t="str">
        <f>IFERROR(SUMIFS('caseload data'!S:S,'caseload data'!$C:$C,'divisional &amp; regional caseload%'!$T$92,'caseload data'!$D:$D,"PO")/SUMIF('caseload data'!$C:$C,'divisional &amp; regional caseload%'!$T$92,'caseload data'!S:S),"")</f>
        <v/>
      </c>
      <c r="AJ94" s="181" t="str">
        <f>IFERROR(SUMIFS('caseload data'!T:T,'caseload data'!$C:$C,'divisional &amp; regional caseload%'!$T$92,'caseload data'!$D:$D,"PO")/SUMIF('caseload data'!$C:$C,'divisional &amp; regional caseload%'!$T$92,'caseload data'!T:T),"")</f>
        <v/>
      </c>
    </row>
    <row r="95" spans="2:36" x14ac:dyDescent="0.15">
      <c r="B95" s="107" t="s">
        <v>912</v>
      </c>
      <c r="C95" s="181" t="str">
        <f>IFERROR(SUMIFS('caseload data'!E:E,'caseload data'!$C:$C,'divisional &amp; regional caseload%'!$B$92,'caseload data'!$D:$D,"PSO")/SUMIF('caseload data'!$C:$C,'divisional &amp; regional caseload%'!$B$92,'caseload data'!E:E),"")</f>
        <v/>
      </c>
      <c r="D95" s="181" t="str">
        <f>IFERROR(SUMIFS('caseload data'!F:F,'caseload data'!$C:$C,'divisional &amp; regional caseload%'!$B$92,'caseload data'!$D:$D,"PSO")/SUMIF('caseload data'!$C:$C,'divisional &amp; regional caseload%'!$B$92,'caseload data'!F:F),"")</f>
        <v/>
      </c>
      <c r="E95" s="181" t="str">
        <f>IFERROR(SUMIFS('caseload data'!G:G,'caseload data'!$C:$C,'divisional &amp; regional caseload%'!$B$92,'caseload data'!$D:$D,"PSO")/SUMIF('caseload data'!$C:$C,'divisional &amp; regional caseload%'!$B$92,'caseload data'!G:G),"")</f>
        <v/>
      </c>
      <c r="F95" s="181" t="str">
        <f>IFERROR(SUMIFS('caseload data'!H:H,'caseload data'!$C:$C,'divisional &amp; regional caseload%'!$B$92,'caseload data'!$D:$D,"PSO")/SUMIF('caseload data'!$C:$C,'divisional &amp; regional caseload%'!$B$92,'caseload data'!H:H),"")</f>
        <v/>
      </c>
      <c r="G95" s="181" t="str">
        <f>IFERROR(SUMIFS('caseload data'!I:I,'caseload data'!$C:$C,'divisional &amp; regional caseload%'!$B$92,'caseload data'!$D:$D,"PSO")/SUMIF('caseload data'!$C:$C,'divisional &amp; regional caseload%'!$B$92,'caseload data'!I:I),"")</f>
        <v/>
      </c>
      <c r="H95" s="181" t="str">
        <f>IFERROR(SUMIFS('caseload data'!J:J,'caseload data'!$C:$C,'divisional &amp; regional caseload%'!$B$92,'caseload data'!$D:$D,"PSO")/SUMIF('caseload data'!$C:$C,'divisional &amp; regional caseload%'!$B$92,'caseload data'!J:J),"")</f>
        <v/>
      </c>
      <c r="I95" s="181" t="str">
        <f>IFERROR(SUMIFS('caseload data'!K:K,'caseload data'!$C:$C,'divisional &amp; regional caseload%'!$B$92,'caseload data'!$D:$D,"PSO")/SUMIF('caseload data'!$C:$C,'divisional &amp; regional caseload%'!$B$92,'caseload data'!K:K),"")</f>
        <v/>
      </c>
      <c r="J95" s="181" t="str">
        <f>IFERROR(SUMIFS('caseload data'!L:L,'caseload data'!$C:$C,'divisional &amp; regional caseload%'!$B$92,'caseload data'!$D:$D,"PSO")/SUMIF('caseload data'!$C:$C,'divisional &amp; regional caseload%'!$B$92,'caseload data'!L:L),"")</f>
        <v/>
      </c>
      <c r="K95" s="181" t="str">
        <f>IFERROR(SUMIFS('caseload data'!M:M,'caseload data'!$C:$C,'divisional &amp; regional caseload%'!$B$92,'caseload data'!$D:$D,"PSO")/SUMIF('caseload data'!$C:$C,'divisional &amp; regional caseload%'!$B$92,'caseload data'!M:M),"")</f>
        <v/>
      </c>
      <c r="L95" s="181" t="str">
        <f>IFERROR(SUMIFS('caseload data'!N:N,'caseload data'!$C:$C,'divisional &amp; regional caseload%'!$B$92,'caseload data'!$D:$D,"PSO")/SUMIF('caseload data'!$C:$C,'divisional &amp; regional caseload%'!$B$92,'caseload data'!N:N),"")</f>
        <v/>
      </c>
      <c r="M95" s="181" t="str">
        <f>IFERROR(SUMIFS('caseload data'!O:O,'caseload data'!$C:$C,'divisional &amp; regional caseload%'!$B$92,'caseload data'!$D:$D,"PSO")/SUMIF('caseload data'!$C:$C,'divisional &amp; regional caseload%'!$B$92,'caseload data'!O:O),"")</f>
        <v/>
      </c>
      <c r="N95" s="181" t="str">
        <f>IFERROR(SUMIFS('caseload data'!P:P,'caseload data'!$C:$C,'divisional &amp; regional caseload%'!$B$92,'caseload data'!$D:$D,"PSO")/SUMIF('caseload data'!$C:$C,'divisional &amp; regional caseload%'!$B$92,'caseload data'!P:P),"")</f>
        <v/>
      </c>
      <c r="O95" s="181" t="str">
        <f>IFERROR(SUMIFS('caseload data'!Q:Q,'caseload data'!$C:$C,'divisional &amp; regional caseload%'!$B$92,'caseload data'!$D:$D,"PSO")/SUMIF('caseload data'!$C:$C,'divisional &amp; regional caseload%'!$B$92,'caseload data'!Q:Q),"")</f>
        <v/>
      </c>
      <c r="P95" s="181" t="str">
        <f>IFERROR(SUMIFS('caseload data'!R:R,'caseload data'!$C:$C,'divisional &amp; regional caseload%'!$B$92,'caseload data'!$D:$D,"PSO")/SUMIF('caseload data'!$C:$C,'divisional &amp; regional caseload%'!$B$92,'caseload data'!R:R),"")</f>
        <v/>
      </c>
      <c r="Q95" s="181" t="str">
        <f>IFERROR(SUMIFS('caseload data'!S:S,'caseload data'!$C:$C,'divisional &amp; regional caseload%'!$B$92,'caseload data'!$D:$D,"PSO")/SUMIF('caseload data'!$C:$C,'divisional &amp; regional caseload%'!$B$92,'caseload data'!S:S),"")</f>
        <v/>
      </c>
      <c r="R95" s="181" t="str">
        <f>IFERROR(SUMIFS('caseload data'!T:T,'caseload data'!$C:$C,'divisional &amp; regional caseload%'!$B$92,'caseload data'!$D:$D,"PSO")/SUMIF('caseload data'!$C:$C,'divisional &amp; regional caseload%'!$B$92,'caseload data'!T:T),"")</f>
        <v/>
      </c>
      <c r="T95" s="107" t="s">
        <v>912</v>
      </c>
      <c r="U95" s="181" t="str">
        <f>IFERROR(SUMIFS('caseload data'!E:E,'caseload data'!$C:$C,'divisional &amp; regional caseload%'!$T$92,'caseload data'!$D:$D,"PSO")/SUMIF('caseload data'!$C:$C,'divisional &amp; regional caseload%'!$T$92,'caseload data'!E:E),"")</f>
        <v/>
      </c>
      <c r="V95" s="181" t="str">
        <f>IFERROR(SUMIFS('caseload data'!F:F,'caseload data'!$C:$C,'divisional &amp; regional caseload%'!$T$92,'caseload data'!$D:$D,"PSO")/SUMIF('caseload data'!$C:$C,'divisional &amp; regional caseload%'!$T$92,'caseload data'!F:F),"")</f>
        <v/>
      </c>
      <c r="W95" s="181" t="str">
        <f>IFERROR(SUMIFS('caseload data'!G:G,'caseload data'!$C:$C,'divisional &amp; regional caseload%'!$T$92,'caseload data'!$D:$D,"PSO")/SUMIF('caseload data'!$C:$C,'divisional &amp; regional caseload%'!$T$92,'caseload data'!G:G),"")</f>
        <v/>
      </c>
      <c r="X95" s="181" t="str">
        <f>IFERROR(SUMIFS('caseload data'!H:H,'caseload data'!$C:$C,'divisional &amp; regional caseload%'!$T$92,'caseload data'!$D:$D,"PSO")/SUMIF('caseload data'!$C:$C,'divisional &amp; regional caseload%'!$T$92,'caseload data'!H:H),"")</f>
        <v/>
      </c>
      <c r="Y95" s="181" t="str">
        <f>IFERROR(SUMIFS('caseload data'!I:I,'caseload data'!$C:$C,'divisional &amp; regional caseload%'!$T$92,'caseload data'!$D:$D,"PSO")/SUMIF('caseload data'!$C:$C,'divisional &amp; regional caseload%'!$T$92,'caseload data'!I:I),"")</f>
        <v/>
      </c>
      <c r="Z95" s="181" t="str">
        <f>IFERROR(SUMIFS('caseload data'!J:J,'caseload data'!$C:$C,'divisional &amp; regional caseload%'!$T$92,'caseload data'!$D:$D,"PSO")/SUMIF('caseload data'!$C:$C,'divisional &amp; regional caseload%'!$T$92,'caseload data'!J:J),"")</f>
        <v/>
      </c>
      <c r="AA95" s="181" t="str">
        <f>IFERROR(SUMIFS('caseload data'!K:K,'caseload data'!$C:$C,'divisional &amp; regional caseload%'!$T$92,'caseload data'!$D:$D,"PSO")/SUMIF('caseload data'!$C:$C,'divisional &amp; regional caseload%'!$T$92,'caseload data'!K:K),"")</f>
        <v/>
      </c>
      <c r="AB95" s="181" t="str">
        <f>IFERROR(SUMIFS('caseload data'!L:L,'caseload data'!$C:$C,'divisional &amp; regional caseload%'!$T$92,'caseload data'!$D:$D,"PSO")/SUMIF('caseload data'!$C:$C,'divisional &amp; regional caseload%'!$T$92,'caseload data'!L:L),"")</f>
        <v/>
      </c>
      <c r="AC95" s="181" t="str">
        <f>IFERROR(SUMIFS('caseload data'!M:M,'caseload data'!$C:$C,'divisional &amp; regional caseload%'!$T$92,'caseload data'!$D:$D,"PSO")/SUMIF('caseload data'!$C:$C,'divisional &amp; regional caseload%'!$T$92,'caseload data'!M:M),"")</f>
        <v/>
      </c>
      <c r="AD95" s="181" t="str">
        <f>IFERROR(SUMIFS('caseload data'!N:N,'caseload data'!$C:$C,'divisional &amp; regional caseload%'!$T$92,'caseload data'!$D:$D,"PSO")/SUMIF('caseload data'!$C:$C,'divisional &amp; regional caseload%'!$T$92,'caseload data'!N:N),"")</f>
        <v/>
      </c>
      <c r="AE95" s="181" t="str">
        <f>IFERROR(SUMIFS('caseload data'!O:O,'caseload data'!$C:$C,'divisional &amp; regional caseload%'!$T$92,'caseload data'!$D:$D,"PSO")/SUMIF('caseload data'!$C:$C,'divisional &amp; regional caseload%'!$T$92,'caseload data'!O:O),"")</f>
        <v/>
      </c>
      <c r="AF95" s="181" t="str">
        <f>IFERROR(SUMIFS('caseload data'!P:P,'caseload data'!$C:$C,'divisional &amp; regional caseload%'!$T$92,'caseload data'!$D:$D,"PSO")/SUMIF('caseload data'!$C:$C,'divisional &amp; regional caseload%'!$T$92,'caseload data'!P:P),"")</f>
        <v/>
      </c>
      <c r="AG95" s="181" t="str">
        <f>IFERROR(SUMIFS('caseload data'!Q:Q,'caseload data'!$C:$C,'divisional &amp; regional caseload%'!$T$92,'caseload data'!$D:$D,"PSO")/SUMIF('caseload data'!$C:$C,'divisional &amp; regional caseload%'!$T$92,'caseload data'!Q:Q),"")</f>
        <v/>
      </c>
      <c r="AH95" s="181" t="str">
        <f>IFERROR(SUMIFS('caseload data'!R:R,'caseload data'!$C:$C,'divisional &amp; regional caseload%'!$T$92,'caseload data'!$D:$D,"PSO")/SUMIF('caseload data'!$C:$C,'divisional &amp; regional caseload%'!$T$92,'caseload data'!R:R),"")</f>
        <v/>
      </c>
      <c r="AI95" s="181" t="str">
        <f>IFERROR(SUMIFS('caseload data'!S:S,'caseload data'!$C:$C,'divisional &amp; regional caseload%'!$T$92,'caseload data'!$D:$D,"PSO")/SUMIF('caseload data'!$C:$C,'divisional &amp; regional caseload%'!$T$92,'caseload data'!S:S),"")</f>
        <v/>
      </c>
      <c r="AJ95" s="181" t="str">
        <f>IFERROR(SUMIFS('caseload data'!T:T,'caseload data'!$C:$C,'divisional &amp; regional caseload%'!$T$92,'caseload data'!$D:$D,"PSO")/SUMIF('caseload data'!$C:$C,'divisional &amp; regional caseload%'!$T$92,'caseload data'!T:T),"")</f>
        <v/>
      </c>
    </row>
    <row r="96" spans="2:36" x14ac:dyDescent="0.15">
      <c r="B96" s="107" t="s">
        <v>913</v>
      </c>
      <c r="C96" s="181" t="str">
        <f>IFERROR(SUMIFS('caseload data'!E:E,'caseload data'!$C:$C,'divisional &amp; regional caseload%'!$B$92,'caseload data'!$D:$D,"TPO")/SUMIF('caseload data'!$C:$C,'divisional &amp; regional caseload%'!$B$92,'caseload data'!E:E),"")</f>
        <v/>
      </c>
      <c r="D96" s="181" t="str">
        <f>IFERROR(SUMIFS('caseload data'!F:F,'caseload data'!$C:$C,'divisional &amp; regional caseload%'!$B$92,'caseload data'!$D:$D,"TPO")/SUMIF('caseload data'!$C:$C,'divisional &amp; regional caseload%'!$B$92,'caseload data'!F:F),"")</f>
        <v/>
      </c>
      <c r="E96" s="181" t="str">
        <f>IFERROR(SUMIFS('caseload data'!G:G,'caseload data'!$C:$C,'divisional &amp; regional caseload%'!$B$92,'caseload data'!$D:$D,"TPO")/SUMIF('caseload data'!$C:$C,'divisional &amp; regional caseload%'!$B$92,'caseload data'!G:G),"")</f>
        <v/>
      </c>
      <c r="F96" s="181" t="str">
        <f>IFERROR(SUMIFS('caseload data'!H:H,'caseload data'!$C:$C,'divisional &amp; regional caseload%'!$B$92,'caseload data'!$D:$D,"TPO")/SUMIF('caseload data'!$C:$C,'divisional &amp; regional caseload%'!$B$92,'caseload data'!H:H),"")</f>
        <v/>
      </c>
      <c r="G96" s="181" t="str">
        <f>IFERROR(SUMIFS('caseload data'!I:I,'caseload data'!$C:$C,'divisional &amp; regional caseload%'!$B$92,'caseload data'!$D:$D,"TPO")/SUMIF('caseload data'!$C:$C,'divisional &amp; regional caseload%'!$B$92,'caseload data'!I:I),"")</f>
        <v/>
      </c>
      <c r="H96" s="181" t="str">
        <f>IFERROR(SUMIFS('caseload data'!J:J,'caseload data'!$C:$C,'divisional &amp; regional caseload%'!$B$92,'caseload data'!$D:$D,"TPO")/SUMIF('caseload data'!$C:$C,'divisional &amp; regional caseload%'!$B$92,'caseload data'!J:J),"")</f>
        <v/>
      </c>
      <c r="I96" s="181" t="str">
        <f>IFERROR(SUMIFS('caseload data'!K:K,'caseload data'!$C:$C,'divisional &amp; regional caseload%'!$B$92,'caseload data'!$D:$D,"TPO")/SUMIF('caseload data'!$C:$C,'divisional &amp; regional caseload%'!$B$92,'caseload data'!K:K),"")</f>
        <v/>
      </c>
      <c r="J96" s="181" t="str">
        <f>IFERROR(SUMIFS('caseload data'!L:L,'caseload data'!$C:$C,'divisional &amp; regional caseload%'!$B$92,'caseload data'!$D:$D,"TPO")/SUMIF('caseload data'!$C:$C,'divisional &amp; regional caseload%'!$B$92,'caseload data'!L:L),"")</f>
        <v/>
      </c>
      <c r="K96" s="181" t="str">
        <f>IFERROR(SUMIFS('caseload data'!M:M,'caseload data'!$C:$C,'divisional &amp; regional caseload%'!$B$92,'caseload data'!$D:$D,"TPO")/SUMIF('caseload data'!$C:$C,'divisional &amp; regional caseload%'!$B$92,'caseload data'!M:M),"")</f>
        <v/>
      </c>
      <c r="L96" s="181" t="str">
        <f>IFERROR(SUMIFS('caseload data'!N:N,'caseload data'!$C:$C,'divisional &amp; regional caseload%'!$B$92,'caseload data'!$D:$D,"TPO")/SUMIF('caseload data'!$C:$C,'divisional &amp; regional caseload%'!$B$92,'caseload data'!N:N),"")</f>
        <v/>
      </c>
      <c r="M96" s="181" t="str">
        <f>IFERROR(SUMIFS('caseload data'!O:O,'caseload data'!$C:$C,'divisional &amp; regional caseload%'!$B$92,'caseload data'!$D:$D,"TPO")/SUMIF('caseload data'!$C:$C,'divisional &amp; regional caseload%'!$B$92,'caseload data'!O:O),"")</f>
        <v/>
      </c>
      <c r="N96" s="181" t="str">
        <f>IFERROR(SUMIFS('caseload data'!P:P,'caseload data'!$C:$C,'divisional &amp; regional caseload%'!$B$92,'caseload data'!$D:$D,"TPO")/SUMIF('caseload data'!$C:$C,'divisional &amp; regional caseload%'!$B$92,'caseload data'!P:P),"")</f>
        <v/>
      </c>
      <c r="O96" s="181" t="str">
        <f>IFERROR(SUMIFS('caseload data'!Q:Q,'caseload data'!$C:$C,'divisional &amp; regional caseload%'!$B$92,'caseload data'!$D:$D,"TPO")/SUMIF('caseload data'!$C:$C,'divisional &amp; regional caseload%'!$B$92,'caseload data'!Q:Q),"")</f>
        <v/>
      </c>
      <c r="P96" s="181" t="str">
        <f>IFERROR(SUMIFS('caseload data'!R:R,'caseload data'!$C:$C,'divisional &amp; regional caseload%'!$B$92,'caseload data'!$D:$D,"TPO")/SUMIF('caseload data'!$C:$C,'divisional &amp; regional caseload%'!$B$92,'caseload data'!R:R),"")</f>
        <v/>
      </c>
      <c r="Q96" s="181" t="str">
        <f>IFERROR(SUMIFS('caseload data'!S:S,'caseload data'!$C:$C,'divisional &amp; regional caseload%'!$B$92,'caseload data'!$D:$D,"TPO")/SUMIF('caseload data'!$C:$C,'divisional &amp; regional caseload%'!$B$92,'caseload data'!S:S),"")</f>
        <v/>
      </c>
      <c r="R96" s="181" t="str">
        <f>IFERROR(SUMIFS('caseload data'!T:T,'caseload data'!$C:$C,'divisional &amp; regional caseload%'!$B$92,'caseload data'!$D:$D,"TPO")/SUMIF('caseload data'!$C:$C,'divisional &amp; regional caseload%'!$B$92,'caseload data'!T:T),"")</f>
        <v/>
      </c>
      <c r="T96" s="107" t="s">
        <v>913</v>
      </c>
      <c r="U96" s="181" t="str">
        <f>IFERROR(SUMIFS('caseload data'!E:E,'caseload data'!$C:$C,'divisional &amp; regional caseload%'!$T$92,'caseload data'!$D:$D,"TPO")/SUMIF('caseload data'!$C:$C,'divisional &amp; regional caseload%'!$T$92,'caseload data'!E:E),"")</f>
        <v/>
      </c>
      <c r="V96" s="181" t="str">
        <f>IFERROR(SUMIFS('caseload data'!F:F,'caseload data'!$C:$C,'divisional &amp; regional caseload%'!$T$92,'caseload data'!$D:$D,"TPO")/SUMIF('caseload data'!$C:$C,'divisional &amp; regional caseload%'!$T$92,'caseload data'!F:F),"")</f>
        <v/>
      </c>
      <c r="W96" s="181" t="str">
        <f>IFERROR(SUMIFS('caseload data'!G:G,'caseload data'!$C:$C,'divisional &amp; regional caseload%'!$T$92,'caseload data'!$D:$D,"TPO")/SUMIF('caseload data'!$C:$C,'divisional &amp; regional caseload%'!$T$92,'caseload data'!G:G),"")</f>
        <v/>
      </c>
      <c r="X96" s="181" t="str">
        <f>IFERROR(SUMIFS('caseload data'!H:H,'caseload data'!$C:$C,'divisional &amp; regional caseload%'!$T$92,'caseload data'!$D:$D,"TPO")/SUMIF('caseload data'!$C:$C,'divisional &amp; regional caseload%'!$T$92,'caseload data'!H:H),"")</f>
        <v/>
      </c>
      <c r="Y96" s="181" t="str">
        <f>IFERROR(SUMIFS('caseload data'!I:I,'caseload data'!$C:$C,'divisional &amp; regional caseload%'!$T$92,'caseload data'!$D:$D,"TPO")/SUMIF('caseload data'!$C:$C,'divisional &amp; regional caseload%'!$T$92,'caseload data'!I:I),"")</f>
        <v/>
      </c>
      <c r="Z96" s="181" t="str">
        <f>IFERROR(SUMIFS('caseload data'!J:J,'caseload data'!$C:$C,'divisional &amp; regional caseload%'!$T$92,'caseload data'!$D:$D,"TPO")/SUMIF('caseload data'!$C:$C,'divisional &amp; regional caseload%'!$T$92,'caseload data'!J:J),"")</f>
        <v/>
      </c>
      <c r="AA96" s="181" t="str">
        <f>IFERROR(SUMIFS('caseload data'!K:K,'caseload data'!$C:$C,'divisional &amp; regional caseload%'!$T$92,'caseload data'!$D:$D,"TPO")/SUMIF('caseload data'!$C:$C,'divisional &amp; regional caseload%'!$T$92,'caseload data'!K:K),"")</f>
        <v/>
      </c>
      <c r="AB96" s="181" t="str">
        <f>IFERROR(SUMIFS('caseload data'!L:L,'caseload data'!$C:$C,'divisional &amp; regional caseload%'!$T$92,'caseload data'!$D:$D,"TPO")/SUMIF('caseload data'!$C:$C,'divisional &amp; regional caseload%'!$T$92,'caseload data'!L:L),"")</f>
        <v/>
      </c>
      <c r="AC96" s="181" t="str">
        <f>IFERROR(SUMIFS('caseload data'!M:M,'caseload data'!$C:$C,'divisional &amp; regional caseload%'!$T$92,'caseload data'!$D:$D,"TPO")/SUMIF('caseload data'!$C:$C,'divisional &amp; regional caseload%'!$T$92,'caseload data'!M:M),"")</f>
        <v/>
      </c>
      <c r="AD96" s="181" t="str">
        <f>IFERROR(SUMIFS('caseload data'!N:N,'caseload data'!$C:$C,'divisional &amp; regional caseload%'!$T$92,'caseload data'!$D:$D,"TPO")/SUMIF('caseload data'!$C:$C,'divisional &amp; regional caseload%'!$T$92,'caseload data'!N:N),"")</f>
        <v/>
      </c>
      <c r="AE96" s="181" t="str">
        <f>IFERROR(SUMIFS('caseload data'!O:O,'caseload data'!$C:$C,'divisional &amp; regional caseload%'!$T$92,'caseload data'!$D:$D,"TPO")/SUMIF('caseload data'!$C:$C,'divisional &amp; regional caseload%'!$T$92,'caseload data'!O:O),"")</f>
        <v/>
      </c>
      <c r="AF96" s="181" t="str">
        <f>IFERROR(SUMIFS('caseload data'!P:P,'caseload data'!$C:$C,'divisional &amp; regional caseload%'!$T$92,'caseload data'!$D:$D,"TPO")/SUMIF('caseload data'!$C:$C,'divisional &amp; regional caseload%'!$T$92,'caseload data'!P:P),"")</f>
        <v/>
      </c>
      <c r="AG96" s="181" t="str">
        <f>IFERROR(SUMIFS('caseload data'!Q:Q,'caseload data'!$C:$C,'divisional &amp; regional caseload%'!$T$92,'caseload data'!$D:$D,"TPO")/SUMIF('caseload data'!$C:$C,'divisional &amp; regional caseload%'!$T$92,'caseload data'!Q:Q),"")</f>
        <v/>
      </c>
      <c r="AH96" s="181" t="str">
        <f>IFERROR(SUMIFS('caseload data'!R:R,'caseload data'!$C:$C,'divisional &amp; regional caseload%'!$T$92,'caseload data'!$D:$D,"TPO")/SUMIF('caseload data'!$C:$C,'divisional &amp; regional caseload%'!$T$92,'caseload data'!R:R),"")</f>
        <v/>
      </c>
      <c r="AI96" s="181" t="str">
        <f>IFERROR(SUMIFS('caseload data'!S:S,'caseload data'!$C:$C,'divisional &amp; regional caseload%'!$T$92,'caseload data'!$D:$D,"TPO")/SUMIF('caseload data'!$C:$C,'divisional &amp; regional caseload%'!$T$92,'caseload data'!S:S),"")</f>
        <v/>
      </c>
      <c r="AJ96" s="181" t="str">
        <f>IFERROR(SUMIFS('caseload data'!T:T,'caseload data'!$C:$C,'divisional &amp; regional caseload%'!$T$92,'caseload data'!$D:$D,"TPO")/SUMIF('caseload data'!$C:$C,'divisional &amp; regional caseload%'!$T$92,'caseload data'!T:T),"")</f>
        <v/>
      </c>
    </row>
    <row r="97" spans="2:36" x14ac:dyDescent="0.15">
      <c r="B97" s="108" t="s">
        <v>914</v>
      </c>
      <c r="C97" s="181" t="str">
        <f>IFERROR(SUMIFS('caseload data'!E:E,'caseload data'!$C:$C,'divisional &amp; regional caseload%'!$B$92,'caseload data'!$D:$D,"SPO")/SUMIF('caseload data'!$C:$C,'divisional &amp; regional caseload%'!$B$92,'caseload data'!E:E),"")</f>
        <v/>
      </c>
      <c r="D97" s="181" t="str">
        <f>IFERROR(SUMIFS('caseload data'!F:F,'caseload data'!$C:$C,'divisional &amp; regional caseload%'!$B$92,'caseload data'!$D:$D,"SPO")/SUMIF('caseload data'!$C:$C,'divisional &amp; regional caseload%'!$B$92,'caseload data'!F:F),"")</f>
        <v/>
      </c>
      <c r="E97" s="181" t="str">
        <f>IFERROR(SUMIFS('caseload data'!G:G,'caseload data'!$C:$C,'divisional &amp; regional caseload%'!$B$92,'caseload data'!$D:$D,"SPO")/SUMIF('caseload data'!$C:$C,'divisional &amp; regional caseload%'!$B$92,'caseload data'!G:G),"")</f>
        <v/>
      </c>
      <c r="F97" s="181" t="str">
        <f>IFERROR(SUMIFS('caseload data'!H:H,'caseload data'!$C:$C,'divisional &amp; regional caseload%'!$B$92,'caseload data'!$D:$D,"SPO")/SUMIF('caseload data'!$C:$C,'divisional &amp; regional caseload%'!$B$92,'caseload data'!H:H),"")</f>
        <v/>
      </c>
      <c r="G97" s="181" t="str">
        <f>IFERROR(SUMIFS('caseload data'!I:I,'caseload data'!$C:$C,'divisional &amp; regional caseload%'!$B$92,'caseload data'!$D:$D,"SPO")/SUMIF('caseload data'!$C:$C,'divisional &amp; regional caseload%'!$B$92,'caseload data'!I:I),"")</f>
        <v/>
      </c>
      <c r="H97" s="181" t="str">
        <f>IFERROR(SUMIFS('caseload data'!J:J,'caseload data'!$C:$C,'divisional &amp; regional caseload%'!$B$92,'caseload data'!$D:$D,"SPO")/SUMIF('caseload data'!$C:$C,'divisional &amp; regional caseload%'!$B$92,'caseload data'!J:J),"")</f>
        <v/>
      </c>
      <c r="I97" s="181" t="str">
        <f>IFERROR(SUMIFS('caseload data'!K:K,'caseload data'!$C:$C,'divisional &amp; regional caseload%'!$B$92,'caseload data'!$D:$D,"SPO")/SUMIF('caseload data'!$C:$C,'divisional &amp; regional caseload%'!$B$92,'caseload data'!K:K),"")</f>
        <v/>
      </c>
      <c r="J97" s="181" t="str">
        <f>IFERROR(SUMIFS('caseload data'!L:L,'caseload data'!$C:$C,'divisional &amp; regional caseload%'!$B$92,'caseload data'!$D:$D,"SPO")/SUMIF('caseload data'!$C:$C,'divisional &amp; regional caseload%'!$B$92,'caseload data'!L:L),"")</f>
        <v/>
      </c>
      <c r="K97" s="181" t="str">
        <f>IFERROR(SUMIFS('caseload data'!M:M,'caseload data'!$C:$C,'divisional &amp; regional caseload%'!$B$92,'caseload data'!$D:$D,"SPO")/SUMIF('caseload data'!$C:$C,'divisional &amp; regional caseload%'!$B$92,'caseload data'!M:M),"")</f>
        <v/>
      </c>
      <c r="L97" s="181" t="str">
        <f>IFERROR(SUMIFS('caseload data'!N:N,'caseload data'!$C:$C,'divisional &amp; regional caseload%'!$B$92,'caseload data'!$D:$D,"SPO")/SUMIF('caseload data'!$C:$C,'divisional &amp; regional caseload%'!$B$92,'caseload data'!N:N),"")</f>
        <v/>
      </c>
      <c r="M97" s="181" t="str">
        <f>IFERROR(SUMIFS('caseload data'!O:O,'caseload data'!$C:$C,'divisional &amp; regional caseload%'!$B$92,'caseload data'!$D:$D,"SPO")/SUMIF('caseload data'!$C:$C,'divisional &amp; regional caseload%'!$B$92,'caseload data'!O:O),"")</f>
        <v/>
      </c>
      <c r="N97" s="181" t="str">
        <f>IFERROR(SUMIFS('caseload data'!P:P,'caseload data'!$C:$C,'divisional &amp; regional caseload%'!$B$92,'caseload data'!$D:$D,"SPO")/SUMIF('caseload data'!$C:$C,'divisional &amp; regional caseload%'!$B$92,'caseload data'!P:P),"")</f>
        <v/>
      </c>
      <c r="O97" s="181" t="str">
        <f>IFERROR(SUMIFS('caseload data'!Q:Q,'caseload data'!$C:$C,'divisional &amp; regional caseload%'!$B$92,'caseload data'!$D:$D,"SPO")/SUMIF('caseload data'!$C:$C,'divisional &amp; regional caseload%'!$B$92,'caseload data'!Q:Q),"")</f>
        <v/>
      </c>
      <c r="P97" s="181" t="str">
        <f>IFERROR(SUMIFS('caseload data'!R:R,'caseload data'!$C:$C,'divisional &amp; regional caseload%'!$B$92,'caseload data'!$D:$D,"SPO")/SUMIF('caseload data'!$C:$C,'divisional &amp; regional caseload%'!$B$92,'caseload data'!R:R),"")</f>
        <v/>
      </c>
      <c r="Q97" s="181" t="str">
        <f>IFERROR(SUMIFS('caseload data'!S:S,'caseload data'!$C:$C,'divisional &amp; regional caseload%'!$B$92,'caseload data'!$D:$D,"SPO")/SUMIF('caseload data'!$C:$C,'divisional &amp; regional caseload%'!$B$92,'caseload data'!S:S),"")</f>
        <v/>
      </c>
      <c r="R97" s="181" t="str">
        <f>IFERROR(SUMIFS('caseload data'!T:T,'caseload data'!$C:$C,'divisional &amp; regional caseload%'!$B$92,'caseload data'!$D:$D,"SPO")/SUMIF('caseload data'!$C:$C,'divisional &amp; regional caseload%'!$B$92,'caseload data'!T:T),"")</f>
        <v/>
      </c>
      <c r="T97" s="108" t="s">
        <v>914</v>
      </c>
      <c r="U97" s="181" t="str">
        <f>IFERROR(SUMIFS('caseload data'!E:E,'caseload data'!$C:$C,'divisional &amp; regional caseload%'!$T$92,'caseload data'!$D:$D,"SPO")/SUMIF('caseload data'!$C:$C,'divisional &amp; regional caseload%'!$T$92,'caseload data'!E:E),"")</f>
        <v/>
      </c>
      <c r="V97" s="181" t="str">
        <f>IFERROR(SUMIFS('caseload data'!F:F,'caseload data'!$C:$C,'divisional &amp; regional caseload%'!$T$92,'caseload data'!$D:$D,"SPO")/SUMIF('caseload data'!$C:$C,'divisional &amp; regional caseload%'!$T$92,'caseload data'!F:F),"")</f>
        <v/>
      </c>
      <c r="W97" s="181" t="str">
        <f>IFERROR(SUMIFS('caseload data'!G:G,'caseload data'!$C:$C,'divisional &amp; regional caseload%'!$T$92,'caseload data'!$D:$D,"SPO")/SUMIF('caseload data'!$C:$C,'divisional &amp; regional caseload%'!$T$92,'caseload data'!G:G),"")</f>
        <v/>
      </c>
      <c r="X97" s="181" t="str">
        <f>IFERROR(SUMIFS('caseload data'!H:H,'caseload data'!$C:$C,'divisional &amp; regional caseload%'!$T$92,'caseload data'!$D:$D,"SPO")/SUMIF('caseload data'!$C:$C,'divisional &amp; regional caseload%'!$T$92,'caseload data'!H:H),"")</f>
        <v/>
      </c>
      <c r="Y97" s="181" t="str">
        <f>IFERROR(SUMIFS('caseload data'!I:I,'caseload data'!$C:$C,'divisional &amp; regional caseload%'!$T$92,'caseload data'!$D:$D,"SPO")/SUMIF('caseload data'!$C:$C,'divisional &amp; regional caseload%'!$T$92,'caseload data'!I:I),"")</f>
        <v/>
      </c>
      <c r="Z97" s="181" t="str">
        <f>IFERROR(SUMIFS('caseload data'!J:J,'caseload data'!$C:$C,'divisional &amp; regional caseload%'!$T$92,'caseload data'!$D:$D,"SPO")/SUMIF('caseload data'!$C:$C,'divisional &amp; regional caseload%'!$T$92,'caseload data'!J:J),"")</f>
        <v/>
      </c>
      <c r="AA97" s="181" t="str">
        <f>IFERROR(SUMIFS('caseload data'!K:K,'caseload data'!$C:$C,'divisional &amp; regional caseload%'!$T$92,'caseload data'!$D:$D,"SPO")/SUMIF('caseload data'!$C:$C,'divisional &amp; regional caseload%'!$T$92,'caseload data'!K:K),"")</f>
        <v/>
      </c>
      <c r="AB97" s="181" t="str">
        <f>IFERROR(SUMIFS('caseload data'!L:L,'caseload data'!$C:$C,'divisional &amp; regional caseload%'!$T$92,'caseload data'!$D:$D,"SPO")/SUMIF('caseload data'!$C:$C,'divisional &amp; regional caseload%'!$T$92,'caseload data'!L:L),"")</f>
        <v/>
      </c>
      <c r="AC97" s="181" t="str">
        <f>IFERROR(SUMIFS('caseload data'!M:M,'caseload data'!$C:$C,'divisional &amp; regional caseload%'!$T$92,'caseload data'!$D:$D,"SPO")/SUMIF('caseload data'!$C:$C,'divisional &amp; regional caseload%'!$T$92,'caseload data'!M:M),"")</f>
        <v/>
      </c>
      <c r="AD97" s="181" t="str">
        <f>IFERROR(SUMIFS('caseload data'!N:N,'caseload data'!$C:$C,'divisional &amp; regional caseload%'!$T$92,'caseload data'!$D:$D,"SPO")/SUMIF('caseload data'!$C:$C,'divisional &amp; regional caseload%'!$T$92,'caseload data'!N:N),"")</f>
        <v/>
      </c>
      <c r="AE97" s="181" t="str">
        <f>IFERROR(SUMIFS('caseload data'!O:O,'caseload data'!$C:$C,'divisional &amp; regional caseload%'!$T$92,'caseload data'!$D:$D,"SPO")/SUMIF('caseload data'!$C:$C,'divisional &amp; regional caseload%'!$T$92,'caseload data'!O:O),"")</f>
        <v/>
      </c>
      <c r="AF97" s="181" t="str">
        <f>IFERROR(SUMIFS('caseload data'!P:P,'caseload data'!$C:$C,'divisional &amp; regional caseload%'!$T$92,'caseload data'!$D:$D,"SPO")/SUMIF('caseload data'!$C:$C,'divisional &amp; regional caseload%'!$T$92,'caseload data'!P:P),"")</f>
        <v/>
      </c>
      <c r="AG97" s="181" t="str">
        <f>IFERROR(SUMIFS('caseload data'!Q:Q,'caseload data'!$C:$C,'divisional &amp; regional caseload%'!$T$92,'caseload data'!$D:$D,"SPO")/SUMIF('caseload data'!$C:$C,'divisional &amp; regional caseload%'!$T$92,'caseload data'!Q:Q),"")</f>
        <v/>
      </c>
      <c r="AH97" s="181" t="str">
        <f>IFERROR(SUMIFS('caseload data'!R:R,'caseload data'!$C:$C,'divisional &amp; regional caseload%'!$T$92,'caseload data'!$D:$D,"SPO")/SUMIF('caseload data'!$C:$C,'divisional &amp; regional caseload%'!$T$92,'caseload data'!R:R),"")</f>
        <v/>
      </c>
      <c r="AI97" s="181" t="str">
        <f>IFERROR(SUMIFS('caseload data'!S:S,'caseload data'!$C:$C,'divisional &amp; regional caseload%'!$T$92,'caseload data'!$D:$D,"SPO")/SUMIF('caseload data'!$C:$C,'divisional &amp; regional caseload%'!$T$92,'caseload data'!S:S),"")</f>
        <v/>
      </c>
      <c r="AJ97" s="181" t="str">
        <f>IFERROR(SUMIFS('caseload data'!T:T,'caseload data'!$C:$C,'divisional &amp; regional caseload%'!$T$92,'caseload data'!$D:$D,"SPO")/SUMIF('caseload data'!$C:$C,'divisional &amp; regional caseload%'!$T$92,'caseload data'!T:T),"")</f>
        <v/>
      </c>
    </row>
    <row r="99" spans="2:36" x14ac:dyDescent="0.15">
      <c r="B99" s="156">
        <f>HLOOKUP($B$5,Region_Table,28,0)</f>
        <v>0</v>
      </c>
      <c r="C99" s="367" t="s">
        <v>1130</v>
      </c>
      <c r="D99" s="368"/>
      <c r="E99" s="368"/>
      <c r="F99" s="368"/>
      <c r="G99" s="368"/>
      <c r="H99" s="368"/>
      <c r="I99" s="368"/>
      <c r="J99" s="368"/>
      <c r="K99" s="368"/>
      <c r="L99" s="368"/>
      <c r="M99" s="377"/>
      <c r="N99" s="377"/>
      <c r="O99" s="378"/>
      <c r="P99" s="371">
        <f>SUMIF('caseload data'!$C:$C,'divisional &amp; regional caseload%'!B99,'caseload data'!V:V)</f>
        <v>0</v>
      </c>
      <c r="Q99" s="379"/>
      <c r="R99" s="380"/>
      <c r="T99" s="156">
        <f>HLOOKUP($B$5,Region_Table,29,0)</f>
        <v>0</v>
      </c>
      <c r="U99" s="367" t="s">
        <v>1130</v>
      </c>
      <c r="V99" s="368"/>
      <c r="W99" s="368"/>
      <c r="X99" s="368"/>
      <c r="Y99" s="368"/>
      <c r="Z99" s="368"/>
      <c r="AA99" s="368"/>
      <c r="AB99" s="368"/>
      <c r="AC99" s="368"/>
      <c r="AD99" s="368"/>
      <c r="AE99" s="377"/>
      <c r="AF99" s="377"/>
      <c r="AG99" s="378"/>
      <c r="AH99" s="371">
        <f>SUMIF('caseload data'!$C:$C,'divisional &amp; regional caseload%'!T99,'caseload data'!V:V)</f>
        <v>0</v>
      </c>
      <c r="AI99" s="379"/>
      <c r="AJ99" s="380"/>
    </row>
    <row r="100" spans="2:36" x14ac:dyDescent="0.15">
      <c r="B100" s="105" t="s">
        <v>1065</v>
      </c>
      <c r="C100" s="41" t="s">
        <v>922</v>
      </c>
      <c r="D100" s="41" t="s">
        <v>923</v>
      </c>
      <c r="E100" s="41" t="s">
        <v>924</v>
      </c>
      <c r="F100" s="41" t="s">
        <v>925</v>
      </c>
      <c r="G100" s="41" t="s">
        <v>926</v>
      </c>
      <c r="H100" s="41" t="s">
        <v>927</v>
      </c>
      <c r="I100" s="41" t="s">
        <v>928</v>
      </c>
      <c r="J100" s="41" t="s">
        <v>929</v>
      </c>
      <c r="K100" s="41" t="s">
        <v>930</v>
      </c>
      <c r="L100" s="41" t="s">
        <v>931</v>
      </c>
      <c r="M100" s="41" t="s">
        <v>932</v>
      </c>
      <c r="N100" s="41" t="s">
        <v>933</v>
      </c>
      <c r="O100" s="41" t="s">
        <v>934</v>
      </c>
      <c r="P100" s="41" t="s">
        <v>935</v>
      </c>
      <c r="Q100" s="41" t="s">
        <v>936</v>
      </c>
      <c r="R100" s="41" t="s">
        <v>937</v>
      </c>
      <c r="T100" s="105" t="s">
        <v>1065</v>
      </c>
      <c r="U100" s="41" t="s">
        <v>922</v>
      </c>
      <c r="V100" s="41" t="s">
        <v>923</v>
      </c>
      <c r="W100" s="41" t="s">
        <v>924</v>
      </c>
      <c r="X100" s="41" t="s">
        <v>925</v>
      </c>
      <c r="Y100" s="41" t="s">
        <v>926</v>
      </c>
      <c r="Z100" s="41" t="s">
        <v>927</v>
      </c>
      <c r="AA100" s="41" t="s">
        <v>928</v>
      </c>
      <c r="AB100" s="41" t="s">
        <v>929</v>
      </c>
      <c r="AC100" s="41" t="s">
        <v>930</v>
      </c>
      <c r="AD100" s="41" t="s">
        <v>931</v>
      </c>
      <c r="AE100" s="41" t="s">
        <v>932</v>
      </c>
      <c r="AF100" s="41" t="s">
        <v>933</v>
      </c>
      <c r="AG100" s="41" t="s">
        <v>934</v>
      </c>
      <c r="AH100" s="41" t="s">
        <v>935</v>
      </c>
      <c r="AI100" s="41" t="s">
        <v>936</v>
      </c>
      <c r="AJ100" s="41" t="s">
        <v>937</v>
      </c>
    </row>
    <row r="101" spans="2:36" x14ac:dyDescent="0.15">
      <c r="B101" s="106" t="s">
        <v>911</v>
      </c>
      <c r="C101" s="181" t="str">
        <f>IFERROR(SUMIFS('caseload data'!E:E,'caseload data'!$C:$C,'divisional &amp; regional caseload%'!$B$99,'caseload data'!$D:$D,"PO")/SUMIF('caseload data'!$C:$C,'divisional &amp; regional caseload%'!$B$99,'caseload data'!E:E),"")</f>
        <v/>
      </c>
      <c r="D101" s="181" t="str">
        <f>IFERROR(SUMIFS('caseload data'!F:F,'caseload data'!$C:$C,'divisional &amp; regional caseload%'!$B$99,'caseload data'!$D:$D,"PO")/SUMIF('caseload data'!$C:$C,'divisional &amp; regional caseload%'!$B$99,'caseload data'!F:F),"")</f>
        <v/>
      </c>
      <c r="E101" s="181" t="str">
        <f>IFERROR(SUMIFS('caseload data'!G:G,'caseload data'!$C:$C,'divisional &amp; regional caseload%'!$B$99,'caseload data'!$D:$D,"PO")/SUMIF('caseload data'!$C:$C,'divisional &amp; regional caseload%'!$B$99,'caseload data'!G:G),"")</f>
        <v/>
      </c>
      <c r="F101" s="181" t="str">
        <f>IFERROR(SUMIFS('caseload data'!H:H,'caseload data'!$C:$C,'divisional &amp; regional caseload%'!$B$99,'caseload data'!$D:$D,"PO")/SUMIF('caseload data'!$C:$C,'divisional &amp; regional caseload%'!$B$99,'caseload data'!H:H),"")</f>
        <v/>
      </c>
      <c r="G101" s="181" t="str">
        <f>IFERROR(SUMIFS('caseload data'!I:I,'caseload data'!$C:$C,'divisional &amp; regional caseload%'!$B$99,'caseload data'!$D:$D,"PO")/SUMIF('caseload data'!$C:$C,'divisional &amp; regional caseload%'!$B$99,'caseload data'!I:I),"")</f>
        <v/>
      </c>
      <c r="H101" s="181" t="str">
        <f>IFERROR(SUMIFS('caseload data'!J:J,'caseload data'!$C:$C,'divisional &amp; regional caseload%'!$B$99,'caseload data'!$D:$D,"PO")/SUMIF('caseload data'!$C:$C,'divisional &amp; regional caseload%'!$B$99,'caseload data'!J:J),"")</f>
        <v/>
      </c>
      <c r="I101" s="181" t="str">
        <f>IFERROR(SUMIFS('caseload data'!K:K,'caseload data'!$C:$C,'divisional &amp; regional caseload%'!$B$99,'caseload data'!$D:$D,"PO")/SUMIF('caseload data'!$C:$C,'divisional &amp; regional caseload%'!$B$99,'caseload data'!K:K),"")</f>
        <v/>
      </c>
      <c r="J101" s="181" t="str">
        <f>IFERROR(SUMIFS('caseload data'!L:L,'caseload data'!$C:$C,'divisional &amp; regional caseload%'!$B$99,'caseload data'!$D:$D,"PO")/SUMIF('caseload data'!$C:$C,'divisional &amp; regional caseload%'!$B$99,'caseload data'!L:L),"")</f>
        <v/>
      </c>
      <c r="K101" s="181" t="str">
        <f>IFERROR(SUMIFS('caseload data'!M:M,'caseload data'!$C:$C,'divisional &amp; regional caseload%'!$B$99,'caseload data'!$D:$D,"PO")/SUMIF('caseload data'!$C:$C,'divisional &amp; regional caseload%'!$B$99,'caseload data'!M:M),"")</f>
        <v/>
      </c>
      <c r="L101" s="181" t="str">
        <f>IFERROR(SUMIFS('caseload data'!N:N,'caseload data'!$C:$C,'divisional &amp; regional caseload%'!$B$99,'caseload data'!$D:$D,"PO")/SUMIF('caseload data'!$C:$C,'divisional &amp; regional caseload%'!$B$99,'caseload data'!N:N),"")</f>
        <v/>
      </c>
      <c r="M101" s="181" t="str">
        <f>IFERROR(SUMIFS('caseload data'!O:O,'caseload data'!$C:$C,'divisional &amp; regional caseload%'!$B$99,'caseload data'!$D:$D,"PO")/SUMIF('caseload data'!$C:$C,'divisional &amp; regional caseload%'!$B$99,'caseload data'!O:O),"")</f>
        <v/>
      </c>
      <c r="N101" s="181" t="str">
        <f>IFERROR(SUMIFS('caseload data'!P:P,'caseload data'!$C:$C,'divisional &amp; regional caseload%'!$B$99,'caseload data'!$D:$D,"PO")/SUMIF('caseload data'!$C:$C,'divisional &amp; regional caseload%'!$B$99,'caseload data'!P:P),"")</f>
        <v/>
      </c>
      <c r="O101" s="181" t="str">
        <f>IFERROR(SUMIFS('caseload data'!Q:Q,'caseload data'!$C:$C,'divisional &amp; regional caseload%'!$B$99,'caseload data'!$D:$D,"PO")/SUMIF('caseload data'!$C:$C,'divisional &amp; regional caseload%'!$B$99,'caseload data'!Q:Q),"")</f>
        <v/>
      </c>
      <c r="P101" s="181" t="str">
        <f>IFERROR(SUMIFS('caseload data'!R:R,'caseload data'!$C:$C,'divisional &amp; regional caseload%'!$B$99,'caseload data'!$D:$D,"PO")/SUMIF('caseload data'!$C:$C,'divisional &amp; regional caseload%'!$B$99,'caseload data'!R:R),"")</f>
        <v/>
      </c>
      <c r="Q101" s="181" t="str">
        <f>IFERROR(SUMIFS('caseload data'!S:S,'caseload data'!$C:$C,'divisional &amp; regional caseload%'!$B$99,'caseload data'!$D:$D,"PO")/SUMIF('caseload data'!$C:$C,'divisional &amp; regional caseload%'!$B$99,'caseload data'!S:S),"")</f>
        <v/>
      </c>
      <c r="R101" s="181" t="str">
        <f>IFERROR(SUMIFS('caseload data'!T:T,'caseload data'!$C:$C,'divisional &amp; regional caseload%'!$B$99,'caseload data'!$D:$D,"PO")/SUMIF('caseload data'!$C:$C,'divisional &amp; regional caseload%'!$B$99,'caseload data'!T:T),"")</f>
        <v/>
      </c>
      <c r="T101" s="106" t="s">
        <v>911</v>
      </c>
      <c r="U101" s="181" t="str">
        <f>IFERROR(SUMIFS('caseload data'!E:E,'caseload data'!$C:$C,'divisional &amp; regional caseload%'!$T$99,'caseload data'!$D:$D,"PO")/SUMIF('caseload data'!$C:$C,'divisional &amp; regional caseload%'!$T$99,'caseload data'!E:E),"")</f>
        <v/>
      </c>
      <c r="V101" s="181" t="str">
        <f>IFERROR(SUMIFS('caseload data'!F:F,'caseload data'!$C:$C,'divisional &amp; regional caseload%'!$T$99,'caseload data'!$D:$D,"PO")/SUMIF('caseload data'!$C:$C,'divisional &amp; regional caseload%'!$T$99,'caseload data'!F:F),"")</f>
        <v/>
      </c>
      <c r="W101" s="181" t="str">
        <f>IFERROR(SUMIFS('caseload data'!G:G,'caseload data'!$C:$C,'divisional &amp; regional caseload%'!$T$99,'caseload data'!$D:$D,"PO")/SUMIF('caseload data'!$C:$C,'divisional &amp; regional caseload%'!$T$99,'caseload data'!G:G),"")</f>
        <v/>
      </c>
      <c r="X101" s="181" t="str">
        <f>IFERROR(SUMIFS('caseload data'!H:H,'caseload data'!$C:$C,'divisional &amp; regional caseload%'!$T$99,'caseload data'!$D:$D,"PO")/SUMIF('caseload data'!$C:$C,'divisional &amp; regional caseload%'!$T$99,'caseload data'!H:H),"")</f>
        <v/>
      </c>
      <c r="Y101" s="181" t="str">
        <f>IFERROR(SUMIFS('caseload data'!I:I,'caseload data'!$C:$C,'divisional &amp; regional caseload%'!$T$99,'caseload data'!$D:$D,"PO")/SUMIF('caseload data'!$C:$C,'divisional &amp; regional caseload%'!$T$99,'caseload data'!I:I),"")</f>
        <v/>
      </c>
      <c r="Z101" s="181" t="str">
        <f>IFERROR(SUMIFS('caseload data'!J:J,'caseload data'!$C:$C,'divisional &amp; regional caseload%'!$T$99,'caseload data'!$D:$D,"PO")/SUMIF('caseload data'!$C:$C,'divisional &amp; regional caseload%'!$T$99,'caseload data'!J:J),"")</f>
        <v/>
      </c>
      <c r="AA101" s="181" t="str">
        <f>IFERROR(SUMIFS('caseload data'!K:K,'caseload data'!$C:$C,'divisional &amp; regional caseload%'!$T$99,'caseload data'!$D:$D,"PO")/SUMIF('caseload data'!$C:$C,'divisional &amp; regional caseload%'!$T$99,'caseload data'!K:K),"")</f>
        <v/>
      </c>
      <c r="AB101" s="181" t="str">
        <f>IFERROR(SUMIFS('caseload data'!L:L,'caseload data'!$C:$C,'divisional &amp; regional caseload%'!$T$99,'caseload data'!$D:$D,"PO")/SUMIF('caseload data'!$C:$C,'divisional &amp; regional caseload%'!$T$99,'caseload data'!L:L),"")</f>
        <v/>
      </c>
      <c r="AC101" s="181" t="str">
        <f>IFERROR(SUMIFS('caseload data'!M:M,'caseload data'!$C:$C,'divisional &amp; regional caseload%'!$T$99,'caseload data'!$D:$D,"PO")/SUMIF('caseload data'!$C:$C,'divisional &amp; regional caseload%'!$T$99,'caseload data'!M:M),"")</f>
        <v/>
      </c>
      <c r="AD101" s="181" t="str">
        <f>IFERROR(SUMIFS('caseload data'!N:N,'caseload data'!$C:$C,'divisional &amp; regional caseload%'!$T$99,'caseload data'!$D:$D,"PO")/SUMIF('caseload data'!$C:$C,'divisional &amp; regional caseload%'!$T$99,'caseload data'!N:N),"")</f>
        <v/>
      </c>
      <c r="AE101" s="181" t="str">
        <f>IFERROR(SUMIFS('caseload data'!O:O,'caseload data'!$C:$C,'divisional &amp; regional caseload%'!$T$99,'caseload data'!$D:$D,"PO")/SUMIF('caseload data'!$C:$C,'divisional &amp; regional caseload%'!$T$99,'caseload data'!O:O),"")</f>
        <v/>
      </c>
      <c r="AF101" s="181" t="str">
        <f>IFERROR(SUMIFS('caseload data'!P:P,'caseload data'!$C:$C,'divisional &amp; regional caseload%'!$T$99,'caseload data'!$D:$D,"PO")/SUMIF('caseload data'!$C:$C,'divisional &amp; regional caseload%'!$T$99,'caseload data'!P:P),"")</f>
        <v/>
      </c>
      <c r="AG101" s="181" t="str">
        <f>IFERROR(SUMIFS('caseload data'!Q:Q,'caseload data'!$C:$C,'divisional &amp; regional caseload%'!$T$99,'caseload data'!$D:$D,"PO")/SUMIF('caseload data'!$C:$C,'divisional &amp; regional caseload%'!$T$99,'caseload data'!Q:Q),"")</f>
        <v/>
      </c>
      <c r="AH101" s="181" t="str">
        <f>IFERROR(SUMIFS('caseload data'!R:R,'caseload data'!$C:$C,'divisional &amp; regional caseload%'!$T$99,'caseload data'!$D:$D,"PO")/SUMIF('caseload data'!$C:$C,'divisional &amp; regional caseload%'!$T$99,'caseload data'!R:R),"")</f>
        <v/>
      </c>
      <c r="AI101" s="181" t="str">
        <f>IFERROR(SUMIFS('caseload data'!S:S,'caseload data'!$C:$C,'divisional &amp; regional caseload%'!$T$99,'caseload data'!$D:$D,"PO")/SUMIF('caseload data'!$C:$C,'divisional &amp; regional caseload%'!$T$99,'caseload data'!S:S),"")</f>
        <v/>
      </c>
      <c r="AJ101" s="181" t="str">
        <f>IFERROR(SUMIFS('caseload data'!T:T,'caseload data'!$C:$C,'divisional &amp; regional caseload%'!$T$99,'caseload data'!$D:$D,"PO")/SUMIF('caseload data'!$C:$C,'divisional &amp; regional caseload%'!$T$99,'caseload data'!T:T),"")</f>
        <v/>
      </c>
    </row>
    <row r="102" spans="2:36" x14ac:dyDescent="0.15">
      <c r="B102" s="107" t="s">
        <v>912</v>
      </c>
      <c r="C102" s="181" t="str">
        <f>IFERROR(SUMIFS('caseload data'!E:E,'caseload data'!$C:$C,'divisional &amp; regional caseload%'!$B$99,'caseload data'!$D:$D,"PSO")/SUMIF('caseload data'!$C:$C,'divisional &amp; regional caseload%'!$B$99,'caseload data'!E:E),"")</f>
        <v/>
      </c>
      <c r="D102" s="181" t="str">
        <f>IFERROR(SUMIFS('caseload data'!F:F,'caseload data'!$C:$C,'divisional &amp; regional caseload%'!$B$99,'caseload data'!$D:$D,"PSO")/SUMIF('caseload data'!$C:$C,'divisional &amp; regional caseload%'!$B$99,'caseload data'!F:F),"")</f>
        <v/>
      </c>
      <c r="E102" s="181" t="str">
        <f>IFERROR(SUMIFS('caseload data'!G:G,'caseload data'!$C:$C,'divisional &amp; regional caseload%'!$B$99,'caseload data'!$D:$D,"PSO")/SUMIF('caseload data'!$C:$C,'divisional &amp; regional caseload%'!$B$99,'caseload data'!G:G),"")</f>
        <v/>
      </c>
      <c r="F102" s="181" t="str">
        <f>IFERROR(SUMIFS('caseload data'!H:H,'caseload data'!$C:$C,'divisional &amp; regional caseload%'!$B$99,'caseload data'!$D:$D,"PSO")/SUMIF('caseload data'!$C:$C,'divisional &amp; regional caseload%'!$B$99,'caseload data'!H:H),"")</f>
        <v/>
      </c>
      <c r="G102" s="181" t="str">
        <f>IFERROR(SUMIFS('caseload data'!I:I,'caseload data'!$C:$C,'divisional &amp; regional caseload%'!$B$99,'caseload data'!$D:$D,"PSO")/SUMIF('caseload data'!$C:$C,'divisional &amp; regional caseload%'!$B$99,'caseload data'!I:I),"")</f>
        <v/>
      </c>
      <c r="H102" s="181" t="str">
        <f>IFERROR(SUMIFS('caseload data'!J:J,'caseload data'!$C:$C,'divisional &amp; regional caseload%'!$B$99,'caseload data'!$D:$D,"PSO")/SUMIF('caseload data'!$C:$C,'divisional &amp; regional caseload%'!$B$99,'caseload data'!J:J),"")</f>
        <v/>
      </c>
      <c r="I102" s="181" t="str">
        <f>IFERROR(SUMIFS('caseload data'!K:K,'caseload data'!$C:$C,'divisional &amp; regional caseload%'!$B$99,'caseload data'!$D:$D,"PSO")/SUMIF('caseload data'!$C:$C,'divisional &amp; regional caseload%'!$B$99,'caseload data'!K:K),"")</f>
        <v/>
      </c>
      <c r="J102" s="181" t="str">
        <f>IFERROR(SUMIFS('caseload data'!L:L,'caseload data'!$C:$C,'divisional &amp; regional caseload%'!$B$99,'caseload data'!$D:$D,"PSO")/SUMIF('caseload data'!$C:$C,'divisional &amp; regional caseload%'!$B$99,'caseload data'!L:L),"")</f>
        <v/>
      </c>
      <c r="K102" s="181" t="str">
        <f>IFERROR(SUMIFS('caseload data'!M:M,'caseload data'!$C:$C,'divisional &amp; regional caseload%'!$B$99,'caseload data'!$D:$D,"PSO")/SUMIF('caseload data'!$C:$C,'divisional &amp; regional caseload%'!$B$99,'caseload data'!M:M),"")</f>
        <v/>
      </c>
      <c r="L102" s="181" t="str">
        <f>IFERROR(SUMIFS('caseload data'!N:N,'caseload data'!$C:$C,'divisional &amp; regional caseload%'!$B$99,'caseload data'!$D:$D,"PSO")/SUMIF('caseload data'!$C:$C,'divisional &amp; regional caseload%'!$B$99,'caseload data'!N:N),"")</f>
        <v/>
      </c>
      <c r="M102" s="181" t="str">
        <f>IFERROR(SUMIFS('caseload data'!O:O,'caseload data'!$C:$C,'divisional &amp; regional caseload%'!$B$99,'caseload data'!$D:$D,"PSO")/SUMIF('caseload data'!$C:$C,'divisional &amp; regional caseload%'!$B$99,'caseload data'!O:O),"")</f>
        <v/>
      </c>
      <c r="N102" s="181" t="str">
        <f>IFERROR(SUMIFS('caseload data'!P:P,'caseload data'!$C:$C,'divisional &amp; regional caseload%'!$B$99,'caseload data'!$D:$D,"PSO")/SUMIF('caseload data'!$C:$C,'divisional &amp; regional caseload%'!$B$99,'caseload data'!P:P),"")</f>
        <v/>
      </c>
      <c r="O102" s="181" t="str">
        <f>IFERROR(SUMIFS('caseload data'!Q:Q,'caseload data'!$C:$C,'divisional &amp; regional caseload%'!$B$99,'caseload data'!$D:$D,"PSO")/SUMIF('caseload data'!$C:$C,'divisional &amp; regional caseload%'!$B$99,'caseload data'!Q:Q),"")</f>
        <v/>
      </c>
      <c r="P102" s="181" t="str">
        <f>IFERROR(SUMIFS('caseload data'!R:R,'caseload data'!$C:$C,'divisional &amp; regional caseload%'!$B$99,'caseload data'!$D:$D,"PSO")/SUMIF('caseload data'!$C:$C,'divisional &amp; regional caseload%'!$B$99,'caseload data'!R:R),"")</f>
        <v/>
      </c>
      <c r="Q102" s="181" t="str">
        <f>IFERROR(SUMIFS('caseload data'!S:S,'caseload data'!$C:$C,'divisional &amp; regional caseload%'!$B$99,'caseload data'!$D:$D,"PSO")/SUMIF('caseload data'!$C:$C,'divisional &amp; regional caseload%'!$B$99,'caseload data'!S:S),"")</f>
        <v/>
      </c>
      <c r="R102" s="181" t="str">
        <f>IFERROR(SUMIFS('caseload data'!T:T,'caseload data'!$C:$C,'divisional &amp; regional caseload%'!$B$99,'caseload data'!$D:$D,"PSO")/SUMIF('caseload data'!$C:$C,'divisional &amp; regional caseload%'!$B$99,'caseload data'!T:T),"")</f>
        <v/>
      </c>
      <c r="T102" s="107" t="s">
        <v>912</v>
      </c>
      <c r="U102" s="181" t="str">
        <f>IFERROR(SUMIFS('caseload data'!E:E,'caseload data'!$C:$C,'divisional &amp; regional caseload%'!$T$99,'caseload data'!$D:$D,"PSO")/SUMIF('caseload data'!$C:$C,'divisional &amp; regional caseload%'!$T$99,'caseload data'!E:E),"")</f>
        <v/>
      </c>
      <c r="V102" s="181" t="str">
        <f>IFERROR(SUMIFS('caseload data'!F:F,'caseload data'!$C:$C,'divisional &amp; regional caseload%'!$T$99,'caseload data'!$D:$D,"PSO")/SUMIF('caseload data'!$C:$C,'divisional &amp; regional caseload%'!$T$99,'caseload data'!F:F),"")</f>
        <v/>
      </c>
      <c r="W102" s="181" t="str">
        <f>IFERROR(SUMIFS('caseload data'!G:G,'caseload data'!$C:$C,'divisional &amp; regional caseload%'!$T$99,'caseload data'!$D:$D,"PSO")/SUMIF('caseload data'!$C:$C,'divisional &amp; regional caseload%'!$T$99,'caseload data'!G:G),"")</f>
        <v/>
      </c>
      <c r="X102" s="181" t="str">
        <f>IFERROR(SUMIFS('caseload data'!H:H,'caseload data'!$C:$C,'divisional &amp; regional caseload%'!$T$99,'caseload data'!$D:$D,"PSO")/SUMIF('caseload data'!$C:$C,'divisional &amp; regional caseload%'!$T$99,'caseload data'!H:H),"")</f>
        <v/>
      </c>
      <c r="Y102" s="181" t="str">
        <f>IFERROR(SUMIFS('caseload data'!I:I,'caseload data'!$C:$C,'divisional &amp; regional caseload%'!$T$99,'caseload data'!$D:$D,"PSO")/SUMIF('caseload data'!$C:$C,'divisional &amp; regional caseload%'!$T$99,'caseload data'!I:I),"")</f>
        <v/>
      </c>
      <c r="Z102" s="181" t="str">
        <f>IFERROR(SUMIFS('caseload data'!J:J,'caseload data'!$C:$C,'divisional &amp; regional caseload%'!$T$99,'caseload data'!$D:$D,"PSO")/SUMIF('caseload data'!$C:$C,'divisional &amp; regional caseload%'!$T$99,'caseload data'!J:J),"")</f>
        <v/>
      </c>
      <c r="AA102" s="181" t="str">
        <f>IFERROR(SUMIFS('caseload data'!K:K,'caseload data'!$C:$C,'divisional &amp; regional caseload%'!$T$99,'caseload data'!$D:$D,"PSO")/SUMIF('caseload data'!$C:$C,'divisional &amp; regional caseload%'!$T$99,'caseload data'!K:K),"")</f>
        <v/>
      </c>
      <c r="AB102" s="181" t="str">
        <f>IFERROR(SUMIFS('caseload data'!L:L,'caseload data'!$C:$C,'divisional &amp; regional caseload%'!$T$99,'caseload data'!$D:$D,"PSO")/SUMIF('caseload data'!$C:$C,'divisional &amp; regional caseload%'!$T$99,'caseload data'!L:L),"")</f>
        <v/>
      </c>
      <c r="AC102" s="181" t="str">
        <f>IFERROR(SUMIFS('caseload data'!M:M,'caseload data'!$C:$C,'divisional &amp; regional caseload%'!$T$99,'caseload data'!$D:$D,"PSO")/SUMIF('caseload data'!$C:$C,'divisional &amp; regional caseload%'!$T$99,'caseload data'!M:M),"")</f>
        <v/>
      </c>
      <c r="AD102" s="181" t="str">
        <f>IFERROR(SUMIFS('caseload data'!N:N,'caseload data'!$C:$C,'divisional &amp; regional caseload%'!$T$99,'caseload data'!$D:$D,"PSO")/SUMIF('caseload data'!$C:$C,'divisional &amp; regional caseload%'!$T$99,'caseload data'!N:N),"")</f>
        <v/>
      </c>
      <c r="AE102" s="181" t="str">
        <f>IFERROR(SUMIFS('caseload data'!O:O,'caseload data'!$C:$C,'divisional &amp; regional caseload%'!$T$99,'caseload data'!$D:$D,"PSO")/SUMIF('caseload data'!$C:$C,'divisional &amp; regional caseload%'!$T$99,'caseload data'!O:O),"")</f>
        <v/>
      </c>
      <c r="AF102" s="181" t="str">
        <f>IFERROR(SUMIFS('caseload data'!P:P,'caseload data'!$C:$C,'divisional &amp; regional caseload%'!$T$99,'caseload data'!$D:$D,"PSO")/SUMIF('caseload data'!$C:$C,'divisional &amp; regional caseload%'!$T$99,'caseload data'!P:P),"")</f>
        <v/>
      </c>
      <c r="AG102" s="181" t="str">
        <f>IFERROR(SUMIFS('caseload data'!Q:Q,'caseload data'!$C:$C,'divisional &amp; regional caseload%'!$T$99,'caseload data'!$D:$D,"PSO")/SUMIF('caseload data'!$C:$C,'divisional &amp; regional caseload%'!$T$99,'caseload data'!Q:Q),"")</f>
        <v/>
      </c>
      <c r="AH102" s="181" t="str">
        <f>IFERROR(SUMIFS('caseload data'!R:R,'caseload data'!$C:$C,'divisional &amp; regional caseload%'!$T$99,'caseload data'!$D:$D,"PSO")/SUMIF('caseload data'!$C:$C,'divisional &amp; regional caseload%'!$T$99,'caseload data'!R:R),"")</f>
        <v/>
      </c>
      <c r="AI102" s="181" t="str">
        <f>IFERROR(SUMIFS('caseload data'!S:S,'caseload data'!$C:$C,'divisional &amp; regional caseload%'!$T$99,'caseload data'!$D:$D,"PSO")/SUMIF('caseload data'!$C:$C,'divisional &amp; regional caseload%'!$T$99,'caseload data'!S:S),"")</f>
        <v/>
      </c>
      <c r="AJ102" s="181" t="str">
        <f>IFERROR(SUMIFS('caseload data'!T:T,'caseload data'!$C:$C,'divisional &amp; regional caseload%'!$T$99,'caseload data'!$D:$D,"PSO")/SUMIF('caseload data'!$C:$C,'divisional &amp; regional caseload%'!$T$99,'caseload data'!T:T),"")</f>
        <v/>
      </c>
    </row>
    <row r="103" spans="2:36" x14ac:dyDescent="0.15">
      <c r="B103" s="107" t="s">
        <v>913</v>
      </c>
      <c r="C103" s="181" t="str">
        <f>IFERROR(SUMIFS('caseload data'!E:E,'caseload data'!$C:$C,'divisional &amp; regional caseload%'!$B$99,'caseload data'!$D:$D,"TPO")/SUMIF('caseload data'!$C:$C,'divisional &amp; regional caseload%'!$B$99,'caseload data'!E:E),"")</f>
        <v/>
      </c>
      <c r="D103" s="181" t="str">
        <f>IFERROR(SUMIFS('caseload data'!F:F,'caseload data'!$C:$C,'divisional &amp; regional caseload%'!$B$99,'caseload data'!$D:$D,"TPO")/SUMIF('caseload data'!$C:$C,'divisional &amp; regional caseload%'!$B$99,'caseload data'!F:F),"")</f>
        <v/>
      </c>
      <c r="E103" s="181" t="str">
        <f>IFERROR(SUMIFS('caseload data'!G:G,'caseload data'!$C:$C,'divisional &amp; regional caseload%'!$B$99,'caseload data'!$D:$D,"TPO")/SUMIF('caseload data'!$C:$C,'divisional &amp; regional caseload%'!$B$99,'caseload data'!G:G),"")</f>
        <v/>
      </c>
      <c r="F103" s="181" t="str">
        <f>IFERROR(SUMIFS('caseload data'!H:H,'caseload data'!$C:$C,'divisional &amp; regional caseload%'!$B$99,'caseload data'!$D:$D,"TPO")/SUMIF('caseload data'!$C:$C,'divisional &amp; regional caseload%'!$B$99,'caseload data'!H:H),"")</f>
        <v/>
      </c>
      <c r="G103" s="181" t="str">
        <f>IFERROR(SUMIFS('caseload data'!I:I,'caseload data'!$C:$C,'divisional &amp; regional caseload%'!$B$99,'caseload data'!$D:$D,"TPO")/SUMIF('caseload data'!$C:$C,'divisional &amp; regional caseload%'!$B$99,'caseload data'!I:I),"")</f>
        <v/>
      </c>
      <c r="H103" s="181" t="str">
        <f>IFERROR(SUMIFS('caseload data'!J:J,'caseload data'!$C:$C,'divisional &amp; regional caseload%'!$B$99,'caseload data'!$D:$D,"TPO")/SUMIF('caseload data'!$C:$C,'divisional &amp; regional caseload%'!$B$99,'caseload data'!J:J),"")</f>
        <v/>
      </c>
      <c r="I103" s="181" t="str">
        <f>IFERROR(SUMIFS('caseload data'!K:K,'caseload data'!$C:$C,'divisional &amp; regional caseload%'!$B$99,'caseload data'!$D:$D,"TPO")/SUMIF('caseload data'!$C:$C,'divisional &amp; regional caseload%'!$B$99,'caseload data'!K:K),"")</f>
        <v/>
      </c>
      <c r="J103" s="181" t="str">
        <f>IFERROR(SUMIFS('caseload data'!L:L,'caseload data'!$C:$C,'divisional &amp; regional caseload%'!$B$99,'caseload data'!$D:$D,"TPO")/SUMIF('caseload data'!$C:$C,'divisional &amp; regional caseload%'!$B$99,'caseload data'!L:L),"")</f>
        <v/>
      </c>
      <c r="K103" s="181" t="str">
        <f>IFERROR(SUMIFS('caseload data'!M:M,'caseload data'!$C:$C,'divisional &amp; regional caseload%'!$B$99,'caseload data'!$D:$D,"TPO")/SUMIF('caseload data'!$C:$C,'divisional &amp; regional caseload%'!$B$99,'caseload data'!M:M),"")</f>
        <v/>
      </c>
      <c r="L103" s="181" t="str">
        <f>IFERROR(SUMIFS('caseload data'!N:N,'caseload data'!$C:$C,'divisional &amp; regional caseload%'!$B$99,'caseload data'!$D:$D,"TPO")/SUMIF('caseload data'!$C:$C,'divisional &amp; regional caseload%'!$B$99,'caseload data'!N:N),"")</f>
        <v/>
      </c>
      <c r="M103" s="181" t="str">
        <f>IFERROR(SUMIFS('caseload data'!O:O,'caseload data'!$C:$C,'divisional &amp; regional caseload%'!$B$99,'caseload data'!$D:$D,"TPO")/SUMIF('caseload data'!$C:$C,'divisional &amp; regional caseload%'!$B$99,'caseload data'!O:O),"")</f>
        <v/>
      </c>
      <c r="N103" s="181" t="str">
        <f>IFERROR(SUMIFS('caseload data'!P:P,'caseload data'!$C:$C,'divisional &amp; regional caseload%'!$B$99,'caseload data'!$D:$D,"TPO")/SUMIF('caseload data'!$C:$C,'divisional &amp; regional caseload%'!$B$99,'caseload data'!P:P),"")</f>
        <v/>
      </c>
      <c r="O103" s="181" t="str">
        <f>IFERROR(SUMIFS('caseload data'!Q:Q,'caseload data'!$C:$C,'divisional &amp; regional caseload%'!$B$99,'caseload data'!$D:$D,"TPO")/SUMIF('caseload data'!$C:$C,'divisional &amp; regional caseload%'!$B$99,'caseload data'!Q:Q),"")</f>
        <v/>
      </c>
      <c r="P103" s="181" t="str">
        <f>IFERROR(SUMIFS('caseload data'!R:R,'caseload data'!$C:$C,'divisional &amp; regional caseload%'!$B$99,'caseload data'!$D:$D,"TPO")/SUMIF('caseload data'!$C:$C,'divisional &amp; regional caseload%'!$B$99,'caseload data'!R:R),"")</f>
        <v/>
      </c>
      <c r="Q103" s="181" t="str">
        <f>IFERROR(SUMIFS('caseload data'!S:S,'caseload data'!$C:$C,'divisional &amp; regional caseload%'!$B$99,'caseload data'!$D:$D,"TPO")/SUMIF('caseload data'!$C:$C,'divisional &amp; regional caseload%'!$B$99,'caseload data'!S:S),"")</f>
        <v/>
      </c>
      <c r="R103" s="181" t="str">
        <f>IFERROR(SUMIFS('caseload data'!T:T,'caseload data'!$C:$C,'divisional &amp; regional caseload%'!$B$99,'caseload data'!$D:$D,"TPO")/SUMIF('caseload data'!$C:$C,'divisional &amp; regional caseload%'!$B$99,'caseload data'!T:T),"")</f>
        <v/>
      </c>
      <c r="T103" s="107" t="s">
        <v>913</v>
      </c>
      <c r="U103" s="181" t="str">
        <f>IFERROR(SUMIFS('caseload data'!E:E,'caseload data'!$C:$C,'divisional &amp; regional caseload%'!$T$99,'caseload data'!$D:$D,"TPO")/SUMIF('caseload data'!$C:$C,'divisional &amp; regional caseload%'!$T$99,'caseload data'!E:E),"")</f>
        <v/>
      </c>
      <c r="V103" s="181" t="str">
        <f>IFERROR(SUMIFS('caseload data'!F:F,'caseload data'!$C:$C,'divisional &amp; regional caseload%'!$T$99,'caseload data'!$D:$D,"TPO")/SUMIF('caseload data'!$C:$C,'divisional &amp; regional caseload%'!$T$99,'caseload data'!F:F),"")</f>
        <v/>
      </c>
      <c r="W103" s="181" t="str">
        <f>IFERROR(SUMIFS('caseload data'!G:G,'caseload data'!$C:$C,'divisional &amp; regional caseload%'!$T$99,'caseload data'!$D:$D,"TPO")/SUMIF('caseload data'!$C:$C,'divisional &amp; regional caseload%'!$T$99,'caseload data'!G:G),"")</f>
        <v/>
      </c>
      <c r="X103" s="181" t="str">
        <f>IFERROR(SUMIFS('caseload data'!H:H,'caseload data'!$C:$C,'divisional &amp; regional caseload%'!$T$99,'caseload data'!$D:$D,"TPO")/SUMIF('caseload data'!$C:$C,'divisional &amp; regional caseload%'!$T$99,'caseload data'!H:H),"")</f>
        <v/>
      </c>
      <c r="Y103" s="181" t="str">
        <f>IFERROR(SUMIFS('caseload data'!I:I,'caseload data'!$C:$C,'divisional &amp; regional caseload%'!$T$99,'caseload data'!$D:$D,"TPO")/SUMIF('caseload data'!$C:$C,'divisional &amp; regional caseload%'!$T$99,'caseload data'!I:I),"")</f>
        <v/>
      </c>
      <c r="Z103" s="181" t="str">
        <f>IFERROR(SUMIFS('caseload data'!J:J,'caseload data'!$C:$C,'divisional &amp; regional caseload%'!$T$99,'caseload data'!$D:$D,"TPO")/SUMIF('caseload data'!$C:$C,'divisional &amp; regional caseload%'!$T$99,'caseload data'!J:J),"")</f>
        <v/>
      </c>
      <c r="AA103" s="181" t="str">
        <f>IFERROR(SUMIFS('caseload data'!K:K,'caseload data'!$C:$C,'divisional &amp; regional caseload%'!$T$99,'caseload data'!$D:$D,"TPO")/SUMIF('caseload data'!$C:$C,'divisional &amp; regional caseload%'!$T$99,'caseload data'!K:K),"")</f>
        <v/>
      </c>
      <c r="AB103" s="181" t="str">
        <f>IFERROR(SUMIFS('caseload data'!L:L,'caseload data'!$C:$C,'divisional &amp; regional caseload%'!$T$99,'caseload data'!$D:$D,"TPO")/SUMIF('caseload data'!$C:$C,'divisional &amp; regional caseload%'!$T$99,'caseload data'!L:L),"")</f>
        <v/>
      </c>
      <c r="AC103" s="181" t="str">
        <f>IFERROR(SUMIFS('caseload data'!M:M,'caseload data'!$C:$C,'divisional &amp; regional caseload%'!$T$99,'caseload data'!$D:$D,"TPO")/SUMIF('caseload data'!$C:$C,'divisional &amp; regional caseload%'!$T$99,'caseload data'!M:M),"")</f>
        <v/>
      </c>
      <c r="AD103" s="181" t="str">
        <f>IFERROR(SUMIFS('caseload data'!N:N,'caseload data'!$C:$C,'divisional &amp; regional caseload%'!$T$99,'caseload data'!$D:$D,"TPO")/SUMIF('caseload data'!$C:$C,'divisional &amp; regional caseload%'!$T$99,'caseload data'!N:N),"")</f>
        <v/>
      </c>
      <c r="AE103" s="181" t="str">
        <f>IFERROR(SUMIFS('caseload data'!O:O,'caseload data'!$C:$C,'divisional &amp; regional caseload%'!$T$99,'caseload data'!$D:$D,"TPO")/SUMIF('caseload data'!$C:$C,'divisional &amp; regional caseload%'!$T$99,'caseload data'!O:O),"")</f>
        <v/>
      </c>
      <c r="AF103" s="181" t="str">
        <f>IFERROR(SUMIFS('caseload data'!P:P,'caseload data'!$C:$C,'divisional &amp; regional caseload%'!$T$99,'caseload data'!$D:$D,"TPO")/SUMIF('caseload data'!$C:$C,'divisional &amp; regional caseload%'!$T$99,'caseload data'!P:P),"")</f>
        <v/>
      </c>
      <c r="AG103" s="181" t="str">
        <f>IFERROR(SUMIFS('caseload data'!Q:Q,'caseload data'!$C:$C,'divisional &amp; regional caseload%'!$T$99,'caseload data'!$D:$D,"TPO")/SUMIF('caseload data'!$C:$C,'divisional &amp; regional caseload%'!$T$99,'caseload data'!Q:Q),"")</f>
        <v/>
      </c>
      <c r="AH103" s="181" t="str">
        <f>IFERROR(SUMIFS('caseload data'!R:R,'caseload data'!$C:$C,'divisional &amp; regional caseload%'!$T$99,'caseload data'!$D:$D,"TPO")/SUMIF('caseload data'!$C:$C,'divisional &amp; regional caseload%'!$T$99,'caseload data'!R:R),"")</f>
        <v/>
      </c>
      <c r="AI103" s="181" t="str">
        <f>IFERROR(SUMIFS('caseload data'!S:S,'caseload data'!$C:$C,'divisional &amp; regional caseload%'!$T$99,'caseload data'!$D:$D,"TPO")/SUMIF('caseload data'!$C:$C,'divisional &amp; regional caseload%'!$T$99,'caseload data'!S:S),"")</f>
        <v/>
      </c>
      <c r="AJ103" s="181" t="str">
        <f>IFERROR(SUMIFS('caseload data'!T:T,'caseload data'!$C:$C,'divisional &amp; regional caseload%'!$T$99,'caseload data'!$D:$D,"TPO")/SUMIF('caseload data'!$C:$C,'divisional &amp; regional caseload%'!$T$99,'caseload data'!T:T),"")</f>
        <v/>
      </c>
    </row>
    <row r="104" spans="2:36" x14ac:dyDescent="0.15">
      <c r="B104" s="108" t="s">
        <v>914</v>
      </c>
      <c r="C104" s="181" t="str">
        <f>IFERROR(SUMIFS('caseload data'!E:E,'caseload data'!$C:$C,'divisional &amp; regional caseload%'!$B$99,'caseload data'!$D:$D,"SPO")/SUMIF('caseload data'!$C:$C,'divisional &amp; regional caseload%'!$B$99,'caseload data'!E:E),"")</f>
        <v/>
      </c>
      <c r="D104" s="181" t="str">
        <f>IFERROR(SUMIFS('caseload data'!F:F,'caseload data'!$C:$C,'divisional &amp; regional caseload%'!$B$99,'caseload data'!$D:$D,"SPO")/SUMIF('caseload data'!$C:$C,'divisional &amp; regional caseload%'!$B$99,'caseload data'!F:F),"")</f>
        <v/>
      </c>
      <c r="E104" s="181" t="str">
        <f>IFERROR(SUMIFS('caseload data'!G:G,'caseload data'!$C:$C,'divisional &amp; regional caseload%'!$B$99,'caseload data'!$D:$D,"SPO")/SUMIF('caseload data'!$C:$C,'divisional &amp; regional caseload%'!$B$99,'caseload data'!G:G),"")</f>
        <v/>
      </c>
      <c r="F104" s="181" t="str">
        <f>IFERROR(SUMIFS('caseload data'!H:H,'caseload data'!$C:$C,'divisional &amp; regional caseload%'!$B$99,'caseload data'!$D:$D,"SPO")/SUMIF('caseload data'!$C:$C,'divisional &amp; regional caseload%'!$B$99,'caseload data'!H:H),"")</f>
        <v/>
      </c>
      <c r="G104" s="181" t="str">
        <f>IFERROR(SUMIFS('caseload data'!I:I,'caseload data'!$C:$C,'divisional &amp; regional caseload%'!$B$99,'caseload data'!$D:$D,"SPO")/SUMIF('caseload data'!$C:$C,'divisional &amp; regional caseload%'!$B$99,'caseload data'!I:I),"")</f>
        <v/>
      </c>
      <c r="H104" s="181" t="str">
        <f>IFERROR(SUMIFS('caseload data'!J:J,'caseload data'!$C:$C,'divisional &amp; regional caseload%'!$B$99,'caseload data'!$D:$D,"SPO")/SUMIF('caseload data'!$C:$C,'divisional &amp; regional caseload%'!$B$99,'caseload data'!J:J),"")</f>
        <v/>
      </c>
      <c r="I104" s="181" t="str">
        <f>IFERROR(SUMIFS('caseload data'!K:K,'caseload data'!$C:$C,'divisional &amp; regional caseload%'!$B$99,'caseload data'!$D:$D,"SPO")/SUMIF('caseload data'!$C:$C,'divisional &amp; regional caseload%'!$B$99,'caseload data'!K:K),"")</f>
        <v/>
      </c>
      <c r="J104" s="181" t="str">
        <f>IFERROR(SUMIFS('caseload data'!L:L,'caseload data'!$C:$C,'divisional &amp; regional caseload%'!$B$99,'caseload data'!$D:$D,"SPO")/SUMIF('caseload data'!$C:$C,'divisional &amp; regional caseload%'!$B$99,'caseload data'!L:L),"")</f>
        <v/>
      </c>
      <c r="K104" s="181" t="str">
        <f>IFERROR(SUMIFS('caseload data'!M:M,'caseload data'!$C:$C,'divisional &amp; regional caseload%'!$B$99,'caseload data'!$D:$D,"SPO")/SUMIF('caseload data'!$C:$C,'divisional &amp; regional caseload%'!$B$99,'caseload data'!M:M),"")</f>
        <v/>
      </c>
      <c r="L104" s="181" t="str">
        <f>IFERROR(SUMIFS('caseload data'!N:N,'caseload data'!$C:$C,'divisional &amp; regional caseload%'!$B$99,'caseload data'!$D:$D,"SPO")/SUMIF('caseload data'!$C:$C,'divisional &amp; regional caseload%'!$B$99,'caseload data'!N:N),"")</f>
        <v/>
      </c>
      <c r="M104" s="181" t="str">
        <f>IFERROR(SUMIFS('caseload data'!O:O,'caseload data'!$C:$C,'divisional &amp; regional caseload%'!$B$99,'caseload data'!$D:$D,"SPO")/SUMIF('caseload data'!$C:$C,'divisional &amp; regional caseload%'!$B$99,'caseload data'!O:O),"")</f>
        <v/>
      </c>
      <c r="N104" s="181" t="str">
        <f>IFERROR(SUMIFS('caseload data'!P:P,'caseload data'!$C:$C,'divisional &amp; regional caseload%'!$B$99,'caseload data'!$D:$D,"SPO")/SUMIF('caseload data'!$C:$C,'divisional &amp; regional caseload%'!$B$99,'caseload data'!P:P),"")</f>
        <v/>
      </c>
      <c r="O104" s="181" t="str">
        <f>IFERROR(SUMIFS('caseload data'!Q:Q,'caseload data'!$C:$C,'divisional &amp; regional caseload%'!$B$99,'caseload data'!$D:$D,"SPO")/SUMIF('caseload data'!$C:$C,'divisional &amp; regional caseload%'!$B$99,'caseload data'!Q:Q),"")</f>
        <v/>
      </c>
      <c r="P104" s="181" t="str">
        <f>IFERROR(SUMIFS('caseload data'!R:R,'caseload data'!$C:$C,'divisional &amp; regional caseload%'!$B$99,'caseload data'!$D:$D,"SPO")/SUMIF('caseload data'!$C:$C,'divisional &amp; regional caseload%'!$B$99,'caseload data'!R:R),"")</f>
        <v/>
      </c>
      <c r="Q104" s="181" t="str">
        <f>IFERROR(SUMIFS('caseload data'!S:S,'caseload data'!$C:$C,'divisional &amp; regional caseload%'!$B$99,'caseload data'!$D:$D,"SPO")/SUMIF('caseload data'!$C:$C,'divisional &amp; regional caseload%'!$B$99,'caseload data'!S:S),"")</f>
        <v/>
      </c>
      <c r="R104" s="181" t="str">
        <f>IFERROR(SUMIFS('caseload data'!T:T,'caseload data'!$C:$C,'divisional &amp; regional caseload%'!$B$99,'caseload data'!$D:$D,"SPO")/SUMIF('caseload data'!$C:$C,'divisional &amp; regional caseload%'!$B$99,'caseload data'!T:T),"")</f>
        <v/>
      </c>
      <c r="T104" s="108" t="s">
        <v>914</v>
      </c>
      <c r="U104" s="181" t="str">
        <f>IFERROR(SUMIFS('caseload data'!E:E,'caseload data'!$C:$C,'divisional &amp; regional caseload%'!$T$99,'caseload data'!$D:$D,"SPO")/SUMIF('caseload data'!$C:$C,'divisional &amp; regional caseload%'!$T$99,'caseload data'!E:E),"")</f>
        <v/>
      </c>
      <c r="V104" s="181" t="str">
        <f>IFERROR(SUMIFS('caseload data'!F:F,'caseload data'!$C:$C,'divisional &amp; regional caseload%'!$T$99,'caseload data'!$D:$D,"SPO")/SUMIF('caseload data'!$C:$C,'divisional &amp; regional caseload%'!$T$99,'caseload data'!F:F),"")</f>
        <v/>
      </c>
      <c r="W104" s="181" t="str">
        <f>IFERROR(SUMIFS('caseload data'!G:G,'caseload data'!$C:$C,'divisional &amp; regional caseload%'!$T$99,'caseload data'!$D:$D,"SPO")/SUMIF('caseload data'!$C:$C,'divisional &amp; regional caseload%'!$T$99,'caseload data'!G:G),"")</f>
        <v/>
      </c>
      <c r="X104" s="181" t="str">
        <f>IFERROR(SUMIFS('caseload data'!H:H,'caseload data'!$C:$C,'divisional &amp; regional caseload%'!$T$99,'caseload data'!$D:$D,"SPO")/SUMIF('caseload data'!$C:$C,'divisional &amp; regional caseload%'!$T$99,'caseload data'!H:H),"")</f>
        <v/>
      </c>
      <c r="Y104" s="181" t="str">
        <f>IFERROR(SUMIFS('caseload data'!I:I,'caseload data'!$C:$C,'divisional &amp; regional caseload%'!$T$99,'caseload data'!$D:$D,"SPO")/SUMIF('caseload data'!$C:$C,'divisional &amp; regional caseload%'!$T$99,'caseload data'!I:I),"")</f>
        <v/>
      </c>
      <c r="Z104" s="181" t="str">
        <f>IFERROR(SUMIFS('caseload data'!J:J,'caseload data'!$C:$C,'divisional &amp; regional caseload%'!$T$99,'caseload data'!$D:$D,"SPO")/SUMIF('caseload data'!$C:$C,'divisional &amp; regional caseload%'!$T$99,'caseload data'!J:J),"")</f>
        <v/>
      </c>
      <c r="AA104" s="181" t="str">
        <f>IFERROR(SUMIFS('caseload data'!K:K,'caseload data'!$C:$C,'divisional &amp; regional caseload%'!$T$99,'caseload data'!$D:$D,"SPO")/SUMIF('caseload data'!$C:$C,'divisional &amp; regional caseload%'!$T$99,'caseload data'!K:K),"")</f>
        <v/>
      </c>
      <c r="AB104" s="181" t="str">
        <f>IFERROR(SUMIFS('caseload data'!L:L,'caseload data'!$C:$C,'divisional &amp; regional caseload%'!$T$99,'caseload data'!$D:$D,"SPO")/SUMIF('caseload data'!$C:$C,'divisional &amp; regional caseload%'!$T$99,'caseload data'!L:L),"")</f>
        <v/>
      </c>
      <c r="AC104" s="181" t="str">
        <f>IFERROR(SUMIFS('caseload data'!M:M,'caseload data'!$C:$C,'divisional &amp; regional caseload%'!$T$99,'caseload data'!$D:$D,"SPO")/SUMIF('caseload data'!$C:$C,'divisional &amp; regional caseload%'!$T$99,'caseload data'!M:M),"")</f>
        <v/>
      </c>
      <c r="AD104" s="181" t="str">
        <f>IFERROR(SUMIFS('caseload data'!N:N,'caseload data'!$C:$C,'divisional &amp; regional caseload%'!$T$99,'caseload data'!$D:$D,"SPO")/SUMIF('caseload data'!$C:$C,'divisional &amp; regional caseload%'!$T$99,'caseload data'!N:N),"")</f>
        <v/>
      </c>
      <c r="AE104" s="181" t="str">
        <f>IFERROR(SUMIFS('caseload data'!O:O,'caseload data'!$C:$C,'divisional &amp; regional caseload%'!$T$99,'caseload data'!$D:$D,"SPO")/SUMIF('caseload data'!$C:$C,'divisional &amp; regional caseload%'!$T$99,'caseload data'!O:O),"")</f>
        <v/>
      </c>
      <c r="AF104" s="181" t="str">
        <f>IFERROR(SUMIFS('caseload data'!P:P,'caseload data'!$C:$C,'divisional &amp; regional caseload%'!$T$99,'caseload data'!$D:$D,"SPO")/SUMIF('caseload data'!$C:$C,'divisional &amp; regional caseload%'!$T$99,'caseload data'!P:P),"")</f>
        <v/>
      </c>
      <c r="AG104" s="181" t="str">
        <f>IFERROR(SUMIFS('caseload data'!Q:Q,'caseload data'!$C:$C,'divisional &amp; regional caseload%'!$T$99,'caseload data'!$D:$D,"SPO")/SUMIF('caseload data'!$C:$C,'divisional &amp; regional caseload%'!$T$99,'caseload data'!Q:Q),"")</f>
        <v/>
      </c>
      <c r="AH104" s="181" t="str">
        <f>IFERROR(SUMIFS('caseload data'!R:R,'caseload data'!$C:$C,'divisional &amp; regional caseload%'!$T$99,'caseload data'!$D:$D,"SPO")/SUMIF('caseload data'!$C:$C,'divisional &amp; regional caseload%'!$T$99,'caseload data'!R:R),"")</f>
        <v/>
      </c>
      <c r="AI104" s="181" t="str">
        <f>IFERROR(SUMIFS('caseload data'!S:S,'caseload data'!$C:$C,'divisional &amp; regional caseload%'!$T$99,'caseload data'!$D:$D,"SPO")/SUMIF('caseload data'!$C:$C,'divisional &amp; regional caseload%'!$T$99,'caseload data'!S:S),"")</f>
        <v/>
      </c>
      <c r="AJ104" s="181" t="str">
        <f>IFERROR(SUMIFS('caseload data'!T:T,'caseload data'!$C:$C,'divisional &amp; regional caseload%'!$T$99,'caseload data'!$D:$D,"SPO")/SUMIF('caseload data'!$C:$C,'divisional &amp; regional caseload%'!$T$99,'caseload data'!T:T),"")</f>
        <v/>
      </c>
    </row>
  </sheetData>
  <mergeCells count="58">
    <mergeCell ref="U92:AG92"/>
    <mergeCell ref="AH92:AJ92"/>
    <mergeCell ref="U99:AG99"/>
    <mergeCell ref="AH99:AJ99"/>
    <mergeCell ref="C85:O85"/>
    <mergeCell ref="P85:R85"/>
    <mergeCell ref="C92:O92"/>
    <mergeCell ref="P92:R92"/>
    <mergeCell ref="C99:O99"/>
    <mergeCell ref="P99:R99"/>
    <mergeCell ref="C78:O78"/>
    <mergeCell ref="P78:R78"/>
    <mergeCell ref="U78:AG78"/>
    <mergeCell ref="AH78:AJ78"/>
    <mergeCell ref="U85:AG85"/>
    <mergeCell ref="AH85:AJ85"/>
    <mergeCell ref="C64:O64"/>
    <mergeCell ref="P64:R64"/>
    <mergeCell ref="U64:AG64"/>
    <mergeCell ref="AH64:AJ64"/>
    <mergeCell ref="C71:O71"/>
    <mergeCell ref="P71:R71"/>
    <mergeCell ref="U71:AG71"/>
    <mergeCell ref="AH71:AJ71"/>
    <mergeCell ref="C8:O8"/>
    <mergeCell ref="P8:R8"/>
    <mergeCell ref="U8:AG8"/>
    <mergeCell ref="AH8:AJ8"/>
    <mergeCell ref="A1:AX1"/>
    <mergeCell ref="A2:AX2"/>
    <mergeCell ref="C15:O15"/>
    <mergeCell ref="P15:R15"/>
    <mergeCell ref="U15:AG15"/>
    <mergeCell ref="AH15:AJ15"/>
    <mergeCell ref="C22:O22"/>
    <mergeCell ref="P22:R22"/>
    <mergeCell ref="U22:AG22"/>
    <mergeCell ref="AH22:AJ22"/>
    <mergeCell ref="C29:O29"/>
    <mergeCell ref="P29:R29"/>
    <mergeCell ref="U29:AG29"/>
    <mergeCell ref="AH29:AJ29"/>
    <mergeCell ref="C36:O36"/>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s>
  <conditionalFormatting sqref="C11:C12">
    <cfRule type="cellIs" dxfId="4093" priority="1007" operator="equal">
      <formula>0</formula>
    </cfRule>
    <cfRule type="cellIs" dxfId="4092" priority="1008" operator="notEqual">
      <formula>0</formula>
    </cfRule>
  </conditionalFormatting>
  <conditionalFormatting sqref="C10">
    <cfRule type="cellIs" dxfId="4091" priority="1006" operator="equal">
      <formula>1</formula>
    </cfRule>
  </conditionalFormatting>
  <conditionalFormatting sqref="D11:D12">
    <cfRule type="cellIs" dxfId="4090" priority="1004" operator="equal">
      <formula>0</formula>
    </cfRule>
    <cfRule type="cellIs" dxfId="4089" priority="1005" operator="notEqual">
      <formula>0</formula>
    </cfRule>
  </conditionalFormatting>
  <conditionalFormatting sqref="D10">
    <cfRule type="cellIs" dxfId="4088" priority="1003" operator="equal">
      <formula>1</formula>
    </cfRule>
  </conditionalFormatting>
  <conditionalFormatting sqref="E11:E12">
    <cfRule type="cellIs" dxfId="4087" priority="1001" operator="equal">
      <formula>0</formula>
    </cfRule>
    <cfRule type="cellIs" dxfId="4086" priority="1002" operator="notEqual">
      <formula>0</formula>
    </cfRule>
  </conditionalFormatting>
  <conditionalFormatting sqref="E10">
    <cfRule type="cellIs" dxfId="4085" priority="1000" operator="equal">
      <formula>1</formula>
    </cfRule>
  </conditionalFormatting>
  <conditionalFormatting sqref="F11:F12">
    <cfRule type="cellIs" dxfId="4084" priority="998" operator="equal">
      <formula>0</formula>
    </cfRule>
    <cfRule type="cellIs" dxfId="4083" priority="999" operator="notEqual">
      <formula>0</formula>
    </cfRule>
  </conditionalFormatting>
  <conditionalFormatting sqref="F10">
    <cfRule type="cellIs" dxfId="4082" priority="997" operator="equal">
      <formula>1</formula>
    </cfRule>
  </conditionalFormatting>
  <conditionalFormatting sqref="G11:G12">
    <cfRule type="cellIs" dxfId="4081" priority="995" operator="equal">
      <formula>0</formula>
    </cfRule>
    <cfRule type="cellIs" dxfId="4080" priority="996" operator="notEqual">
      <formula>0</formula>
    </cfRule>
  </conditionalFormatting>
  <conditionalFormatting sqref="H11:H12">
    <cfRule type="cellIs" dxfId="4079" priority="993" operator="equal">
      <formula>0</formula>
    </cfRule>
    <cfRule type="cellIs" dxfId="4078" priority="994" operator="notEqual">
      <formula>0</formula>
    </cfRule>
  </conditionalFormatting>
  <conditionalFormatting sqref="I11:I12">
    <cfRule type="cellIs" dxfId="4077" priority="991" operator="equal">
      <formula>0</formula>
    </cfRule>
    <cfRule type="cellIs" dxfId="4076" priority="992" operator="notEqual">
      <formula>0</formula>
    </cfRule>
  </conditionalFormatting>
  <conditionalFormatting sqref="J11:J12">
    <cfRule type="cellIs" dxfId="4075" priority="989" operator="equal">
      <formula>0</formula>
    </cfRule>
    <cfRule type="cellIs" dxfId="4074" priority="990" operator="notEqual">
      <formula>0</formula>
    </cfRule>
  </conditionalFormatting>
  <conditionalFormatting sqref="O10">
    <cfRule type="cellIs" dxfId="4073" priority="987" operator="equal">
      <formula>0</formula>
    </cfRule>
    <cfRule type="cellIs" dxfId="4072" priority="988" operator="notEqual">
      <formula>0</formula>
    </cfRule>
  </conditionalFormatting>
  <conditionalFormatting sqref="O13">
    <cfRule type="cellIs" dxfId="4071" priority="985" operator="equal">
      <formula>0</formula>
    </cfRule>
    <cfRule type="cellIs" dxfId="4070" priority="986" operator="notEqual">
      <formula>0</formula>
    </cfRule>
  </conditionalFormatting>
  <conditionalFormatting sqref="P10">
    <cfRule type="cellIs" dxfId="4069" priority="983" operator="equal">
      <formula>0</formula>
    </cfRule>
    <cfRule type="cellIs" dxfId="4068" priority="984" operator="notEqual">
      <formula>0</formula>
    </cfRule>
  </conditionalFormatting>
  <conditionalFormatting sqref="P13">
    <cfRule type="cellIs" dxfId="4067" priority="981" operator="equal">
      <formula>0</formula>
    </cfRule>
    <cfRule type="cellIs" dxfId="4066" priority="982" operator="notEqual">
      <formula>0</formula>
    </cfRule>
  </conditionalFormatting>
  <conditionalFormatting sqref="Q10">
    <cfRule type="cellIs" dxfId="4065" priority="979" operator="equal">
      <formula>0</formula>
    </cfRule>
    <cfRule type="cellIs" dxfId="4064" priority="980" operator="notEqual">
      <formula>0</formula>
    </cfRule>
  </conditionalFormatting>
  <conditionalFormatting sqref="Q13">
    <cfRule type="cellIs" dxfId="4063" priority="977" operator="equal">
      <formula>0</formula>
    </cfRule>
    <cfRule type="cellIs" dxfId="4062" priority="978" operator="notEqual">
      <formula>0</formula>
    </cfRule>
  </conditionalFormatting>
  <conditionalFormatting sqref="R10">
    <cfRule type="cellIs" dxfId="4061" priority="975" operator="equal">
      <formula>0</formula>
    </cfRule>
    <cfRule type="cellIs" dxfId="4060" priority="976" operator="notEqual">
      <formula>0</formula>
    </cfRule>
  </conditionalFormatting>
  <conditionalFormatting sqref="R13">
    <cfRule type="cellIs" dxfId="4059" priority="973" operator="equal">
      <formula>0</formula>
    </cfRule>
    <cfRule type="cellIs" dxfId="4058" priority="974" operator="notEqual">
      <formula>0</formula>
    </cfRule>
  </conditionalFormatting>
  <conditionalFormatting sqref="C18:C19">
    <cfRule type="cellIs" dxfId="4057" priority="971" operator="equal">
      <formula>0</formula>
    </cfRule>
    <cfRule type="cellIs" dxfId="4056" priority="972" operator="notEqual">
      <formula>0</formula>
    </cfRule>
  </conditionalFormatting>
  <conditionalFormatting sqref="C17">
    <cfRule type="cellIs" dxfId="4055" priority="970" operator="equal">
      <formula>1</formula>
    </cfRule>
  </conditionalFormatting>
  <conditionalFormatting sqref="D18:D19">
    <cfRule type="cellIs" dxfId="4054" priority="968" operator="equal">
      <formula>0</formula>
    </cfRule>
    <cfRule type="cellIs" dxfId="4053" priority="969" operator="notEqual">
      <formula>0</formula>
    </cfRule>
  </conditionalFormatting>
  <conditionalFormatting sqref="D17">
    <cfRule type="cellIs" dxfId="4052" priority="967" operator="equal">
      <formula>1</formula>
    </cfRule>
  </conditionalFormatting>
  <conditionalFormatting sqref="E18:E19">
    <cfRule type="cellIs" dxfId="4051" priority="965" operator="equal">
      <formula>0</formula>
    </cfRule>
    <cfRule type="cellIs" dxfId="4050" priority="966" operator="notEqual">
      <formula>0</formula>
    </cfRule>
  </conditionalFormatting>
  <conditionalFormatting sqref="E17">
    <cfRule type="cellIs" dxfId="4049" priority="964" operator="equal">
      <formula>1</formula>
    </cfRule>
  </conditionalFormatting>
  <conditionalFormatting sqref="F18:F19">
    <cfRule type="cellIs" dxfId="4048" priority="962" operator="equal">
      <formula>0</formula>
    </cfRule>
    <cfRule type="cellIs" dxfId="4047" priority="963" operator="notEqual">
      <formula>0</formula>
    </cfRule>
  </conditionalFormatting>
  <conditionalFormatting sqref="F17">
    <cfRule type="cellIs" dxfId="4046" priority="961" operator="equal">
      <formula>1</formula>
    </cfRule>
  </conditionalFormatting>
  <conditionalFormatting sqref="G18:G19">
    <cfRule type="cellIs" dxfId="4045" priority="959" operator="equal">
      <formula>0</formula>
    </cfRule>
    <cfRule type="cellIs" dxfId="4044" priority="960" operator="notEqual">
      <formula>0</formula>
    </cfRule>
  </conditionalFormatting>
  <conditionalFormatting sqref="H18:H19">
    <cfRule type="cellIs" dxfId="4043" priority="957" operator="equal">
      <formula>0</formula>
    </cfRule>
    <cfRule type="cellIs" dxfId="4042" priority="958" operator="notEqual">
      <formula>0</formula>
    </cfRule>
  </conditionalFormatting>
  <conditionalFormatting sqref="I18:I19">
    <cfRule type="cellIs" dxfId="4041" priority="955" operator="equal">
      <formula>0</formula>
    </cfRule>
    <cfRule type="cellIs" dxfId="4040" priority="956" operator="notEqual">
      <formula>0</formula>
    </cfRule>
  </conditionalFormatting>
  <conditionalFormatting sqref="J18:J19">
    <cfRule type="cellIs" dxfId="4039" priority="953" operator="equal">
      <formula>0</formula>
    </cfRule>
    <cfRule type="cellIs" dxfId="4038" priority="954" operator="notEqual">
      <formula>0</formula>
    </cfRule>
  </conditionalFormatting>
  <conditionalFormatting sqref="O17">
    <cfRule type="cellIs" dxfId="4037" priority="951" operator="equal">
      <formula>0</formula>
    </cfRule>
    <cfRule type="cellIs" dxfId="4036" priority="952" operator="notEqual">
      <formula>0</formula>
    </cfRule>
  </conditionalFormatting>
  <conditionalFormatting sqref="O20">
    <cfRule type="cellIs" dxfId="4035" priority="949" operator="equal">
      <formula>0</formula>
    </cfRule>
    <cfRule type="cellIs" dxfId="4034" priority="950" operator="notEqual">
      <formula>0</formula>
    </cfRule>
  </conditionalFormatting>
  <conditionalFormatting sqref="P17">
    <cfRule type="cellIs" dxfId="4033" priority="947" operator="equal">
      <formula>0</formula>
    </cfRule>
    <cfRule type="cellIs" dxfId="4032" priority="948" operator="notEqual">
      <formula>0</formula>
    </cfRule>
  </conditionalFormatting>
  <conditionalFormatting sqref="P20">
    <cfRule type="cellIs" dxfId="4031" priority="945" operator="equal">
      <formula>0</formula>
    </cfRule>
    <cfRule type="cellIs" dxfId="4030" priority="946" operator="notEqual">
      <formula>0</formula>
    </cfRule>
  </conditionalFormatting>
  <conditionalFormatting sqref="Q17">
    <cfRule type="cellIs" dxfId="4029" priority="943" operator="equal">
      <formula>0</formula>
    </cfRule>
    <cfRule type="cellIs" dxfId="4028" priority="944" operator="notEqual">
      <formula>0</formula>
    </cfRule>
  </conditionalFormatting>
  <conditionalFormatting sqref="Q20">
    <cfRule type="cellIs" dxfId="4027" priority="941" operator="equal">
      <formula>0</formula>
    </cfRule>
    <cfRule type="cellIs" dxfId="4026" priority="942" operator="notEqual">
      <formula>0</formula>
    </cfRule>
  </conditionalFormatting>
  <conditionalFormatting sqref="R17">
    <cfRule type="cellIs" dxfId="4025" priority="939" operator="equal">
      <formula>0</formula>
    </cfRule>
    <cfRule type="cellIs" dxfId="4024" priority="940" operator="notEqual">
      <formula>0</formula>
    </cfRule>
  </conditionalFormatting>
  <conditionalFormatting sqref="R20">
    <cfRule type="cellIs" dxfId="4023" priority="937" operator="equal">
      <formula>0</formula>
    </cfRule>
    <cfRule type="cellIs" dxfId="4022" priority="938" operator="notEqual">
      <formula>0</formula>
    </cfRule>
  </conditionalFormatting>
  <conditionalFormatting sqref="C25:C26">
    <cfRule type="cellIs" dxfId="4021" priority="935" operator="equal">
      <formula>0</formula>
    </cfRule>
    <cfRule type="cellIs" dxfId="4020" priority="936" operator="notEqual">
      <formula>0</formula>
    </cfRule>
  </conditionalFormatting>
  <conditionalFormatting sqref="C24">
    <cfRule type="cellIs" dxfId="4019" priority="934" operator="equal">
      <formula>1</formula>
    </cfRule>
  </conditionalFormatting>
  <conditionalFormatting sqref="D25:D26">
    <cfRule type="cellIs" dxfId="4018" priority="932" operator="equal">
      <formula>0</formula>
    </cfRule>
    <cfRule type="cellIs" dxfId="4017" priority="933" operator="notEqual">
      <formula>0</formula>
    </cfRule>
  </conditionalFormatting>
  <conditionalFormatting sqref="D24">
    <cfRule type="cellIs" dxfId="4016" priority="931" operator="equal">
      <formula>1</formula>
    </cfRule>
  </conditionalFormatting>
  <conditionalFormatting sqref="E25:E26">
    <cfRule type="cellIs" dxfId="4015" priority="929" operator="equal">
      <formula>0</formula>
    </cfRule>
    <cfRule type="cellIs" dxfId="4014" priority="930" operator="notEqual">
      <formula>0</formula>
    </cfRule>
  </conditionalFormatting>
  <conditionalFormatting sqref="E24">
    <cfRule type="cellIs" dxfId="4013" priority="928" operator="equal">
      <formula>1</formula>
    </cfRule>
  </conditionalFormatting>
  <conditionalFormatting sqref="F25:F26">
    <cfRule type="cellIs" dxfId="4012" priority="926" operator="equal">
      <formula>0</formula>
    </cfRule>
    <cfRule type="cellIs" dxfId="4011" priority="927" operator="notEqual">
      <formula>0</formula>
    </cfRule>
  </conditionalFormatting>
  <conditionalFormatting sqref="F24">
    <cfRule type="cellIs" dxfId="4010" priority="925" operator="equal">
      <formula>1</formula>
    </cfRule>
  </conditionalFormatting>
  <conditionalFormatting sqref="G25:G26">
    <cfRule type="cellIs" dxfId="4009" priority="923" operator="equal">
      <formula>0</formula>
    </cfRule>
    <cfRule type="cellIs" dxfId="4008" priority="924" operator="notEqual">
      <formula>0</formula>
    </cfRule>
  </conditionalFormatting>
  <conditionalFormatting sqref="H25:H26">
    <cfRule type="cellIs" dxfId="4007" priority="921" operator="equal">
      <formula>0</formula>
    </cfRule>
    <cfRule type="cellIs" dxfId="4006" priority="922" operator="notEqual">
      <formula>0</formula>
    </cfRule>
  </conditionalFormatting>
  <conditionalFormatting sqref="I25:I26">
    <cfRule type="cellIs" dxfId="4005" priority="919" operator="equal">
      <formula>0</formula>
    </cfRule>
    <cfRule type="cellIs" dxfId="4004" priority="920" operator="notEqual">
      <formula>0</formula>
    </cfRule>
  </conditionalFormatting>
  <conditionalFormatting sqref="J25:J26">
    <cfRule type="cellIs" dxfId="4003" priority="917" operator="equal">
      <formula>0</formula>
    </cfRule>
    <cfRule type="cellIs" dxfId="4002" priority="918" operator="notEqual">
      <formula>0</formula>
    </cfRule>
  </conditionalFormatting>
  <conditionalFormatting sqref="O24">
    <cfRule type="cellIs" dxfId="4001" priority="915" operator="equal">
      <formula>0</formula>
    </cfRule>
    <cfRule type="cellIs" dxfId="4000" priority="916" operator="notEqual">
      <formula>0</formula>
    </cfRule>
  </conditionalFormatting>
  <conditionalFormatting sqref="O27">
    <cfRule type="cellIs" dxfId="3999" priority="913" operator="equal">
      <formula>0</formula>
    </cfRule>
    <cfRule type="cellIs" dxfId="3998" priority="914" operator="notEqual">
      <formula>0</formula>
    </cfRule>
  </conditionalFormatting>
  <conditionalFormatting sqref="P24">
    <cfRule type="cellIs" dxfId="3997" priority="911" operator="equal">
      <formula>0</formula>
    </cfRule>
    <cfRule type="cellIs" dxfId="3996" priority="912" operator="notEqual">
      <formula>0</formula>
    </cfRule>
  </conditionalFormatting>
  <conditionalFormatting sqref="P27">
    <cfRule type="cellIs" dxfId="3995" priority="909" operator="equal">
      <formula>0</formula>
    </cfRule>
    <cfRule type="cellIs" dxfId="3994" priority="910" operator="notEqual">
      <formula>0</formula>
    </cfRule>
  </conditionalFormatting>
  <conditionalFormatting sqref="Q24">
    <cfRule type="cellIs" dxfId="3993" priority="907" operator="equal">
      <formula>0</formula>
    </cfRule>
    <cfRule type="cellIs" dxfId="3992" priority="908" operator="notEqual">
      <formula>0</formula>
    </cfRule>
  </conditionalFormatting>
  <conditionalFormatting sqref="Q27">
    <cfRule type="cellIs" dxfId="3991" priority="905" operator="equal">
      <formula>0</formula>
    </cfRule>
    <cfRule type="cellIs" dxfId="3990" priority="906" operator="notEqual">
      <formula>0</formula>
    </cfRule>
  </conditionalFormatting>
  <conditionalFormatting sqref="R24">
    <cfRule type="cellIs" dxfId="3989" priority="903" operator="equal">
      <formula>0</formula>
    </cfRule>
    <cfRule type="cellIs" dxfId="3988" priority="904" operator="notEqual">
      <formula>0</formula>
    </cfRule>
  </conditionalFormatting>
  <conditionalFormatting sqref="R27">
    <cfRule type="cellIs" dxfId="3987" priority="901" operator="equal">
      <formula>0</formula>
    </cfRule>
    <cfRule type="cellIs" dxfId="3986" priority="902" operator="notEqual">
      <formula>0</formula>
    </cfRule>
  </conditionalFormatting>
  <conditionalFormatting sqref="C32:C33">
    <cfRule type="cellIs" dxfId="3985" priority="899" operator="equal">
      <formula>0</formula>
    </cfRule>
    <cfRule type="cellIs" dxfId="3984" priority="900" operator="notEqual">
      <formula>0</formula>
    </cfRule>
  </conditionalFormatting>
  <conditionalFormatting sqref="C31">
    <cfRule type="cellIs" dxfId="3983" priority="898" operator="equal">
      <formula>1</formula>
    </cfRule>
  </conditionalFormatting>
  <conditionalFormatting sqref="D32:D33">
    <cfRule type="cellIs" dxfId="3982" priority="896" operator="equal">
      <formula>0</formula>
    </cfRule>
    <cfRule type="cellIs" dxfId="3981" priority="897" operator="notEqual">
      <formula>0</formula>
    </cfRule>
  </conditionalFormatting>
  <conditionalFormatting sqref="D31">
    <cfRule type="cellIs" dxfId="3980" priority="895" operator="equal">
      <formula>1</formula>
    </cfRule>
  </conditionalFormatting>
  <conditionalFormatting sqref="E32:E33">
    <cfRule type="cellIs" dxfId="3979" priority="893" operator="equal">
      <formula>0</formula>
    </cfRule>
    <cfRule type="cellIs" dxfId="3978" priority="894" operator="notEqual">
      <formula>0</formula>
    </cfRule>
  </conditionalFormatting>
  <conditionalFormatting sqref="E31">
    <cfRule type="cellIs" dxfId="3977" priority="892" operator="equal">
      <formula>1</formula>
    </cfRule>
  </conditionalFormatting>
  <conditionalFormatting sqref="F32:F33">
    <cfRule type="cellIs" dxfId="3976" priority="890" operator="equal">
      <formula>0</formula>
    </cfRule>
    <cfRule type="cellIs" dxfId="3975" priority="891" operator="notEqual">
      <formula>0</formula>
    </cfRule>
  </conditionalFormatting>
  <conditionalFormatting sqref="F31">
    <cfRule type="cellIs" dxfId="3974" priority="889" operator="equal">
      <formula>1</formula>
    </cfRule>
  </conditionalFormatting>
  <conditionalFormatting sqref="G32:G33">
    <cfRule type="cellIs" dxfId="3973" priority="887" operator="equal">
      <formula>0</formula>
    </cfRule>
    <cfRule type="cellIs" dxfId="3972" priority="888" operator="notEqual">
      <formula>0</formula>
    </cfRule>
  </conditionalFormatting>
  <conditionalFormatting sqref="H32:H33">
    <cfRule type="cellIs" dxfId="3971" priority="885" operator="equal">
      <formula>0</formula>
    </cfRule>
    <cfRule type="cellIs" dxfId="3970" priority="886" operator="notEqual">
      <formula>0</formula>
    </cfRule>
  </conditionalFormatting>
  <conditionalFormatting sqref="I32:I33">
    <cfRule type="cellIs" dxfId="3969" priority="883" operator="equal">
      <formula>0</formula>
    </cfRule>
    <cfRule type="cellIs" dxfId="3968" priority="884" operator="notEqual">
      <formula>0</formula>
    </cfRule>
  </conditionalFormatting>
  <conditionalFormatting sqref="J32:J33">
    <cfRule type="cellIs" dxfId="3967" priority="881" operator="equal">
      <formula>0</formula>
    </cfRule>
    <cfRule type="cellIs" dxfId="3966" priority="882" operator="notEqual">
      <formula>0</formula>
    </cfRule>
  </conditionalFormatting>
  <conditionalFormatting sqref="O31">
    <cfRule type="cellIs" dxfId="3965" priority="879" operator="equal">
      <formula>0</formula>
    </cfRule>
    <cfRule type="cellIs" dxfId="3964" priority="880" operator="notEqual">
      <formula>0</formula>
    </cfRule>
  </conditionalFormatting>
  <conditionalFormatting sqref="O34">
    <cfRule type="cellIs" dxfId="3963" priority="877" operator="equal">
      <formula>0</formula>
    </cfRule>
    <cfRule type="cellIs" dxfId="3962" priority="878" operator="notEqual">
      <formula>0</formula>
    </cfRule>
  </conditionalFormatting>
  <conditionalFormatting sqref="P31">
    <cfRule type="cellIs" dxfId="3961" priority="875" operator="equal">
      <formula>0</formula>
    </cfRule>
    <cfRule type="cellIs" dxfId="3960" priority="876" operator="notEqual">
      <formula>0</formula>
    </cfRule>
  </conditionalFormatting>
  <conditionalFormatting sqref="P34">
    <cfRule type="cellIs" dxfId="3959" priority="873" operator="equal">
      <formula>0</formula>
    </cfRule>
    <cfRule type="cellIs" dxfId="3958" priority="874" operator="notEqual">
      <formula>0</formula>
    </cfRule>
  </conditionalFormatting>
  <conditionalFormatting sqref="Q31">
    <cfRule type="cellIs" dxfId="3957" priority="871" operator="equal">
      <formula>0</formula>
    </cfRule>
    <cfRule type="cellIs" dxfId="3956" priority="872" operator="notEqual">
      <formula>0</formula>
    </cfRule>
  </conditionalFormatting>
  <conditionalFormatting sqref="Q34">
    <cfRule type="cellIs" dxfId="3955" priority="869" operator="equal">
      <formula>0</formula>
    </cfRule>
    <cfRule type="cellIs" dxfId="3954" priority="870" operator="notEqual">
      <formula>0</formula>
    </cfRule>
  </conditionalFormatting>
  <conditionalFormatting sqref="R31">
    <cfRule type="cellIs" dxfId="3953" priority="867" operator="equal">
      <formula>0</formula>
    </cfRule>
    <cfRule type="cellIs" dxfId="3952" priority="868" operator="notEqual">
      <formula>0</formula>
    </cfRule>
  </conditionalFormatting>
  <conditionalFormatting sqref="R34">
    <cfRule type="cellIs" dxfId="3951" priority="865" operator="equal">
      <formula>0</formula>
    </cfRule>
    <cfRule type="cellIs" dxfId="3950" priority="866" operator="notEqual">
      <formula>0</formula>
    </cfRule>
  </conditionalFormatting>
  <conditionalFormatting sqref="C39:C40">
    <cfRule type="cellIs" dxfId="3949" priority="863" operator="equal">
      <formula>0</formula>
    </cfRule>
    <cfRule type="cellIs" dxfId="3948" priority="864" operator="notEqual">
      <formula>0</formula>
    </cfRule>
  </conditionalFormatting>
  <conditionalFormatting sqref="C38">
    <cfRule type="cellIs" dxfId="3947" priority="862" operator="equal">
      <formula>1</formula>
    </cfRule>
  </conditionalFormatting>
  <conditionalFormatting sqref="D39:D40">
    <cfRule type="cellIs" dxfId="3946" priority="860" operator="equal">
      <formula>0</formula>
    </cfRule>
    <cfRule type="cellIs" dxfId="3945" priority="861" operator="notEqual">
      <formula>0</formula>
    </cfRule>
  </conditionalFormatting>
  <conditionalFormatting sqref="D38">
    <cfRule type="cellIs" dxfId="3944" priority="859" operator="equal">
      <formula>1</formula>
    </cfRule>
  </conditionalFormatting>
  <conditionalFormatting sqref="E39:E40">
    <cfRule type="cellIs" dxfId="3943" priority="857" operator="equal">
      <formula>0</formula>
    </cfRule>
    <cfRule type="cellIs" dxfId="3942" priority="858" operator="notEqual">
      <formula>0</formula>
    </cfRule>
  </conditionalFormatting>
  <conditionalFormatting sqref="E38">
    <cfRule type="cellIs" dxfId="3941" priority="856" operator="equal">
      <formula>1</formula>
    </cfRule>
  </conditionalFormatting>
  <conditionalFormatting sqref="F39:F40">
    <cfRule type="cellIs" dxfId="3940" priority="854" operator="equal">
      <formula>0</formula>
    </cfRule>
    <cfRule type="cellIs" dxfId="3939" priority="855" operator="notEqual">
      <formula>0</formula>
    </cfRule>
  </conditionalFormatting>
  <conditionalFormatting sqref="F38">
    <cfRule type="cellIs" dxfId="3938" priority="853" operator="equal">
      <formula>1</formula>
    </cfRule>
  </conditionalFormatting>
  <conditionalFormatting sqref="G39:G40">
    <cfRule type="cellIs" dxfId="3937" priority="851" operator="equal">
      <formula>0</formula>
    </cfRule>
    <cfRule type="cellIs" dxfId="3936" priority="852" operator="notEqual">
      <formula>0</formula>
    </cfRule>
  </conditionalFormatting>
  <conditionalFormatting sqref="H39:H40">
    <cfRule type="cellIs" dxfId="3935" priority="849" operator="equal">
      <formula>0</formula>
    </cfRule>
    <cfRule type="cellIs" dxfId="3934" priority="850" operator="notEqual">
      <formula>0</formula>
    </cfRule>
  </conditionalFormatting>
  <conditionalFormatting sqref="I39:I40">
    <cfRule type="cellIs" dxfId="3933" priority="847" operator="equal">
      <formula>0</formula>
    </cfRule>
    <cfRule type="cellIs" dxfId="3932" priority="848" operator="notEqual">
      <formula>0</formula>
    </cfRule>
  </conditionalFormatting>
  <conditionalFormatting sqref="J39:J40">
    <cfRule type="cellIs" dxfId="3931" priority="845" operator="equal">
      <formula>0</formula>
    </cfRule>
    <cfRule type="cellIs" dxfId="3930" priority="846" operator="notEqual">
      <formula>0</formula>
    </cfRule>
  </conditionalFormatting>
  <conditionalFormatting sqref="O38">
    <cfRule type="cellIs" dxfId="3929" priority="843" operator="equal">
      <formula>0</formula>
    </cfRule>
    <cfRule type="cellIs" dxfId="3928" priority="844" operator="notEqual">
      <formula>0</formula>
    </cfRule>
  </conditionalFormatting>
  <conditionalFormatting sqref="O41">
    <cfRule type="cellIs" dxfId="3927" priority="841" operator="equal">
      <formula>0</formula>
    </cfRule>
    <cfRule type="cellIs" dxfId="3926" priority="842" operator="notEqual">
      <formula>0</formula>
    </cfRule>
  </conditionalFormatting>
  <conditionalFormatting sqref="P38">
    <cfRule type="cellIs" dxfId="3925" priority="839" operator="equal">
      <formula>0</formula>
    </cfRule>
    <cfRule type="cellIs" dxfId="3924" priority="840" operator="notEqual">
      <formula>0</formula>
    </cfRule>
  </conditionalFormatting>
  <conditionalFormatting sqref="P41">
    <cfRule type="cellIs" dxfId="3923" priority="837" operator="equal">
      <formula>0</formula>
    </cfRule>
    <cfRule type="cellIs" dxfId="3922" priority="838" operator="notEqual">
      <formula>0</formula>
    </cfRule>
  </conditionalFormatting>
  <conditionalFormatting sqref="Q38">
    <cfRule type="cellIs" dxfId="3921" priority="835" operator="equal">
      <formula>0</formula>
    </cfRule>
    <cfRule type="cellIs" dxfId="3920" priority="836" operator="notEqual">
      <formula>0</formula>
    </cfRule>
  </conditionalFormatting>
  <conditionalFormatting sqref="Q41">
    <cfRule type="cellIs" dxfId="3919" priority="833" operator="equal">
      <formula>0</formula>
    </cfRule>
    <cfRule type="cellIs" dxfId="3918" priority="834" operator="notEqual">
      <formula>0</formula>
    </cfRule>
  </conditionalFormatting>
  <conditionalFormatting sqref="R38">
    <cfRule type="cellIs" dxfId="3917" priority="831" operator="equal">
      <formula>0</formula>
    </cfRule>
    <cfRule type="cellIs" dxfId="3916" priority="832" operator="notEqual">
      <formula>0</formula>
    </cfRule>
  </conditionalFormatting>
  <conditionalFormatting sqref="R41">
    <cfRule type="cellIs" dxfId="3915" priority="829" operator="equal">
      <formula>0</formula>
    </cfRule>
    <cfRule type="cellIs" dxfId="3914" priority="830" operator="notEqual">
      <formula>0</formula>
    </cfRule>
  </conditionalFormatting>
  <conditionalFormatting sqref="C46:C47">
    <cfRule type="cellIs" dxfId="3913" priority="827" operator="equal">
      <formula>0</formula>
    </cfRule>
    <cfRule type="cellIs" dxfId="3912" priority="828" operator="notEqual">
      <formula>0</formula>
    </cfRule>
  </conditionalFormatting>
  <conditionalFormatting sqref="C45">
    <cfRule type="cellIs" dxfId="3911" priority="826" operator="equal">
      <formula>1</formula>
    </cfRule>
  </conditionalFormatting>
  <conditionalFormatting sqref="D46:D47">
    <cfRule type="cellIs" dxfId="3910" priority="824" operator="equal">
      <formula>0</formula>
    </cfRule>
    <cfRule type="cellIs" dxfId="3909" priority="825" operator="notEqual">
      <formula>0</formula>
    </cfRule>
  </conditionalFormatting>
  <conditionalFormatting sqref="D45">
    <cfRule type="cellIs" dxfId="3908" priority="823" operator="equal">
      <formula>1</formula>
    </cfRule>
  </conditionalFormatting>
  <conditionalFormatting sqref="E46:E47">
    <cfRule type="cellIs" dxfId="3907" priority="821" operator="equal">
      <formula>0</formula>
    </cfRule>
    <cfRule type="cellIs" dxfId="3906" priority="822" operator="notEqual">
      <formula>0</formula>
    </cfRule>
  </conditionalFormatting>
  <conditionalFormatting sqref="E45">
    <cfRule type="cellIs" dxfId="3905" priority="820" operator="equal">
      <formula>1</formula>
    </cfRule>
  </conditionalFormatting>
  <conditionalFormatting sqref="F46:F47">
    <cfRule type="cellIs" dxfId="3904" priority="818" operator="equal">
      <formula>0</formula>
    </cfRule>
    <cfRule type="cellIs" dxfId="3903" priority="819" operator="notEqual">
      <formula>0</formula>
    </cfRule>
  </conditionalFormatting>
  <conditionalFormatting sqref="F45">
    <cfRule type="cellIs" dxfId="3902" priority="817" operator="equal">
      <formula>1</formula>
    </cfRule>
  </conditionalFormatting>
  <conditionalFormatting sqref="G46:G47">
    <cfRule type="cellIs" dxfId="3901" priority="815" operator="equal">
      <formula>0</formula>
    </cfRule>
    <cfRule type="cellIs" dxfId="3900" priority="816" operator="notEqual">
      <formula>0</formula>
    </cfRule>
  </conditionalFormatting>
  <conditionalFormatting sqref="H46:H47">
    <cfRule type="cellIs" dxfId="3899" priority="813" operator="equal">
      <formula>0</formula>
    </cfRule>
    <cfRule type="cellIs" dxfId="3898" priority="814" operator="notEqual">
      <formula>0</formula>
    </cfRule>
  </conditionalFormatting>
  <conditionalFormatting sqref="I46:I47">
    <cfRule type="cellIs" dxfId="3897" priority="811" operator="equal">
      <formula>0</formula>
    </cfRule>
    <cfRule type="cellIs" dxfId="3896" priority="812" operator="notEqual">
      <formula>0</formula>
    </cfRule>
  </conditionalFormatting>
  <conditionalFormatting sqref="J46:J47">
    <cfRule type="cellIs" dxfId="3895" priority="809" operator="equal">
      <formula>0</formula>
    </cfRule>
    <cfRule type="cellIs" dxfId="3894" priority="810" operator="notEqual">
      <formula>0</formula>
    </cfRule>
  </conditionalFormatting>
  <conditionalFormatting sqref="O45">
    <cfRule type="cellIs" dxfId="3893" priority="807" operator="equal">
      <formula>0</formula>
    </cfRule>
    <cfRule type="cellIs" dxfId="3892" priority="808" operator="notEqual">
      <formula>0</formula>
    </cfRule>
  </conditionalFormatting>
  <conditionalFormatting sqref="O48">
    <cfRule type="cellIs" dxfId="3891" priority="805" operator="equal">
      <formula>0</formula>
    </cfRule>
    <cfRule type="cellIs" dxfId="3890" priority="806" operator="notEqual">
      <formula>0</formula>
    </cfRule>
  </conditionalFormatting>
  <conditionalFormatting sqref="P45">
    <cfRule type="cellIs" dxfId="3889" priority="803" operator="equal">
      <formula>0</formula>
    </cfRule>
    <cfRule type="cellIs" dxfId="3888" priority="804" operator="notEqual">
      <formula>0</formula>
    </cfRule>
  </conditionalFormatting>
  <conditionalFormatting sqref="P48">
    <cfRule type="cellIs" dxfId="3887" priority="801" operator="equal">
      <formula>0</formula>
    </cfRule>
    <cfRule type="cellIs" dxfId="3886" priority="802" operator="notEqual">
      <formula>0</formula>
    </cfRule>
  </conditionalFormatting>
  <conditionalFormatting sqref="Q45">
    <cfRule type="cellIs" dxfId="3885" priority="799" operator="equal">
      <formula>0</formula>
    </cfRule>
    <cfRule type="cellIs" dxfId="3884" priority="800" operator="notEqual">
      <formula>0</formula>
    </cfRule>
  </conditionalFormatting>
  <conditionalFormatting sqref="Q48">
    <cfRule type="cellIs" dxfId="3883" priority="797" operator="equal">
      <formula>0</formula>
    </cfRule>
    <cfRule type="cellIs" dxfId="3882" priority="798" operator="notEqual">
      <formula>0</formula>
    </cfRule>
  </conditionalFormatting>
  <conditionalFormatting sqref="R45">
    <cfRule type="cellIs" dxfId="3881" priority="795" operator="equal">
      <formula>0</formula>
    </cfRule>
    <cfRule type="cellIs" dxfId="3880" priority="796" operator="notEqual">
      <formula>0</formula>
    </cfRule>
  </conditionalFormatting>
  <conditionalFormatting sqref="R48">
    <cfRule type="cellIs" dxfId="3879" priority="793" operator="equal">
      <formula>0</formula>
    </cfRule>
    <cfRule type="cellIs" dxfId="3878" priority="794" operator="notEqual">
      <formula>0</formula>
    </cfRule>
  </conditionalFormatting>
  <conditionalFormatting sqref="C53:C54">
    <cfRule type="cellIs" dxfId="3877" priority="791" operator="equal">
      <formula>0</formula>
    </cfRule>
    <cfRule type="cellIs" dxfId="3876" priority="792" operator="notEqual">
      <formula>0</formula>
    </cfRule>
  </conditionalFormatting>
  <conditionalFormatting sqref="C52">
    <cfRule type="cellIs" dxfId="3875" priority="790" operator="equal">
      <formula>1</formula>
    </cfRule>
  </conditionalFormatting>
  <conditionalFormatting sqref="D53:D54">
    <cfRule type="cellIs" dxfId="3874" priority="788" operator="equal">
      <formula>0</formula>
    </cfRule>
    <cfRule type="cellIs" dxfId="3873" priority="789" operator="notEqual">
      <formula>0</formula>
    </cfRule>
  </conditionalFormatting>
  <conditionalFormatting sqref="D52">
    <cfRule type="cellIs" dxfId="3872" priority="787" operator="equal">
      <formula>1</formula>
    </cfRule>
  </conditionalFormatting>
  <conditionalFormatting sqref="E53:E54">
    <cfRule type="cellIs" dxfId="3871" priority="785" operator="equal">
      <formula>0</formula>
    </cfRule>
    <cfRule type="cellIs" dxfId="3870" priority="786" operator="notEqual">
      <formula>0</formula>
    </cfRule>
  </conditionalFormatting>
  <conditionalFormatting sqref="E52">
    <cfRule type="cellIs" dxfId="3869" priority="784" operator="equal">
      <formula>1</formula>
    </cfRule>
  </conditionalFormatting>
  <conditionalFormatting sqref="F53:F54">
    <cfRule type="cellIs" dxfId="3868" priority="782" operator="equal">
      <formula>0</formula>
    </cfRule>
    <cfRule type="cellIs" dxfId="3867" priority="783" operator="notEqual">
      <formula>0</formula>
    </cfRule>
  </conditionalFormatting>
  <conditionalFormatting sqref="F52">
    <cfRule type="cellIs" dxfId="3866" priority="781" operator="equal">
      <formula>1</formula>
    </cfRule>
  </conditionalFormatting>
  <conditionalFormatting sqref="G53:G54">
    <cfRule type="cellIs" dxfId="3865" priority="779" operator="equal">
      <formula>0</formula>
    </cfRule>
    <cfRule type="cellIs" dxfId="3864" priority="780" operator="notEqual">
      <formula>0</formula>
    </cfRule>
  </conditionalFormatting>
  <conditionalFormatting sqref="H53:H54">
    <cfRule type="cellIs" dxfId="3863" priority="777" operator="equal">
      <formula>0</formula>
    </cfRule>
    <cfRule type="cellIs" dxfId="3862" priority="778" operator="notEqual">
      <formula>0</formula>
    </cfRule>
  </conditionalFormatting>
  <conditionalFormatting sqref="I53:I54">
    <cfRule type="cellIs" dxfId="3861" priority="775" operator="equal">
      <formula>0</formula>
    </cfRule>
    <cfRule type="cellIs" dxfId="3860" priority="776" operator="notEqual">
      <formula>0</formula>
    </cfRule>
  </conditionalFormatting>
  <conditionalFormatting sqref="J53:J54">
    <cfRule type="cellIs" dxfId="3859" priority="773" operator="equal">
      <formula>0</formula>
    </cfRule>
    <cfRule type="cellIs" dxfId="3858" priority="774" operator="notEqual">
      <formula>0</formula>
    </cfRule>
  </conditionalFormatting>
  <conditionalFormatting sqref="O52">
    <cfRule type="cellIs" dxfId="3857" priority="771" operator="equal">
      <formula>0</formula>
    </cfRule>
    <cfRule type="cellIs" dxfId="3856" priority="772" operator="notEqual">
      <formula>0</formula>
    </cfRule>
  </conditionalFormatting>
  <conditionalFormatting sqref="O55">
    <cfRule type="cellIs" dxfId="3855" priority="769" operator="equal">
      <formula>0</formula>
    </cfRule>
    <cfRule type="cellIs" dxfId="3854" priority="770" operator="notEqual">
      <formula>0</formula>
    </cfRule>
  </conditionalFormatting>
  <conditionalFormatting sqref="P52">
    <cfRule type="cellIs" dxfId="3853" priority="767" operator="equal">
      <formula>0</formula>
    </cfRule>
    <cfRule type="cellIs" dxfId="3852" priority="768" operator="notEqual">
      <formula>0</formula>
    </cfRule>
  </conditionalFormatting>
  <conditionalFormatting sqref="P55">
    <cfRule type="cellIs" dxfId="3851" priority="765" operator="equal">
      <formula>0</formula>
    </cfRule>
    <cfRule type="cellIs" dxfId="3850" priority="766" operator="notEqual">
      <formula>0</formula>
    </cfRule>
  </conditionalFormatting>
  <conditionalFormatting sqref="Q52">
    <cfRule type="cellIs" dxfId="3849" priority="763" operator="equal">
      <formula>0</formula>
    </cfRule>
    <cfRule type="cellIs" dxfId="3848" priority="764" operator="notEqual">
      <formula>0</formula>
    </cfRule>
  </conditionalFormatting>
  <conditionalFormatting sqref="Q55">
    <cfRule type="cellIs" dxfId="3847" priority="761" operator="equal">
      <formula>0</formula>
    </cfRule>
    <cfRule type="cellIs" dxfId="3846" priority="762" operator="notEqual">
      <formula>0</formula>
    </cfRule>
  </conditionalFormatting>
  <conditionalFormatting sqref="R52">
    <cfRule type="cellIs" dxfId="3845" priority="759" operator="equal">
      <formula>0</formula>
    </cfRule>
    <cfRule type="cellIs" dxfId="3844" priority="760" operator="notEqual">
      <formula>0</formula>
    </cfRule>
  </conditionalFormatting>
  <conditionalFormatting sqref="R55">
    <cfRule type="cellIs" dxfId="3843" priority="757" operator="equal">
      <formula>0</formula>
    </cfRule>
    <cfRule type="cellIs" dxfId="3842" priority="758" operator="notEqual">
      <formula>0</formula>
    </cfRule>
  </conditionalFormatting>
  <conditionalFormatting sqref="C60:C61">
    <cfRule type="cellIs" dxfId="3841" priority="755" operator="equal">
      <formula>0</formula>
    </cfRule>
    <cfRule type="cellIs" dxfId="3840" priority="756" operator="notEqual">
      <formula>0</formula>
    </cfRule>
  </conditionalFormatting>
  <conditionalFormatting sqref="C59">
    <cfRule type="cellIs" dxfId="3839" priority="754" operator="equal">
      <formula>1</formula>
    </cfRule>
  </conditionalFormatting>
  <conditionalFormatting sqref="D60:D61">
    <cfRule type="cellIs" dxfId="3838" priority="752" operator="equal">
      <formula>0</formula>
    </cfRule>
    <cfRule type="cellIs" dxfId="3837" priority="753" operator="notEqual">
      <formula>0</formula>
    </cfRule>
  </conditionalFormatting>
  <conditionalFormatting sqref="D59">
    <cfRule type="cellIs" dxfId="3836" priority="751" operator="equal">
      <formula>1</formula>
    </cfRule>
  </conditionalFormatting>
  <conditionalFormatting sqref="E60:E61">
    <cfRule type="cellIs" dxfId="3835" priority="749" operator="equal">
      <formula>0</formula>
    </cfRule>
    <cfRule type="cellIs" dxfId="3834" priority="750" operator="notEqual">
      <formula>0</formula>
    </cfRule>
  </conditionalFormatting>
  <conditionalFormatting sqref="E59">
    <cfRule type="cellIs" dxfId="3833" priority="748" operator="equal">
      <formula>1</formula>
    </cfRule>
  </conditionalFormatting>
  <conditionalFormatting sqref="F60:F61">
    <cfRule type="cellIs" dxfId="3832" priority="746" operator="equal">
      <formula>0</formula>
    </cfRule>
    <cfRule type="cellIs" dxfId="3831" priority="747" operator="notEqual">
      <formula>0</formula>
    </cfRule>
  </conditionalFormatting>
  <conditionalFormatting sqref="F59">
    <cfRule type="cellIs" dxfId="3830" priority="745" operator="equal">
      <formula>1</formula>
    </cfRule>
  </conditionalFormatting>
  <conditionalFormatting sqref="G60:G61">
    <cfRule type="cellIs" dxfId="3829" priority="743" operator="equal">
      <formula>0</formula>
    </cfRule>
    <cfRule type="cellIs" dxfId="3828" priority="744" operator="notEqual">
      <formula>0</formula>
    </cfRule>
  </conditionalFormatting>
  <conditionalFormatting sqref="H60:H61">
    <cfRule type="cellIs" dxfId="3827" priority="741" operator="equal">
      <formula>0</formula>
    </cfRule>
    <cfRule type="cellIs" dxfId="3826" priority="742" operator="notEqual">
      <formula>0</formula>
    </cfRule>
  </conditionalFormatting>
  <conditionalFormatting sqref="I60:I61">
    <cfRule type="cellIs" dxfId="3825" priority="739" operator="equal">
      <formula>0</formula>
    </cfRule>
    <cfRule type="cellIs" dxfId="3824" priority="740" operator="notEqual">
      <formula>0</formula>
    </cfRule>
  </conditionalFormatting>
  <conditionalFormatting sqref="J60:J61">
    <cfRule type="cellIs" dxfId="3823" priority="737" operator="equal">
      <formula>0</formula>
    </cfRule>
    <cfRule type="cellIs" dxfId="3822" priority="738" operator="notEqual">
      <formula>0</formula>
    </cfRule>
  </conditionalFormatting>
  <conditionalFormatting sqref="O59">
    <cfRule type="cellIs" dxfId="3821" priority="735" operator="equal">
      <formula>0</formula>
    </cfRule>
    <cfRule type="cellIs" dxfId="3820" priority="736" operator="notEqual">
      <formula>0</formula>
    </cfRule>
  </conditionalFormatting>
  <conditionalFormatting sqref="O62">
    <cfRule type="cellIs" dxfId="3819" priority="733" operator="equal">
      <formula>0</formula>
    </cfRule>
    <cfRule type="cellIs" dxfId="3818" priority="734" operator="notEqual">
      <formula>0</formula>
    </cfRule>
  </conditionalFormatting>
  <conditionalFormatting sqref="P59">
    <cfRule type="cellIs" dxfId="3817" priority="731" operator="equal">
      <formula>0</formula>
    </cfRule>
    <cfRule type="cellIs" dxfId="3816" priority="732" operator="notEqual">
      <formula>0</formula>
    </cfRule>
  </conditionalFormatting>
  <conditionalFormatting sqref="P62">
    <cfRule type="cellIs" dxfId="3815" priority="729" operator="equal">
      <formula>0</formula>
    </cfRule>
    <cfRule type="cellIs" dxfId="3814" priority="730" operator="notEqual">
      <formula>0</formula>
    </cfRule>
  </conditionalFormatting>
  <conditionalFormatting sqref="Q59">
    <cfRule type="cellIs" dxfId="3813" priority="727" operator="equal">
      <formula>0</formula>
    </cfRule>
    <cfRule type="cellIs" dxfId="3812" priority="728" operator="notEqual">
      <formula>0</formula>
    </cfRule>
  </conditionalFormatting>
  <conditionalFormatting sqref="Q62">
    <cfRule type="cellIs" dxfId="3811" priority="725" operator="equal">
      <formula>0</formula>
    </cfRule>
    <cfRule type="cellIs" dxfId="3810" priority="726" operator="notEqual">
      <formula>0</formula>
    </cfRule>
  </conditionalFormatting>
  <conditionalFormatting sqref="R59">
    <cfRule type="cellIs" dxfId="3809" priority="723" operator="equal">
      <formula>0</formula>
    </cfRule>
    <cfRule type="cellIs" dxfId="3808" priority="724" operator="notEqual">
      <formula>0</formula>
    </cfRule>
  </conditionalFormatting>
  <conditionalFormatting sqref="R62">
    <cfRule type="cellIs" dxfId="3807" priority="721" operator="equal">
      <formula>0</formula>
    </cfRule>
    <cfRule type="cellIs" dxfId="3806" priority="722" operator="notEqual">
      <formula>0</formula>
    </cfRule>
  </conditionalFormatting>
  <conditionalFormatting sqref="C67:C68">
    <cfRule type="cellIs" dxfId="3805" priority="719" operator="equal">
      <formula>0</formula>
    </cfRule>
    <cfRule type="cellIs" dxfId="3804" priority="720" operator="notEqual">
      <formula>0</formula>
    </cfRule>
  </conditionalFormatting>
  <conditionalFormatting sqref="C66">
    <cfRule type="cellIs" dxfId="3803" priority="718" operator="equal">
      <formula>1</formula>
    </cfRule>
  </conditionalFormatting>
  <conditionalFormatting sqref="D67:D68">
    <cfRule type="cellIs" dxfId="3802" priority="716" operator="equal">
      <formula>0</formula>
    </cfRule>
    <cfRule type="cellIs" dxfId="3801" priority="717" operator="notEqual">
      <formula>0</formula>
    </cfRule>
  </conditionalFormatting>
  <conditionalFormatting sqref="D66">
    <cfRule type="cellIs" dxfId="3800" priority="715" operator="equal">
      <formula>1</formula>
    </cfRule>
  </conditionalFormatting>
  <conditionalFormatting sqref="E67:E68">
    <cfRule type="cellIs" dxfId="3799" priority="713" operator="equal">
      <formula>0</formula>
    </cfRule>
    <cfRule type="cellIs" dxfId="3798" priority="714" operator="notEqual">
      <formula>0</formula>
    </cfRule>
  </conditionalFormatting>
  <conditionalFormatting sqref="E66">
    <cfRule type="cellIs" dxfId="3797" priority="712" operator="equal">
      <formula>1</formula>
    </cfRule>
  </conditionalFormatting>
  <conditionalFormatting sqref="F67:F68">
    <cfRule type="cellIs" dxfId="3796" priority="710" operator="equal">
      <formula>0</formula>
    </cfRule>
    <cfRule type="cellIs" dxfId="3795" priority="711" operator="notEqual">
      <formula>0</formula>
    </cfRule>
  </conditionalFormatting>
  <conditionalFormatting sqref="F66">
    <cfRule type="cellIs" dxfId="3794" priority="709" operator="equal">
      <formula>1</formula>
    </cfRule>
  </conditionalFormatting>
  <conditionalFormatting sqref="G67:G68">
    <cfRule type="cellIs" dxfId="3793" priority="707" operator="equal">
      <formula>0</formula>
    </cfRule>
    <cfRule type="cellIs" dxfId="3792" priority="708" operator="notEqual">
      <formula>0</formula>
    </cfRule>
  </conditionalFormatting>
  <conditionalFormatting sqref="H67:H68">
    <cfRule type="cellIs" dxfId="3791" priority="705" operator="equal">
      <formula>0</formula>
    </cfRule>
    <cfRule type="cellIs" dxfId="3790" priority="706" operator="notEqual">
      <formula>0</formula>
    </cfRule>
  </conditionalFormatting>
  <conditionalFormatting sqref="I67:I68">
    <cfRule type="cellIs" dxfId="3789" priority="703" operator="equal">
      <formula>0</formula>
    </cfRule>
    <cfRule type="cellIs" dxfId="3788" priority="704" operator="notEqual">
      <formula>0</formula>
    </cfRule>
  </conditionalFormatting>
  <conditionalFormatting sqref="J67:J68">
    <cfRule type="cellIs" dxfId="3787" priority="701" operator="equal">
      <formula>0</formula>
    </cfRule>
    <cfRule type="cellIs" dxfId="3786" priority="702" operator="notEqual">
      <formula>0</formula>
    </cfRule>
  </conditionalFormatting>
  <conditionalFormatting sqref="O66">
    <cfRule type="cellIs" dxfId="3785" priority="699" operator="equal">
      <formula>0</formula>
    </cfRule>
    <cfRule type="cellIs" dxfId="3784" priority="700" operator="notEqual">
      <formula>0</formula>
    </cfRule>
  </conditionalFormatting>
  <conditionalFormatting sqref="O69">
    <cfRule type="cellIs" dxfId="3783" priority="697" operator="equal">
      <formula>0</formula>
    </cfRule>
    <cfRule type="cellIs" dxfId="3782" priority="698" operator="notEqual">
      <formula>0</formula>
    </cfRule>
  </conditionalFormatting>
  <conditionalFormatting sqref="P66">
    <cfRule type="cellIs" dxfId="3781" priority="695" operator="equal">
      <formula>0</formula>
    </cfRule>
    <cfRule type="cellIs" dxfId="3780" priority="696" operator="notEqual">
      <formula>0</formula>
    </cfRule>
  </conditionalFormatting>
  <conditionalFormatting sqref="P69">
    <cfRule type="cellIs" dxfId="3779" priority="693" operator="equal">
      <formula>0</formula>
    </cfRule>
    <cfRule type="cellIs" dxfId="3778" priority="694" operator="notEqual">
      <formula>0</formula>
    </cfRule>
  </conditionalFormatting>
  <conditionalFormatting sqref="Q66">
    <cfRule type="cellIs" dxfId="3777" priority="691" operator="equal">
      <formula>0</formula>
    </cfRule>
    <cfRule type="cellIs" dxfId="3776" priority="692" operator="notEqual">
      <formula>0</formula>
    </cfRule>
  </conditionalFormatting>
  <conditionalFormatting sqref="Q69">
    <cfRule type="cellIs" dxfId="3775" priority="689" operator="equal">
      <formula>0</formula>
    </cfRule>
    <cfRule type="cellIs" dxfId="3774" priority="690" operator="notEqual">
      <formula>0</formula>
    </cfRule>
  </conditionalFormatting>
  <conditionalFormatting sqref="R66">
    <cfRule type="cellIs" dxfId="3773" priority="687" operator="equal">
      <formula>0</formula>
    </cfRule>
    <cfRule type="cellIs" dxfId="3772" priority="688" operator="notEqual">
      <formula>0</formula>
    </cfRule>
  </conditionalFormatting>
  <conditionalFormatting sqref="R69">
    <cfRule type="cellIs" dxfId="3771" priority="685" operator="equal">
      <formula>0</formula>
    </cfRule>
    <cfRule type="cellIs" dxfId="3770" priority="686" operator="notEqual">
      <formula>0</formula>
    </cfRule>
  </conditionalFormatting>
  <conditionalFormatting sqref="C74:C75">
    <cfRule type="cellIs" dxfId="3769" priority="683" operator="equal">
      <formula>0</formula>
    </cfRule>
    <cfRule type="cellIs" dxfId="3768" priority="684" operator="notEqual">
      <formula>0</formula>
    </cfRule>
  </conditionalFormatting>
  <conditionalFormatting sqref="C73">
    <cfRule type="cellIs" dxfId="3767" priority="682" operator="equal">
      <formula>1</formula>
    </cfRule>
  </conditionalFormatting>
  <conditionalFormatting sqref="D74:D75">
    <cfRule type="cellIs" dxfId="3766" priority="680" operator="equal">
      <formula>0</formula>
    </cfRule>
    <cfRule type="cellIs" dxfId="3765" priority="681" operator="notEqual">
      <formula>0</formula>
    </cfRule>
  </conditionalFormatting>
  <conditionalFormatting sqref="D73">
    <cfRule type="cellIs" dxfId="3764" priority="679" operator="equal">
      <formula>1</formula>
    </cfRule>
  </conditionalFormatting>
  <conditionalFormatting sqref="E74:E75">
    <cfRule type="cellIs" dxfId="3763" priority="677" operator="equal">
      <formula>0</formula>
    </cfRule>
    <cfRule type="cellIs" dxfId="3762" priority="678" operator="notEqual">
      <formula>0</formula>
    </cfRule>
  </conditionalFormatting>
  <conditionalFormatting sqref="E73">
    <cfRule type="cellIs" dxfId="3761" priority="676" operator="equal">
      <formula>1</formula>
    </cfRule>
  </conditionalFormatting>
  <conditionalFormatting sqref="F74:F75">
    <cfRule type="cellIs" dxfId="3760" priority="674" operator="equal">
      <formula>0</formula>
    </cfRule>
    <cfRule type="cellIs" dxfId="3759" priority="675" operator="notEqual">
      <formula>0</formula>
    </cfRule>
  </conditionalFormatting>
  <conditionalFormatting sqref="F73">
    <cfRule type="cellIs" dxfId="3758" priority="673" operator="equal">
      <formula>1</formula>
    </cfRule>
  </conditionalFormatting>
  <conditionalFormatting sqref="G74:G75">
    <cfRule type="cellIs" dxfId="3757" priority="671" operator="equal">
      <formula>0</formula>
    </cfRule>
    <cfRule type="cellIs" dxfId="3756" priority="672" operator="notEqual">
      <formula>0</formula>
    </cfRule>
  </conditionalFormatting>
  <conditionalFormatting sqref="H74:H75">
    <cfRule type="cellIs" dxfId="3755" priority="669" operator="equal">
      <formula>0</formula>
    </cfRule>
    <cfRule type="cellIs" dxfId="3754" priority="670" operator="notEqual">
      <formula>0</formula>
    </cfRule>
  </conditionalFormatting>
  <conditionalFormatting sqref="I74:I75">
    <cfRule type="cellIs" dxfId="3753" priority="667" operator="equal">
      <formula>0</formula>
    </cfRule>
    <cfRule type="cellIs" dxfId="3752" priority="668" operator="notEqual">
      <formula>0</formula>
    </cfRule>
  </conditionalFormatting>
  <conditionalFormatting sqref="J74:J75">
    <cfRule type="cellIs" dxfId="3751" priority="665" operator="equal">
      <formula>0</formula>
    </cfRule>
    <cfRule type="cellIs" dxfId="3750" priority="666" operator="notEqual">
      <formula>0</formula>
    </cfRule>
  </conditionalFormatting>
  <conditionalFormatting sqref="O73">
    <cfRule type="cellIs" dxfId="3749" priority="663" operator="equal">
      <formula>0</formula>
    </cfRule>
    <cfRule type="cellIs" dxfId="3748" priority="664" operator="notEqual">
      <formula>0</formula>
    </cfRule>
  </conditionalFormatting>
  <conditionalFormatting sqref="O76">
    <cfRule type="cellIs" dxfId="3747" priority="661" operator="equal">
      <formula>0</formula>
    </cfRule>
    <cfRule type="cellIs" dxfId="3746" priority="662" operator="notEqual">
      <formula>0</formula>
    </cfRule>
  </conditionalFormatting>
  <conditionalFormatting sqref="P73">
    <cfRule type="cellIs" dxfId="3745" priority="659" operator="equal">
      <formula>0</formula>
    </cfRule>
    <cfRule type="cellIs" dxfId="3744" priority="660" operator="notEqual">
      <formula>0</formula>
    </cfRule>
  </conditionalFormatting>
  <conditionalFormatting sqref="P76">
    <cfRule type="cellIs" dxfId="3743" priority="657" operator="equal">
      <formula>0</formula>
    </cfRule>
    <cfRule type="cellIs" dxfId="3742" priority="658" operator="notEqual">
      <formula>0</formula>
    </cfRule>
  </conditionalFormatting>
  <conditionalFormatting sqref="Q73">
    <cfRule type="cellIs" dxfId="3741" priority="655" operator="equal">
      <formula>0</formula>
    </cfRule>
    <cfRule type="cellIs" dxfId="3740" priority="656" operator="notEqual">
      <formula>0</formula>
    </cfRule>
  </conditionalFormatting>
  <conditionalFormatting sqref="Q76">
    <cfRule type="cellIs" dxfId="3739" priority="653" operator="equal">
      <formula>0</formula>
    </cfRule>
    <cfRule type="cellIs" dxfId="3738" priority="654" operator="notEqual">
      <formula>0</formula>
    </cfRule>
  </conditionalFormatting>
  <conditionalFormatting sqref="R73">
    <cfRule type="cellIs" dxfId="3737" priority="651" operator="equal">
      <formula>0</formula>
    </cfRule>
    <cfRule type="cellIs" dxfId="3736" priority="652" operator="notEqual">
      <formula>0</formula>
    </cfRule>
  </conditionalFormatting>
  <conditionalFormatting sqref="R76">
    <cfRule type="cellIs" dxfId="3735" priority="649" operator="equal">
      <formula>0</formula>
    </cfRule>
    <cfRule type="cellIs" dxfId="3734" priority="650" operator="notEqual">
      <formula>0</formula>
    </cfRule>
  </conditionalFormatting>
  <conditionalFormatting sqref="U67:U68">
    <cfRule type="cellIs" dxfId="3733" priority="647" operator="equal">
      <formula>0</formula>
    </cfRule>
    <cfRule type="cellIs" dxfId="3732" priority="648" operator="notEqual">
      <formula>0</formula>
    </cfRule>
  </conditionalFormatting>
  <conditionalFormatting sqref="U66">
    <cfRule type="cellIs" dxfId="3731" priority="646" operator="equal">
      <formula>1</formula>
    </cfRule>
  </conditionalFormatting>
  <conditionalFormatting sqref="V67:V68">
    <cfRule type="cellIs" dxfId="3730" priority="644" operator="equal">
      <formula>0</formula>
    </cfRule>
    <cfRule type="cellIs" dxfId="3729" priority="645" operator="notEqual">
      <formula>0</formula>
    </cfRule>
  </conditionalFormatting>
  <conditionalFormatting sqref="V66">
    <cfRule type="cellIs" dxfId="3728" priority="643" operator="equal">
      <formula>1</formula>
    </cfRule>
  </conditionalFormatting>
  <conditionalFormatting sqref="W67:W68">
    <cfRule type="cellIs" dxfId="3727" priority="641" operator="equal">
      <formula>0</formula>
    </cfRule>
    <cfRule type="cellIs" dxfId="3726" priority="642" operator="notEqual">
      <formula>0</formula>
    </cfRule>
  </conditionalFormatting>
  <conditionalFormatting sqref="W66">
    <cfRule type="cellIs" dxfId="3725" priority="640" operator="equal">
      <formula>1</formula>
    </cfRule>
  </conditionalFormatting>
  <conditionalFormatting sqref="X67:X68">
    <cfRule type="cellIs" dxfId="3724" priority="638" operator="equal">
      <formula>0</formula>
    </cfRule>
    <cfRule type="cellIs" dxfId="3723" priority="639" operator="notEqual">
      <formula>0</formula>
    </cfRule>
  </conditionalFormatting>
  <conditionalFormatting sqref="X66">
    <cfRule type="cellIs" dxfId="3722" priority="637" operator="equal">
      <formula>1</formula>
    </cfRule>
  </conditionalFormatting>
  <conditionalFormatting sqref="Y67:Y68">
    <cfRule type="cellIs" dxfId="3721" priority="635" operator="equal">
      <formula>0</formula>
    </cfRule>
    <cfRule type="cellIs" dxfId="3720" priority="636" operator="notEqual">
      <formula>0</formula>
    </cfRule>
  </conditionalFormatting>
  <conditionalFormatting sqref="Z67:Z68">
    <cfRule type="cellIs" dxfId="3719" priority="633" operator="equal">
      <formula>0</formula>
    </cfRule>
    <cfRule type="cellIs" dxfId="3718" priority="634" operator="notEqual">
      <formula>0</formula>
    </cfRule>
  </conditionalFormatting>
  <conditionalFormatting sqref="AA67:AA68">
    <cfRule type="cellIs" dxfId="3717" priority="631" operator="equal">
      <formula>0</formula>
    </cfRule>
    <cfRule type="cellIs" dxfId="3716" priority="632" operator="notEqual">
      <formula>0</formula>
    </cfRule>
  </conditionalFormatting>
  <conditionalFormatting sqref="AB67:AB68">
    <cfRule type="cellIs" dxfId="3715" priority="629" operator="equal">
      <formula>0</formula>
    </cfRule>
    <cfRule type="cellIs" dxfId="3714" priority="630" operator="notEqual">
      <formula>0</formula>
    </cfRule>
  </conditionalFormatting>
  <conditionalFormatting sqref="AG66">
    <cfRule type="cellIs" dxfId="3713" priority="627" operator="equal">
      <formula>0</formula>
    </cfRule>
    <cfRule type="cellIs" dxfId="3712" priority="628" operator="notEqual">
      <formula>0</formula>
    </cfRule>
  </conditionalFormatting>
  <conditionalFormatting sqref="AG69">
    <cfRule type="cellIs" dxfId="3711" priority="625" operator="equal">
      <formula>0</formula>
    </cfRule>
    <cfRule type="cellIs" dxfId="3710" priority="626" operator="notEqual">
      <formula>0</formula>
    </cfRule>
  </conditionalFormatting>
  <conditionalFormatting sqref="AH66">
    <cfRule type="cellIs" dxfId="3709" priority="623" operator="equal">
      <formula>0</formula>
    </cfRule>
    <cfRule type="cellIs" dxfId="3708" priority="624" operator="notEqual">
      <formula>0</formula>
    </cfRule>
  </conditionalFormatting>
  <conditionalFormatting sqref="AH69">
    <cfRule type="cellIs" dxfId="3707" priority="621" operator="equal">
      <formula>0</formula>
    </cfRule>
    <cfRule type="cellIs" dxfId="3706" priority="622" operator="notEqual">
      <formula>0</formula>
    </cfRule>
  </conditionalFormatting>
  <conditionalFormatting sqref="AI66">
    <cfRule type="cellIs" dxfId="3705" priority="619" operator="equal">
      <formula>0</formula>
    </cfRule>
    <cfRule type="cellIs" dxfId="3704" priority="620" operator="notEqual">
      <formula>0</formula>
    </cfRule>
  </conditionalFormatting>
  <conditionalFormatting sqref="AI69">
    <cfRule type="cellIs" dxfId="3703" priority="617" operator="equal">
      <formula>0</formula>
    </cfRule>
    <cfRule type="cellIs" dxfId="3702" priority="618" operator="notEqual">
      <formula>0</formula>
    </cfRule>
  </conditionalFormatting>
  <conditionalFormatting sqref="AJ66">
    <cfRule type="cellIs" dxfId="3701" priority="615" operator="equal">
      <formula>0</formula>
    </cfRule>
    <cfRule type="cellIs" dxfId="3700" priority="616" operator="notEqual">
      <formula>0</formula>
    </cfRule>
  </conditionalFormatting>
  <conditionalFormatting sqref="AJ69">
    <cfRule type="cellIs" dxfId="3699" priority="613" operator="equal">
      <formula>0</formula>
    </cfRule>
    <cfRule type="cellIs" dxfId="3698" priority="614" operator="notEqual">
      <formula>0</formula>
    </cfRule>
  </conditionalFormatting>
  <conditionalFormatting sqref="U60:U61">
    <cfRule type="cellIs" dxfId="3697" priority="611" operator="equal">
      <formula>0</formula>
    </cfRule>
    <cfRule type="cellIs" dxfId="3696" priority="612" operator="notEqual">
      <formula>0</formula>
    </cfRule>
  </conditionalFormatting>
  <conditionalFormatting sqref="U59">
    <cfRule type="cellIs" dxfId="3695" priority="610" operator="equal">
      <formula>1</formula>
    </cfRule>
  </conditionalFormatting>
  <conditionalFormatting sqref="V60:V61">
    <cfRule type="cellIs" dxfId="3694" priority="608" operator="equal">
      <formula>0</formula>
    </cfRule>
    <cfRule type="cellIs" dxfId="3693" priority="609" operator="notEqual">
      <formula>0</formula>
    </cfRule>
  </conditionalFormatting>
  <conditionalFormatting sqref="V59">
    <cfRule type="cellIs" dxfId="3692" priority="607" operator="equal">
      <formula>1</formula>
    </cfRule>
  </conditionalFormatting>
  <conditionalFormatting sqref="W60:W61">
    <cfRule type="cellIs" dxfId="3691" priority="605" operator="equal">
      <formula>0</formula>
    </cfRule>
    <cfRule type="cellIs" dxfId="3690" priority="606" operator="notEqual">
      <formula>0</formula>
    </cfRule>
  </conditionalFormatting>
  <conditionalFormatting sqref="W59">
    <cfRule type="cellIs" dxfId="3689" priority="604" operator="equal">
      <formula>1</formula>
    </cfRule>
  </conditionalFormatting>
  <conditionalFormatting sqref="X60:X61">
    <cfRule type="cellIs" dxfId="3688" priority="602" operator="equal">
      <formula>0</formula>
    </cfRule>
    <cfRule type="cellIs" dxfId="3687" priority="603" operator="notEqual">
      <formula>0</formula>
    </cfRule>
  </conditionalFormatting>
  <conditionalFormatting sqref="X59">
    <cfRule type="cellIs" dxfId="3686" priority="601" operator="equal">
      <formula>1</formula>
    </cfRule>
  </conditionalFormatting>
  <conditionalFormatting sqref="Y60:Y61">
    <cfRule type="cellIs" dxfId="3685" priority="599" operator="equal">
      <formula>0</formula>
    </cfRule>
    <cfRule type="cellIs" dxfId="3684" priority="600" operator="notEqual">
      <formula>0</formula>
    </cfRule>
  </conditionalFormatting>
  <conditionalFormatting sqref="Z60:Z61">
    <cfRule type="cellIs" dxfId="3683" priority="597" operator="equal">
      <formula>0</formula>
    </cfRule>
    <cfRule type="cellIs" dxfId="3682" priority="598" operator="notEqual">
      <formula>0</formula>
    </cfRule>
  </conditionalFormatting>
  <conditionalFormatting sqref="AA60:AA61">
    <cfRule type="cellIs" dxfId="3681" priority="595" operator="equal">
      <formula>0</formula>
    </cfRule>
    <cfRule type="cellIs" dxfId="3680" priority="596" operator="notEqual">
      <formula>0</formula>
    </cfRule>
  </conditionalFormatting>
  <conditionalFormatting sqref="AB60:AB61">
    <cfRule type="cellIs" dxfId="3679" priority="593" operator="equal">
      <formula>0</formula>
    </cfRule>
    <cfRule type="cellIs" dxfId="3678" priority="594" operator="notEqual">
      <formula>0</formula>
    </cfRule>
  </conditionalFormatting>
  <conditionalFormatting sqref="AG59">
    <cfRule type="cellIs" dxfId="3677" priority="591" operator="equal">
      <formula>0</formula>
    </cfRule>
    <cfRule type="cellIs" dxfId="3676" priority="592" operator="notEqual">
      <formula>0</formula>
    </cfRule>
  </conditionalFormatting>
  <conditionalFormatting sqref="AG62">
    <cfRule type="cellIs" dxfId="3675" priority="589" operator="equal">
      <formula>0</formula>
    </cfRule>
    <cfRule type="cellIs" dxfId="3674" priority="590" operator="notEqual">
      <formula>0</formula>
    </cfRule>
  </conditionalFormatting>
  <conditionalFormatting sqref="AH59">
    <cfRule type="cellIs" dxfId="3673" priority="587" operator="equal">
      <formula>0</formula>
    </cfRule>
    <cfRule type="cellIs" dxfId="3672" priority="588" operator="notEqual">
      <formula>0</formula>
    </cfRule>
  </conditionalFormatting>
  <conditionalFormatting sqref="AH62">
    <cfRule type="cellIs" dxfId="3671" priority="585" operator="equal">
      <formula>0</formula>
    </cfRule>
    <cfRule type="cellIs" dxfId="3670" priority="586" operator="notEqual">
      <formula>0</formula>
    </cfRule>
  </conditionalFormatting>
  <conditionalFormatting sqref="AI59">
    <cfRule type="cellIs" dxfId="3669" priority="583" operator="equal">
      <formula>0</formula>
    </cfRule>
    <cfRule type="cellIs" dxfId="3668" priority="584" operator="notEqual">
      <formula>0</formula>
    </cfRule>
  </conditionalFormatting>
  <conditionalFormatting sqref="AI62">
    <cfRule type="cellIs" dxfId="3667" priority="581" operator="equal">
      <formula>0</formula>
    </cfRule>
    <cfRule type="cellIs" dxfId="3666" priority="582" operator="notEqual">
      <formula>0</formula>
    </cfRule>
  </conditionalFormatting>
  <conditionalFormatting sqref="AJ59">
    <cfRule type="cellIs" dxfId="3665" priority="579" operator="equal">
      <formula>0</formula>
    </cfRule>
    <cfRule type="cellIs" dxfId="3664" priority="580" operator="notEqual">
      <formula>0</formula>
    </cfRule>
  </conditionalFormatting>
  <conditionalFormatting sqref="AJ62">
    <cfRule type="cellIs" dxfId="3663" priority="577" operator="equal">
      <formula>0</formula>
    </cfRule>
    <cfRule type="cellIs" dxfId="3662" priority="578" operator="notEqual">
      <formula>0</formula>
    </cfRule>
  </conditionalFormatting>
  <conditionalFormatting sqref="U53:U54">
    <cfRule type="cellIs" dxfId="3661" priority="575" operator="equal">
      <formula>0</formula>
    </cfRule>
    <cfRule type="cellIs" dxfId="3660" priority="576" operator="notEqual">
      <formula>0</formula>
    </cfRule>
  </conditionalFormatting>
  <conditionalFormatting sqref="U52">
    <cfRule type="cellIs" dxfId="3659" priority="574" operator="equal">
      <formula>1</formula>
    </cfRule>
  </conditionalFormatting>
  <conditionalFormatting sqref="V53:V54">
    <cfRule type="cellIs" dxfId="3658" priority="572" operator="equal">
      <formula>0</formula>
    </cfRule>
    <cfRule type="cellIs" dxfId="3657" priority="573" operator="notEqual">
      <formula>0</formula>
    </cfRule>
  </conditionalFormatting>
  <conditionalFormatting sqref="V52">
    <cfRule type="cellIs" dxfId="3656" priority="571" operator="equal">
      <formula>1</formula>
    </cfRule>
  </conditionalFormatting>
  <conditionalFormatting sqref="W53:W54">
    <cfRule type="cellIs" dxfId="3655" priority="569" operator="equal">
      <formula>0</formula>
    </cfRule>
    <cfRule type="cellIs" dxfId="3654" priority="570" operator="notEqual">
      <formula>0</formula>
    </cfRule>
  </conditionalFormatting>
  <conditionalFormatting sqref="W52">
    <cfRule type="cellIs" dxfId="3653" priority="568" operator="equal">
      <formula>1</formula>
    </cfRule>
  </conditionalFormatting>
  <conditionalFormatting sqref="X53:X54">
    <cfRule type="cellIs" dxfId="3652" priority="566" operator="equal">
      <formula>0</formula>
    </cfRule>
    <cfRule type="cellIs" dxfId="3651" priority="567" operator="notEqual">
      <formula>0</formula>
    </cfRule>
  </conditionalFormatting>
  <conditionalFormatting sqref="X52">
    <cfRule type="cellIs" dxfId="3650" priority="565" operator="equal">
      <formula>1</formula>
    </cfRule>
  </conditionalFormatting>
  <conditionalFormatting sqref="Y53:Y54">
    <cfRule type="cellIs" dxfId="3649" priority="563" operator="equal">
      <formula>0</formula>
    </cfRule>
    <cfRule type="cellIs" dxfId="3648" priority="564" operator="notEqual">
      <formula>0</formula>
    </cfRule>
  </conditionalFormatting>
  <conditionalFormatting sqref="Z53:Z54">
    <cfRule type="cellIs" dxfId="3647" priority="561" operator="equal">
      <formula>0</formula>
    </cfRule>
    <cfRule type="cellIs" dxfId="3646" priority="562" operator="notEqual">
      <formula>0</formula>
    </cfRule>
  </conditionalFormatting>
  <conditionalFormatting sqref="AA53:AA54">
    <cfRule type="cellIs" dxfId="3645" priority="559" operator="equal">
      <formula>0</formula>
    </cfRule>
    <cfRule type="cellIs" dxfId="3644" priority="560" operator="notEqual">
      <formula>0</formula>
    </cfRule>
  </conditionalFormatting>
  <conditionalFormatting sqref="AB53:AB54">
    <cfRule type="cellIs" dxfId="3643" priority="557" operator="equal">
      <formula>0</formula>
    </cfRule>
    <cfRule type="cellIs" dxfId="3642" priority="558" operator="notEqual">
      <formula>0</formula>
    </cfRule>
  </conditionalFormatting>
  <conditionalFormatting sqref="AG52">
    <cfRule type="cellIs" dxfId="3641" priority="555" operator="equal">
      <formula>0</formula>
    </cfRule>
    <cfRule type="cellIs" dxfId="3640" priority="556" operator="notEqual">
      <formula>0</formula>
    </cfRule>
  </conditionalFormatting>
  <conditionalFormatting sqref="AG55">
    <cfRule type="cellIs" dxfId="3639" priority="553" operator="equal">
      <formula>0</formula>
    </cfRule>
    <cfRule type="cellIs" dxfId="3638" priority="554" operator="notEqual">
      <formula>0</formula>
    </cfRule>
  </conditionalFormatting>
  <conditionalFormatting sqref="AH52">
    <cfRule type="cellIs" dxfId="3637" priority="551" operator="equal">
      <formula>0</formula>
    </cfRule>
    <cfRule type="cellIs" dxfId="3636" priority="552" operator="notEqual">
      <formula>0</formula>
    </cfRule>
  </conditionalFormatting>
  <conditionalFormatting sqref="AH55">
    <cfRule type="cellIs" dxfId="3635" priority="549" operator="equal">
      <formula>0</formula>
    </cfRule>
    <cfRule type="cellIs" dxfId="3634" priority="550" operator="notEqual">
      <formula>0</formula>
    </cfRule>
  </conditionalFormatting>
  <conditionalFormatting sqref="AI52">
    <cfRule type="cellIs" dxfId="3633" priority="547" operator="equal">
      <formula>0</formula>
    </cfRule>
    <cfRule type="cellIs" dxfId="3632" priority="548" operator="notEqual">
      <formula>0</formula>
    </cfRule>
  </conditionalFormatting>
  <conditionalFormatting sqref="AI55">
    <cfRule type="cellIs" dxfId="3631" priority="545" operator="equal">
      <formula>0</formula>
    </cfRule>
    <cfRule type="cellIs" dxfId="3630" priority="546" operator="notEqual">
      <formula>0</formula>
    </cfRule>
  </conditionalFormatting>
  <conditionalFormatting sqref="AJ52">
    <cfRule type="cellIs" dxfId="3629" priority="543" operator="equal">
      <formula>0</formula>
    </cfRule>
    <cfRule type="cellIs" dxfId="3628" priority="544" operator="notEqual">
      <formula>0</formula>
    </cfRule>
  </conditionalFormatting>
  <conditionalFormatting sqref="AJ55">
    <cfRule type="cellIs" dxfId="3627" priority="541" operator="equal">
      <formula>0</formula>
    </cfRule>
    <cfRule type="cellIs" dxfId="3626" priority="542" operator="notEqual">
      <formula>0</formula>
    </cfRule>
  </conditionalFormatting>
  <conditionalFormatting sqref="U46:U47">
    <cfRule type="cellIs" dxfId="3625" priority="539" operator="equal">
      <formula>0</formula>
    </cfRule>
    <cfRule type="cellIs" dxfId="3624" priority="540" operator="notEqual">
      <formula>0</formula>
    </cfRule>
  </conditionalFormatting>
  <conditionalFormatting sqref="U45">
    <cfRule type="cellIs" dxfId="3623" priority="538" operator="equal">
      <formula>1</formula>
    </cfRule>
  </conditionalFormatting>
  <conditionalFormatting sqref="V46:V47">
    <cfRule type="cellIs" dxfId="3622" priority="536" operator="equal">
      <formula>0</formula>
    </cfRule>
    <cfRule type="cellIs" dxfId="3621" priority="537" operator="notEqual">
      <formula>0</formula>
    </cfRule>
  </conditionalFormatting>
  <conditionalFormatting sqref="V45">
    <cfRule type="cellIs" dxfId="3620" priority="535" operator="equal">
      <formula>1</formula>
    </cfRule>
  </conditionalFormatting>
  <conditionalFormatting sqref="W46:W47">
    <cfRule type="cellIs" dxfId="3619" priority="533" operator="equal">
      <formula>0</formula>
    </cfRule>
    <cfRule type="cellIs" dxfId="3618" priority="534" operator="notEqual">
      <formula>0</formula>
    </cfRule>
  </conditionalFormatting>
  <conditionalFormatting sqref="W45">
    <cfRule type="cellIs" dxfId="3617" priority="532" operator="equal">
      <formula>1</formula>
    </cfRule>
  </conditionalFormatting>
  <conditionalFormatting sqref="X46:X47">
    <cfRule type="cellIs" dxfId="3616" priority="530" operator="equal">
      <formula>0</formula>
    </cfRule>
    <cfRule type="cellIs" dxfId="3615" priority="531" operator="notEqual">
      <formula>0</formula>
    </cfRule>
  </conditionalFormatting>
  <conditionalFormatting sqref="X45">
    <cfRule type="cellIs" dxfId="3614" priority="529" operator="equal">
      <formula>1</formula>
    </cfRule>
  </conditionalFormatting>
  <conditionalFormatting sqref="Y46:Y47">
    <cfRule type="cellIs" dxfId="3613" priority="527" operator="equal">
      <formula>0</formula>
    </cfRule>
    <cfRule type="cellIs" dxfId="3612" priority="528" operator="notEqual">
      <formula>0</formula>
    </cfRule>
  </conditionalFormatting>
  <conditionalFormatting sqref="Z46:Z47">
    <cfRule type="cellIs" dxfId="3611" priority="525" operator="equal">
      <formula>0</formula>
    </cfRule>
    <cfRule type="cellIs" dxfId="3610" priority="526" operator="notEqual">
      <formula>0</formula>
    </cfRule>
  </conditionalFormatting>
  <conditionalFormatting sqref="AA46:AA47">
    <cfRule type="cellIs" dxfId="3609" priority="523" operator="equal">
      <formula>0</formula>
    </cfRule>
    <cfRule type="cellIs" dxfId="3608" priority="524" operator="notEqual">
      <formula>0</formula>
    </cfRule>
  </conditionalFormatting>
  <conditionalFormatting sqref="AB46:AB47">
    <cfRule type="cellIs" dxfId="3607" priority="521" operator="equal">
      <formula>0</formula>
    </cfRule>
    <cfRule type="cellIs" dxfId="3606" priority="522" operator="notEqual">
      <formula>0</formula>
    </cfRule>
  </conditionalFormatting>
  <conditionalFormatting sqref="AG45">
    <cfRule type="cellIs" dxfId="3605" priority="519" operator="equal">
      <formula>0</formula>
    </cfRule>
    <cfRule type="cellIs" dxfId="3604" priority="520" operator="notEqual">
      <formula>0</formula>
    </cfRule>
  </conditionalFormatting>
  <conditionalFormatting sqref="AG48">
    <cfRule type="cellIs" dxfId="3603" priority="517" operator="equal">
      <formula>0</formula>
    </cfRule>
    <cfRule type="cellIs" dxfId="3602" priority="518" operator="notEqual">
      <formula>0</formula>
    </cfRule>
  </conditionalFormatting>
  <conditionalFormatting sqref="AH45">
    <cfRule type="cellIs" dxfId="3601" priority="515" operator="equal">
      <formula>0</formula>
    </cfRule>
    <cfRule type="cellIs" dxfId="3600" priority="516" operator="notEqual">
      <formula>0</formula>
    </cfRule>
  </conditionalFormatting>
  <conditionalFormatting sqref="AH48">
    <cfRule type="cellIs" dxfId="3599" priority="513" operator="equal">
      <formula>0</formula>
    </cfRule>
    <cfRule type="cellIs" dxfId="3598" priority="514" operator="notEqual">
      <formula>0</formula>
    </cfRule>
  </conditionalFormatting>
  <conditionalFormatting sqref="AI45">
    <cfRule type="cellIs" dxfId="3597" priority="511" operator="equal">
      <formula>0</formula>
    </cfRule>
    <cfRule type="cellIs" dxfId="3596" priority="512" operator="notEqual">
      <formula>0</formula>
    </cfRule>
  </conditionalFormatting>
  <conditionalFormatting sqref="AI48">
    <cfRule type="cellIs" dxfId="3595" priority="509" operator="equal">
      <formula>0</formula>
    </cfRule>
    <cfRule type="cellIs" dxfId="3594" priority="510" operator="notEqual">
      <formula>0</formula>
    </cfRule>
  </conditionalFormatting>
  <conditionalFormatting sqref="AJ45">
    <cfRule type="cellIs" dxfId="3593" priority="507" operator="equal">
      <formula>0</formula>
    </cfRule>
    <cfRule type="cellIs" dxfId="3592" priority="508" operator="notEqual">
      <formula>0</formula>
    </cfRule>
  </conditionalFormatting>
  <conditionalFormatting sqref="AJ48">
    <cfRule type="cellIs" dxfId="3591" priority="505" operator="equal">
      <formula>0</formula>
    </cfRule>
    <cfRule type="cellIs" dxfId="3590" priority="506" operator="notEqual">
      <formula>0</formula>
    </cfRule>
  </conditionalFormatting>
  <conditionalFormatting sqref="U39:U40">
    <cfRule type="cellIs" dxfId="3589" priority="503" operator="equal">
      <formula>0</formula>
    </cfRule>
    <cfRule type="cellIs" dxfId="3588" priority="504" operator="notEqual">
      <formula>0</formula>
    </cfRule>
  </conditionalFormatting>
  <conditionalFormatting sqref="U38">
    <cfRule type="cellIs" dxfId="3587" priority="502" operator="equal">
      <formula>1</formula>
    </cfRule>
  </conditionalFormatting>
  <conditionalFormatting sqref="V39:V40">
    <cfRule type="cellIs" dxfId="3586" priority="500" operator="equal">
      <formula>0</formula>
    </cfRule>
    <cfRule type="cellIs" dxfId="3585" priority="501" operator="notEqual">
      <formula>0</formula>
    </cfRule>
  </conditionalFormatting>
  <conditionalFormatting sqref="V38">
    <cfRule type="cellIs" dxfId="3584" priority="499" operator="equal">
      <formula>1</formula>
    </cfRule>
  </conditionalFormatting>
  <conditionalFormatting sqref="W39:W40">
    <cfRule type="cellIs" dxfId="3583" priority="497" operator="equal">
      <formula>0</formula>
    </cfRule>
    <cfRule type="cellIs" dxfId="3582" priority="498" operator="notEqual">
      <formula>0</formula>
    </cfRule>
  </conditionalFormatting>
  <conditionalFormatting sqref="W38">
    <cfRule type="cellIs" dxfId="3581" priority="496" operator="equal">
      <formula>1</formula>
    </cfRule>
  </conditionalFormatting>
  <conditionalFormatting sqref="X39:X40">
    <cfRule type="cellIs" dxfId="3580" priority="494" operator="equal">
      <formula>0</formula>
    </cfRule>
    <cfRule type="cellIs" dxfId="3579" priority="495" operator="notEqual">
      <formula>0</formula>
    </cfRule>
  </conditionalFormatting>
  <conditionalFormatting sqref="X38">
    <cfRule type="cellIs" dxfId="3578" priority="493" operator="equal">
      <formula>1</formula>
    </cfRule>
  </conditionalFormatting>
  <conditionalFormatting sqref="Y39:Y40">
    <cfRule type="cellIs" dxfId="3577" priority="491" operator="equal">
      <formula>0</formula>
    </cfRule>
    <cfRule type="cellIs" dxfId="3576" priority="492" operator="notEqual">
      <formula>0</formula>
    </cfRule>
  </conditionalFormatting>
  <conditionalFormatting sqref="Z39:Z40">
    <cfRule type="cellIs" dxfId="3575" priority="489" operator="equal">
      <formula>0</formula>
    </cfRule>
    <cfRule type="cellIs" dxfId="3574" priority="490" operator="notEqual">
      <formula>0</formula>
    </cfRule>
  </conditionalFormatting>
  <conditionalFormatting sqref="AA39:AA40">
    <cfRule type="cellIs" dxfId="3573" priority="487" operator="equal">
      <formula>0</formula>
    </cfRule>
    <cfRule type="cellIs" dxfId="3572" priority="488" operator="notEqual">
      <formula>0</formula>
    </cfRule>
  </conditionalFormatting>
  <conditionalFormatting sqref="AB39:AB40">
    <cfRule type="cellIs" dxfId="3571" priority="485" operator="equal">
      <formula>0</formula>
    </cfRule>
    <cfRule type="cellIs" dxfId="3570" priority="486" operator="notEqual">
      <formula>0</formula>
    </cfRule>
  </conditionalFormatting>
  <conditionalFormatting sqref="AG38">
    <cfRule type="cellIs" dxfId="3569" priority="483" operator="equal">
      <formula>0</formula>
    </cfRule>
    <cfRule type="cellIs" dxfId="3568" priority="484" operator="notEqual">
      <formula>0</formula>
    </cfRule>
  </conditionalFormatting>
  <conditionalFormatting sqref="AG41">
    <cfRule type="cellIs" dxfId="3567" priority="481" operator="equal">
      <formula>0</formula>
    </cfRule>
    <cfRule type="cellIs" dxfId="3566" priority="482" operator="notEqual">
      <formula>0</formula>
    </cfRule>
  </conditionalFormatting>
  <conditionalFormatting sqref="AH38">
    <cfRule type="cellIs" dxfId="3565" priority="479" operator="equal">
      <formula>0</formula>
    </cfRule>
    <cfRule type="cellIs" dxfId="3564" priority="480" operator="notEqual">
      <formula>0</formula>
    </cfRule>
  </conditionalFormatting>
  <conditionalFormatting sqref="AH41">
    <cfRule type="cellIs" dxfId="3563" priority="477" operator="equal">
      <formula>0</formula>
    </cfRule>
    <cfRule type="cellIs" dxfId="3562" priority="478" operator="notEqual">
      <formula>0</formula>
    </cfRule>
  </conditionalFormatting>
  <conditionalFormatting sqref="AI38">
    <cfRule type="cellIs" dxfId="3561" priority="475" operator="equal">
      <formula>0</formula>
    </cfRule>
    <cfRule type="cellIs" dxfId="3560" priority="476" operator="notEqual">
      <formula>0</formula>
    </cfRule>
  </conditionalFormatting>
  <conditionalFormatting sqref="AI41">
    <cfRule type="cellIs" dxfId="3559" priority="473" operator="equal">
      <formula>0</formula>
    </cfRule>
    <cfRule type="cellIs" dxfId="3558" priority="474" operator="notEqual">
      <formula>0</formula>
    </cfRule>
  </conditionalFormatting>
  <conditionalFormatting sqref="AJ38">
    <cfRule type="cellIs" dxfId="3557" priority="471" operator="equal">
      <formula>0</formula>
    </cfRule>
    <cfRule type="cellIs" dxfId="3556" priority="472" operator="notEqual">
      <formula>0</formula>
    </cfRule>
  </conditionalFormatting>
  <conditionalFormatting sqref="AJ41">
    <cfRule type="cellIs" dxfId="3555" priority="469" operator="equal">
      <formula>0</formula>
    </cfRule>
    <cfRule type="cellIs" dxfId="3554" priority="470" operator="notEqual">
      <formula>0</formula>
    </cfRule>
  </conditionalFormatting>
  <conditionalFormatting sqref="U32:U33">
    <cfRule type="cellIs" dxfId="3553" priority="467" operator="equal">
      <formula>0</formula>
    </cfRule>
    <cfRule type="cellIs" dxfId="3552" priority="468" operator="notEqual">
      <formula>0</formula>
    </cfRule>
  </conditionalFormatting>
  <conditionalFormatting sqref="U31">
    <cfRule type="cellIs" dxfId="3551" priority="466" operator="equal">
      <formula>1</formula>
    </cfRule>
  </conditionalFormatting>
  <conditionalFormatting sqref="V32:V33">
    <cfRule type="cellIs" dxfId="3550" priority="464" operator="equal">
      <formula>0</formula>
    </cfRule>
    <cfRule type="cellIs" dxfId="3549" priority="465" operator="notEqual">
      <formula>0</formula>
    </cfRule>
  </conditionalFormatting>
  <conditionalFormatting sqref="V31">
    <cfRule type="cellIs" dxfId="3548" priority="463" operator="equal">
      <formula>1</formula>
    </cfRule>
  </conditionalFormatting>
  <conditionalFormatting sqref="W32:W33">
    <cfRule type="cellIs" dxfId="3547" priority="461" operator="equal">
      <formula>0</formula>
    </cfRule>
    <cfRule type="cellIs" dxfId="3546" priority="462" operator="notEqual">
      <formula>0</formula>
    </cfRule>
  </conditionalFormatting>
  <conditionalFormatting sqref="W31">
    <cfRule type="cellIs" dxfId="3545" priority="460" operator="equal">
      <formula>1</formula>
    </cfRule>
  </conditionalFormatting>
  <conditionalFormatting sqref="X32:X33">
    <cfRule type="cellIs" dxfId="3544" priority="458" operator="equal">
      <formula>0</formula>
    </cfRule>
    <cfRule type="cellIs" dxfId="3543" priority="459" operator="notEqual">
      <formula>0</formula>
    </cfRule>
  </conditionalFormatting>
  <conditionalFormatting sqref="X31">
    <cfRule type="cellIs" dxfId="3542" priority="457" operator="equal">
      <formula>1</formula>
    </cfRule>
  </conditionalFormatting>
  <conditionalFormatting sqref="Y32:Y33">
    <cfRule type="cellIs" dxfId="3541" priority="455" operator="equal">
      <formula>0</formula>
    </cfRule>
    <cfRule type="cellIs" dxfId="3540" priority="456" operator="notEqual">
      <formula>0</formula>
    </cfRule>
  </conditionalFormatting>
  <conditionalFormatting sqref="Z32:Z33">
    <cfRule type="cellIs" dxfId="3539" priority="453" operator="equal">
      <formula>0</formula>
    </cfRule>
    <cfRule type="cellIs" dxfId="3538" priority="454" operator="notEqual">
      <formula>0</formula>
    </cfRule>
  </conditionalFormatting>
  <conditionalFormatting sqref="AA32:AA33">
    <cfRule type="cellIs" dxfId="3537" priority="451" operator="equal">
      <formula>0</formula>
    </cfRule>
    <cfRule type="cellIs" dxfId="3536" priority="452" operator="notEqual">
      <formula>0</formula>
    </cfRule>
  </conditionalFormatting>
  <conditionalFormatting sqref="AB32:AB33">
    <cfRule type="cellIs" dxfId="3535" priority="449" operator="equal">
      <formula>0</formula>
    </cfRule>
    <cfRule type="cellIs" dxfId="3534" priority="450" operator="notEqual">
      <formula>0</formula>
    </cfRule>
  </conditionalFormatting>
  <conditionalFormatting sqref="AG31">
    <cfRule type="cellIs" dxfId="3533" priority="447" operator="equal">
      <formula>0</formula>
    </cfRule>
    <cfRule type="cellIs" dxfId="3532" priority="448" operator="notEqual">
      <formula>0</formula>
    </cfRule>
  </conditionalFormatting>
  <conditionalFormatting sqref="AG34">
    <cfRule type="cellIs" dxfId="3531" priority="445" operator="equal">
      <formula>0</formula>
    </cfRule>
    <cfRule type="cellIs" dxfId="3530" priority="446" operator="notEqual">
      <formula>0</formula>
    </cfRule>
  </conditionalFormatting>
  <conditionalFormatting sqref="AH31">
    <cfRule type="cellIs" dxfId="3529" priority="443" operator="equal">
      <formula>0</formula>
    </cfRule>
    <cfRule type="cellIs" dxfId="3528" priority="444" operator="notEqual">
      <formula>0</formula>
    </cfRule>
  </conditionalFormatting>
  <conditionalFormatting sqref="AH34">
    <cfRule type="cellIs" dxfId="3527" priority="441" operator="equal">
      <formula>0</formula>
    </cfRule>
    <cfRule type="cellIs" dxfId="3526" priority="442" operator="notEqual">
      <formula>0</formula>
    </cfRule>
  </conditionalFormatting>
  <conditionalFormatting sqref="AI31">
    <cfRule type="cellIs" dxfId="3525" priority="439" operator="equal">
      <formula>0</formula>
    </cfRule>
    <cfRule type="cellIs" dxfId="3524" priority="440" operator="notEqual">
      <formula>0</formula>
    </cfRule>
  </conditionalFormatting>
  <conditionalFormatting sqref="AI34">
    <cfRule type="cellIs" dxfId="3523" priority="437" operator="equal">
      <formula>0</formula>
    </cfRule>
    <cfRule type="cellIs" dxfId="3522" priority="438" operator="notEqual">
      <formula>0</formula>
    </cfRule>
  </conditionalFormatting>
  <conditionalFormatting sqref="AJ31">
    <cfRule type="cellIs" dxfId="3521" priority="435" operator="equal">
      <formula>0</formula>
    </cfRule>
    <cfRule type="cellIs" dxfId="3520" priority="436" operator="notEqual">
      <formula>0</formula>
    </cfRule>
  </conditionalFormatting>
  <conditionalFormatting sqref="AJ34">
    <cfRule type="cellIs" dxfId="3519" priority="433" operator="equal">
      <formula>0</formula>
    </cfRule>
    <cfRule type="cellIs" dxfId="3518" priority="434" operator="notEqual">
      <formula>0</formula>
    </cfRule>
  </conditionalFormatting>
  <conditionalFormatting sqref="U25:U26">
    <cfRule type="cellIs" dxfId="3517" priority="431" operator="equal">
      <formula>0</formula>
    </cfRule>
    <cfRule type="cellIs" dxfId="3516" priority="432" operator="notEqual">
      <formula>0</formula>
    </cfRule>
  </conditionalFormatting>
  <conditionalFormatting sqref="U24">
    <cfRule type="cellIs" dxfId="3515" priority="430" operator="equal">
      <formula>1</formula>
    </cfRule>
  </conditionalFormatting>
  <conditionalFormatting sqref="V25:V26">
    <cfRule type="cellIs" dxfId="3514" priority="428" operator="equal">
      <formula>0</formula>
    </cfRule>
    <cfRule type="cellIs" dxfId="3513" priority="429" operator="notEqual">
      <formula>0</formula>
    </cfRule>
  </conditionalFormatting>
  <conditionalFormatting sqref="V24">
    <cfRule type="cellIs" dxfId="3512" priority="427" operator="equal">
      <formula>1</formula>
    </cfRule>
  </conditionalFormatting>
  <conditionalFormatting sqref="W25:W26">
    <cfRule type="cellIs" dxfId="3511" priority="425" operator="equal">
      <formula>0</formula>
    </cfRule>
    <cfRule type="cellIs" dxfId="3510" priority="426" operator="notEqual">
      <formula>0</formula>
    </cfRule>
  </conditionalFormatting>
  <conditionalFormatting sqref="W24">
    <cfRule type="cellIs" dxfId="3509" priority="424" operator="equal">
      <formula>1</formula>
    </cfRule>
  </conditionalFormatting>
  <conditionalFormatting sqref="X25:X26">
    <cfRule type="cellIs" dxfId="3508" priority="422" operator="equal">
      <formula>0</formula>
    </cfRule>
    <cfRule type="cellIs" dxfId="3507" priority="423" operator="notEqual">
      <formula>0</formula>
    </cfRule>
  </conditionalFormatting>
  <conditionalFormatting sqref="X24">
    <cfRule type="cellIs" dxfId="3506" priority="421" operator="equal">
      <formula>1</formula>
    </cfRule>
  </conditionalFormatting>
  <conditionalFormatting sqref="Y25:Y26">
    <cfRule type="cellIs" dxfId="3505" priority="419" operator="equal">
      <formula>0</formula>
    </cfRule>
    <cfRule type="cellIs" dxfId="3504" priority="420" operator="notEqual">
      <formula>0</formula>
    </cfRule>
  </conditionalFormatting>
  <conditionalFormatting sqref="Z25:Z26">
    <cfRule type="cellIs" dxfId="3503" priority="417" operator="equal">
      <formula>0</formula>
    </cfRule>
    <cfRule type="cellIs" dxfId="3502" priority="418" operator="notEqual">
      <formula>0</formula>
    </cfRule>
  </conditionalFormatting>
  <conditionalFormatting sqref="AA25:AA26">
    <cfRule type="cellIs" dxfId="3501" priority="415" operator="equal">
      <formula>0</formula>
    </cfRule>
    <cfRule type="cellIs" dxfId="3500" priority="416" operator="notEqual">
      <formula>0</formula>
    </cfRule>
  </conditionalFormatting>
  <conditionalFormatting sqref="AB25:AB26">
    <cfRule type="cellIs" dxfId="3499" priority="413" operator="equal">
      <formula>0</formula>
    </cfRule>
    <cfRule type="cellIs" dxfId="3498" priority="414" operator="notEqual">
      <formula>0</formula>
    </cfRule>
  </conditionalFormatting>
  <conditionalFormatting sqref="AG24">
    <cfRule type="cellIs" dxfId="3497" priority="411" operator="equal">
      <formula>0</formula>
    </cfRule>
    <cfRule type="cellIs" dxfId="3496" priority="412" operator="notEqual">
      <formula>0</formula>
    </cfRule>
  </conditionalFormatting>
  <conditionalFormatting sqref="AG27">
    <cfRule type="cellIs" dxfId="3495" priority="409" operator="equal">
      <formula>0</formula>
    </cfRule>
    <cfRule type="cellIs" dxfId="3494" priority="410" operator="notEqual">
      <formula>0</formula>
    </cfRule>
  </conditionalFormatting>
  <conditionalFormatting sqref="AH24">
    <cfRule type="cellIs" dxfId="3493" priority="407" operator="equal">
      <formula>0</formula>
    </cfRule>
    <cfRule type="cellIs" dxfId="3492" priority="408" operator="notEqual">
      <formula>0</formula>
    </cfRule>
  </conditionalFormatting>
  <conditionalFormatting sqref="AH27">
    <cfRule type="cellIs" dxfId="3491" priority="405" operator="equal">
      <formula>0</formula>
    </cfRule>
    <cfRule type="cellIs" dxfId="3490" priority="406" operator="notEqual">
      <formula>0</formula>
    </cfRule>
  </conditionalFormatting>
  <conditionalFormatting sqref="AI24">
    <cfRule type="cellIs" dxfId="3489" priority="403" operator="equal">
      <formula>0</formula>
    </cfRule>
    <cfRule type="cellIs" dxfId="3488" priority="404" operator="notEqual">
      <formula>0</formula>
    </cfRule>
  </conditionalFormatting>
  <conditionalFormatting sqref="AI27">
    <cfRule type="cellIs" dxfId="3487" priority="401" operator="equal">
      <formula>0</formula>
    </cfRule>
    <cfRule type="cellIs" dxfId="3486" priority="402" operator="notEqual">
      <formula>0</formula>
    </cfRule>
  </conditionalFormatting>
  <conditionalFormatting sqref="AJ24">
    <cfRule type="cellIs" dxfId="3485" priority="399" operator="equal">
      <formula>0</formula>
    </cfRule>
    <cfRule type="cellIs" dxfId="3484" priority="400" operator="notEqual">
      <formula>0</formula>
    </cfRule>
  </conditionalFormatting>
  <conditionalFormatting sqref="AJ27">
    <cfRule type="cellIs" dxfId="3483" priority="397" operator="equal">
      <formula>0</formula>
    </cfRule>
    <cfRule type="cellIs" dxfId="3482" priority="398" operator="notEqual">
      <formula>0</formula>
    </cfRule>
  </conditionalFormatting>
  <conditionalFormatting sqref="U18:U19">
    <cfRule type="cellIs" dxfId="3481" priority="395" operator="equal">
      <formula>0</formula>
    </cfRule>
    <cfRule type="cellIs" dxfId="3480" priority="396" operator="notEqual">
      <formula>0</formula>
    </cfRule>
  </conditionalFormatting>
  <conditionalFormatting sqref="U17">
    <cfRule type="cellIs" dxfId="3479" priority="394" operator="equal">
      <formula>1</formula>
    </cfRule>
  </conditionalFormatting>
  <conditionalFormatting sqref="V18:V19">
    <cfRule type="cellIs" dxfId="3478" priority="392" operator="equal">
      <formula>0</formula>
    </cfRule>
    <cfRule type="cellIs" dxfId="3477" priority="393" operator="notEqual">
      <formula>0</formula>
    </cfRule>
  </conditionalFormatting>
  <conditionalFormatting sqref="V17">
    <cfRule type="cellIs" dxfId="3476" priority="391" operator="equal">
      <formula>1</formula>
    </cfRule>
  </conditionalFormatting>
  <conditionalFormatting sqref="W18:W19">
    <cfRule type="cellIs" dxfId="3475" priority="389" operator="equal">
      <formula>0</formula>
    </cfRule>
    <cfRule type="cellIs" dxfId="3474" priority="390" operator="notEqual">
      <formula>0</formula>
    </cfRule>
  </conditionalFormatting>
  <conditionalFormatting sqref="W17">
    <cfRule type="cellIs" dxfId="3473" priority="388" operator="equal">
      <formula>1</formula>
    </cfRule>
  </conditionalFormatting>
  <conditionalFormatting sqref="X18:X19">
    <cfRule type="cellIs" dxfId="3472" priority="386" operator="equal">
      <formula>0</formula>
    </cfRule>
    <cfRule type="cellIs" dxfId="3471" priority="387" operator="notEqual">
      <formula>0</formula>
    </cfRule>
  </conditionalFormatting>
  <conditionalFormatting sqref="X17">
    <cfRule type="cellIs" dxfId="3470" priority="385" operator="equal">
      <formula>1</formula>
    </cfRule>
  </conditionalFormatting>
  <conditionalFormatting sqref="Y18:Y19">
    <cfRule type="cellIs" dxfId="3469" priority="383" operator="equal">
      <formula>0</formula>
    </cfRule>
    <cfRule type="cellIs" dxfId="3468" priority="384" operator="notEqual">
      <formula>0</formula>
    </cfRule>
  </conditionalFormatting>
  <conditionalFormatting sqref="Z18:Z19">
    <cfRule type="cellIs" dxfId="3467" priority="381" operator="equal">
      <formula>0</formula>
    </cfRule>
    <cfRule type="cellIs" dxfId="3466" priority="382" operator="notEqual">
      <formula>0</formula>
    </cfRule>
  </conditionalFormatting>
  <conditionalFormatting sqref="AA18:AA19">
    <cfRule type="cellIs" dxfId="3465" priority="379" operator="equal">
      <formula>0</formula>
    </cfRule>
    <cfRule type="cellIs" dxfId="3464" priority="380" operator="notEqual">
      <formula>0</formula>
    </cfRule>
  </conditionalFormatting>
  <conditionalFormatting sqref="AB18:AB19">
    <cfRule type="cellIs" dxfId="3463" priority="377" operator="equal">
      <formula>0</formula>
    </cfRule>
    <cfRule type="cellIs" dxfId="3462" priority="378" operator="notEqual">
      <formula>0</formula>
    </cfRule>
  </conditionalFormatting>
  <conditionalFormatting sqref="AG17">
    <cfRule type="cellIs" dxfId="3461" priority="375" operator="equal">
      <formula>0</formula>
    </cfRule>
    <cfRule type="cellIs" dxfId="3460" priority="376" operator="notEqual">
      <formula>0</formula>
    </cfRule>
  </conditionalFormatting>
  <conditionalFormatting sqref="AG20">
    <cfRule type="cellIs" dxfId="3459" priority="373" operator="equal">
      <formula>0</formula>
    </cfRule>
    <cfRule type="cellIs" dxfId="3458" priority="374" operator="notEqual">
      <formula>0</formula>
    </cfRule>
  </conditionalFormatting>
  <conditionalFormatting sqref="AH17">
    <cfRule type="cellIs" dxfId="3457" priority="371" operator="equal">
      <formula>0</formula>
    </cfRule>
    <cfRule type="cellIs" dxfId="3456" priority="372" operator="notEqual">
      <formula>0</formula>
    </cfRule>
  </conditionalFormatting>
  <conditionalFormatting sqref="AH20">
    <cfRule type="cellIs" dxfId="3455" priority="369" operator="equal">
      <formula>0</formula>
    </cfRule>
    <cfRule type="cellIs" dxfId="3454" priority="370" operator="notEqual">
      <formula>0</formula>
    </cfRule>
  </conditionalFormatting>
  <conditionalFormatting sqref="AI17">
    <cfRule type="cellIs" dxfId="3453" priority="367" operator="equal">
      <formula>0</formula>
    </cfRule>
    <cfRule type="cellIs" dxfId="3452" priority="368" operator="notEqual">
      <formula>0</formula>
    </cfRule>
  </conditionalFormatting>
  <conditionalFormatting sqref="AI20">
    <cfRule type="cellIs" dxfId="3451" priority="365" operator="equal">
      <formula>0</formula>
    </cfRule>
    <cfRule type="cellIs" dxfId="3450" priority="366" operator="notEqual">
      <formula>0</formula>
    </cfRule>
  </conditionalFormatting>
  <conditionalFormatting sqref="AJ17">
    <cfRule type="cellIs" dxfId="3449" priority="363" operator="equal">
      <formula>0</formula>
    </cfRule>
    <cfRule type="cellIs" dxfId="3448" priority="364" operator="notEqual">
      <formula>0</formula>
    </cfRule>
  </conditionalFormatting>
  <conditionalFormatting sqref="AJ20">
    <cfRule type="cellIs" dxfId="3447" priority="361" operator="equal">
      <formula>0</formula>
    </cfRule>
    <cfRule type="cellIs" dxfId="3446" priority="362" operator="notEqual">
      <formula>0</formula>
    </cfRule>
  </conditionalFormatting>
  <conditionalFormatting sqref="U11:U12">
    <cfRule type="cellIs" dxfId="3445" priority="359" operator="equal">
      <formula>0</formula>
    </cfRule>
    <cfRule type="cellIs" dxfId="3444" priority="360" operator="notEqual">
      <formula>0</formula>
    </cfRule>
  </conditionalFormatting>
  <conditionalFormatting sqref="U10">
    <cfRule type="cellIs" dxfId="3443" priority="358" operator="equal">
      <formula>1</formula>
    </cfRule>
  </conditionalFormatting>
  <conditionalFormatting sqref="V11:V12">
    <cfRule type="cellIs" dxfId="3442" priority="356" operator="equal">
      <formula>0</formula>
    </cfRule>
    <cfRule type="cellIs" dxfId="3441" priority="357" operator="notEqual">
      <formula>0</formula>
    </cfRule>
  </conditionalFormatting>
  <conditionalFormatting sqref="V10">
    <cfRule type="cellIs" dxfId="3440" priority="355" operator="equal">
      <formula>1</formula>
    </cfRule>
  </conditionalFormatting>
  <conditionalFormatting sqref="W11:W12">
    <cfRule type="cellIs" dxfId="3439" priority="353" operator="equal">
      <formula>0</formula>
    </cfRule>
    <cfRule type="cellIs" dxfId="3438" priority="354" operator="notEqual">
      <formula>0</formula>
    </cfRule>
  </conditionalFormatting>
  <conditionalFormatting sqref="W10">
    <cfRule type="cellIs" dxfId="3437" priority="352" operator="equal">
      <formula>1</formula>
    </cfRule>
  </conditionalFormatting>
  <conditionalFormatting sqref="X11:X12">
    <cfRule type="cellIs" dxfId="3436" priority="350" operator="equal">
      <formula>0</formula>
    </cfRule>
    <cfRule type="cellIs" dxfId="3435" priority="351" operator="notEqual">
      <formula>0</formula>
    </cfRule>
  </conditionalFormatting>
  <conditionalFormatting sqref="X10">
    <cfRule type="cellIs" dxfId="3434" priority="349" operator="equal">
      <formula>1</formula>
    </cfRule>
  </conditionalFormatting>
  <conditionalFormatting sqref="Y11:Y12">
    <cfRule type="cellIs" dxfId="3433" priority="347" operator="equal">
      <formula>0</formula>
    </cfRule>
    <cfRule type="cellIs" dxfId="3432" priority="348" operator="notEqual">
      <formula>0</formula>
    </cfRule>
  </conditionalFormatting>
  <conditionalFormatting sqref="Z11:Z12">
    <cfRule type="cellIs" dxfId="3431" priority="345" operator="equal">
      <formula>0</formula>
    </cfRule>
    <cfRule type="cellIs" dxfId="3430" priority="346" operator="notEqual">
      <formula>0</formula>
    </cfRule>
  </conditionalFormatting>
  <conditionalFormatting sqref="AA11:AA12">
    <cfRule type="cellIs" dxfId="3429" priority="343" operator="equal">
      <formula>0</formula>
    </cfRule>
    <cfRule type="cellIs" dxfId="3428" priority="344" operator="notEqual">
      <formula>0</formula>
    </cfRule>
  </conditionalFormatting>
  <conditionalFormatting sqref="AB11:AB12">
    <cfRule type="cellIs" dxfId="3427" priority="341" operator="equal">
      <formula>0</formula>
    </cfRule>
    <cfRule type="cellIs" dxfId="3426" priority="342" operator="notEqual">
      <formula>0</formula>
    </cfRule>
  </conditionalFormatting>
  <conditionalFormatting sqref="AG10">
    <cfRule type="cellIs" dxfId="3425" priority="339" operator="equal">
      <formula>0</formula>
    </cfRule>
    <cfRule type="cellIs" dxfId="3424" priority="340" operator="notEqual">
      <formula>0</formula>
    </cfRule>
  </conditionalFormatting>
  <conditionalFormatting sqref="AG13">
    <cfRule type="cellIs" dxfId="3423" priority="337" operator="equal">
      <formula>0</formula>
    </cfRule>
    <cfRule type="cellIs" dxfId="3422" priority="338" operator="notEqual">
      <formula>0</formula>
    </cfRule>
  </conditionalFormatting>
  <conditionalFormatting sqref="AH10">
    <cfRule type="cellIs" dxfId="3421" priority="335" operator="equal">
      <formula>0</formula>
    </cfRule>
    <cfRule type="cellIs" dxfId="3420" priority="336" operator="notEqual">
      <formula>0</formula>
    </cfRule>
  </conditionalFormatting>
  <conditionalFormatting sqref="AH13">
    <cfRule type="cellIs" dxfId="3419" priority="333" operator="equal">
      <formula>0</formula>
    </cfRule>
    <cfRule type="cellIs" dxfId="3418" priority="334" operator="notEqual">
      <formula>0</formula>
    </cfRule>
  </conditionalFormatting>
  <conditionalFormatting sqref="AI10">
    <cfRule type="cellIs" dxfId="3417" priority="331" operator="equal">
      <formula>0</formula>
    </cfRule>
    <cfRule type="cellIs" dxfId="3416" priority="332" operator="notEqual">
      <formula>0</formula>
    </cfRule>
  </conditionalFormatting>
  <conditionalFormatting sqref="AI13">
    <cfRule type="cellIs" dxfId="3415" priority="329" operator="equal">
      <formula>0</formula>
    </cfRule>
    <cfRule type="cellIs" dxfId="3414" priority="330" operator="notEqual">
      <formula>0</formula>
    </cfRule>
  </conditionalFormatting>
  <conditionalFormatting sqref="AJ10">
    <cfRule type="cellIs" dxfId="3413" priority="327" operator="equal">
      <formula>0</formula>
    </cfRule>
    <cfRule type="cellIs" dxfId="3412" priority="328" operator="notEqual">
      <formula>0</formula>
    </cfRule>
  </conditionalFormatting>
  <conditionalFormatting sqref="AJ13">
    <cfRule type="cellIs" dxfId="3411" priority="325" operator="equal">
      <formula>0</formula>
    </cfRule>
    <cfRule type="cellIs" dxfId="3410" priority="326" operator="notEqual">
      <formula>0</formula>
    </cfRule>
  </conditionalFormatting>
  <conditionalFormatting sqref="U74:U75">
    <cfRule type="cellIs" dxfId="3409" priority="323" operator="equal">
      <formula>0</formula>
    </cfRule>
    <cfRule type="cellIs" dxfId="3408" priority="324" operator="notEqual">
      <formula>0</formula>
    </cfRule>
  </conditionalFormatting>
  <conditionalFormatting sqref="U73">
    <cfRule type="cellIs" dxfId="3407" priority="322" operator="equal">
      <formula>1</formula>
    </cfRule>
  </conditionalFormatting>
  <conditionalFormatting sqref="V74:V75">
    <cfRule type="cellIs" dxfId="3406" priority="320" operator="equal">
      <formula>0</formula>
    </cfRule>
    <cfRule type="cellIs" dxfId="3405" priority="321" operator="notEqual">
      <formula>0</formula>
    </cfRule>
  </conditionalFormatting>
  <conditionalFormatting sqref="V73">
    <cfRule type="cellIs" dxfId="3404" priority="319" operator="equal">
      <formula>1</formula>
    </cfRule>
  </conditionalFormatting>
  <conditionalFormatting sqref="W74:W75">
    <cfRule type="cellIs" dxfId="3403" priority="317" operator="equal">
      <formula>0</formula>
    </cfRule>
    <cfRule type="cellIs" dxfId="3402" priority="318" operator="notEqual">
      <formula>0</formula>
    </cfRule>
  </conditionalFormatting>
  <conditionalFormatting sqref="W73">
    <cfRule type="cellIs" dxfId="3401" priority="316" operator="equal">
      <formula>1</formula>
    </cfRule>
  </conditionalFormatting>
  <conditionalFormatting sqref="X74:X75">
    <cfRule type="cellIs" dxfId="3400" priority="314" operator="equal">
      <formula>0</formula>
    </cfRule>
    <cfRule type="cellIs" dxfId="3399" priority="315" operator="notEqual">
      <formula>0</formula>
    </cfRule>
  </conditionalFormatting>
  <conditionalFormatting sqref="X73">
    <cfRule type="cellIs" dxfId="3398" priority="313" operator="equal">
      <formula>1</formula>
    </cfRule>
  </conditionalFormatting>
  <conditionalFormatting sqref="Y74:Y75">
    <cfRule type="cellIs" dxfId="3397" priority="311" operator="equal">
      <formula>0</formula>
    </cfRule>
    <cfRule type="cellIs" dxfId="3396" priority="312" operator="notEqual">
      <formula>0</formula>
    </cfRule>
  </conditionalFormatting>
  <conditionalFormatting sqref="Z74:Z75">
    <cfRule type="cellIs" dxfId="3395" priority="309" operator="equal">
      <formula>0</formula>
    </cfRule>
    <cfRule type="cellIs" dxfId="3394" priority="310" operator="notEqual">
      <formula>0</formula>
    </cfRule>
  </conditionalFormatting>
  <conditionalFormatting sqref="AA74:AA75">
    <cfRule type="cellIs" dxfId="3393" priority="307" operator="equal">
      <formula>0</formula>
    </cfRule>
    <cfRule type="cellIs" dxfId="3392" priority="308" operator="notEqual">
      <formula>0</formula>
    </cfRule>
  </conditionalFormatting>
  <conditionalFormatting sqref="AB74:AB75">
    <cfRule type="cellIs" dxfId="3391" priority="305" operator="equal">
      <formula>0</formula>
    </cfRule>
    <cfRule type="cellIs" dxfId="3390" priority="306" operator="notEqual">
      <formula>0</formula>
    </cfRule>
  </conditionalFormatting>
  <conditionalFormatting sqref="AG73">
    <cfRule type="cellIs" dxfId="3389" priority="303" operator="equal">
      <formula>0</formula>
    </cfRule>
    <cfRule type="cellIs" dxfId="3388" priority="304" operator="notEqual">
      <formula>0</formula>
    </cfRule>
  </conditionalFormatting>
  <conditionalFormatting sqref="AG76">
    <cfRule type="cellIs" dxfId="3387" priority="301" operator="equal">
      <formula>0</formula>
    </cfRule>
    <cfRule type="cellIs" dxfId="3386" priority="302" operator="notEqual">
      <formula>0</formula>
    </cfRule>
  </conditionalFormatting>
  <conditionalFormatting sqref="AH73">
    <cfRule type="cellIs" dxfId="3385" priority="299" operator="equal">
      <formula>0</formula>
    </cfRule>
    <cfRule type="cellIs" dxfId="3384" priority="300" operator="notEqual">
      <formula>0</formula>
    </cfRule>
  </conditionalFormatting>
  <conditionalFormatting sqref="AH76">
    <cfRule type="cellIs" dxfId="3383" priority="297" operator="equal">
      <formula>0</formula>
    </cfRule>
    <cfRule type="cellIs" dxfId="3382" priority="298" operator="notEqual">
      <formula>0</formula>
    </cfRule>
  </conditionalFormatting>
  <conditionalFormatting sqref="AI73">
    <cfRule type="cellIs" dxfId="3381" priority="295" operator="equal">
      <formula>0</formula>
    </cfRule>
    <cfRule type="cellIs" dxfId="3380" priority="296" operator="notEqual">
      <formula>0</formula>
    </cfRule>
  </conditionalFormatting>
  <conditionalFormatting sqref="AI76">
    <cfRule type="cellIs" dxfId="3379" priority="293" operator="equal">
      <formula>0</formula>
    </cfRule>
    <cfRule type="cellIs" dxfId="3378" priority="294" operator="notEqual">
      <formula>0</formula>
    </cfRule>
  </conditionalFormatting>
  <conditionalFormatting sqref="AJ73">
    <cfRule type="cellIs" dxfId="3377" priority="291" operator="equal">
      <formula>0</formula>
    </cfRule>
    <cfRule type="cellIs" dxfId="3376" priority="292" operator="notEqual">
      <formula>0</formula>
    </cfRule>
  </conditionalFormatting>
  <conditionalFormatting sqref="AJ76">
    <cfRule type="cellIs" dxfId="3375" priority="289" operator="equal">
      <formula>0</formula>
    </cfRule>
    <cfRule type="cellIs" dxfId="3374" priority="290" operator="notEqual">
      <formula>0</formula>
    </cfRule>
  </conditionalFormatting>
  <conditionalFormatting sqref="U81:U82">
    <cfRule type="cellIs" dxfId="3373" priority="287" operator="equal">
      <formula>0</formula>
    </cfRule>
    <cfRule type="cellIs" dxfId="3372" priority="288" operator="notEqual">
      <formula>0</formula>
    </cfRule>
  </conditionalFormatting>
  <conditionalFormatting sqref="U80">
    <cfRule type="cellIs" dxfId="3371" priority="286" operator="equal">
      <formula>1</formula>
    </cfRule>
  </conditionalFormatting>
  <conditionalFormatting sqref="V81:V82">
    <cfRule type="cellIs" dxfId="3370" priority="284" operator="equal">
      <formula>0</formula>
    </cfRule>
    <cfRule type="cellIs" dxfId="3369" priority="285" operator="notEqual">
      <formula>0</formula>
    </cfRule>
  </conditionalFormatting>
  <conditionalFormatting sqref="V80">
    <cfRule type="cellIs" dxfId="3368" priority="283" operator="equal">
      <formula>1</formula>
    </cfRule>
  </conditionalFormatting>
  <conditionalFormatting sqref="W81:W82">
    <cfRule type="cellIs" dxfId="3367" priority="281" operator="equal">
      <formula>0</formula>
    </cfRule>
    <cfRule type="cellIs" dxfId="3366" priority="282" operator="notEqual">
      <formula>0</formula>
    </cfRule>
  </conditionalFormatting>
  <conditionalFormatting sqref="W80">
    <cfRule type="cellIs" dxfId="3365" priority="280" operator="equal">
      <formula>1</formula>
    </cfRule>
  </conditionalFormatting>
  <conditionalFormatting sqref="X81:X82">
    <cfRule type="cellIs" dxfId="3364" priority="278" operator="equal">
      <formula>0</formula>
    </cfRule>
    <cfRule type="cellIs" dxfId="3363" priority="279" operator="notEqual">
      <formula>0</formula>
    </cfRule>
  </conditionalFormatting>
  <conditionalFormatting sqref="X80">
    <cfRule type="cellIs" dxfId="3362" priority="277" operator="equal">
      <formula>1</formula>
    </cfRule>
  </conditionalFormatting>
  <conditionalFormatting sqref="Y81:Y82">
    <cfRule type="cellIs" dxfId="3361" priority="275" operator="equal">
      <formula>0</formula>
    </cfRule>
    <cfRule type="cellIs" dxfId="3360" priority="276" operator="notEqual">
      <formula>0</formula>
    </cfRule>
  </conditionalFormatting>
  <conditionalFormatting sqref="Z81:Z82">
    <cfRule type="cellIs" dxfId="3359" priority="273" operator="equal">
      <formula>0</formula>
    </cfRule>
    <cfRule type="cellIs" dxfId="3358" priority="274" operator="notEqual">
      <formula>0</formula>
    </cfRule>
  </conditionalFormatting>
  <conditionalFormatting sqref="AA81:AA82">
    <cfRule type="cellIs" dxfId="3357" priority="271" operator="equal">
      <formula>0</formula>
    </cfRule>
    <cfRule type="cellIs" dxfId="3356" priority="272" operator="notEqual">
      <formula>0</formula>
    </cfRule>
  </conditionalFormatting>
  <conditionalFormatting sqref="AB81:AB82">
    <cfRule type="cellIs" dxfId="3355" priority="269" operator="equal">
      <formula>0</formula>
    </cfRule>
    <cfRule type="cellIs" dxfId="3354" priority="270" operator="notEqual">
      <formula>0</formula>
    </cfRule>
  </conditionalFormatting>
  <conditionalFormatting sqref="AG80">
    <cfRule type="cellIs" dxfId="3353" priority="267" operator="equal">
      <formula>0</formula>
    </cfRule>
    <cfRule type="cellIs" dxfId="3352" priority="268" operator="notEqual">
      <formula>0</formula>
    </cfRule>
  </conditionalFormatting>
  <conditionalFormatting sqref="AG83">
    <cfRule type="cellIs" dxfId="3351" priority="265" operator="equal">
      <formula>0</formula>
    </cfRule>
    <cfRule type="cellIs" dxfId="3350" priority="266" operator="notEqual">
      <formula>0</formula>
    </cfRule>
  </conditionalFormatting>
  <conditionalFormatting sqref="AH80">
    <cfRule type="cellIs" dxfId="3349" priority="263" operator="equal">
      <formula>0</formula>
    </cfRule>
    <cfRule type="cellIs" dxfId="3348" priority="264" operator="notEqual">
      <formula>0</formula>
    </cfRule>
  </conditionalFormatting>
  <conditionalFormatting sqref="AH83">
    <cfRule type="cellIs" dxfId="3347" priority="261" operator="equal">
      <formula>0</formula>
    </cfRule>
    <cfRule type="cellIs" dxfId="3346" priority="262" operator="notEqual">
      <formula>0</formula>
    </cfRule>
  </conditionalFormatting>
  <conditionalFormatting sqref="AI80">
    <cfRule type="cellIs" dxfId="3345" priority="259" operator="equal">
      <formula>0</formula>
    </cfRule>
    <cfRule type="cellIs" dxfId="3344" priority="260" operator="notEqual">
      <formula>0</formula>
    </cfRule>
  </conditionalFormatting>
  <conditionalFormatting sqref="AI83">
    <cfRule type="cellIs" dxfId="3343" priority="257" operator="equal">
      <formula>0</formula>
    </cfRule>
    <cfRule type="cellIs" dxfId="3342" priority="258" operator="notEqual">
      <formula>0</formula>
    </cfRule>
  </conditionalFormatting>
  <conditionalFormatting sqref="AJ80">
    <cfRule type="cellIs" dxfId="3341" priority="255" operator="equal">
      <formula>0</formula>
    </cfRule>
    <cfRule type="cellIs" dxfId="3340" priority="256" operator="notEqual">
      <formula>0</formula>
    </cfRule>
  </conditionalFormatting>
  <conditionalFormatting sqref="AJ83">
    <cfRule type="cellIs" dxfId="3339" priority="253" operator="equal">
      <formula>0</formula>
    </cfRule>
    <cfRule type="cellIs" dxfId="3338" priority="254" operator="notEqual">
      <formula>0</formula>
    </cfRule>
  </conditionalFormatting>
  <conditionalFormatting sqref="U88:U89">
    <cfRule type="cellIs" dxfId="3337" priority="251" operator="equal">
      <formula>0</formula>
    </cfRule>
    <cfRule type="cellIs" dxfId="3336" priority="252" operator="notEqual">
      <formula>0</formula>
    </cfRule>
  </conditionalFormatting>
  <conditionalFormatting sqref="U87">
    <cfRule type="cellIs" dxfId="3335" priority="250" operator="equal">
      <formula>1</formula>
    </cfRule>
  </conditionalFormatting>
  <conditionalFormatting sqref="V88:V89">
    <cfRule type="cellIs" dxfId="3334" priority="248" operator="equal">
      <formula>0</formula>
    </cfRule>
    <cfRule type="cellIs" dxfId="3333" priority="249" operator="notEqual">
      <formula>0</formula>
    </cfRule>
  </conditionalFormatting>
  <conditionalFormatting sqref="V87">
    <cfRule type="cellIs" dxfId="3332" priority="247" operator="equal">
      <formula>1</formula>
    </cfRule>
  </conditionalFormatting>
  <conditionalFormatting sqref="W88:W89">
    <cfRule type="cellIs" dxfId="3331" priority="245" operator="equal">
      <formula>0</formula>
    </cfRule>
    <cfRule type="cellIs" dxfId="3330" priority="246" operator="notEqual">
      <formula>0</formula>
    </cfRule>
  </conditionalFormatting>
  <conditionalFormatting sqref="W87">
    <cfRule type="cellIs" dxfId="3329" priority="244" operator="equal">
      <formula>1</formula>
    </cfRule>
  </conditionalFormatting>
  <conditionalFormatting sqref="X88:X89">
    <cfRule type="cellIs" dxfId="3328" priority="242" operator="equal">
      <formula>0</formula>
    </cfRule>
    <cfRule type="cellIs" dxfId="3327" priority="243" operator="notEqual">
      <formula>0</formula>
    </cfRule>
  </conditionalFormatting>
  <conditionalFormatting sqref="X87">
    <cfRule type="cellIs" dxfId="3326" priority="241" operator="equal">
      <formula>1</formula>
    </cfRule>
  </conditionalFormatting>
  <conditionalFormatting sqref="Y88:Y89">
    <cfRule type="cellIs" dxfId="3325" priority="239" operator="equal">
      <formula>0</formula>
    </cfRule>
    <cfRule type="cellIs" dxfId="3324" priority="240" operator="notEqual">
      <formula>0</formula>
    </cfRule>
  </conditionalFormatting>
  <conditionalFormatting sqref="Z88:Z89">
    <cfRule type="cellIs" dxfId="3323" priority="237" operator="equal">
      <formula>0</formula>
    </cfRule>
    <cfRule type="cellIs" dxfId="3322" priority="238" operator="notEqual">
      <formula>0</formula>
    </cfRule>
  </conditionalFormatting>
  <conditionalFormatting sqref="AA88:AA89">
    <cfRule type="cellIs" dxfId="3321" priority="235" operator="equal">
      <formula>0</formula>
    </cfRule>
    <cfRule type="cellIs" dxfId="3320" priority="236" operator="notEqual">
      <formula>0</formula>
    </cfRule>
  </conditionalFormatting>
  <conditionalFormatting sqref="AB88:AB89">
    <cfRule type="cellIs" dxfId="3319" priority="233" operator="equal">
      <formula>0</formula>
    </cfRule>
    <cfRule type="cellIs" dxfId="3318" priority="234" operator="notEqual">
      <formula>0</formula>
    </cfRule>
  </conditionalFormatting>
  <conditionalFormatting sqref="AG87">
    <cfRule type="cellIs" dxfId="3317" priority="231" operator="equal">
      <formula>0</formula>
    </cfRule>
    <cfRule type="cellIs" dxfId="3316" priority="232" operator="notEqual">
      <formula>0</formula>
    </cfRule>
  </conditionalFormatting>
  <conditionalFormatting sqref="AG90">
    <cfRule type="cellIs" dxfId="3315" priority="229" operator="equal">
      <formula>0</formula>
    </cfRule>
    <cfRule type="cellIs" dxfId="3314" priority="230" operator="notEqual">
      <formula>0</formula>
    </cfRule>
  </conditionalFormatting>
  <conditionalFormatting sqref="AH87">
    <cfRule type="cellIs" dxfId="3313" priority="227" operator="equal">
      <formula>0</formula>
    </cfRule>
    <cfRule type="cellIs" dxfId="3312" priority="228" operator="notEqual">
      <formula>0</formula>
    </cfRule>
  </conditionalFormatting>
  <conditionalFormatting sqref="AH90">
    <cfRule type="cellIs" dxfId="3311" priority="225" operator="equal">
      <formula>0</formula>
    </cfRule>
    <cfRule type="cellIs" dxfId="3310" priority="226" operator="notEqual">
      <formula>0</formula>
    </cfRule>
  </conditionalFormatting>
  <conditionalFormatting sqref="AI87">
    <cfRule type="cellIs" dxfId="3309" priority="223" operator="equal">
      <formula>0</formula>
    </cfRule>
    <cfRule type="cellIs" dxfId="3308" priority="224" operator="notEqual">
      <formula>0</formula>
    </cfRule>
  </conditionalFormatting>
  <conditionalFormatting sqref="AI90">
    <cfRule type="cellIs" dxfId="3307" priority="221" operator="equal">
      <formula>0</formula>
    </cfRule>
    <cfRule type="cellIs" dxfId="3306" priority="222" operator="notEqual">
      <formula>0</formula>
    </cfRule>
  </conditionalFormatting>
  <conditionalFormatting sqref="AJ87">
    <cfRule type="cellIs" dxfId="3305" priority="219" operator="equal">
      <formula>0</formula>
    </cfRule>
    <cfRule type="cellIs" dxfId="3304" priority="220" operator="notEqual">
      <formula>0</formula>
    </cfRule>
  </conditionalFormatting>
  <conditionalFormatting sqref="AJ90">
    <cfRule type="cellIs" dxfId="3303" priority="217" operator="equal">
      <formula>0</formula>
    </cfRule>
    <cfRule type="cellIs" dxfId="3302" priority="218" operator="notEqual">
      <formula>0</formula>
    </cfRule>
  </conditionalFormatting>
  <conditionalFormatting sqref="U95:U96">
    <cfRule type="cellIs" dxfId="3301" priority="215" operator="equal">
      <formula>0</formula>
    </cfRule>
    <cfRule type="cellIs" dxfId="3300" priority="216" operator="notEqual">
      <formula>0</formula>
    </cfRule>
  </conditionalFormatting>
  <conditionalFormatting sqref="U94">
    <cfRule type="cellIs" dxfId="3299" priority="214" operator="equal">
      <formula>1</formula>
    </cfRule>
  </conditionalFormatting>
  <conditionalFormatting sqref="V95:V96">
    <cfRule type="cellIs" dxfId="3298" priority="212" operator="equal">
      <formula>0</formula>
    </cfRule>
    <cfRule type="cellIs" dxfId="3297" priority="213" operator="notEqual">
      <formula>0</formula>
    </cfRule>
  </conditionalFormatting>
  <conditionalFormatting sqref="V94">
    <cfRule type="cellIs" dxfId="3296" priority="211" operator="equal">
      <formula>1</formula>
    </cfRule>
  </conditionalFormatting>
  <conditionalFormatting sqref="W95:W96">
    <cfRule type="cellIs" dxfId="3295" priority="209" operator="equal">
      <formula>0</formula>
    </cfRule>
    <cfRule type="cellIs" dxfId="3294" priority="210" operator="notEqual">
      <formula>0</formula>
    </cfRule>
  </conditionalFormatting>
  <conditionalFormatting sqref="W94">
    <cfRule type="cellIs" dxfId="3293" priority="208" operator="equal">
      <formula>1</formula>
    </cfRule>
  </conditionalFormatting>
  <conditionalFormatting sqref="X95:X96">
    <cfRule type="cellIs" dxfId="3292" priority="206" operator="equal">
      <formula>0</formula>
    </cfRule>
    <cfRule type="cellIs" dxfId="3291" priority="207" operator="notEqual">
      <formula>0</formula>
    </cfRule>
  </conditionalFormatting>
  <conditionalFormatting sqref="X94">
    <cfRule type="cellIs" dxfId="3290" priority="205" operator="equal">
      <formula>1</formula>
    </cfRule>
  </conditionalFormatting>
  <conditionalFormatting sqref="Y95:Y96">
    <cfRule type="cellIs" dxfId="3289" priority="203" operator="equal">
      <formula>0</formula>
    </cfRule>
    <cfRule type="cellIs" dxfId="3288" priority="204" operator="notEqual">
      <formula>0</formula>
    </cfRule>
  </conditionalFormatting>
  <conditionalFormatting sqref="Z95:Z96">
    <cfRule type="cellIs" dxfId="3287" priority="201" operator="equal">
      <formula>0</formula>
    </cfRule>
    <cfRule type="cellIs" dxfId="3286" priority="202" operator="notEqual">
      <formula>0</formula>
    </cfRule>
  </conditionalFormatting>
  <conditionalFormatting sqref="AA95:AA96">
    <cfRule type="cellIs" dxfId="3285" priority="199" operator="equal">
      <formula>0</formula>
    </cfRule>
    <cfRule type="cellIs" dxfId="3284" priority="200" operator="notEqual">
      <formula>0</formula>
    </cfRule>
  </conditionalFormatting>
  <conditionalFormatting sqref="AB95:AB96">
    <cfRule type="cellIs" dxfId="3283" priority="197" operator="equal">
      <formula>0</formula>
    </cfRule>
    <cfRule type="cellIs" dxfId="3282" priority="198" operator="notEqual">
      <formula>0</formula>
    </cfRule>
  </conditionalFormatting>
  <conditionalFormatting sqref="AG94">
    <cfRule type="cellIs" dxfId="3281" priority="195" operator="equal">
      <formula>0</formula>
    </cfRule>
    <cfRule type="cellIs" dxfId="3280" priority="196" operator="notEqual">
      <formula>0</formula>
    </cfRule>
  </conditionalFormatting>
  <conditionalFormatting sqref="AG97">
    <cfRule type="cellIs" dxfId="3279" priority="193" operator="equal">
      <formula>0</formula>
    </cfRule>
    <cfRule type="cellIs" dxfId="3278" priority="194" operator="notEqual">
      <formula>0</formula>
    </cfRule>
  </conditionalFormatting>
  <conditionalFormatting sqref="AH94">
    <cfRule type="cellIs" dxfId="3277" priority="191" operator="equal">
      <formula>0</formula>
    </cfRule>
    <cfRule type="cellIs" dxfId="3276" priority="192" operator="notEqual">
      <formula>0</formula>
    </cfRule>
  </conditionalFormatting>
  <conditionalFormatting sqref="AH97">
    <cfRule type="cellIs" dxfId="3275" priority="189" operator="equal">
      <formula>0</formula>
    </cfRule>
    <cfRule type="cellIs" dxfId="3274" priority="190" operator="notEqual">
      <formula>0</formula>
    </cfRule>
  </conditionalFormatting>
  <conditionalFormatting sqref="AI94">
    <cfRule type="cellIs" dxfId="3273" priority="187" operator="equal">
      <formula>0</formula>
    </cfRule>
    <cfRule type="cellIs" dxfId="3272" priority="188" operator="notEqual">
      <formula>0</formula>
    </cfRule>
  </conditionalFormatting>
  <conditionalFormatting sqref="AI97">
    <cfRule type="cellIs" dxfId="3271" priority="185" operator="equal">
      <formula>0</formula>
    </cfRule>
    <cfRule type="cellIs" dxfId="3270" priority="186" operator="notEqual">
      <formula>0</formula>
    </cfRule>
  </conditionalFormatting>
  <conditionalFormatting sqref="AJ94">
    <cfRule type="cellIs" dxfId="3269" priority="183" operator="equal">
      <formula>0</formula>
    </cfRule>
    <cfRule type="cellIs" dxfId="3268" priority="184" operator="notEqual">
      <formula>0</formula>
    </cfRule>
  </conditionalFormatting>
  <conditionalFormatting sqref="AJ97">
    <cfRule type="cellIs" dxfId="3267" priority="181" operator="equal">
      <formula>0</formula>
    </cfRule>
    <cfRule type="cellIs" dxfId="3266" priority="182" operator="notEqual">
      <formula>0</formula>
    </cfRule>
  </conditionalFormatting>
  <conditionalFormatting sqref="U102:U103">
    <cfRule type="cellIs" dxfId="3265" priority="179" operator="equal">
      <formula>0</formula>
    </cfRule>
    <cfRule type="cellIs" dxfId="3264" priority="180" operator="notEqual">
      <formula>0</formula>
    </cfRule>
  </conditionalFormatting>
  <conditionalFormatting sqref="U101">
    <cfRule type="cellIs" dxfId="3263" priority="178" operator="equal">
      <formula>1</formula>
    </cfRule>
  </conditionalFormatting>
  <conditionalFormatting sqref="V102:V103">
    <cfRule type="cellIs" dxfId="3262" priority="176" operator="equal">
      <formula>0</formula>
    </cfRule>
    <cfRule type="cellIs" dxfId="3261" priority="177" operator="notEqual">
      <formula>0</formula>
    </cfRule>
  </conditionalFormatting>
  <conditionalFormatting sqref="V101">
    <cfRule type="cellIs" dxfId="3260" priority="175" operator="equal">
      <formula>1</formula>
    </cfRule>
  </conditionalFormatting>
  <conditionalFormatting sqref="W102:W103">
    <cfRule type="cellIs" dxfId="3259" priority="173" operator="equal">
      <formula>0</formula>
    </cfRule>
    <cfRule type="cellIs" dxfId="3258" priority="174" operator="notEqual">
      <formula>0</formula>
    </cfRule>
  </conditionalFormatting>
  <conditionalFormatting sqref="W101">
    <cfRule type="cellIs" dxfId="3257" priority="172" operator="equal">
      <formula>1</formula>
    </cfRule>
  </conditionalFormatting>
  <conditionalFormatting sqref="X102:X103">
    <cfRule type="cellIs" dxfId="3256" priority="170" operator="equal">
      <formula>0</formula>
    </cfRule>
    <cfRule type="cellIs" dxfId="3255" priority="171" operator="notEqual">
      <formula>0</formula>
    </cfRule>
  </conditionalFormatting>
  <conditionalFormatting sqref="X101">
    <cfRule type="cellIs" dxfId="3254" priority="169" operator="equal">
      <formula>1</formula>
    </cfRule>
  </conditionalFormatting>
  <conditionalFormatting sqref="Y102:Y103">
    <cfRule type="cellIs" dxfId="3253" priority="167" operator="equal">
      <formula>0</formula>
    </cfRule>
    <cfRule type="cellIs" dxfId="3252" priority="168" operator="notEqual">
      <formula>0</formula>
    </cfRule>
  </conditionalFormatting>
  <conditionalFormatting sqref="Z102:Z103">
    <cfRule type="cellIs" dxfId="3251" priority="165" operator="equal">
      <formula>0</formula>
    </cfRule>
    <cfRule type="cellIs" dxfId="3250" priority="166" operator="notEqual">
      <formula>0</formula>
    </cfRule>
  </conditionalFormatting>
  <conditionalFormatting sqref="AA102:AA103">
    <cfRule type="cellIs" dxfId="3249" priority="163" operator="equal">
      <formula>0</formula>
    </cfRule>
    <cfRule type="cellIs" dxfId="3248" priority="164" operator="notEqual">
      <formula>0</formula>
    </cfRule>
  </conditionalFormatting>
  <conditionalFormatting sqref="AB102:AB103">
    <cfRule type="cellIs" dxfId="3247" priority="161" operator="equal">
      <formula>0</formula>
    </cfRule>
    <cfRule type="cellIs" dxfId="3246" priority="162" operator="notEqual">
      <formula>0</formula>
    </cfRule>
  </conditionalFormatting>
  <conditionalFormatting sqref="AG101">
    <cfRule type="cellIs" dxfId="3245" priority="159" operator="equal">
      <formula>0</formula>
    </cfRule>
    <cfRule type="cellIs" dxfId="3244" priority="160" operator="notEqual">
      <formula>0</formula>
    </cfRule>
  </conditionalFormatting>
  <conditionalFormatting sqref="AG104">
    <cfRule type="cellIs" dxfId="3243" priority="157" operator="equal">
      <formula>0</formula>
    </cfRule>
    <cfRule type="cellIs" dxfId="3242" priority="158" operator="notEqual">
      <formula>0</formula>
    </cfRule>
  </conditionalFormatting>
  <conditionalFormatting sqref="AH101">
    <cfRule type="cellIs" dxfId="3241" priority="155" operator="equal">
      <formula>0</formula>
    </cfRule>
    <cfRule type="cellIs" dxfId="3240" priority="156" operator="notEqual">
      <formula>0</formula>
    </cfRule>
  </conditionalFormatting>
  <conditionalFormatting sqref="AH104">
    <cfRule type="cellIs" dxfId="3239" priority="153" operator="equal">
      <formula>0</formula>
    </cfRule>
    <cfRule type="cellIs" dxfId="3238" priority="154" operator="notEqual">
      <formula>0</formula>
    </cfRule>
  </conditionalFormatting>
  <conditionalFormatting sqref="AI101">
    <cfRule type="cellIs" dxfId="3237" priority="151" operator="equal">
      <formula>0</formula>
    </cfRule>
    <cfRule type="cellIs" dxfId="3236" priority="152" operator="notEqual">
      <formula>0</formula>
    </cfRule>
  </conditionalFormatting>
  <conditionalFormatting sqref="AI104">
    <cfRule type="cellIs" dxfId="3235" priority="149" operator="equal">
      <formula>0</formula>
    </cfRule>
    <cfRule type="cellIs" dxfId="3234" priority="150" operator="notEqual">
      <formula>0</formula>
    </cfRule>
  </conditionalFormatting>
  <conditionalFormatting sqref="AJ101">
    <cfRule type="cellIs" dxfId="3233" priority="147" operator="equal">
      <formula>0</formula>
    </cfRule>
    <cfRule type="cellIs" dxfId="3232" priority="148" operator="notEqual">
      <formula>0</formula>
    </cfRule>
  </conditionalFormatting>
  <conditionalFormatting sqref="AJ104">
    <cfRule type="cellIs" dxfId="3231" priority="145" operator="equal">
      <formula>0</formula>
    </cfRule>
    <cfRule type="cellIs" dxfId="3230" priority="146" operator="notEqual">
      <formula>0</formula>
    </cfRule>
  </conditionalFormatting>
  <conditionalFormatting sqref="C81:C82">
    <cfRule type="cellIs" dxfId="3229" priority="143" operator="equal">
      <formula>0</formula>
    </cfRule>
    <cfRule type="cellIs" dxfId="3228" priority="144" operator="notEqual">
      <formula>0</formula>
    </cfRule>
  </conditionalFormatting>
  <conditionalFormatting sqref="C80">
    <cfRule type="cellIs" dxfId="3227" priority="142" operator="equal">
      <formula>1</formula>
    </cfRule>
  </conditionalFormatting>
  <conditionalFormatting sqref="D81:D82">
    <cfRule type="cellIs" dxfId="3226" priority="140" operator="equal">
      <formula>0</formula>
    </cfRule>
    <cfRule type="cellIs" dxfId="3225" priority="141" operator="notEqual">
      <formula>0</formula>
    </cfRule>
  </conditionalFormatting>
  <conditionalFormatting sqref="D80">
    <cfRule type="cellIs" dxfId="3224" priority="139" operator="equal">
      <formula>1</formula>
    </cfRule>
  </conditionalFormatting>
  <conditionalFormatting sqref="E81:E82">
    <cfRule type="cellIs" dxfId="3223" priority="137" operator="equal">
      <formula>0</formula>
    </cfRule>
    <cfRule type="cellIs" dxfId="3222" priority="138" operator="notEqual">
      <formula>0</formula>
    </cfRule>
  </conditionalFormatting>
  <conditionalFormatting sqref="E80">
    <cfRule type="cellIs" dxfId="3221" priority="136" operator="equal">
      <formula>1</formula>
    </cfRule>
  </conditionalFormatting>
  <conditionalFormatting sqref="F81:F82">
    <cfRule type="cellIs" dxfId="3220" priority="134" operator="equal">
      <formula>0</formula>
    </cfRule>
    <cfRule type="cellIs" dxfId="3219" priority="135" operator="notEqual">
      <formula>0</formula>
    </cfRule>
  </conditionalFormatting>
  <conditionalFormatting sqref="F80">
    <cfRule type="cellIs" dxfId="3218" priority="133" operator="equal">
      <formula>1</formula>
    </cfRule>
  </conditionalFormatting>
  <conditionalFormatting sqref="G81:G82">
    <cfRule type="cellIs" dxfId="3217" priority="131" operator="equal">
      <formula>0</formula>
    </cfRule>
    <cfRule type="cellIs" dxfId="3216" priority="132" operator="notEqual">
      <formula>0</formula>
    </cfRule>
  </conditionalFormatting>
  <conditionalFormatting sqref="H81:H82">
    <cfRule type="cellIs" dxfId="3215" priority="129" operator="equal">
      <formula>0</formula>
    </cfRule>
    <cfRule type="cellIs" dxfId="3214" priority="130" operator="notEqual">
      <formula>0</formula>
    </cfRule>
  </conditionalFormatting>
  <conditionalFormatting sqref="I81:I82">
    <cfRule type="cellIs" dxfId="3213" priority="127" operator="equal">
      <formula>0</formula>
    </cfRule>
    <cfRule type="cellIs" dxfId="3212" priority="128" operator="notEqual">
      <formula>0</formula>
    </cfRule>
  </conditionalFormatting>
  <conditionalFormatting sqref="J81:J82">
    <cfRule type="cellIs" dxfId="3211" priority="125" operator="equal">
      <formula>0</formula>
    </cfRule>
    <cfRule type="cellIs" dxfId="3210" priority="126" operator="notEqual">
      <formula>0</formula>
    </cfRule>
  </conditionalFormatting>
  <conditionalFormatting sqref="O80">
    <cfRule type="cellIs" dxfId="3209" priority="123" operator="equal">
      <formula>0</formula>
    </cfRule>
    <cfRule type="cellIs" dxfId="3208" priority="124" operator="notEqual">
      <formula>0</formula>
    </cfRule>
  </conditionalFormatting>
  <conditionalFormatting sqref="O83">
    <cfRule type="cellIs" dxfId="3207" priority="121" operator="equal">
      <formula>0</formula>
    </cfRule>
    <cfRule type="cellIs" dxfId="3206" priority="122" operator="notEqual">
      <formula>0</formula>
    </cfRule>
  </conditionalFormatting>
  <conditionalFormatting sqref="P80">
    <cfRule type="cellIs" dxfId="3205" priority="119" operator="equal">
      <formula>0</formula>
    </cfRule>
    <cfRule type="cellIs" dxfId="3204" priority="120" operator="notEqual">
      <formula>0</formula>
    </cfRule>
  </conditionalFormatting>
  <conditionalFormatting sqref="P83">
    <cfRule type="cellIs" dxfId="3203" priority="117" operator="equal">
      <formula>0</formula>
    </cfRule>
    <cfRule type="cellIs" dxfId="3202" priority="118" operator="notEqual">
      <formula>0</formula>
    </cfRule>
  </conditionalFormatting>
  <conditionalFormatting sqref="Q80">
    <cfRule type="cellIs" dxfId="3201" priority="115" operator="equal">
      <formula>0</formula>
    </cfRule>
    <cfRule type="cellIs" dxfId="3200" priority="116" operator="notEqual">
      <formula>0</formula>
    </cfRule>
  </conditionalFormatting>
  <conditionalFormatting sqref="Q83">
    <cfRule type="cellIs" dxfId="3199" priority="113" operator="equal">
      <formula>0</formula>
    </cfRule>
    <cfRule type="cellIs" dxfId="3198" priority="114" operator="notEqual">
      <formula>0</formula>
    </cfRule>
  </conditionalFormatting>
  <conditionalFormatting sqref="R80">
    <cfRule type="cellIs" dxfId="3197" priority="111" operator="equal">
      <formula>0</formula>
    </cfRule>
    <cfRule type="cellIs" dxfId="3196" priority="112" operator="notEqual">
      <formula>0</formula>
    </cfRule>
  </conditionalFormatting>
  <conditionalFormatting sqref="R83">
    <cfRule type="cellIs" dxfId="3195" priority="109" operator="equal">
      <formula>0</formula>
    </cfRule>
    <cfRule type="cellIs" dxfId="3194" priority="110" operator="notEqual">
      <formula>0</formula>
    </cfRule>
  </conditionalFormatting>
  <conditionalFormatting sqref="C88:C89">
    <cfRule type="cellIs" dxfId="3193" priority="107" operator="equal">
      <formula>0</formula>
    </cfRule>
    <cfRule type="cellIs" dxfId="3192" priority="108" operator="notEqual">
      <formula>0</formula>
    </cfRule>
  </conditionalFormatting>
  <conditionalFormatting sqref="C87">
    <cfRule type="cellIs" dxfId="3191" priority="106" operator="equal">
      <formula>1</formula>
    </cfRule>
  </conditionalFormatting>
  <conditionalFormatting sqref="D88:D89">
    <cfRule type="cellIs" dxfId="3190" priority="104" operator="equal">
      <formula>0</formula>
    </cfRule>
    <cfRule type="cellIs" dxfId="3189" priority="105" operator="notEqual">
      <formula>0</formula>
    </cfRule>
  </conditionalFormatting>
  <conditionalFormatting sqref="D87">
    <cfRule type="cellIs" dxfId="3188" priority="103" operator="equal">
      <formula>1</formula>
    </cfRule>
  </conditionalFormatting>
  <conditionalFormatting sqref="E88:E89">
    <cfRule type="cellIs" dxfId="3187" priority="101" operator="equal">
      <formula>0</formula>
    </cfRule>
    <cfRule type="cellIs" dxfId="3186" priority="102" operator="notEqual">
      <formula>0</formula>
    </cfRule>
  </conditionalFormatting>
  <conditionalFormatting sqref="E87">
    <cfRule type="cellIs" dxfId="3185" priority="100" operator="equal">
      <formula>1</formula>
    </cfRule>
  </conditionalFormatting>
  <conditionalFormatting sqref="F88:F89">
    <cfRule type="cellIs" dxfId="3184" priority="98" operator="equal">
      <formula>0</formula>
    </cfRule>
    <cfRule type="cellIs" dxfId="3183" priority="99" operator="notEqual">
      <formula>0</formula>
    </cfRule>
  </conditionalFormatting>
  <conditionalFormatting sqref="F87">
    <cfRule type="cellIs" dxfId="3182" priority="97" operator="equal">
      <formula>1</formula>
    </cfRule>
  </conditionalFormatting>
  <conditionalFormatting sqref="G88:G89">
    <cfRule type="cellIs" dxfId="3181" priority="95" operator="equal">
      <formula>0</formula>
    </cfRule>
    <cfRule type="cellIs" dxfId="3180" priority="96" operator="notEqual">
      <formula>0</formula>
    </cfRule>
  </conditionalFormatting>
  <conditionalFormatting sqref="H88:H89">
    <cfRule type="cellIs" dxfId="3179" priority="93" operator="equal">
      <formula>0</formula>
    </cfRule>
    <cfRule type="cellIs" dxfId="3178" priority="94" operator="notEqual">
      <formula>0</formula>
    </cfRule>
  </conditionalFormatting>
  <conditionalFormatting sqref="I88:I89">
    <cfRule type="cellIs" dxfId="3177" priority="91" operator="equal">
      <formula>0</formula>
    </cfRule>
    <cfRule type="cellIs" dxfId="3176" priority="92" operator="notEqual">
      <formula>0</formula>
    </cfRule>
  </conditionalFormatting>
  <conditionalFormatting sqref="J88:J89">
    <cfRule type="cellIs" dxfId="3175" priority="89" operator="equal">
      <formula>0</formula>
    </cfRule>
    <cfRule type="cellIs" dxfId="3174" priority="90" operator="notEqual">
      <formula>0</formula>
    </cfRule>
  </conditionalFormatting>
  <conditionalFormatting sqref="O87">
    <cfRule type="cellIs" dxfId="3173" priority="87" operator="equal">
      <formula>0</formula>
    </cfRule>
    <cfRule type="cellIs" dxfId="3172" priority="88" operator="notEqual">
      <formula>0</formula>
    </cfRule>
  </conditionalFormatting>
  <conditionalFormatting sqref="O90">
    <cfRule type="cellIs" dxfId="3171" priority="85" operator="equal">
      <formula>0</formula>
    </cfRule>
    <cfRule type="cellIs" dxfId="3170" priority="86" operator="notEqual">
      <formula>0</formula>
    </cfRule>
  </conditionalFormatting>
  <conditionalFormatting sqref="P87">
    <cfRule type="cellIs" dxfId="3169" priority="83" operator="equal">
      <formula>0</formula>
    </cfRule>
    <cfRule type="cellIs" dxfId="3168" priority="84" operator="notEqual">
      <formula>0</formula>
    </cfRule>
  </conditionalFormatting>
  <conditionalFormatting sqref="P90">
    <cfRule type="cellIs" dxfId="3167" priority="81" operator="equal">
      <formula>0</formula>
    </cfRule>
    <cfRule type="cellIs" dxfId="3166" priority="82" operator="notEqual">
      <formula>0</formula>
    </cfRule>
  </conditionalFormatting>
  <conditionalFormatting sqref="Q87">
    <cfRule type="cellIs" dxfId="3165" priority="79" operator="equal">
      <formula>0</formula>
    </cfRule>
    <cfRule type="cellIs" dxfId="3164" priority="80" operator="notEqual">
      <formula>0</formula>
    </cfRule>
  </conditionalFormatting>
  <conditionalFormatting sqref="Q90">
    <cfRule type="cellIs" dxfId="3163" priority="77" operator="equal">
      <formula>0</formula>
    </cfRule>
    <cfRule type="cellIs" dxfId="3162" priority="78" operator="notEqual">
      <formula>0</formula>
    </cfRule>
  </conditionalFormatting>
  <conditionalFormatting sqref="R87">
    <cfRule type="cellIs" dxfId="3161" priority="75" operator="equal">
      <formula>0</formula>
    </cfRule>
    <cfRule type="cellIs" dxfId="3160" priority="76" operator="notEqual">
      <formula>0</formula>
    </cfRule>
  </conditionalFormatting>
  <conditionalFormatting sqref="R90">
    <cfRule type="cellIs" dxfId="3159" priority="73" operator="equal">
      <formula>0</formula>
    </cfRule>
    <cfRule type="cellIs" dxfId="3158" priority="74" operator="notEqual">
      <formula>0</formula>
    </cfRule>
  </conditionalFormatting>
  <conditionalFormatting sqref="C95:C96">
    <cfRule type="cellIs" dxfId="3157" priority="71" operator="equal">
      <formula>0</formula>
    </cfRule>
    <cfRule type="cellIs" dxfId="3156" priority="72" operator="notEqual">
      <formula>0</formula>
    </cfRule>
  </conditionalFormatting>
  <conditionalFormatting sqref="C94">
    <cfRule type="cellIs" dxfId="3155" priority="70" operator="equal">
      <formula>1</formula>
    </cfRule>
  </conditionalFormatting>
  <conditionalFormatting sqref="D95:D96">
    <cfRule type="cellIs" dxfId="3154" priority="68" operator="equal">
      <formula>0</formula>
    </cfRule>
    <cfRule type="cellIs" dxfId="3153" priority="69" operator="notEqual">
      <formula>0</formula>
    </cfRule>
  </conditionalFormatting>
  <conditionalFormatting sqref="D94">
    <cfRule type="cellIs" dxfId="3152" priority="67" operator="equal">
      <formula>1</formula>
    </cfRule>
  </conditionalFormatting>
  <conditionalFormatting sqref="E95:E96">
    <cfRule type="cellIs" dxfId="3151" priority="65" operator="equal">
      <formula>0</formula>
    </cfRule>
    <cfRule type="cellIs" dxfId="3150" priority="66" operator="notEqual">
      <formula>0</formula>
    </cfRule>
  </conditionalFormatting>
  <conditionalFormatting sqref="E94">
    <cfRule type="cellIs" dxfId="3149" priority="64" operator="equal">
      <formula>1</formula>
    </cfRule>
  </conditionalFormatting>
  <conditionalFormatting sqref="F95:F96">
    <cfRule type="cellIs" dxfId="3148" priority="62" operator="equal">
      <formula>0</formula>
    </cfRule>
    <cfRule type="cellIs" dxfId="3147" priority="63" operator="notEqual">
      <formula>0</formula>
    </cfRule>
  </conditionalFormatting>
  <conditionalFormatting sqref="F94">
    <cfRule type="cellIs" dxfId="3146" priority="61" operator="equal">
      <formula>1</formula>
    </cfRule>
  </conditionalFormatting>
  <conditionalFormatting sqref="G95:G96">
    <cfRule type="cellIs" dxfId="3145" priority="59" operator="equal">
      <formula>0</formula>
    </cfRule>
    <cfRule type="cellIs" dxfId="3144" priority="60" operator="notEqual">
      <formula>0</formula>
    </cfRule>
  </conditionalFormatting>
  <conditionalFormatting sqref="H95:H96">
    <cfRule type="cellIs" dxfId="3143" priority="57" operator="equal">
      <formula>0</formula>
    </cfRule>
    <cfRule type="cellIs" dxfId="3142" priority="58" operator="notEqual">
      <formula>0</formula>
    </cfRule>
  </conditionalFormatting>
  <conditionalFormatting sqref="I95:I96">
    <cfRule type="cellIs" dxfId="3141" priority="55" operator="equal">
      <formula>0</formula>
    </cfRule>
    <cfRule type="cellIs" dxfId="3140" priority="56" operator="notEqual">
      <formula>0</formula>
    </cfRule>
  </conditionalFormatting>
  <conditionalFormatting sqref="J95:J96">
    <cfRule type="cellIs" dxfId="3139" priority="53" operator="equal">
      <formula>0</formula>
    </cfRule>
    <cfRule type="cellIs" dxfId="3138" priority="54" operator="notEqual">
      <formula>0</formula>
    </cfRule>
  </conditionalFormatting>
  <conditionalFormatting sqref="O94">
    <cfRule type="cellIs" dxfId="3137" priority="51" operator="equal">
      <formula>0</formula>
    </cfRule>
    <cfRule type="cellIs" dxfId="3136" priority="52" operator="notEqual">
      <formula>0</formula>
    </cfRule>
  </conditionalFormatting>
  <conditionalFormatting sqref="O97">
    <cfRule type="cellIs" dxfId="3135" priority="49" operator="equal">
      <formula>0</formula>
    </cfRule>
    <cfRule type="cellIs" dxfId="3134" priority="50" operator="notEqual">
      <formula>0</formula>
    </cfRule>
  </conditionalFormatting>
  <conditionalFormatting sqref="P94">
    <cfRule type="cellIs" dxfId="3133" priority="47" operator="equal">
      <formula>0</formula>
    </cfRule>
    <cfRule type="cellIs" dxfId="3132" priority="48" operator="notEqual">
      <formula>0</formula>
    </cfRule>
  </conditionalFormatting>
  <conditionalFormatting sqref="P97">
    <cfRule type="cellIs" dxfId="3131" priority="45" operator="equal">
      <formula>0</formula>
    </cfRule>
    <cfRule type="cellIs" dxfId="3130" priority="46" operator="notEqual">
      <formula>0</formula>
    </cfRule>
  </conditionalFormatting>
  <conditionalFormatting sqref="Q94">
    <cfRule type="cellIs" dxfId="3129" priority="43" operator="equal">
      <formula>0</formula>
    </cfRule>
    <cfRule type="cellIs" dxfId="3128" priority="44" operator="notEqual">
      <formula>0</formula>
    </cfRule>
  </conditionalFormatting>
  <conditionalFormatting sqref="Q97">
    <cfRule type="cellIs" dxfId="3127" priority="41" operator="equal">
      <formula>0</formula>
    </cfRule>
    <cfRule type="cellIs" dxfId="3126" priority="42" operator="notEqual">
      <formula>0</formula>
    </cfRule>
  </conditionalFormatting>
  <conditionalFormatting sqref="R94">
    <cfRule type="cellIs" dxfId="3125" priority="39" operator="equal">
      <formula>0</formula>
    </cfRule>
    <cfRule type="cellIs" dxfId="3124" priority="40" operator="notEqual">
      <formula>0</formula>
    </cfRule>
  </conditionalFormatting>
  <conditionalFormatting sqref="R97">
    <cfRule type="cellIs" dxfId="3123" priority="37" operator="equal">
      <formula>0</formula>
    </cfRule>
    <cfRule type="cellIs" dxfId="3122" priority="38" operator="notEqual">
      <formula>0</formula>
    </cfRule>
  </conditionalFormatting>
  <conditionalFormatting sqref="C102:C103">
    <cfRule type="cellIs" dxfId="3121" priority="35" operator="equal">
      <formula>0</formula>
    </cfRule>
    <cfRule type="cellIs" dxfId="3120" priority="36" operator="notEqual">
      <formula>0</formula>
    </cfRule>
  </conditionalFormatting>
  <conditionalFormatting sqref="C101">
    <cfRule type="cellIs" dxfId="3119" priority="34" operator="equal">
      <formula>1</formula>
    </cfRule>
  </conditionalFormatting>
  <conditionalFormatting sqref="D102:D103">
    <cfRule type="cellIs" dxfId="3118" priority="32" operator="equal">
      <formula>0</formula>
    </cfRule>
    <cfRule type="cellIs" dxfId="3117" priority="33" operator="notEqual">
      <formula>0</formula>
    </cfRule>
  </conditionalFormatting>
  <conditionalFormatting sqref="D101">
    <cfRule type="cellIs" dxfId="3116" priority="31" operator="equal">
      <formula>1</formula>
    </cfRule>
  </conditionalFormatting>
  <conditionalFormatting sqref="E102:E103">
    <cfRule type="cellIs" dxfId="3115" priority="29" operator="equal">
      <formula>0</formula>
    </cfRule>
    <cfRule type="cellIs" dxfId="3114" priority="30" operator="notEqual">
      <formula>0</formula>
    </cfRule>
  </conditionalFormatting>
  <conditionalFormatting sqref="E101">
    <cfRule type="cellIs" dxfId="3113" priority="28" operator="equal">
      <formula>1</formula>
    </cfRule>
  </conditionalFormatting>
  <conditionalFormatting sqref="F102:F103">
    <cfRule type="cellIs" dxfId="3112" priority="26" operator="equal">
      <formula>0</formula>
    </cfRule>
    <cfRule type="cellIs" dxfId="3111" priority="27" operator="notEqual">
      <formula>0</formula>
    </cfRule>
  </conditionalFormatting>
  <conditionalFormatting sqref="F101">
    <cfRule type="cellIs" dxfId="3110" priority="25" operator="equal">
      <formula>1</formula>
    </cfRule>
  </conditionalFormatting>
  <conditionalFormatting sqref="G102:G103">
    <cfRule type="cellIs" dxfId="3109" priority="23" operator="equal">
      <formula>0</formula>
    </cfRule>
    <cfRule type="cellIs" dxfId="3108" priority="24" operator="notEqual">
      <formula>0</formula>
    </cfRule>
  </conditionalFormatting>
  <conditionalFormatting sqref="H102:H103">
    <cfRule type="cellIs" dxfId="3107" priority="21" operator="equal">
      <formula>0</formula>
    </cfRule>
    <cfRule type="cellIs" dxfId="3106" priority="22" operator="notEqual">
      <formula>0</formula>
    </cfRule>
  </conditionalFormatting>
  <conditionalFormatting sqref="I102:I103">
    <cfRule type="cellIs" dxfId="3105" priority="19" operator="equal">
      <formula>0</formula>
    </cfRule>
    <cfRule type="cellIs" dxfId="3104" priority="20" operator="notEqual">
      <formula>0</formula>
    </cfRule>
  </conditionalFormatting>
  <conditionalFormatting sqref="J102:J103">
    <cfRule type="cellIs" dxfId="3103" priority="17" operator="equal">
      <formula>0</formula>
    </cfRule>
    <cfRule type="cellIs" dxfId="3102" priority="18" operator="notEqual">
      <formula>0</formula>
    </cfRule>
  </conditionalFormatting>
  <conditionalFormatting sqref="O101">
    <cfRule type="cellIs" dxfId="3101" priority="15" operator="equal">
      <formula>0</formula>
    </cfRule>
    <cfRule type="cellIs" dxfId="3100" priority="16" operator="notEqual">
      <formula>0</formula>
    </cfRule>
  </conditionalFormatting>
  <conditionalFormatting sqref="O104">
    <cfRule type="cellIs" dxfId="3099" priority="13" operator="equal">
      <formula>0</formula>
    </cfRule>
    <cfRule type="cellIs" dxfId="3098" priority="14" operator="notEqual">
      <formula>0</formula>
    </cfRule>
  </conditionalFormatting>
  <conditionalFormatting sqref="P101">
    <cfRule type="cellIs" dxfId="3097" priority="11" operator="equal">
      <formula>0</formula>
    </cfRule>
    <cfRule type="cellIs" dxfId="3096" priority="12" operator="notEqual">
      <formula>0</formula>
    </cfRule>
  </conditionalFormatting>
  <conditionalFormatting sqref="P104">
    <cfRule type="cellIs" dxfId="3095" priority="9" operator="equal">
      <formula>0</formula>
    </cfRule>
    <cfRule type="cellIs" dxfId="3094" priority="10" operator="notEqual">
      <formula>0</formula>
    </cfRule>
  </conditionalFormatting>
  <conditionalFormatting sqref="Q101">
    <cfRule type="cellIs" dxfId="3093" priority="7" operator="equal">
      <formula>0</formula>
    </cfRule>
    <cfRule type="cellIs" dxfId="3092" priority="8" operator="notEqual">
      <formula>0</formula>
    </cfRule>
  </conditionalFormatting>
  <conditionalFormatting sqref="Q104">
    <cfRule type="cellIs" dxfId="3091" priority="5" operator="equal">
      <formula>0</formula>
    </cfRule>
    <cfRule type="cellIs" dxfId="3090" priority="6" operator="notEqual">
      <formula>0</formula>
    </cfRule>
  </conditionalFormatting>
  <conditionalFormatting sqref="R101">
    <cfRule type="cellIs" dxfId="3089" priority="3" operator="equal">
      <formula>0</formula>
    </cfRule>
    <cfRule type="cellIs" dxfId="3088" priority="4" operator="notEqual">
      <formula>0</formula>
    </cfRule>
  </conditionalFormatting>
  <conditionalFormatting sqref="R104">
    <cfRule type="cellIs" dxfId="3087" priority="1" operator="equal">
      <formula>0</formula>
    </cfRule>
    <cfRule type="cellIs" dxfId="3086" priority="2" operator="notEqual">
      <formula>0</formula>
    </cfRule>
  </conditionalFormatting>
  <dataValidations count="1">
    <dataValidation type="list" allowBlank="1" showInputMessage="1" showErrorMessage="1" sqref="B5" xr:uid="{B74D4E8E-22CB-44F5-A85F-8D6EF869C152}">
      <formula1>Regions</formula1>
    </dataValidation>
  </dataValidation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6"/>
  <dimension ref="A1:Z124"/>
  <sheetViews>
    <sheetView showGridLines="0" topLeftCell="B74" zoomScale="85" zoomScaleNormal="85" workbookViewId="0">
      <selection activeCell="B96" sqref="B96"/>
    </sheetView>
  </sheetViews>
  <sheetFormatPr baseColWidth="10" defaultColWidth="8.83203125" defaultRowHeight="14" x14ac:dyDescent="0.15"/>
  <cols>
    <col min="1" max="1" width="36.5" style="9" hidden="1" customWidth="1"/>
    <col min="2" max="2" width="58" customWidth="1"/>
    <col min="3" max="3" width="15" style="6" bestFit="1" customWidth="1"/>
    <col min="4" max="4" width="13.5" style="6" customWidth="1"/>
    <col min="5" max="5" width="15.83203125" style="6" customWidth="1"/>
    <col min="6" max="6" width="10.83203125" style="6" bestFit="1" customWidth="1"/>
    <col min="7" max="7" width="12.5" style="6" customWidth="1"/>
    <col min="8" max="8" width="14.83203125" style="6" bestFit="1" customWidth="1"/>
    <col min="9" max="9" width="13" style="6" customWidth="1"/>
    <col min="10" max="10" width="15.1640625" style="6" customWidth="1"/>
    <col min="11" max="11" width="13.5" style="6" customWidth="1"/>
    <col min="12" max="12" width="10.5" style="6" bestFit="1" customWidth="1"/>
    <col min="13" max="13" width="12" style="6" customWidth="1"/>
    <col min="14" max="15" width="13.5" style="6" customWidth="1"/>
    <col min="16" max="16" width="10.5" style="6" bestFit="1" customWidth="1"/>
    <col min="17" max="17" width="9.5" style="6" bestFit="1" customWidth="1"/>
    <col min="18" max="18" width="12.5" style="6" customWidth="1"/>
    <col min="19" max="19" width="14.83203125" style="6" bestFit="1" customWidth="1"/>
    <col min="20" max="20" width="15.1640625" style="6" customWidth="1"/>
    <col min="21" max="21" width="15.5" style="6" customWidth="1"/>
    <col min="22" max="22" width="16" style="6" customWidth="1"/>
    <col min="23" max="23" width="12.5" bestFit="1" customWidth="1"/>
  </cols>
  <sheetData>
    <row r="1" spans="1:26" ht="67.5" customHeight="1" x14ac:dyDescent="0.15">
      <c r="A1"/>
      <c r="B1" s="383" t="s">
        <v>1134</v>
      </c>
      <c r="C1" s="383"/>
      <c r="D1" s="383"/>
      <c r="E1" s="383"/>
      <c r="F1" s="383"/>
      <c r="G1" s="383"/>
      <c r="H1" s="383"/>
      <c r="I1" s="383"/>
      <c r="J1" s="383"/>
      <c r="K1" s="383"/>
      <c r="L1" s="383"/>
      <c r="M1" s="383"/>
      <c r="N1" s="383"/>
      <c r="O1" s="383"/>
      <c r="P1" s="383"/>
      <c r="Q1" s="383"/>
      <c r="R1" s="383"/>
      <c r="S1" s="383"/>
      <c r="T1" s="383"/>
      <c r="U1" s="383"/>
      <c r="V1" s="383"/>
      <c r="W1" s="383"/>
      <c r="X1" s="383"/>
      <c r="Y1" s="383"/>
      <c r="Z1" s="383"/>
    </row>
    <row r="2" spans="1:26" ht="42" customHeight="1" x14ac:dyDescent="0.15">
      <c r="A2"/>
      <c r="B2" s="384"/>
      <c r="C2" s="385"/>
      <c r="D2" s="385"/>
      <c r="E2" s="385"/>
      <c r="F2" s="385"/>
      <c r="G2" s="385"/>
      <c r="H2" s="385"/>
      <c r="I2" s="385"/>
      <c r="J2" s="385"/>
      <c r="K2" s="385"/>
      <c r="L2" s="385"/>
      <c r="M2" s="385"/>
      <c r="N2" s="385"/>
      <c r="O2" s="385"/>
      <c r="P2" s="385"/>
      <c r="Q2" s="385"/>
      <c r="R2" s="385"/>
      <c r="S2" s="385"/>
      <c r="T2" s="385"/>
      <c r="U2" s="385"/>
      <c r="V2" s="385"/>
      <c r="W2" s="385"/>
      <c r="X2" s="385"/>
      <c r="Y2" s="385"/>
      <c r="Z2" s="385"/>
    </row>
    <row r="3" spans="1:26" ht="78.75" customHeight="1" x14ac:dyDescent="0.15">
      <c r="A3"/>
      <c r="B3" s="203" t="s">
        <v>999</v>
      </c>
    </row>
    <row r="4" spans="1:26" ht="16" x14ac:dyDescent="0.2">
      <c r="A4" s="11"/>
      <c r="B4" s="60" t="s">
        <v>24</v>
      </c>
      <c r="C4" s="2"/>
      <c r="D4" s="2"/>
      <c r="E4" s="2"/>
      <c r="F4" s="2"/>
      <c r="G4" s="2"/>
      <c r="H4" s="2"/>
      <c r="I4" s="2"/>
      <c r="J4" s="2"/>
      <c r="K4" s="2"/>
      <c r="L4" s="2"/>
      <c r="M4" s="2"/>
      <c r="N4" s="2"/>
      <c r="O4" s="2"/>
      <c r="P4" s="2"/>
      <c r="Q4" s="2"/>
      <c r="R4" s="2"/>
      <c r="S4" s="2"/>
      <c r="T4" s="2"/>
      <c r="U4" s="2"/>
      <c r="V4" s="2"/>
      <c r="W4" s="1"/>
    </row>
    <row r="5" spans="1:26" ht="16" x14ac:dyDescent="0.2">
      <c r="A5" s="11"/>
      <c r="B5" s="1"/>
      <c r="C5" s="2"/>
      <c r="D5" s="2"/>
      <c r="E5" s="2"/>
      <c r="F5" s="2"/>
      <c r="G5" s="2"/>
      <c r="H5" s="2"/>
      <c r="I5" s="2"/>
      <c r="J5" s="2"/>
      <c r="K5" s="2"/>
      <c r="L5" s="2"/>
      <c r="M5" s="2"/>
      <c r="N5" s="2"/>
      <c r="O5" s="2"/>
      <c r="P5" s="2"/>
      <c r="Q5" s="2"/>
      <c r="R5" s="2"/>
      <c r="S5" s="2"/>
      <c r="T5" s="2"/>
      <c r="U5" s="2"/>
      <c r="V5" s="2"/>
      <c r="W5" s="1"/>
    </row>
    <row r="6" spans="1:26" ht="105" customHeight="1" x14ac:dyDescent="0.15">
      <c r="A6" s="15"/>
      <c r="B6" s="238" t="s">
        <v>1135</v>
      </c>
      <c r="C6" s="238" t="s">
        <v>1136</v>
      </c>
      <c r="D6" s="238" t="s">
        <v>1137</v>
      </c>
      <c r="E6" s="238" t="s">
        <v>1138</v>
      </c>
      <c r="F6" s="167"/>
      <c r="G6" s="238" t="s">
        <v>1005</v>
      </c>
      <c r="H6" s="238" t="s">
        <v>1006</v>
      </c>
      <c r="I6" s="167"/>
      <c r="J6" s="238" t="s">
        <v>1007</v>
      </c>
      <c r="K6" s="238" t="s">
        <v>1008</v>
      </c>
    </row>
    <row r="7" spans="1:26" ht="16" x14ac:dyDescent="0.15">
      <c r="A7" s="12"/>
      <c r="B7" s="168" t="s">
        <v>1139</v>
      </c>
      <c r="C7" s="169" t="e">
        <f>SUM((SUMIF('capacity data'!E:E,"PO",'capacity data'!G:G))-SUMIF('capacity data'!E:E,"PO",'capacity data'!H:H))/SUMIF('capacity data'!E:E,"PO",'capacity data'!G:G)</f>
        <v>#DIV/0!</v>
      </c>
      <c r="D7" s="170" t="e">
        <f>SUM((SUMIF('capacity data'!E:E,"PSO",'capacity data'!G:G))-SUMIF('capacity data'!E:E,"PSO",'capacity data'!H:H))/SUMIF('capacity data'!E:E,"PSO",'capacity data'!G:G)</f>
        <v>#DIV/0!</v>
      </c>
      <c r="E7" s="170" t="e">
        <f>SUM((SUMIF('capacity data'!E:E,"TPO",'capacity data'!G:G))-SUMIF('capacity data'!E:E,"TPO",'capacity data'!H:H))/SUMIF('capacity data'!E:E,"TPO",'capacity data'!G:G)</f>
        <v>#DIV/0!</v>
      </c>
      <c r="F7" s="167"/>
      <c r="G7" s="220" t="e">
        <f>SUMIF('capacity data'!$E:$E,"PSO",'capacity data'!$L:$L)/SUM(SUMIF('capacity data'!$E:$E,"PSO",'capacity data'!$G:$G)-SUMIF('capacity data'!$E:$E,"PSO",'capacity data'!$H:$H))</f>
        <v>#DIV/0!</v>
      </c>
      <c r="H7" s="220" t="e">
        <f>SUMIF('capacity data'!$E:$E,"PSO",'capacity data'!$L:$L)/SUMIF('capacity data'!$E:$E,"PSO",'capacity data'!$G:$G)</f>
        <v>#DIV/0!</v>
      </c>
      <c r="I7" s="167"/>
      <c r="J7" s="221" t="e">
        <f>SUMIF('capacity data'!$E:$E,"TPO",'capacity data'!$L:$L)/SUM(SUMIF('capacity data'!$E:$E,"TPO",'capacity data'!$G:$G)-SUMIF('capacity data'!$E:$E,"TPO",'capacity data'!$H:$H))</f>
        <v>#DIV/0!</v>
      </c>
      <c r="K7" s="221" t="e">
        <f>SUMIF('capacity data'!$E:$E,"TPO",'capacity data'!$L:$L)/SUMIF('capacity data'!$E:$E,"TPO",'capacity data'!$G:$G)</f>
        <v>#DIV/0!</v>
      </c>
    </row>
    <row r="8" spans="1:26" ht="16" x14ac:dyDescent="0.2">
      <c r="A8" s="11"/>
      <c r="B8" s="71" t="str">
        <f>HLOOKUP($B$4,Region_Table,2,0)</f>
        <v>Barking and Dagenham and Havering</v>
      </c>
      <c r="C8" s="76" t="str">
        <f>IFERROR(SUM((SUMIFS('capacity data'!$G:$G,'capacity data'!$E:$E,"PO",'capacity data'!$B:$B,'cluster capacity, unallocateds'!B8))-SUMIFS('capacity data'!$H:$H,'capacity data'!$E:$E,"PO",'capacity data'!$B:$B,'cluster capacity, unallocateds'!B8))/SUMIFS('capacity data'!$G:$G,'capacity data'!$E:$E,"PO",'capacity data'!$B:$B,'cluster capacity, unallocateds'!B8),"")</f>
        <v/>
      </c>
      <c r="D8" s="76" t="str">
        <f>IFERROR(SUM((SUMIFS('capacity data'!$G:$G,'capacity data'!$E:$E,"PSO",'capacity data'!$B:$B,'cluster capacity, unallocateds'!B8))-SUMIFS('capacity data'!$H:$H,'capacity data'!$E:$E,"PSO",'capacity data'!$B:$B,'cluster capacity, unallocateds'!B8))/SUMIFS('capacity data'!$G:$G,'capacity data'!$E:$E,"PSO",'capacity data'!$B:$B,'cluster capacity, unallocateds'!B8),"")</f>
        <v/>
      </c>
      <c r="E8" s="76" t="str">
        <f>IFERROR(SUM((SUMIFS('capacity data'!$G:$G,'capacity data'!$E:$E,"TPO",'capacity data'!$B:$B,'cluster capacity, unallocateds'!B8))-SUMIFS('capacity data'!$H:$H,'capacity data'!$E:$E,"TPO",'capacity data'!$B:$B,'cluster capacity, unallocateds'!B8))/SUMIFS('capacity data'!$G:$G,'capacity data'!$E:$E,"TPO",'capacity data'!$B:$B,'cluster capacity, unallocateds'!B8),"")</f>
        <v/>
      </c>
      <c r="F8" s="167"/>
      <c r="G8" s="230" t="str">
        <f>IFERROR(SUMIFS('capacity data'!$L:$L,'capacity data'!$B:$B,B8,'capacity data'!$E:$E,"PSO")/SUM((SUMIFS('capacity data'!$G:$G,'capacity data'!$E:$E,"PSO",'capacity data'!$B:$B,B8))-SUMIFS('capacity data'!$H:$H,'capacity data'!$E:$E,"PSO",'capacity data'!$B:$B,B8)),"")</f>
        <v/>
      </c>
      <c r="H8" s="230" t="str">
        <f>IFERROR(SUMIFS('capacity data'!$L:$L,'capacity data'!$B:$B,B8,'capacity data'!$E:$E,"PSO")/SUMIFS('capacity data'!$G:$G,'capacity data'!$E:$E,"PSO",'capacity data'!$B:$B,B8),"")</f>
        <v/>
      </c>
      <c r="I8" s="167"/>
      <c r="J8" s="75" t="str">
        <f>IFERROR(SUMIFS('capacity data'!$L:$L,'capacity data'!$B:$B,B8,'capacity data'!$E:$E,"TPO")/SUM((SUMIFS('capacity data'!$G:$G,'capacity data'!$E:$E,"TPO",'capacity data'!$B:$B,B8))-SUMIFS('capacity data'!$H:$H,'capacity data'!$E:$E,"TPO",'capacity data'!$B:$B,B8)),"")</f>
        <v/>
      </c>
      <c r="K8" s="75" t="str">
        <f>IFERROR(SUMIFS('capacity data'!$L:$L,'capacity data'!$B:$B,B8,'capacity data'!$E:$E,"TPO")/SUMIFS('capacity data'!$G:$G,'capacity data'!$E:$E,"TPO",'capacity data'!$B:$B,B8),"")</f>
        <v/>
      </c>
    </row>
    <row r="9" spans="1:26" ht="16" x14ac:dyDescent="0.2">
      <c r="A9" s="11"/>
      <c r="B9" s="71" t="str">
        <f>HLOOKUP($B$4,Region_Table,3,0)</f>
        <v>Brent - N07</v>
      </c>
      <c r="C9" s="76" t="str">
        <f>IFERROR(SUM((SUMIFS('capacity data'!$G:$G,'capacity data'!$E:$E,"PO",'capacity data'!$B:$B,'cluster capacity, unallocateds'!B9))-SUMIFS('capacity data'!$H:$H,'capacity data'!$E:$E,"PO",'capacity data'!$B:$B,'cluster capacity, unallocateds'!B9))/SUMIFS('capacity data'!$G:$G,'capacity data'!$E:$E,"PO",'capacity data'!$B:$B,'cluster capacity, unallocateds'!B9),"")</f>
        <v/>
      </c>
      <c r="D9" s="76" t="str">
        <f>IFERROR(SUM((SUMIFS('capacity data'!$G:$G,'capacity data'!$E:$E,"PSO",'capacity data'!$B:$B,'cluster capacity, unallocateds'!B9))-SUMIFS('capacity data'!$H:$H,'capacity data'!$E:$E,"PSO",'capacity data'!$B:$B,'cluster capacity, unallocateds'!B9))/SUMIFS('capacity data'!$G:$G,'capacity data'!$E:$E,"PSO",'capacity data'!$B:$B,'cluster capacity, unallocateds'!B9),"")</f>
        <v/>
      </c>
      <c r="E9" s="76" t="str">
        <f>IFERROR(SUM((SUMIFS('capacity data'!$G:$G,'capacity data'!$E:$E,"TPO",'capacity data'!$B:$B,'cluster capacity, unallocateds'!B9))-SUMIFS('capacity data'!$H:$H,'capacity data'!$E:$E,"TPO",'capacity data'!$B:$B,'cluster capacity, unallocateds'!B9))/SUMIFS('capacity data'!$G:$G,'capacity data'!$E:$E,"TPO",'capacity data'!$B:$B,'cluster capacity, unallocateds'!B9),"")</f>
        <v/>
      </c>
      <c r="F9" s="167"/>
      <c r="G9" s="230" t="str">
        <f>IFERROR(SUMIFS('capacity data'!$L:$L,'capacity data'!$B:$B,B9,'capacity data'!$E:$E,"PSO")/SUM((SUMIFS('capacity data'!$G:$G,'capacity data'!$E:$E,"PSO",'capacity data'!$B:$B,B9))-SUMIFS('capacity data'!$H:$H,'capacity data'!$E:$E,"PSO",'capacity data'!$B:$B,B9)),"")</f>
        <v/>
      </c>
      <c r="H9" s="230" t="str">
        <f>IFERROR(SUMIFS('capacity data'!$L:$L,'capacity data'!$B:$B,B9,'capacity data'!$E:$E,"PSO")/SUMIFS('capacity data'!$G:$G,'capacity data'!$E:$E,"PSO",'capacity data'!$B:$B,B9),"")</f>
        <v/>
      </c>
      <c r="I9" s="167"/>
      <c r="J9" s="75" t="str">
        <f>IFERROR(SUMIFS('capacity data'!$L:$L,'capacity data'!$B:$B,B9,'capacity data'!$E:$E,"TPO")/SUM((SUMIFS('capacity data'!$G:$G,'capacity data'!$E:$E,"TPO",'capacity data'!$B:$B,B9))-SUMIFS('capacity data'!$H:$H,'capacity data'!$E:$E,"TPO",'capacity data'!$B:$B,B9)),"")</f>
        <v/>
      </c>
      <c r="K9" s="75" t="str">
        <f>IFERROR(SUMIFS('capacity data'!$L:$L,'capacity data'!$B:$B,B9,'capacity data'!$E:$E,"TPO")/SUMIFS('capacity data'!$G:$G,'capacity data'!$E:$E,"TPO",'capacity data'!$B:$B,B9),"")</f>
        <v/>
      </c>
    </row>
    <row r="10" spans="1:26" ht="16" x14ac:dyDescent="0.2">
      <c r="A10" s="11"/>
      <c r="B10" s="71" t="str">
        <f>HLOOKUP($B$4,Region_Table,4,0)</f>
        <v>Camden, Islington</v>
      </c>
      <c r="C10" s="76" t="str">
        <f>IFERROR(SUM((SUMIFS('capacity data'!$G:$G,'capacity data'!$E:$E,"PO",'capacity data'!$B:$B,'cluster capacity, unallocateds'!B10))-SUMIFS('capacity data'!$H:$H,'capacity data'!$E:$E,"PO",'capacity data'!$B:$B,'cluster capacity, unallocateds'!B10))/SUMIFS('capacity data'!$G:$G,'capacity data'!$E:$E,"PO",'capacity data'!$B:$B,'cluster capacity, unallocateds'!B10),"")</f>
        <v/>
      </c>
      <c r="D10" s="76" t="str">
        <f>IFERROR(SUM((SUMIFS('capacity data'!$G:$G,'capacity data'!$E:$E,"PSO",'capacity data'!$B:$B,'cluster capacity, unallocateds'!B10))-SUMIFS('capacity data'!$H:$H,'capacity data'!$E:$E,"PSO",'capacity data'!$B:$B,'cluster capacity, unallocateds'!B10))/SUMIFS('capacity data'!$G:$G,'capacity data'!$E:$E,"PSO",'capacity data'!$B:$B,'cluster capacity, unallocateds'!B10),"")</f>
        <v/>
      </c>
      <c r="E10" s="76" t="str">
        <f>IFERROR(SUM((SUMIFS('capacity data'!$G:$G,'capacity data'!$E:$E,"TPO",'capacity data'!$B:$B,'cluster capacity, unallocateds'!B10))-SUMIFS('capacity data'!$H:$H,'capacity data'!$E:$E,"TPO",'capacity data'!$B:$B,'cluster capacity, unallocateds'!B10))/SUMIFS('capacity data'!$G:$G,'capacity data'!$E:$E,"TPO",'capacity data'!$B:$B,'cluster capacity, unallocateds'!B10),"")</f>
        <v/>
      </c>
      <c r="F10" s="251"/>
      <c r="G10" s="230" t="str">
        <f>IFERROR(SUMIFS('capacity data'!$L:$L,'capacity data'!$B:$B,B10,'capacity data'!$E:$E,"PSO")/SUM((SUMIFS('capacity data'!$G:$G,'capacity data'!$E:$E,"PSO",'capacity data'!$B:$B,B10))-SUMIFS('capacity data'!$H:$H,'capacity data'!$E:$E,"PSO",'capacity data'!$B:$B,B10)),"")</f>
        <v/>
      </c>
      <c r="H10" s="230" t="str">
        <f>IFERROR(SUMIFS('capacity data'!$L:$L,'capacity data'!$B:$B,B10,'capacity data'!$E:$E,"PSO")/SUMIFS('capacity data'!$G:$G,'capacity data'!$E:$E,"PSO",'capacity data'!$B:$B,B10),"")</f>
        <v/>
      </c>
      <c r="I10" s="167"/>
      <c r="J10" s="75" t="str">
        <f>IFERROR(SUMIFS('capacity data'!$L:$L,'capacity data'!$B:$B,B10,'capacity data'!$E:$E,"TPO")/SUM((SUMIFS('capacity data'!$G:$G,'capacity data'!$E:$E,"TPO",'capacity data'!$B:$B,B10))-SUMIFS('capacity data'!$H:$H,'capacity data'!$E:$E,"TPO",'capacity data'!$B:$B,B10)),"")</f>
        <v/>
      </c>
      <c r="K10" s="75" t="str">
        <f>IFERROR(SUMIFS('capacity data'!$L:$L,'capacity data'!$B:$B,B10,'capacity data'!$E:$E,"TPO")/SUMIFS('capacity data'!$G:$G,'capacity data'!$E:$E,"TPO",'capacity data'!$B:$B,B10),"")</f>
        <v/>
      </c>
    </row>
    <row r="11" spans="1:26" ht="16" x14ac:dyDescent="0.2">
      <c r="A11" s="11"/>
      <c r="B11" s="71" t="str">
        <f>HLOOKUP($B$4,Region_Table,5,0)</f>
        <v>Community Integration</v>
      </c>
      <c r="C11" s="76" t="str">
        <f>IFERROR(SUM((SUMIFS('capacity data'!$G:$G,'capacity data'!$E:$E,"PO",'capacity data'!$B:$B,'cluster capacity, unallocateds'!B11))-SUMIFS('capacity data'!$H:$H,'capacity data'!$E:$E,"PO",'capacity data'!$B:$B,'cluster capacity, unallocateds'!B11))/SUMIFS('capacity data'!$G:$G,'capacity data'!$E:$E,"PO",'capacity data'!$B:$B,'cluster capacity, unallocateds'!B11),"")</f>
        <v/>
      </c>
      <c r="D11" s="76" t="str">
        <f>IFERROR(SUM((SUMIFS('capacity data'!$G:$G,'capacity data'!$E:$E,"PSO",'capacity data'!$B:$B,'cluster capacity, unallocateds'!B11))-SUMIFS('capacity data'!$H:$H,'capacity data'!$E:$E,"PSO",'capacity data'!$B:$B,'cluster capacity, unallocateds'!B11))/SUMIFS('capacity data'!$G:$G,'capacity data'!$E:$E,"PSO",'capacity data'!$B:$B,'cluster capacity, unallocateds'!B11),"")</f>
        <v/>
      </c>
      <c r="E11" s="76" t="str">
        <f>IFERROR(SUM((SUMIFS('capacity data'!$G:$G,'capacity data'!$E:$E,"TPO",'capacity data'!$B:$B,'cluster capacity, unallocateds'!B11))-SUMIFS('capacity data'!$H:$H,'capacity data'!$E:$E,"TPO",'capacity data'!$B:$B,'cluster capacity, unallocateds'!B11))/SUMIFS('capacity data'!$G:$G,'capacity data'!$E:$E,"TPO",'capacity data'!$B:$B,'cluster capacity, unallocateds'!B11),"")</f>
        <v/>
      </c>
      <c r="F11" s="167"/>
      <c r="G11" s="230" t="str">
        <f>IFERROR(SUMIFS('capacity data'!$L:$L,'capacity data'!$B:$B,B11,'capacity data'!$E:$E,"PSO")/SUM((SUMIFS('capacity data'!$G:$G,'capacity data'!$E:$E,"PSO",'capacity data'!$B:$B,B11))-SUMIFS('capacity data'!$H:$H,'capacity data'!$E:$E,"PSO",'capacity data'!$B:$B,B11)),"")</f>
        <v/>
      </c>
      <c r="H11" s="230" t="str">
        <f>IFERROR(SUMIFS('capacity data'!$L:$L,'capacity data'!$B:$B,B11,'capacity data'!$E:$E,"PSO")/SUMIFS('capacity data'!$G:$G,'capacity data'!$E:$E,"PSO",'capacity data'!$B:$B,B11),"")</f>
        <v/>
      </c>
      <c r="I11" s="167"/>
      <c r="J11" s="75" t="str">
        <f>IFERROR(SUMIFS('capacity data'!$L:$L,'capacity data'!$B:$B,B11,'capacity data'!$E:$E,"TPO")/SUM((SUMIFS('capacity data'!$G:$G,'capacity data'!$E:$E,"TPO",'capacity data'!$B:$B,B11))-SUMIFS('capacity data'!$H:$H,'capacity data'!$E:$E,"TPO",'capacity data'!$B:$B,B11)),"")</f>
        <v/>
      </c>
      <c r="K11" s="75" t="str">
        <f>IFERROR(SUMIFS('capacity data'!$L:$L,'capacity data'!$B:$B,B11,'capacity data'!$E:$E,"TPO")/SUMIFS('capacity data'!$G:$G,'capacity data'!$E:$E,"TPO",'capacity data'!$B:$B,B11),"")</f>
        <v/>
      </c>
    </row>
    <row r="12" spans="1:26" ht="16" x14ac:dyDescent="0.2">
      <c r="A12" s="11"/>
      <c r="B12" s="71" t="str">
        <f>HLOOKUP($B$4,Region_Table,6,0)</f>
        <v>Corporate Services - N07</v>
      </c>
      <c r="C12" s="76" t="str">
        <f>IFERROR(SUM((SUMIFS('capacity data'!$G:$G,'capacity data'!$E:$E,"PO",'capacity data'!$B:$B,'cluster capacity, unallocateds'!B12))-SUMIFS('capacity data'!$H:$H,'capacity data'!$E:$E,"PO",'capacity data'!$B:$B,'cluster capacity, unallocateds'!B12))/SUMIFS('capacity data'!$G:$G,'capacity data'!$E:$E,"PO",'capacity data'!$B:$B,'cluster capacity, unallocateds'!B12),"")</f>
        <v/>
      </c>
      <c r="D12" s="76" t="str">
        <f>IFERROR(SUM((SUMIFS('capacity data'!$G:$G,'capacity data'!$E:$E,"PSO",'capacity data'!$B:$B,'cluster capacity, unallocateds'!B12))-SUMIFS('capacity data'!$H:$H,'capacity data'!$E:$E,"PSO",'capacity data'!$B:$B,'cluster capacity, unallocateds'!B12))/SUMIFS('capacity data'!$G:$G,'capacity data'!$E:$E,"PSO",'capacity data'!$B:$B,'cluster capacity, unallocateds'!B12),"")</f>
        <v/>
      </c>
      <c r="E12" s="76" t="str">
        <f>IFERROR(SUM((SUMIFS('capacity data'!$G:$G,'capacity data'!$E:$E,"TPO",'capacity data'!$B:$B,'cluster capacity, unallocateds'!B12))-SUMIFS('capacity data'!$H:$H,'capacity data'!$E:$E,"TPO",'capacity data'!$B:$B,'cluster capacity, unallocateds'!B12))/SUMIFS('capacity data'!$G:$G,'capacity data'!$E:$E,"TPO",'capacity data'!$B:$B,'cluster capacity, unallocateds'!B12),"")</f>
        <v/>
      </c>
      <c r="F12" s="167"/>
      <c r="G12" s="230" t="str">
        <f>IFERROR(SUMIFS('capacity data'!$L:$L,'capacity data'!$B:$B,B12,'capacity data'!$E:$E,"PSO")/SUM((SUMIFS('capacity data'!$G:$G,'capacity data'!$E:$E,"PSO",'capacity data'!$B:$B,B12))-SUMIFS('capacity data'!$H:$H,'capacity data'!$E:$E,"PSO",'capacity data'!$B:$B,B12)),"")</f>
        <v/>
      </c>
      <c r="H12" s="230" t="str">
        <f>IFERROR(SUMIFS('capacity data'!$L:$L,'capacity data'!$B:$B,B12,'capacity data'!$E:$E,"PSO")/SUMIFS('capacity data'!$G:$G,'capacity data'!$E:$E,"PSO",'capacity data'!$B:$B,B12),"")</f>
        <v/>
      </c>
      <c r="I12" s="167"/>
      <c r="J12" s="75" t="str">
        <f>IFERROR(SUMIFS('capacity data'!$L:$L,'capacity data'!$B:$B,B12,'capacity data'!$E:$E,"TPO")/SUM((SUMIFS('capacity data'!$G:$G,'capacity data'!$E:$E,"TPO",'capacity data'!$B:$B,B12))-SUMIFS('capacity data'!$H:$H,'capacity data'!$E:$E,"TPO",'capacity data'!$B:$B,B12)),"")</f>
        <v/>
      </c>
      <c r="K12" s="75" t="str">
        <f>IFERROR(SUMIFS('capacity data'!$L:$L,'capacity data'!$B:$B,B12,'capacity data'!$E:$E,"TPO")/SUMIFS('capacity data'!$G:$G,'capacity data'!$E:$E,"TPO",'capacity data'!$B:$B,B12),"")</f>
        <v/>
      </c>
    </row>
    <row r="13" spans="1:26" ht="16" x14ac:dyDescent="0.2">
      <c r="A13" s="11"/>
      <c r="B13" s="71" t="str">
        <f>HLOOKUP($B$4,Region_Table,7,0)</f>
        <v>Croydon - N07</v>
      </c>
      <c r="C13" s="76" t="str">
        <f>IFERROR(SUM((SUMIFS('capacity data'!$G:$G,'capacity data'!$E:$E,"PO",'capacity data'!$B:$B,'cluster capacity, unallocateds'!B13))-SUMIFS('capacity data'!$H:$H,'capacity data'!$E:$E,"PO",'capacity data'!$B:$B,'cluster capacity, unallocateds'!B13))/SUMIFS('capacity data'!$G:$G,'capacity data'!$E:$E,"PO",'capacity data'!$B:$B,'cluster capacity, unallocateds'!B13),"")</f>
        <v/>
      </c>
      <c r="D13" s="76" t="str">
        <f>IFERROR(SUM((SUMIFS('capacity data'!$G:$G,'capacity data'!$E:$E,"PSO",'capacity data'!$B:$B,'cluster capacity, unallocateds'!B13))-SUMIFS('capacity data'!$H:$H,'capacity data'!$E:$E,"PSO",'capacity data'!$B:$B,'cluster capacity, unallocateds'!B13))/SUMIFS('capacity data'!$G:$G,'capacity data'!$E:$E,"PSO",'capacity data'!$B:$B,'cluster capacity, unallocateds'!B13),"")</f>
        <v/>
      </c>
      <c r="E13" s="76" t="str">
        <f>IFERROR(SUM((SUMIFS('capacity data'!$G:$G,'capacity data'!$E:$E,"TPO",'capacity data'!$B:$B,'cluster capacity, unallocateds'!B13))-SUMIFS('capacity data'!$H:$H,'capacity data'!$E:$E,"TPO",'capacity data'!$B:$B,'cluster capacity, unallocateds'!B13))/SUMIFS('capacity data'!$G:$G,'capacity data'!$E:$E,"TPO",'capacity data'!$B:$B,'cluster capacity, unallocateds'!B13),"")</f>
        <v/>
      </c>
      <c r="F13" s="167"/>
      <c r="G13" s="230" t="str">
        <f>IFERROR(SUMIFS('capacity data'!$L:$L,'capacity data'!$B:$B,B13,'capacity data'!$E:$E,"PSO")/SUM((SUMIFS('capacity data'!$G:$G,'capacity data'!$E:$E,"PSO",'capacity data'!$B:$B,B13))-SUMIFS('capacity data'!$H:$H,'capacity data'!$E:$E,"PSO",'capacity data'!$B:$B,B13)),"")</f>
        <v/>
      </c>
      <c r="H13" s="230" t="str">
        <f>IFERROR(SUMIFS('capacity data'!$L:$L,'capacity data'!$B:$B,B13,'capacity data'!$E:$E,"PSO")/SUMIFS('capacity data'!$G:$G,'capacity data'!$E:$E,"PSO",'capacity data'!$B:$B,B13),"")</f>
        <v/>
      </c>
      <c r="I13" s="167"/>
      <c r="J13" s="75" t="str">
        <f>IFERROR(SUMIFS('capacity data'!$L:$L,'capacity data'!$B:$B,B13,'capacity data'!$E:$E,"TPO")/SUM((SUMIFS('capacity data'!$G:$G,'capacity data'!$E:$E,"TPO",'capacity data'!$B:$B,B13))-SUMIFS('capacity data'!$H:$H,'capacity data'!$E:$E,"TPO",'capacity data'!$B:$B,B13)),"")</f>
        <v/>
      </c>
      <c r="K13" s="75" t="str">
        <f>IFERROR(SUMIFS('capacity data'!$L:$L,'capacity data'!$B:$B,B13,'capacity data'!$E:$E,"TPO")/SUMIFS('capacity data'!$G:$G,'capacity data'!$E:$E,"TPO",'capacity data'!$B:$B,B13),"")</f>
        <v/>
      </c>
    </row>
    <row r="14" spans="1:26" ht="16" x14ac:dyDescent="0.2">
      <c r="A14" s="11"/>
      <c r="B14" s="71" t="str">
        <f>HLOOKUP($B$4,Region_Table,8,0)</f>
        <v>Ealing and Hillingdon</v>
      </c>
      <c r="C14" s="76" t="str">
        <f>IFERROR(SUM((SUMIFS('capacity data'!$G:$G,'capacity data'!$E:$E,"PO",'capacity data'!$B:$B,'cluster capacity, unallocateds'!B14))-SUMIFS('capacity data'!$H:$H,'capacity data'!$E:$E,"PO",'capacity data'!$B:$B,'cluster capacity, unallocateds'!B14))/SUMIFS('capacity data'!$G:$G,'capacity data'!$E:$E,"PO",'capacity data'!$B:$B,'cluster capacity, unallocateds'!B14),"")</f>
        <v/>
      </c>
      <c r="D14" s="76" t="str">
        <f>IFERROR(SUM((SUMIFS('capacity data'!$G:$G,'capacity data'!$E:$E,"PSO",'capacity data'!$B:$B,'cluster capacity, unallocateds'!B14))-SUMIFS('capacity data'!$H:$H,'capacity data'!$E:$E,"PSO",'capacity data'!$B:$B,'cluster capacity, unallocateds'!B14))/SUMIFS('capacity data'!$G:$G,'capacity data'!$E:$E,"PSO",'capacity data'!$B:$B,'cluster capacity, unallocateds'!B14),"")</f>
        <v/>
      </c>
      <c r="E14" s="76" t="str">
        <f>IFERROR(SUM((SUMIFS('capacity data'!$G:$G,'capacity data'!$E:$E,"TPO",'capacity data'!$B:$B,'cluster capacity, unallocateds'!B14))-SUMIFS('capacity data'!$H:$H,'capacity data'!$E:$E,"TPO",'capacity data'!$B:$B,'cluster capacity, unallocateds'!B14))/SUMIFS('capacity data'!$G:$G,'capacity data'!$E:$E,"TPO",'capacity data'!$B:$B,'cluster capacity, unallocateds'!B14),"")</f>
        <v/>
      </c>
      <c r="F14" s="167"/>
      <c r="G14" s="230" t="str">
        <f>IFERROR(SUMIFS('capacity data'!$L:$L,'capacity data'!$B:$B,B14,'capacity data'!$E:$E,"PSO")/SUM((SUMIFS('capacity data'!$G:$G,'capacity data'!$E:$E,"PSO",'capacity data'!$B:$B,B14))-SUMIFS('capacity data'!$H:$H,'capacity data'!$E:$E,"PSO",'capacity data'!$B:$B,B14)),"")</f>
        <v/>
      </c>
      <c r="H14" s="230" t="str">
        <f>IFERROR(SUMIFS('capacity data'!$L:$L,'capacity data'!$B:$B,B14,'capacity data'!$E:$E,"PSO")/SUMIFS('capacity data'!$G:$G,'capacity data'!$E:$E,"PSO",'capacity data'!$B:$B,B14),"")</f>
        <v/>
      </c>
      <c r="I14" s="167"/>
      <c r="J14" s="75" t="str">
        <f>IFERROR(SUMIFS('capacity data'!$L:$L,'capacity data'!$B:$B,B14,'capacity data'!$E:$E,"TPO")/SUM((SUMIFS('capacity data'!$G:$G,'capacity data'!$E:$E,"TPO",'capacity data'!$B:$B,B14))-SUMIFS('capacity data'!$H:$H,'capacity data'!$E:$E,"TPO",'capacity data'!$B:$B,B14)),"")</f>
        <v/>
      </c>
      <c r="K14" s="75" t="str">
        <f>IFERROR(SUMIFS('capacity data'!$L:$L,'capacity data'!$B:$B,B14,'capacity data'!$E:$E,"TPO")/SUMIFS('capacity data'!$G:$G,'capacity data'!$E:$E,"TPO",'capacity data'!$B:$B,B14),"")</f>
        <v/>
      </c>
    </row>
    <row r="15" spans="1:26" ht="16" x14ac:dyDescent="0.2">
      <c r="A15" s="11"/>
      <c r="B15" s="71" t="str">
        <f>HLOOKUP($B$4,Region_Table,9,0)</f>
        <v>Enfield and Haringey</v>
      </c>
      <c r="C15" s="76" t="str">
        <f>IFERROR(SUM((SUMIFS('capacity data'!$G:$G,'capacity data'!$E:$E,"PO",'capacity data'!$B:$B,'cluster capacity, unallocateds'!B15))-SUMIFS('capacity data'!$H:$H,'capacity data'!$E:$E,"PO",'capacity data'!$B:$B,'cluster capacity, unallocateds'!B15))/SUMIFS('capacity data'!$G:$G,'capacity data'!$E:$E,"PO",'capacity data'!$B:$B,'cluster capacity, unallocateds'!B15),"")</f>
        <v/>
      </c>
      <c r="D15" s="76" t="str">
        <f>IFERROR(SUM((SUMIFS('capacity data'!$G:$G,'capacity data'!$E:$E,"PSO",'capacity data'!$B:$B,'cluster capacity, unallocateds'!B15))-SUMIFS('capacity data'!$H:$H,'capacity data'!$E:$E,"PSO",'capacity data'!$B:$B,'cluster capacity, unallocateds'!B15))/SUMIFS('capacity data'!$G:$G,'capacity data'!$E:$E,"PSO",'capacity data'!$B:$B,'cluster capacity, unallocateds'!B15),"")</f>
        <v/>
      </c>
      <c r="E15" s="76" t="str">
        <f>IFERROR(SUM((SUMIFS('capacity data'!$G:$G,'capacity data'!$E:$E,"TPO",'capacity data'!$B:$B,'cluster capacity, unallocateds'!B15))-SUMIFS('capacity data'!$H:$H,'capacity data'!$E:$E,"TPO",'capacity data'!$B:$B,'cluster capacity, unallocateds'!B15))/SUMIFS('capacity data'!$G:$G,'capacity data'!$E:$E,"TPO",'capacity data'!$B:$B,'cluster capacity, unallocateds'!B15),"")</f>
        <v/>
      </c>
      <c r="F15" s="167"/>
      <c r="G15" s="230" t="str">
        <f>IFERROR(SUMIFS('capacity data'!$L:$L,'capacity data'!$B:$B,B15,'capacity data'!$E:$E,"PSO")/SUM((SUMIFS('capacity data'!$G:$G,'capacity data'!$E:$E,"PSO",'capacity data'!$B:$B,B15))-SUMIFS('capacity data'!$H:$H,'capacity data'!$E:$E,"PSO",'capacity data'!$B:$B,B15)),"")</f>
        <v/>
      </c>
      <c r="H15" s="230" t="str">
        <f>IFERROR(SUMIFS('capacity data'!$L:$L,'capacity data'!$B:$B,B15,'capacity data'!$E:$E,"PSO")/SUMIFS('capacity data'!$G:$G,'capacity data'!$E:$E,"PSO",'capacity data'!$B:$B,B15),"")</f>
        <v/>
      </c>
      <c r="I15" s="167"/>
      <c r="J15" s="75" t="str">
        <f>IFERROR(SUMIFS('capacity data'!$L:$L,'capacity data'!$B:$B,B15,'capacity data'!$E:$E,"TPO")/SUM((SUMIFS('capacity data'!$G:$G,'capacity data'!$E:$E,"TPO",'capacity data'!$B:$B,B15))-SUMIFS('capacity data'!$H:$H,'capacity data'!$E:$E,"TPO",'capacity data'!$B:$B,B15)),"")</f>
        <v/>
      </c>
      <c r="K15" s="75" t="str">
        <f>IFERROR(SUMIFS('capacity data'!$L:$L,'capacity data'!$B:$B,B15,'capacity data'!$E:$E,"TPO")/SUMIFS('capacity data'!$G:$G,'capacity data'!$E:$E,"TPO",'capacity data'!$B:$B,B15),"")</f>
        <v/>
      </c>
    </row>
    <row r="16" spans="1:26" ht="16" x14ac:dyDescent="0.2">
      <c r="A16" s="11"/>
      <c r="B16" s="71" t="str">
        <f>HLOOKUP($B$4,Region_Table,10,0)</f>
        <v>Greenwich and Bexley</v>
      </c>
      <c r="C16" s="76" t="str">
        <f>IFERROR(SUM((SUMIFS('capacity data'!$G:$G,'capacity data'!$E:$E,"PO",'capacity data'!$B:$B,'cluster capacity, unallocateds'!B16))-SUMIFS('capacity data'!$H:$H,'capacity data'!$E:$E,"PO",'capacity data'!$B:$B,'cluster capacity, unallocateds'!B16))/SUMIFS('capacity data'!$G:$G,'capacity data'!$E:$E,"PO",'capacity data'!$B:$B,'cluster capacity, unallocateds'!B16),"")</f>
        <v/>
      </c>
      <c r="D16" s="76" t="str">
        <f>IFERROR(SUM((SUMIFS('capacity data'!$G:$G,'capacity data'!$E:$E,"PSO",'capacity data'!$B:$B,'cluster capacity, unallocateds'!B16))-SUMIFS('capacity data'!$H:$H,'capacity data'!$E:$E,"PSO",'capacity data'!$B:$B,'cluster capacity, unallocateds'!B16))/SUMIFS('capacity data'!$G:$G,'capacity data'!$E:$E,"PSO",'capacity data'!$B:$B,'cluster capacity, unallocateds'!B16),"")</f>
        <v/>
      </c>
      <c r="E16" s="76" t="str">
        <f>IFERROR(SUM((SUMIFS('capacity data'!$G:$G,'capacity data'!$E:$E,"TPO",'capacity data'!$B:$B,'cluster capacity, unallocateds'!B16))-SUMIFS('capacity data'!$H:$H,'capacity data'!$E:$E,"TPO",'capacity data'!$B:$B,'cluster capacity, unallocateds'!B16))/SUMIFS('capacity data'!$G:$G,'capacity data'!$E:$E,"TPO",'capacity data'!$B:$B,'cluster capacity, unallocateds'!B16),"")</f>
        <v/>
      </c>
      <c r="F16" s="167"/>
      <c r="G16" s="230" t="str">
        <f>IFERROR(SUMIFS('capacity data'!$L:$L,'capacity data'!$B:$B,B16,'capacity data'!$E:$E,"PSO")/SUM((SUMIFS('capacity data'!$G:$G,'capacity data'!$E:$E,"PSO",'capacity data'!$B:$B,B16))-SUMIFS('capacity data'!$H:$H,'capacity data'!$E:$E,"PSO",'capacity data'!$B:$B,B16)),"")</f>
        <v/>
      </c>
      <c r="H16" s="230" t="str">
        <f>IFERROR(SUMIFS('capacity data'!$L:$L,'capacity data'!$B:$B,B16,'capacity data'!$E:$E,"PSO")/SUMIFS('capacity data'!$G:$G,'capacity data'!$E:$E,"PSO",'capacity data'!$B:$B,B16),"")</f>
        <v/>
      </c>
      <c r="I16" s="167"/>
      <c r="J16" s="75" t="str">
        <f>IFERROR(SUMIFS('capacity data'!$L:$L,'capacity data'!$B:$B,B16,'capacity data'!$E:$E,"TPO")/SUM((SUMIFS('capacity data'!$G:$G,'capacity data'!$E:$E,"TPO",'capacity data'!$B:$B,B16))-SUMIFS('capacity data'!$H:$H,'capacity data'!$E:$E,"TPO",'capacity data'!$B:$B,B16)),"")</f>
        <v/>
      </c>
      <c r="K16" s="75" t="str">
        <f>IFERROR(SUMIFS('capacity data'!$L:$L,'capacity data'!$B:$B,B16,'capacity data'!$E:$E,"TPO")/SUMIFS('capacity data'!$G:$G,'capacity data'!$E:$E,"TPO",'capacity data'!$B:$B,B16),"")</f>
        <v/>
      </c>
    </row>
    <row r="17" spans="1:11" ht="16" x14ac:dyDescent="0.2">
      <c r="A17" s="13" t="s">
        <v>24</v>
      </c>
      <c r="B17" s="71" t="str">
        <f>HLOOKUP($B$4,Region_Table,11,0)</f>
        <v>Hackney and City</v>
      </c>
      <c r="C17" s="76" t="str">
        <f>IFERROR(SUM((SUMIFS('capacity data'!$G:$G,'capacity data'!$E:$E,"PO",'capacity data'!$B:$B,'cluster capacity, unallocateds'!B17))-SUMIFS('capacity data'!$H:$H,'capacity data'!$E:$E,"PO",'capacity data'!$B:$B,'cluster capacity, unallocateds'!B17))/SUMIFS('capacity data'!$G:$G,'capacity data'!$E:$E,"PO",'capacity data'!$B:$B,'cluster capacity, unallocateds'!B17),"")</f>
        <v/>
      </c>
      <c r="D17" s="76" t="str">
        <f>IFERROR(SUM((SUMIFS('capacity data'!$G:$G,'capacity data'!$E:$E,"PSO",'capacity data'!$B:$B,'cluster capacity, unallocateds'!B17))-SUMIFS('capacity data'!$H:$H,'capacity data'!$E:$E,"PSO",'capacity data'!$B:$B,'cluster capacity, unallocateds'!B17))/SUMIFS('capacity data'!$G:$G,'capacity data'!$E:$E,"PSO",'capacity data'!$B:$B,'cluster capacity, unallocateds'!B17),"")</f>
        <v/>
      </c>
      <c r="E17" s="76" t="str">
        <f>IFERROR(SUM((SUMIFS('capacity data'!$G:$G,'capacity data'!$E:$E,"TPO",'capacity data'!$B:$B,'cluster capacity, unallocateds'!B17))-SUMIFS('capacity data'!$H:$H,'capacity data'!$E:$E,"TPO",'capacity data'!$B:$B,'cluster capacity, unallocateds'!B17))/SUMIFS('capacity data'!$G:$G,'capacity data'!$E:$E,"TPO",'capacity data'!$B:$B,'cluster capacity, unallocateds'!B17),"")</f>
        <v/>
      </c>
      <c r="F17" s="167"/>
      <c r="G17" s="230" t="str">
        <f>IFERROR(SUMIFS('capacity data'!$L:$L,'capacity data'!$B:$B,B17,'capacity data'!$E:$E,"PSO")/SUM((SUMIFS('capacity data'!$G:$G,'capacity data'!$E:$E,"PSO",'capacity data'!$B:$B,B17))-SUMIFS('capacity data'!$H:$H,'capacity data'!$E:$E,"PSO",'capacity data'!$B:$B,B17)),"")</f>
        <v/>
      </c>
      <c r="H17" s="230" t="str">
        <f>IFERROR(SUMIFS('capacity data'!$L:$L,'capacity data'!$B:$B,B17,'capacity data'!$E:$E,"PSO")/SUMIFS('capacity data'!$G:$G,'capacity data'!$E:$E,"PSO",'capacity data'!$B:$B,B17),"")</f>
        <v/>
      </c>
      <c r="I17" s="167"/>
      <c r="J17" s="75" t="str">
        <f>IFERROR(SUMIFS('capacity data'!$L:$L,'capacity data'!$B:$B,B17,'capacity data'!$E:$E,"TPO")/SUM((SUMIFS('capacity data'!$G:$G,'capacity data'!$E:$E,"TPO",'capacity data'!$B:$B,B17))-SUMIFS('capacity data'!$H:$H,'capacity data'!$E:$E,"TPO",'capacity data'!$B:$B,B17)),"")</f>
        <v/>
      </c>
      <c r="K17" s="75" t="str">
        <f>IFERROR(SUMIFS('capacity data'!$L:$L,'capacity data'!$B:$B,B17,'capacity data'!$E:$E,"TPO")/SUMIFS('capacity data'!$G:$G,'capacity data'!$E:$E,"TPO",'capacity data'!$B:$B,B17),"")</f>
        <v/>
      </c>
    </row>
    <row r="18" spans="1:11" ht="16" x14ac:dyDescent="0.2">
      <c r="A18" s="13" t="s">
        <v>1140</v>
      </c>
      <c r="B18" s="71" t="str">
        <f>HLOOKUP($B$4,Region_Table,12,0)</f>
        <v>Hammersmith, Fulham, Kensington, Chelsea and Westminster</v>
      </c>
      <c r="C18" s="76" t="str">
        <f>IFERROR(SUM((SUMIFS('capacity data'!$G:$G,'capacity data'!$E:$E,"PO",'capacity data'!$B:$B,'cluster capacity, unallocateds'!B18))-SUMIFS('capacity data'!$H:$H,'capacity data'!$E:$E,"PO",'capacity data'!$B:$B,'cluster capacity, unallocateds'!B18))/SUMIFS('capacity data'!$G:$G,'capacity data'!$E:$E,"PO",'capacity data'!$B:$B,'cluster capacity, unallocateds'!B18),"")</f>
        <v/>
      </c>
      <c r="D18" s="76" t="str">
        <f>IFERROR(SUM((SUMIFS('capacity data'!$G:$G,'capacity data'!$E:$E,"PSO",'capacity data'!$B:$B,'cluster capacity, unallocateds'!B18))-SUMIFS('capacity data'!$H:$H,'capacity data'!$E:$E,"PSO",'capacity data'!$B:$B,'cluster capacity, unallocateds'!B18))/SUMIFS('capacity data'!$G:$G,'capacity data'!$E:$E,"PSO",'capacity data'!$B:$B,'cluster capacity, unallocateds'!B18),"")</f>
        <v/>
      </c>
      <c r="E18" s="76" t="str">
        <f>IFERROR(SUM((SUMIFS('capacity data'!$G:$G,'capacity data'!$E:$E,"TPO",'capacity data'!$B:$B,'cluster capacity, unallocateds'!B18))-SUMIFS('capacity data'!$H:$H,'capacity data'!$E:$E,"TPO",'capacity data'!$B:$B,'cluster capacity, unallocateds'!B18))/SUMIFS('capacity data'!$G:$G,'capacity data'!$E:$E,"TPO",'capacity data'!$B:$B,'cluster capacity, unallocateds'!B18),"")</f>
        <v/>
      </c>
      <c r="F18" s="167"/>
      <c r="G18" s="230" t="str">
        <f>IFERROR(SUMIFS('capacity data'!$L:$L,'capacity data'!$B:$B,B18,'capacity data'!$E:$E,"PSO")/SUM((SUMIFS('capacity data'!$G:$G,'capacity data'!$E:$E,"PSO",'capacity data'!$B:$B,B18))-SUMIFS('capacity data'!$H:$H,'capacity data'!$E:$E,"PSO",'capacity data'!$B:$B,B18)),"")</f>
        <v/>
      </c>
      <c r="H18" s="230" t="str">
        <f>IFERROR(SUMIFS('capacity data'!$L:$L,'capacity data'!$B:$B,B18,'capacity data'!$E:$E,"PSO")/SUMIFS('capacity data'!$G:$G,'capacity data'!$E:$E,"PSO",'capacity data'!$B:$B,B18),"")</f>
        <v/>
      </c>
      <c r="I18" s="167"/>
      <c r="J18" s="75" t="str">
        <f>IFERROR(SUMIFS('capacity data'!$L:$L,'capacity data'!$B:$B,B18,'capacity data'!$E:$E,"TPO")/SUM((SUMIFS('capacity data'!$G:$G,'capacity data'!$E:$E,"TPO",'capacity data'!$B:$B,B18))-SUMIFS('capacity data'!$H:$H,'capacity data'!$E:$E,"TPO",'capacity data'!$B:$B,B18)),"")</f>
        <v/>
      </c>
      <c r="K18" s="75" t="str">
        <f>IFERROR(SUMIFS('capacity data'!$L:$L,'capacity data'!$B:$B,B18,'capacity data'!$E:$E,"TPO")/SUMIFS('capacity data'!$G:$G,'capacity data'!$E:$E,"TPO",'capacity data'!$B:$B,B18),"")</f>
        <v/>
      </c>
    </row>
    <row r="19" spans="1:11" ht="16" x14ac:dyDescent="0.2">
      <c r="A19" s="13" t="s">
        <v>1141</v>
      </c>
      <c r="B19" s="71" t="str">
        <f>HLOOKUP($B$4,Region_Table,13,0)</f>
        <v>Harrow and Barnet</v>
      </c>
      <c r="C19" s="76" t="str">
        <f>IFERROR(SUM((SUMIFS('capacity data'!$G:$G,'capacity data'!$E:$E,"PO",'capacity data'!$B:$B,'cluster capacity, unallocateds'!B19))-SUMIFS('capacity data'!$H:$H,'capacity data'!$E:$E,"PO",'capacity data'!$B:$B,'cluster capacity, unallocateds'!B19))/SUMIFS('capacity data'!$G:$G,'capacity data'!$E:$E,"PO",'capacity data'!$B:$B,'cluster capacity, unallocateds'!B19),"")</f>
        <v/>
      </c>
      <c r="D19" s="76" t="str">
        <f>IFERROR(SUM((SUMIFS('capacity data'!$G:$G,'capacity data'!$E:$E,"PSO",'capacity data'!$B:$B,'cluster capacity, unallocateds'!B19))-SUMIFS('capacity data'!$H:$H,'capacity data'!$E:$E,"PSO",'capacity data'!$B:$B,'cluster capacity, unallocateds'!B19))/SUMIFS('capacity data'!$G:$G,'capacity data'!$E:$E,"PSO",'capacity data'!$B:$B,'cluster capacity, unallocateds'!B19),"")</f>
        <v/>
      </c>
      <c r="E19" s="76" t="str">
        <f>IFERROR(SUM((SUMIFS('capacity data'!$G:$G,'capacity data'!$E:$E,"TPO",'capacity data'!$B:$B,'cluster capacity, unallocateds'!B19))-SUMIFS('capacity data'!$H:$H,'capacity data'!$E:$E,"TPO",'capacity data'!$B:$B,'cluster capacity, unallocateds'!B19))/SUMIFS('capacity data'!$G:$G,'capacity data'!$E:$E,"TPO",'capacity data'!$B:$B,'cluster capacity, unallocateds'!B19),"")</f>
        <v/>
      </c>
      <c r="F19" s="167"/>
      <c r="G19" s="230" t="str">
        <f>IFERROR(SUMIFS('capacity data'!$L:$L,'capacity data'!$B:$B,B19,'capacity data'!$E:$E,"PSO")/SUM((SUMIFS('capacity data'!$G:$G,'capacity data'!$E:$E,"PSO",'capacity data'!$B:$B,B19))-SUMIFS('capacity data'!$H:$H,'capacity data'!$E:$E,"PSO",'capacity data'!$B:$B,B19)),"")</f>
        <v/>
      </c>
      <c r="H19" s="230" t="str">
        <f>IFERROR(SUMIFS('capacity data'!$L:$L,'capacity data'!$B:$B,B19,'capacity data'!$E:$E,"PSO")/SUMIFS('capacity data'!$G:$G,'capacity data'!$E:$E,"PSO",'capacity data'!$B:$B,B19),"")</f>
        <v/>
      </c>
      <c r="I19" s="167"/>
      <c r="J19" s="75" t="str">
        <f>IFERROR(SUMIFS('capacity data'!$L:$L,'capacity data'!$B:$B,B19,'capacity data'!$E:$E,"TPO")/SUM((SUMIFS('capacity data'!$G:$G,'capacity data'!$E:$E,"TPO",'capacity data'!$B:$B,B19))-SUMIFS('capacity data'!$H:$H,'capacity data'!$E:$E,"TPO",'capacity data'!$B:$B,B19)),"")</f>
        <v/>
      </c>
      <c r="K19" s="75" t="str">
        <f>IFERROR(SUMIFS('capacity data'!$L:$L,'capacity data'!$B:$B,B19,'capacity data'!$E:$E,"TPO")/SUMIFS('capacity data'!$G:$G,'capacity data'!$E:$E,"TPO",'capacity data'!$B:$B,B19),"")</f>
        <v/>
      </c>
    </row>
    <row r="20" spans="1:11" ht="16" x14ac:dyDescent="0.2">
      <c r="A20" s="13" t="s">
        <v>1142</v>
      </c>
      <c r="B20" s="71" t="str">
        <f>HLOOKUP($B$4,Region_Table,14,0)</f>
        <v>Inactive Level 2(N07)</v>
      </c>
      <c r="C20" s="76" t="str">
        <f>IFERROR(SUM((SUMIFS('capacity data'!$G:$G,'capacity data'!$E:$E,"PO",'capacity data'!$B:$B,'cluster capacity, unallocateds'!B20))-SUMIFS('capacity data'!$H:$H,'capacity data'!$E:$E,"PO",'capacity data'!$B:$B,'cluster capacity, unallocateds'!B20))/SUMIFS('capacity data'!$G:$G,'capacity data'!$E:$E,"PO",'capacity data'!$B:$B,'cluster capacity, unallocateds'!B20),"")</f>
        <v/>
      </c>
      <c r="D20" s="76" t="str">
        <f>IFERROR(SUM((SUMIFS('capacity data'!$G:$G,'capacity data'!$E:$E,"PSO",'capacity data'!$B:$B,'cluster capacity, unallocateds'!B20))-SUMIFS('capacity data'!$H:$H,'capacity data'!$E:$E,"PSO",'capacity data'!$B:$B,'cluster capacity, unallocateds'!B20))/SUMIFS('capacity data'!$G:$G,'capacity data'!$E:$E,"PSO",'capacity data'!$B:$B,'cluster capacity, unallocateds'!B20),"")</f>
        <v/>
      </c>
      <c r="E20" s="76" t="str">
        <f>IFERROR(SUM((SUMIFS('capacity data'!$G:$G,'capacity data'!$E:$E,"TPO",'capacity data'!$B:$B,'cluster capacity, unallocateds'!B20))-SUMIFS('capacity data'!$H:$H,'capacity data'!$E:$E,"TPO",'capacity data'!$B:$B,'cluster capacity, unallocateds'!B20))/SUMIFS('capacity data'!$G:$G,'capacity data'!$E:$E,"TPO",'capacity data'!$B:$B,'cluster capacity, unallocateds'!B20),"")</f>
        <v/>
      </c>
      <c r="F20" s="167"/>
      <c r="G20" s="230" t="str">
        <f>IFERROR(SUMIFS('capacity data'!$L:$L,'capacity data'!$B:$B,B20,'capacity data'!$E:$E,"PSO")/SUM((SUMIFS('capacity data'!$G:$G,'capacity data'!$E:$E,"PSO",'capacity data'!$B:$B,B20))-SUMIFS('capacity data'!$H:$H,'capacity data'!$E:$E,"PSO",'capacity data'!$B:$B,B20)),"")</f>
        <v/>
      </c>
      <c r="H20" s="230" t="str">
        <f>IFERROR(SUMIFS('capacity data'!$L:$L,'capacity data'!$B:$B,B20,'capacity data'!$E:$E,"PSO")/SUMIFS('capacity data'!$G:$G,'capacity data'!$E:$E,"PSO",'capacity data'!$B:$B,B20),"")</f>
        <v/>
      </c>
      <c r="I20" s="167"/>
      <c r="J20" s="75" t="str">
        <f>IFERROR(SUMIFS('capacity data'!$L:$L,'capacity data'!$B:$B,B20,'capacity data'!$E:$E,"TPO")/SUM((SUMIFS('capacity data'!$G:$G,'capacity data'!$E:$E,"TPO",'capacity data'!$B:$B,B20))-SUMIFS('capacity data'!$H:$H,'capacity data'!$E:$E,"TPO",'capacity data'!$B:$B,B20)),"")</f>
        <v/>
      </c>
      <c r="K20" s="75" t="str">
        <f>IFERROR(SUMIFS('capacity data'!$L:$L,'capacity data'!$B:$B,B20,'capacity data'!$E:$E,"TPO")/SUMIFS('capacity data'!$G:$G,'capacity data'!$E:$E,"TPO",'capacity data'!$B:$B,B20),"")</f>
        <v/>
      </c>
    </row>
    <row r="21" spans="1:11" ht="16" x14ac:dyDescent="0.2">
      <c r="A21" s="13" t="s">
        <v>1143</v>
      </c>
      <c r="B21" s="71" t="str">
        <f>HLOOKUP($B$4,Region_Table,15,0)</f>
        <v>Kingston, Richmond and Hounslow</v>
      </c>
      <c r="C21" s="76" t="str">
        <f>IFERROR(SUM((SUMIFS('capacity data'!$G:$G,'capacity data'!$E:$E,"PO",'capacity data'!$B:$B,'cluster capacity, unallocateds'!B21))-SUMIFS('capacity data'!$H:$H,'capacity data'!$E:$E,"PO",'capacity data'!$B:$B,'cluster capacity, unallocateds'!B21))/SUMIFS('capacity data'!$G:$G,'capacity data'!$E:$E,"PO",'capacity data'!$B:$B,'cluster capacity, unallocateds'!B21),"")</f>
        <v/>
      </c>
      <c r="D21" s="76" t="str">
        <f>IFERROR(SUM((SUMIFS('capacity data'!$G:$G,'capacity data'!$E:$E,"PSO",'capacity data'!$B:$B,'cluster capacity, unallocateds'!B21))-SUMIFS('capacity data'!$H:$H,'capacity data'!$E:$E,"PSO",'capacity data'!$B:$B,'cluster capacity, unallocateds'!B21))/SUMIFS('capacity data'!$G:$G,'capacity data'!$E:$E,"PSO",'capacity data'!$B:$B,'cluster capacity, unallocateds'!B21),"")</f>
        <v/>
      </c>
      <c r="E21" s="76" t="str">
        <f>IFERROR(SUM((SUMIFS('capacity data'!$G:$G,'capacity data'!$E:$E,"TPO",'capacity data'!$B:$B,'cluster capacity, unallocateds'!B21))-SUMIFS('capacity data'!$H:$H,'capacity data'!$E:$E,"TPO",'capacity data'!$B:$B,'cluster capacity, unallocateds'!B21))/SUMIFS('capacity data'!$G:$G,'capacity data'!$E:$E,"TPO",'capacity data'!$B:$B,'cluster capacity, unallocateds'!B21),"")</f>
        <v/>
      </c>
      <c r="F21" s="167"/>
      <c r="G21" s="230" t="str">
        <f>IFERROR(SUMIFS('capacity data'!$L:$L,'capacity data'!$B:$B,B21,'capacity data'!$E:$E,"PSO")/SUM((SUMIFS('capacity data'!$G:$G,'capacity data'!$E:$E,"PSO",'capacity data'!$B:$B,B21))-SUMIFS('capacity data'!$H:$H,'capacity data'!$E:$E,"PSO",'capacity data'!$B:$B,B21)),"")</f>
        <v/>
      </c>
      <c r="H21" s="230" t="str">
        <f>IFERROR(SUMIFS('capacity data'!$L:$L,'capacity data'!$B:$B,B21,'capacity data'!$E:$E,"PSO")/SUMIFS('capacity data'!$G:$G,'capacity data'!$E:$E,"PSO",'capacity data'!$B:$B,B21),"")</f>
        <v/>
      </c>
      <c r="I21" s="167"/>
      <c r="J21" s="75" t="str">
        <f>IFERROR(SUMIFS('capacity data'!$L:$L,'capacity data'!$B:$B,B21,'capacity data'!$E:$E,"TPO")/SUM((SUMIFS('capacity data'!$G:$G,'capacity data'!$E:$E,"TPO",'capacity data'!$B:$B,B21))-SUMIFS('capacity data'!$H:$H,'capacity data'!$E:$E,"TPO",'capacity data'!$B:$B,B21)),"")</f>
        <v/>
      </c>
      <c r="K21" s="75" t="str">
        <f>IFERROR(SUMIFS('capacity data'!$L:$L,'capacity data'!$B:$B,B21,'capacity data'!$E:$E,"TPO")/SUMIFS('capacity data'!$G:$G,'capacity data'!$E:$E,"TPO",'capacity data'!$B:$B,B21),"")</f>
        <v/>
      </c>
    </row>
    <row r="22" spans="1:11" ht="16" x14ac:dyDescent="0.2">
      <c r="A22" s="13" t="s">
        <v>1144</v>
      </c>
      <c r="B22" s="71" t="str">
        <f>HLOOKUP($B$4,Region_Table,16,0)</f>
        <v>Lambeth - N07</v>
      </c>
      <c r="C22" s="76" t="str">
        <f>IFERROR(SUM((SUMIFS('capacity data'!$G:$G,'capacity data'!$E:$E,"PO",'capacity data'!$B:$B,'cluster capacity, unallocateds'!B22))-SUMIFS('capacity data'!$H:$H,'capacity data'!$E:$E,"PO",'capacity data'!$B:$B,'cluster capacity, unallocateds'!B22))/SUMIFS('capacity data'!$G:$G,'capacity data'!$E:$E,"PO",'capacity data'!$B:$B,'cluster capacity, unallocateds'!B22),"")</f>
        <v/>
      </c>
      <c r="D22" s="76" t="str">
        <f>IFERROR(SUM((SUMIFS('capacity data'!$G:$G,'capacity data'!$E:$E,"PSO",'capacity data'!$B:$B,'cluster capacity, unallocateds'!B22))-SUMIFS('capacity data'!$H:$H,'capacity data'!$E:$E,"PSO",'capacity data'!$B:$B,'cluster capacity, unallocateds'!B22))/SUMIFS('capacity data'!$G:$G,'capacity data'!$E:$E,"PSO",'capacity data'!$B:$B,'cluster capacity, unallocateds'!B22),"")</f>
        <v/>
      </c>
      <c r="E22" s="76" t="str">
        <f>IFERROR(SUM((SUMIFS('capacity data'!$G:$G,'capacity data'!$E:$E,"TPO",'capacity data'!$B:$B,'cluster capacity, unallocateds'!B22))-SUMIFS('capacity data'!$H:$H,'capacity data'!$E:$E,"TPO",'capacity data'!$B:$B,'cluster capacity, unallocateds'!B22))/SUMIFS('capacity data'!$G:$G,'capacity data'!$E:$E,"TPO",'capacity data'!$B:$B,'cluster capacity, unallocateds'!B22),"")</f>
        <v/>
      </c>
      <c r="F22" s="167"/>
      <c r="G22" s="230" t="str">
        <f>IFERROR(SUMIFS('capacity data'!$L:$L,'capacity data'!$B:$B,B22,'capacity data'!$E:$E,"PSO")/SUM((SUMIFS('capacity data'!$G:$G,'capacity data'!$E:$E,"PSO",'capacity data'!$B:$B,B22))-SUMIFS('capacity data'!$H:$H,'capacity data'!$E:$E,"PSO",'capacity data'!$B:$B,B22)),"")</f>
        <v/>
      </c>
      <c r="H22" s="230" t="str">
        <f>IFERROR(SUMIFS('capacity data'!$L:$L,'capacity data'!$B:$B,B22,'capacity data'!$E:$E,"PSO")/SUMIFS('capacity data'!$G:$G,'capacity data'!$E:$E,"PSO",'capacity data'!$B:$B,B22),"")</f>
        <v/>
      </c>
      <c r="I22" s="167"/>
      <c r="J22" s="75" t="str">
        <f>IFERROR(SUMIFS('capacity data'!$L:$L,'capacity data'!$B:$B,B22,'capacity data'!$E:$E,"TPO")/SUM((SUMIFS('capacity data'!$G:$G,'capacity data'!$E:$E,"TPO",'capacity data'!$B:$B,B22))-SUMIFS('capacity data'!$H:$H,'capacity data'!$E:$E,"TPO",'capacity data'!$B:$B,B22)),"")</f>
        <v/>
      </c>
      <c r="K22" s="75" t="str">
        <f>IFERROR(SUMIFS('capacity data'!$L:$L,'capacity data'!$B:$B,B22,'capacity data'!$E:$E,"TPO")/SUMIFS('capacity data'!$G:$G,'capacity data'!$E:$E,"TPO",'capacity data'!$B:$B,B22),"")</f>
        <v/>
      </c>
    </row>
    <row r="23" spans="1:11" ht="16" customHeight="1" x14ac:dyDescent="0.2">
      <c r="A23" s="13" t="s">
        <v>29</v>
      </c>
      <c r="B23" s="71" t="str">
        <f>HLOOKUP($B$4,Region_Table,17,0)</f>
        <v>Lewisham and Bromley</v>
      </c>
      <c r="C23" s="76" t="str">
        <f>IFERROR(SUM((SUMIFS('capacity data'!$G:$G,'capacity data'!$E:$E,"PO",'capacity data'!$B:$B,'cluster capacity, unallocateds'!B23))-SUMIFS('capacity data'!$H:$H,'capacity data'!$E:$E,"PO",'capacity data'!$B:$B,'cluster capacity, unallocateds'!B23))/SUMIFS('capacity data'!$G:$G,'capacity data'!$E:$E,"PO",'capacity data'!$B:$B,'cluster capacity, unallocateds'!B23),"")</f>
        <v/>
      </c>
      <c r="D23" s="76" t="str">
        <f>IFERROR(SUM((SUMIFS('capacity data'!$G:$G,'capacity data'!$E:$E,"PSO",'capacity data'!$B:$B,'cluster capacity, unallocateds'!B23))-SUMIFS('capacity data'!$H:$H,'capacity data'!$E:$E,"PSO",'capacity data'!$B:$B,'cluster capacity, unallocateds'!B23))/SUMIFS('capacity data'!$G:$G,'capacity data'!$E:$E,"PSO",'capacity data'!$B:$B,'cluster capacity, unallocateds'!B23),"")</f>
        <v/>
      </c>
      <c r="E23" s="76" t="str">
        <f>IFERROR(SUM((SUMIFS('capacity data'!$G:$G,'capacity data'!$E:$E,"TPO",'capacity data'!$B:$B,'cluster capacity, unallocateds'!B23))-SUMIFS('capacity data'!$H:$H,'capacity data'!$E:$E,"TPO",'capacity data'!$B:$B,'cluster capacity, unallocateds'!B23))/SUMIFS('capacity data'!$G:$G,'capacity data'!$E:$E,"TPO",'capacity data'!$B:$B,'cluster capacity, unallocateds'!B23),"")</f>
        <v/>
      </c>
      <c r="F23" s="167"/>
      <c r="G23" s="230" t="str">
        <f>IFERROR(SUMIFS('capacity data'!$L:$L,'capacity data'!$B:$B,B23,'capacity data'!$E:$E,"PSO")/SUM((SUMIFS('capacity data'!$G:$G,'capacity data'!$E:$E,"PSO",'capacity data'!$B:$B,B23))-SUMIFS('capacity data'!$H:$H,'capacity data'!$E:$E,"PSO",'capacity data'!$B:$B,B23)),"")</f>
        <v/>
      </c>
      <c r="H23" s="230" t="str">
        <f>IFERROR(SUMIFS('capacity data'!$L:$L,'capacity data'!$B:$B,B23,'capacity data'!$E:$E,"PSO")/SUMIFS('capacity data'!$G:$G,'capacity data'!$E:$E,"PSO",'capacity data'!$B:$B,B23),"")</f>
        <v/>
      </c>
      <c r="I23" s="167"/>
      <c r="J23" s="75" t="str">
        <f>IFERROR(SUMIFS('capacity data'!$L:$L,'capacity data'!$B:$B,B23,'capacity data'!$E:$E,"TPO")/SUM((SUMIFS('capacity data'!$G:$G,'capacity data'!$E:$E,"TPO",'capacity data'!$B:$B,B23))-SUMIFS('capacity data'!$H:$H,'capacity data'!$E:$E,"TPO",'capacity data'!$B:$B,B23)),"")</f>
        <v/>
      </c>
      <c r="K23" s="75" t="str">
        <f>IFERROR(SUMIFS('capacity data'!$L:$L,'capacity data'!$B:$B,B23,'capacity data'!$E:$E,"TPO")/SUMIFS('capacity data'!$G:$G,'capacity data'!$E:$E,"TPO",'capacity data'!$B:$B,B23),"")</f>
        <v/>
      </c>
    </row>
    <row r="24" spans="1:11" ht="16" x14ac:dyDescent="0.2">
      <c r="A24" s="240"/>
      <c r="B24" s="71" t="str">
        <f>HLOOKUP($B$4,Region_Table,18,0)</f>
        <v>Newham - N07</v>
      </c>
      <c r="C24" s="76" t="str">
        <f>IFERROR(SUM((SUMIFS('capacity data'!$G:$G,'capacity data'!$E:$E,"PO",'capacity data'!$B:$B,'cluster capacity, unallocateds'!B24))-SUMIFS('capacity data'!$H:$H,'capacity data'!$E:$E,"PO",'capacity data'!$B:$B,'cluster capacity, unallocateds'!B24))/SUMIFS('capacity data'!$G:$G,'capacity data'!$E:$E,"PO",'capacity data'!$B:$B,'cluster capacity, unallocateds'!B24),"")</f>
        <v/>
      </c>
      <c r="D24" s="76" t="str">
        <f>IFERROR(SUM((SUMIFS('capacity data'!$G:$G,'capacity data'!$E:$E,"PSO",'capacity data'!$B:$B,'cluster capacity, unallocateds'!B24))-SUMIFS('capacity data'!$H:$H,'capacity data'!$E:$E,"PSO",'capacity data'!$B:$B,'cluster capacity, unallocateds'!B24))/SUMIFS('capacity data'!$G:$G,'capacity data'!$E:$E,"PSO",'capacity data'!$B:$B,'cluster capacity, unallocateds'!B24),"")</f>
        <v/>
      </c>
      <c r="E24" s="76" t="str">
        <f>IFERROR(SUM((SUMIFS('capacity data'!$G:$G,'capacity data'!$E:$E,"TPO",'capacity data'!$B:$B,'cluster capacity, unallocateds'!B24))-SUMIFS('capacity data'!$H:$H,'capacity data'!$E:$E,"TPO",'capacity data'!$B:$B,'cluster capacity, unallocateds'!B24))/SUMIFS('capacity data'!$G:$G,'capacity data'!$E:$E,"TPO",'capacity data'!$B:$B,'cluster capacity, unallocateds'!B24),"")</f>
        <v/>
      </c>
      <c r="F24" s="167"/>
      <c r="G24" s="230" t="str">
        <f>IFERROR(SUMIFS('capacity data'!$L:$L,'capacity data'!$B:$B,B24,'capacity data'!$E:$E,"PSO")/SUM((SUMIFS('capacity data'!$G:$G,'capacity data'!$E:$E,"PSO",'capacity data'!$B:$B,B24))-SUMIFS('capacity data'!$H:$H,'capacity data'!$E:$E,"PSO",'capacity data'!$B:$B,B24)),"")</f>
        <v/>
      </c>
      <c r="H24" s="230" t="str">
        <f>IFERROR(SUMIFS('capacity data'!$L:$L,'capacity data'!$B:$B,B24,'capacity data'!$E:$E,"PSO")/SUMIFS('capacity data'!$G:$G,'capacity data'!$E:$E,"PSO",'capacity data'!$B:$B,B24),"")</f>
        <v/>
      </c>
      <c r="I24" s="167"/>
      <c r="J24" s="75" t="str">
        <f>IFERROR(SUMIFS('capacity data'!$L:$L,'capacity data'!$B:$B,B24,'capacity data'!$E:$E,"TPO")/SUM((SUMIFS('capacity data'!$G:$G,'capacity data'!$E:$E,"TPO",'capacity data'!$B:$B,B24))-SUMIFS('capacity data'!$H:$H,'capacity data'!$E:$E,"TPO",'capacity data'!$B:$B,B24)),"")</f>
        <v/>
      </c>
      <c r="K24" s="75" t="str">
        <f>IFERROR(SUMIFS('capacity data'!$L:$L,'capacity data'!$B:$B,B24,'capacity data'!$E:$E,"TPO")/SUMIFS('capacity data'!$G:$G,'capacity data'!$E:$E,"TPO",'capacity data'!$B:$B,B24),"")</f>
        <v/>
      </c>
    </row>
    <row r="25" spans="1:11" ht="16" x14ac:dyDescent="0.2">
      <c r="A25" s="240"/>
      <c r="B25" s="71" t="str">
        <f>HLOOKUP($B$4,Region_Table,19,0)</f>
        <v>Public Protection London</v>
      </c>
      <c r="C25" s="76" t="str">
        <f>IFERROR(SUM((SUMIFS('capacity data'!$G:$G,'capacity data'!$E:$E,"PO",'capacity data'!$B:$B,'cluster capacity, unallocateds'!B25))-SUMIFS('capacity data'!$H:$H,'capacity data'!$E:$E,"PO",'capacity data'!$B:$B,'cluster capacity, unallocateds'!B25))/SUMIFS('capacity data'!$G:$G,'capacity data'!$E:$E,"PO",'capacity data'!$B:$B,'cluster capacity, unallocateds'!B25),"")</f>
        <v/>
      </c>
      <c r="D25" s="76" t="str">
        <f>IFERROR(SUM((SUMIFS('capacity data'!$G:$G,'capacity data'!$E:$E,"PSO",'capacity data'!$B:$B,'cluster capacity, unallocateds'!B25))-SUMIFS('capacity data'!$H:$H,'capacity data'!$E:$E,"PSO",'capacity data'!$B:$B,'cluster capacity, unallocateds'!B25))/SUMIFS('capacity data'!$G:$G,'capacity data'!$E:$E,"PSO",'capacity data'!$B:$B,'cluster capacity, unallocateds'!B25),"")</f>
        <v/>
      </c>
      <c r="E25" s="76" t="str">
        <f>IFERROR(SUM((SUMIFS('capacity data'!$G:$G,'capacity data'!$E:$E,"TPO",'capacity data'!$B:$B,'cluster capacity, unallocateds'!B25))-SUMIFS('capacity data'!$H:$H,'capacity data'!$E:$E,"TPO",'capacity data'!$B:$B,'cluster capacity, unallocateds'!B25))/SUMIFS('capacity data'!$G:$G,'capacity data'!$E:$E,"TPO",'capacity data'!$B:$B,'cluster capacity, unallocateds'!B25),"")</f>
        <v/>
      </c>
      <c r="F25" s="167"/>
      <c r="G25" s="230" t="str">
        <f>IFERROR(SUMIFS('capacity data'!$L:$L,'capacity data'!$B:$B,B25,'capacity data'!$E:$E,"PSO")/SUM((SUMIFS('capacity data'!$G:$G,'capacity data'!$E:$E,"PSO",'capacity data'!$B:$B,B25))-SUMIFS('capacity data'!$H:$H,'capacity data'!$E:$E,"PSO",'capacity data'!$B:$B,B25)),"")</f>
        <v/>
      </c>
      <c r="H25" s="230" t="str">
        <f>IFERROR(SUMIFS('capacity data'!$L:$L,'capacity data'!$B:$B,B25,'capacity data'!$E:$E,"PSO")/SUMIFS('capacity data'!$G:$G,'capacity data'!$E:$E,"PSO",'capacity data'!$B:$B,B25),"")</f>
        <v/>
      </c>
      <c r="I25" s="167"/>
      <c r="J25" s="75" t="str">
        <f>IFERROR(SUMIFS('capacity data'!$L:$L,'capacity data'!$B:$B,B25,'capacity data'!$E:$E,"TPO")/SUM((SUMIFS('capacity data'!$G:$G,'capacity data'!$E:$E,"TPO",'capacity data'!$B:$B,B25))-SUMIFS('capacity data'!$H:$H,'capacity data'!$E:$E,"TPO",'capacity data'!$B:$B,B25)),"")</f>
        <v/>
      </c>
      <c r="K25" s="75" t="str">
        <f>IFERROR(SUMIFS('capacity data'!$L:$L,'capacity data'!$B:$B,B25,'capacity data'!$E:$E,"TPO")/SUMIFS('capacity data'!$G:$G,'capacity data'!$E:$E,"TPO",'capacity data'!$B:$B,B25),"")</f>
        <v/>
      </c>
    </row>
    <row r="26" spans="1:11" ht="16" x14ac:dyDescent="0.2">
      <c r="A26" s="240"/>
      <c r="B26" s="71" t="str">
        <f>HLOOKUP($B$4,Region_Table,20,0)</f>
        <v>Redbridge and Waltham Forest</v>
      </c>
      <c r="C26" s="76" t="str">
        <f>IFERROR(SUM((SUMIFS('capacity data'!$G:$G,'capacity data'!$E:$E,"PO",'capacity data'!$B:$B,'cluster capacity, unallocateds'!B26))-SUMIFS('capacity data'!$H:$H,'capacity data'!$E:$E,"PO",'capacity data'!$B:$B,'cluster capacity, unallocateds'!B26))/SUMIFS('capacity data'!$G:$G,'capacity data'!$E:$E,"PO",'capacity data'!$B:$B,'cluster capacity, unallocateds'!B26),"")</f>
        <v/>
      </c>
      <c r="D26" s="76" t="str">
        <f>IFERROR(SUM((SUMIFS('capacity data'!$G:$G,'capacity data'!$E:$E,"PSO",'capacity data'!$B:$B,'cluster capacity, unallocateds'!B26))-SUMIFS('capacity data'!$H:$H,'capacity data'!$E:$E,"PSO",'capacity data'!$B:$B,'cluster capacity, unallocateds'!B26))/SUMIFS('capacity data'!$G:$G,'capacity data'!$E:$E,"PSO",'capacity data'!$B:$B,'cluster capacity, unallocateds'!B26),"")</f>
        <v/>
      </c>
      <c r="E26" s="76" t="str">
        <f>IFERROR(SUM((SUMIFS('capacity data'!$G:$G,'capacity data'!$E:$E,"TPO",'capacity data'!$B:$B,'cluster capacity, unallocateds'!B26))-SUMIFS('capacity data'!$H:$H,'capacity data'!$E:$E,"TPO",'capacity data'!$B:$B,'cluster capacity, unallocateds'!B26))/SUMIFS('capacity data'!$G:$G,'capacity data'!$E:$E,"TPO",'capacity data'!$B:$B,'cluster capacity, unallocateds'!B26),"")</f>
        <v/>
      </c>
      <c r="F26" s="167"/>
      <c r="G26" s="230" t="str">
        <f>IFERROR(SUMIFS('capacity data'!$L:$L,'capacity data'!$B:$B,B26,'capacity data'!$E:$E,"PSO")/SUM((SUMIFS('capacity data'!$G:$G,'capacity data'!$E:$E,"PSO",'capacity data'!$B:$B,B26))-SUMIFS('capacity data'!$H:$H,'capacity data'!$E:$E,"PSO",'capacity data'!$B:$B,B26)),"")</f>
        <v/>
      </c>
      <c r="H26" s="230" t="str">
        <f>IFERROR(SUMIFS('capacity data'!$L:$L,'capacity data'!$B:$B,B26,'capacity data'!$E:$E,"PSO")/SUMIFS('capacity data'!$G:$G,'capacity data'!$E:$E,"PSO",'capacity data'!$B:$B,B26),"")</f>
        <v/>
      </c>
      <c r="I26" s="167"/>
      <c r="J26" s="75" t="str">
        <f>IFERROR(SUMIFS('capacity data'!$L:$L,'capacity data'!$B:$B,B26,'capacity data'!$E:$E,"TPO")/SUM((SUMIFS('capacity data'!$G:$G,'capacity data'!$E:$E,"TPO",'capacity data'!$B:$B,B26))-SUMIFS('capacity data'!$H:$H,'capacity data'!$E:$E,"TPO",'capacity data'!$B:$B,B26)),"")</f>
        <v/>
      </c>
      <c r="K26" s="75" t="str">
        <f>IFERROR(SUMIFS('capacity data'!$L:$L,'capacity data'!$B:$B,B26,'capacity data'!$E:$E,"TPO")/SUMIFS('capacity data'!$G:$G,'capacity data'!$E:$E,"TPO",'capacity data'!$B:$B,B26),"")</f>
        <v/>
      </c>
    </row>
    <row r="27" spans="1:11" ht="16" x14ac:dyDescent="0.2">
      <c r="A27" s="240"/>
      <c r="B27" s="71" t="str">
        <f>HLOOKUP($B$4,Region_Table,21,0)</f>
        <v>Southwark - N07</v>
      </c>
      <c r="C27" s="76" t="str">
        <f>IFERROR(SUM((SUMIFS('capacity data'!$G:$G,'capacity data'!$E:$E,"PO",'capacity data'!$B:$B,'cluster capacity, unallocateds'!B27))-SUMIFS('capacity data'!$H:$H,'capacity data'!$E:$E,"PO",'capacity data'!$B:$B,'cluster capacity, unallocateds'!B27))/SUMIFS('capacity data'!$G:$G,'capacity data'!$E:$E,"PO",'capacity data'!$B:$B,'cluster capacity, unallocateds'!B27),"")</f>
        <v/>
      </c>
      <c r="D27" s="76" t="str">
        <f>IFERROR(SUM((SUMIFS('capacity data'!$G:$G,'capacity data'!$E:$E,"PSO",'capacity data'!$B:$B,'cluster capacity, unallocateds'!B27))-SUMIFS('capacity data'!$H:$H,'capacity data'!$E:$E,"PSO",'capacity data'!$B:$B,'cluster capacity, unallocateds'!B27))/SUMIFS('capacity data'!$G:$G,'capacity data'!$E:$E,"PSO",'capacity data'!$B:$B,'cluster capacity, unallocateds'!B27),"")</f>
        <v/>
      </c>
      <c r="E27" s="76" t="str">
        <f>IFERROR(SUM((SUMIFS('capacity data'!$G:$G,'capacity data'!$E:$E,"TPO",'capacity data'!$B:$B,'cluster capacity, unallocateds'!B27))-SUMIFS('capacity data'!$H:$H,'capacity data'!$E:$E,"TPO",'capacity data'!$B:$B,'cluster capacity, unallocateds'!B27))/SUMIFS('capacity data'!$G:$G,'capacity data'!$E:$E,"TPO",'capacity data'!$B:$B,'cluster capacity, unallocateds'!B27),"")</f>
        <v/>
      </c>
      <c r="F27" s="167"/>
      <c r="G27" s="230" t="str">
        <f>IFERROR(SUMIFS('capacity data'!$L:$L,'capacity data'!$B:$B,B27,'capacity data'!$E:$E,"PSO")/SUM((SUMIFS('capacity data'!$G:$G,'capacity data'!$E:$E,"PSO",'capacity data'!$B:$B,B27))-SUMIFS('capacity data'!$H:$H,'capacity data'!$E:$E,"PSO",'capacity data'!$B:$B,B27)),"")</f>
        <v/>
      </c>
      <c r="H27" s="230" t="str">
        <f>IFERROR(SUMIFS('capacity data'!$L:$L,'capacity data'!$B:$B,B27,'capacity data'!$E:$E,"PSO")/SUMIFS('capacity data'!$G:$G,'capacity data'!$E:$E,"PSO",'capacity data'!$B:$B,B27),"")</f>
        <v/>
      </c>
      <c r="I27" s="167"/>
      <c r="J27" s="75" t="str">
        <f>IFERROR(SUMIFS('capacity data'!$L:$L,'capacity data'!$B:$B,B27,'capacity data'!$E:$E,"TPO")/SUM((SUMIFS('capacity data'!$G:$G,'capacity data'!$E:$E,"TPO",'capacity data'!$B:$B,B27))-SUMIFS('capacity data'!$H:$H,'capacity data'!$E:$E,"TPO",'capacity data'!$B:$B,B27)),"")</f>
        <v/>
      </c>
      <c r="K27" s="75" t="str">
        <f>IFERROR(SUMIFS('capacity data'!$L:$L,'capacity data'!$B:$B,B27,'capacity data'!$E:$E,"TPO")/SUMIFS('capacity data'!$G:$G,'capacity data'!$E:$E,"TPO",'capacity data'!$B:$B,B27),"")</f>
        <v/>
      </c>
    </row>
    <row r="28" spans="1:11" ht="16" x14ac:dyDescent="0.2">
      <c r="A28" s="240"/>
      <c r="B28" s="71" t="str">
        <f>HLOOKUP($B$4,Region_Table,22,0)</f>
        <v>Tower Hamlets</v>
      </c>
      <c r="C28" s="76" t="str">
        <f>IFERROR(SUM((SUMIFS('capacity data'!$G:$G,'capacity data'!$E:$E,"PO",'capacity data'!$B:$B,'cluster capacity, unallocateds'!B28))-SUMIFS('capacity data'!$H:$H,'capacity data'!$E:$E,"PO",'capacity data'!$B:$B,'cluster capacity, unallocateds'!B28))/SUMIFS('capacity data'!$G:$G,'capacity data'!$E:$E,"PO",'capacity data'!$B:$B,'cluster capacity, unallocateds'!B28),"")</f>
        <v/>
      </c>
      <c r="D28" s="76" t="str">
        <f>IFERROR(SUM((SUMIFS('capacity data'!$G:$G,'capacity data'!$E:$E,"PSO",'capacity data'!$B:$B,'cluster capacity, unallocateds'!B28))-SUMIFS('capacity data'!$H:$H,'capacity data'!$E:$E,"PSO",'capacity data'!$B:$B,'cluster capacity, unallocateds'!B28))/SUMIFS('capacity data'!$G:$G,'capacity data'!$E:$E,"PSO",'capacity data'!$B:$B,'cluster capacity, unallocateds'!B28),"")</f>
        <v/>
      </c>
      <c r="E28" s="76" t="str">
        <f>IFERROR(SUM((SUMIFS('capacity data'!$G:$G,'capacity data'!$E:$E,"TPO",'capacity data'!$B:$B,'cluster capacity, unallocateds'!B28))-SUMIFS('capacity data'!$H:$H,'capacity data'!$E:$E,"TPO",'capacity data'!$B:$B,'cluster capacity, unallocateds'!B28))/SUMIFS('capacity data'!$G:$G,'capacity data'!$E:$E,"TPO",'capacity data'!$B:$B,'cluster capacity, unallocateds'!B28),"")</f>
        <v/>
      </c>
      <c r="F28" s="167"/>
      <c r="G28" s="230" t="str">
        <f>IFERROR(SUMIFS('capacity data'!$L:$L,'capacity data'!$B:$B,B28,'capacity data'!$E:$E,"PSO")/SUM((SUMIFS('capacity data'!$G:$G,'capacity data'!$E:$E,"PSO",'capacity data'!$B:$B,B28))-SUMIFS('capacity data'!$H:$H,'capacity data'!$E:$E,"PSO",'capacity data'!$B:$B,B28)),"")</f>
        <v/>
      </c>
      <c r="H28" s="230" t="str">
        <f>IFERROR(SUMIFS('capacity data'!$L:$L,'capacity data'!$B:$B,B28,'capacity data'!$E:$E,"PSO")/SUMIFS('capacity data'!$G:$G,'capacity data'!$E:$E,"PSO",'capacity data'!$B:$B,B28),"")</f>
        <v/>
      </c>
      <c r="I28" s="167"/>
      <c r="J28" s="75" t="str">
        <f>IFERROR(SUMIFS('capacity data'!$L:$L,'capacity data'!$B:$B,B28,'capacity data'!$E:$E,"TPO")/SUM((SUMIFS('capacity data'!$G:$G,'capacity data'!$E:$E,"TPO",'capacity data'!$B:$B,B28))-SUMIFS('capacity data'!$H:$H,'capacity data'!$E:$E,"TPO",'capacity data'!$B:$B,B28)),"")</f>
        <v/>
      </c>
      <c r="K28" s="75" t="str">
        <f>IFERROR(SUMIFS('capacity data'!$L:$L,'capacity data'!$B:$B,B28,'capacity data'!$E:$E,"TPO")/SUMIFS('capacity data'!$G:$G,'capacity data'!$E:$E,"TPO",'capacity data'!$B:$B,B28),"")</f>
        <v/>
      </c>
    </row>
    <row r="29" spans="1:11" ht="16" x14ac:dyDescent="0.2">
      <c r="A29" s="240"/>
      <c r="B29" s="71" t="str">
        <f>HLOOKUP($B$4,Region_Table,23,0)</f>
        <v>Unallocated Level 2(N07)</v>
      </c>
      <c r="C29" s="76" t="str">
        <f>IFERROR(SUM((SUMIFS('capacity data'!$G:$G,'capacity data'!$E:$E,"PO",'capacity data'!$B:$B,'cluster capacity, unallocateds'!B29))-SUMIFS('capacity data'!$H:$H,'capacity data'!$E:$E,"PO",'capacity data'!$B:$B,'cluster capacity, unallocateds'!B29))/SUMIFS('capacity data'!$G:$G,'capacity data'!$E:$E,"PO",'capacity data'!$B:$B,'cluster capacity, unallocateds'!B29),"")</f>
        <v/>
      </c>
      <c r="D29" s="76" t="str">
        <f>IFERROR(SUM((SUMIFS('capacity data'!$G:$G,'capacity data'!$E:$E,"PSO",'capacity data'!$B:$B,'cluster capacity, unallocateds'!B29))-SUMIFS('capacity data'!$H:$H,'capacity data'!$E:$E,"PSO",'capacity data'!$B:$B,'cluster capacity, unallocateds'!B29))/SUMIFS('capacity data'!$G:$G,'capacity data'!$E:$E,"PSO",'capacity data'!$B:$B,'cluster capacity, unallocateds'!B29),"")</f>
        <v/>
      </c>
      <c r="E29" s="76" t="str">
        <f>IFERROR(SUM((SUMIFS('capacity data'!$G:$G,'capacity data'!$E:$E,"TPO",'capacity data'!$B:$B,'cluster capacity, unallocateds'!B29))-SUMIFS('capacity data'!$H:$H,'capacity data'!$E:$E,"TPO",'capacity data'!$B:$B,'cluster capacity, unallocateds'!B29))/SUMIFS('capacity data'!$G:$G,'capacity data'!$E:$E,"TPO",'capacity data'!$B:$B,'cluster capacity, unallocateds'!B29),"")</f>
        <v/>
      </c>
      <c r="F29" s="167"/>
      <c r="G29" s="230" t="str">
        <f>IFERROR(SUMIFS('capacity data'!$L:$L,'capacity data'!$B:$B,B29,'capacity data'!$E:$E,"PSO")/SUM((SUMIFS('capacity data'!$G:$G,'capacity data'!$E:$E,"PSO",'capacity data'!$B:$B,B29))-SUMIFS('capacity data'!$H:$H,'capacity data'!$E:$E,"PSO",'capacity data'!$B:$B,B29)),"")</f>
        <v/>
      </c>
      <c r="H29" s="230" t="str">
        <f>IFERROR(SUMIFS('capacity data'!$L:$L,'capacity data'!$B:$B,B29,'capacity data'!$E:$E,"PSO")/SUMIFS('capacity data'!$G:$G,'capacity data'!$E:$E,"PSO",'capacity data'!$B:$B,B29),"")</f>
        <v/>
      </c>
      <c r="I29" s="167"/>
      <c r="J29" s="75" t="str">
        <f>IFERROR(SUMIFS('capacity data'!$L:$L,'capacity data'!$B:$B,B29,'capacity data'!$E:$E,"TPO")/SUM((SUMIFS('capacity data'!$G:$G,'capacity data'!$E:$E,"TPO",'capacity data'!$B:$B,B29))-SUMIFS('capacity data'!$H:$H,'capacity data'!$E:$E,"TPO",'capacity data'!$B:$B,B29)),"")</f>
        <v/>
      </c>
      <c r="K29" s="75" t="str">
        <f>IFERROR(SUMIFS('capacity data'!$L:$L,'capacity data'!$B:$B,B29,'capacity data'!$E:$E,"TPO")/SUMIFS('capacity data'!$G:$G,'capacity data'!$E:$E,"TPO",'capacity data'!$B:$B,B29),"")</f>
        <v/>
      </c>
    </row>
    <row r="30" spans="1:11" ht="16" x14ac:dyDescent="0.2">
      <c r="A30" s="240"/>
      <c r="B30" s="71" t="str">
        <f>HLOOKUP($B$4,Region_Table,24,0)</f>
        <v>Unpaid Work and Attendance Centres - N07</v>
      </c>
      <c r="C30" s="76" t="str">
        <f>IFERROR(SUM((SUMIFS('capacity data'!$G:$G,'capacity data'!$E:$E,"PO",'capacity data'!$B:$B,'cluster capacity, unallocateds'!B30))-SUMIFS('capacity data'!$H:$H,'capacity data'!$E:$E,"PO",'capacity data'!$B:$B,'cluster capacity, unallocateds'!B30))/SUMIFS('capacity data'!$G:$G,'capacity data'!$E:$E,"PO",'capacity data'!$B:$B,'cluster capacity, unallocateds'!B30),"")</f>
        <v/>
      </c>
      <c r="D30" s="76" t="str">
        <f>IFERROR(SUM((SUMIFS('capacity data'!$G:$G,'capacity data'!$E:$E,"PSO",'capacity data'!$B:$B,'cluster capacity, unallocateds'!B30))-SUMIFS('capacity data'!$H:$H,'capacity data'!$E:$E,"PSO",'capacity data'!$B:$B,'cluster capacity, unallocateds'!B30))/SUMIFS('capacity data'!$G:$G,'capacity data'!$E:$E,"PSO",'capacity data'!$B:$B,'cluster capacity, unallocateds'!B30),"")</f>
        <v/>
      </c>
      <c r="E30" s="76" t="str">
        <f>IFERROR(SUM((SUMIFS('capacity data'!$G:$G,'capacity data'!$E:$E,"TPO",'capacity data'!$B:$B,'cluster capacity, unallocateds'!B30))-SUMIFS('capacity data'!$H:$H,'capacity data'!$E:$E,"TPO",'capacity data'!$B:$B,'cluster capacity, unallocateds'!B30))/SUMIFS('capacity data'!$G:$G,'capacity data'!$E:$E,"TPO",'capacity data'!$B:$B,'cluster capacity, unallocateds'!B30),"")</f>
        <v/>
      </c>
      <c r="F30" s="167"/>
      <c r="G30" s="230" t="str">
        <f>IFERROR(SUMIFS('capacity data'!$L:$L,'capacity data'!$B:$B,B30,'capacity data'!$E:$E,"PSO")/SUM((SUMIFS('capacity data'!$G:$G,'capacity data'!$E:$E,"PSO",'capacity data'!$B:$B,B30))-SUMIFS('capacity data'!$H:$H,'capacity data'!$E:$E,"PSO",'capacity data'!$B:$B,B30)),"")</f>
        <v/>
      </c>
      <c r="H30" s="230" t="str">
        <f>IFERROR(SUMIFS('capacity data'!$L:$L,'capacity data'!$B:$B,B30,'capacity data'!$E:$E,"PSO")/SUMIFS('capacity data'!$G:$G,'capacity data'!$E:$E,"PSO",'capacity data'!$B:$B,B30),"")</f>
        <v/>
      </c>
      <c r="I30" s="167"/>
      <c r="J30" s="75" t="str">
        <f>IFERROR(SUMIFS('capacity data'!$L:$L,'capacity data'!$B:$B,B30,'capacity data'!$E:$E,"TPO")/SUM((SUMIFS('capacity data'!$G:$G,'capacity data'!$E:$E,"TPO",'capacity data'!$B:$B,B30))-SUMIFS('capacity data'!$H:$H,'capacity data'!$E:$E,"TPO",'capacity data'!$B:$B,B30)),"")</f>
        <v/>
      </c>
      <c r="K30" s="75" t="str">
        <f>IFERROR(SUMIFS('capacity data'!$L:$L,'capacity data'!$B:$B,B30,'capacity data'!$E:$E,"TPO")/SUMIFS('capacity data'!$G:$G,'capacity data'!$E:$E,"TPO",'capacity data'!$B:$B,B30),"")</f>
        <v/>
      </c>
    </row>
    <row r="31" spans="1:11" ht="16" x14ac:dyDescent="0.2">
      <c r="A31" s="240"/>
      <c r="B31" s="71" t="str">
        <f>HLOOKUP($B$4,Region_Table,25,0)</f>
        <v>Wandsworth, Merton and Sutton</v>
      </c>
      <c r="C31" s="76" t="str">
        <f>IFERROR(SUM((SUMIFS('capacity data'!$G:$G,'capacity data'!$E:$E,"PO",'capacity data'!$B:$B,'cluster capacity, unallocateds'!B31))-SUMIFS('capacity data'!$H:$H,'capacity data'!$E:$E,"PO",'capacity data'!$B:$B,'cluster capacity, unallocateds'!B31))/SUMIFS('capacity data'!$G:$G,'capacity data'!$E:$E,"PO",'capacity data'!$B:$B,'cluster capacity, unallocateds'!B31),"")</f>
        <v/>
      </c>
      <c r="D31" s="76" t="str">
        <f>IFERROR(SUM((SUMIFS('capacity data'!$G:$G,'capacity data'!$E:$E,"PSO",'capacity data'!$B:$B,'cluster capacity, unallocateds'!B31))-SUMIFS('capacity data'!$H:$H,'capacity data'!$E:$E,"PSO",'capacity data'!$B:$B,'cluster capacity, unallocateds'!B31))/SUMIFS('capacity data'!$G:$G,'capacity data'!$E:$E,"PSO",'capacity data'!$B:$B,'cluster capacity, unallocateds'!B31),"")</f>
        <v/>
      </c>
      <c r="E31" s="76" t="str">
        <f>IFERROR(SUM((SUMIFS('capacity data'!$G:$G,'capacity data'!$E:$E,"TPO",'capacity data'!$B:$B,'cluster capacity, unallocateds'!B31))-SUMIFS('capacity data'!$H:$H,'capacity data'!$E:$E,"TPO",'capacity data'!$B:$B,'cluster capacity, unallocateds'!B31))/SUMIFS('capacity data'!$G:$G,'capacity data'!$E:$E,"TPO",'capacity data'!$B:$B,'cluster capacity, unallocateds'!B31),"")</f>
        <v/>
      </c>
      <c r="F31" s="167"/>
      <c r="G31" s="230" t="str">
        <f>IFERROR(SUMIFS('capacity data'!$L:$L,'capacity data'!$B:$B,B31,'capacity data'!$E:$E,"PSO")/SUM((SUMIFS('capacity data'!$G:$G,'capacity data'!$E:$E,"PSO",'capacity data'!$B:$B,B31))-SUMIFS('capacity data'!$H:$H,'capacity data'!$E:$E,"PSO",'capacity data'!$B:$B,B31)),"")</f>
        <v/>
      </c>
      <c r="H31" s="230" t="str">
        <f>IFERROR(SUMIFS('capacity data'!$L:$L,'capacity data'!$B:$B,B31,'capacity data'!$E:$E,"PSO")/SUMIFS('capacity data'!$G:$G,'capacity data'!$E:$E,"PSO",'capacity data'!$B:$B,B31),"")</f>
        <v/>
      </c>
      <c r="I31" s="167"/>
      <c r="J31" s="75" t="str">
        <f>IFERROR(SUMIFS('capacity data'!$L:$L,'capacity data'!$B:$B,B31,'capacity data'!$E:$E,"TPO")/SUM((SUMIFS('capacity data'!$G:$G,'capacity data'!$E:$E,"TPO",'capacity data'!$B:$B,B31))-SUMIFS('capacity data'!$H:$H,'capacity data'!$E:$E,"TPO",'capacity data'!$B:$B,B31)),"")</f>
        <v/>
      </c>
      <c r="K31" s="75" t="str">
        <f>IFERROR(SUMIFS('capacity data'!$L:$L,'capacity data'!$B:$B,B31,'capacity data'!$E:$E,"TPO")/SUMIFS('capacity data'!$G:$G,'capacity data'!$E:$E,"TPO",'capacity data'!$B:$B,B31),"")</f>
        <v/>
      </c>
    </row>
    <row r="32" spans="1:11" ht="16" x14ac:dyDescent="0.2">
      <c r="A32" s="240"/>
      <c r="B32" s="71">
        <f>HLOOKUP($B$4,Region_Table,26,0)</f>
        <v>0</v>
      </c>
      <c r="C32" s="76" t="str">
        <f>IFERROR(SUM((SUMIFS('capacity data'!$G:$G,'capacity data'!$E:$E,"PO",'capacity data'!$B:$B,'cluster capacity, unallocateds'!B32))-SUMIFS('capacity data'!$H:$H,'capacity data'!$E:$E,"PO",'capacity data'!$B:$B,'cluster capacity, unallocateds'!B32))/SUMIFS('capacity data'!$G:$G,'capacity data'!$E:$E,"PO",'capacity data'!$B:$B,'cluster capacity, unallocateds'!B32),"")</f>
        <v/>
      </c>
      <c r="D32" s="76" t="str">
        <f>IFERROR(SUM((SUMIFS('capacity data'!$G:$G,'capacity data'!$E:$E,"PSO",'capacity data'!$B:$B,'cluster capacity, unallocateds'!B32))-SUMIFS('capacity data'!$H:$H,'capacity data'!$E:$E,"PSO",'capacity data'!$B:$B,'cluster capacity, unallocateds'!B32))/SUMIFS('capacity data'!$G:$G,'capacity data'!$E:$E,"PSO",'capacity data'!$B:$B,'cluster capacity, unallocateds'!B32),"")</f>
        <v/>
      </c>
      <c r="E32" s="76" t="str">
        <f>IFERROR(SUM((SUMIFS('capacity data'!$G:$G,'capacity data'!$E:$E,"TPO",'capacity data'!$B:$B,'cluster capacity, unallocateds'!B32))-SUMIFS('capacity data'!$H:$H,'capacity data'!$E:$E,"TPO",'capacity data'!$B:$B,'cluster capacity, unallocateds'!B32))/SUMIFS('capacity data'!$G:$G,'capacity data'!$E:$E,"TPO",'capacity data'!$B:$B,'cluster capacity, unallocateds'!B32),"")</f>
        <v/>
      </c>
      <c r="F32" s="167"/>
      <c r="G32" s="230" t="str">
        <f>IFERROR(SUMIFS('capacity data'!$L:$L,'capacity data'!$B:$B,B32,'capacity data'!$E:$E,"PSO")/SUM((SUMIFS('capacity data'!$G:$G,'capacity data'!$E:$E,"PSO",'capacity data'!$B:$B,B32))-SUMIFS('capacity data'!$H:$H,'capacity data'!$E:$E,"PSO",'capacity data'!$B:$B,B32)),"")</f>
        <v/>
      </c>
      <c r="H32" s="230" t="str">
        <f>IFERROR(SUMIFS('capacity data'!$L:$L,'capacity data'!$B:$B,B32,'capacity data'!$E:$E,"PSO")/SUMIFS('capacity data'!$G:$G,'capacity data'!$E:$E,"PSO",'capacity data'!$B:$B,B32),"")</f>
        <v/>
      </c>
      <c r="I32" s="167"/>
      <c r="J32" s="75" t="str">
        <f>IFERROR(SUMIFS('capacity data'!$L:$L,'capacity data'!$B:$B,B32,'capacity data'!$E:$E,"TPO")/SUM((SUMIFS('capacity data'!$G:$G,'capacity data'!$E:$E,"TPO",'capacity data'!$B:$B,B32))-SUMIFS('capacity data'!$H:$H,'capacity data'!$E:$E,"TPO",'capacity data'!$B:$B,B32)),"")</f>
        <v/>
      </c>
      <c r="K32" s="75" t="str">
        <f>IFERROR(SUMIFS('capacity data'!$L:$L,'capacity data'!$B:$B,B32,'capacity data'!$E:$E,"TPO")/SUMIFS('capacity data'!$G:$G,'capacity data'!$E:$E,"TPO",'capacity data'!$B:$B,B32),"")</f>
        <v/>
      </c>
    </row>
    <row r="33" spans="1:23" ht="16" x14ac:dyDescent="0.2">
      <c r="A33" s="240"/>
      <c r="B33" s="71">
        <f>HLOOKUP($B$4,Region_Table,27,0)</f>
        <v>0</v>
      </c>
      <c r="C33" s="76" t="str">
        <f>IFERROR(SUM((SUMIFS('capacity data'!$G:$G,'capacity data'!$E:$E,"PO",'capacity data'!$B:$B,'cluster capacity, unallocateds'!B33))-SUMIFS('capacity data'!$H:$H,'capacity data'!$E:$E,"PO",'capacity data'!$B:$B,'cluster capacity, unallocateds'!B33))/SUMIFS('capacity data'!$G:$G,'capacity data'!$E:$E,"PO",'capacity data'!$B:$B,'cluster capacity, unallocateds'!B33),"")</f>
        <v/>
      </c>
      <c r="D33" s="76" t="str">
        <f>IFERROR(SUM((SUMIFS('capacity data'!$G:$G,'capacity data'!$E:$E,"PSO",'capacity data'!$B:$B,'cluster capacity, unallocateds'!B33))-SUMIFS('capacity data'!$H:$H,'capacity data'!$E:$E,"PSO",'capacity data'!$B:$B,'cluster capacity, unallocateds'!B33))/SUMIFS('capacity data'!$G:$G,'capacity data'!$E:$E,"PSO",'capacity data'!$B:$B,'cluster capacity, unallocateds'!B33),"")</f>
        <v/>
      </c>
      <c r="E33" s="76" t="str">
        <f>IFERROR(SUM((SUMIFS('capacity data'!$G:$G,'capacity data'!$E:$E,"TPO",'capacity data'!$B:$B,'cluster capacity, unallocateds'!B33))-SUMIFS('capacity data'!$H:$H,'capacity data'!$E:$E,"TPO",'capacity data'!$B:$B,'cluster capacity, unallocateds'!B33))/SUMIFS('capacity data'!$G:$G,'capacity data'!$E:$E,"TPO",'capacity data'!$B:$B,'cluster capacity, unallocateds'!B33),"")</f>
        <v/>
      </c>
      <c r="F33" s="167"/>
      <c r="G33" s="230" t="str">
        <f>IFERROR(SUMIFS('capacity data'!$L:$L,'capacity data'!$B:$B,B33,'capacity data'!$E:$E,"PSO")/SUM((SUMIFS('capacity data'!$G:$G,'capacity data'!$E:$E,"PSO",'capacity data'!$B:$B,B33))-SUMIFS('capacity data'!$H:$H,'capacity data'!$E:$E,"PSO",'capacity data'!$B:$B,B33)),"")</f>
        <v/>
      </c>
      <c r="H33" s="230" t="str">
        <f>IFERROR(SUMIFS('capacity data'!$L:$L,'capacity data'!$B:$B,B33,'capacity data'!$E:$E,"PSO")/SUMIFS('capacity data'!$G:$G,'capacity data'!$E:$E,"PSO",'capacity data'!$B:$B,B33),"")</f>
        <v/>
      </c>
      <c r="I33" s="167"/>
      <c r="J33" s="75" t="str">
        <f>IFERROR(SUMIFS('capacity data'!$L:$L,'capacity data'!$B:$B,B33,'capacity data'!$E:$E,"TPO")/SUM((SUMIFS('capacity data'!$G:$G,'capacity data'!$E:$E,"TPO",'capacity data'!$B:$B,B33))-SUMIFS('capacity data'!$H:$H,'capacity data'!$E:$E,"TPO",'capacity data'!$B:$B,B33)),"")</f>
        <v/>
      </c>
      <c r="K33" s="75" t="str">
        <f>IFERROR(SUMIFS('capacity data'!$L:$L,'capacity data'!$B:$B,B33,'capacity data'!$E:$E,"TPO")/SUMIFS('capacity data'!$G:$G,'capacity data'!$E:$E,"TPO",'capacity data'!$B:$B,B33),"")</f>
        <v/>
      </c>
    </row>
    <row r="34" spans="1:23" ht="16" x14ac:dyDescent="0.2">
      <c r="A34" s="240"/>
      <c r="B34" s="71">
        <f>HLOOKUP($B$4,Region_Table,28,0)</f>
        <v>0</v>
      </c>
      <c r="C34" s="76" t="str">
        <f>IFERROR(SUM((SUMIFS('capacity data'!$G:$G,'capacity data'!$E:$E,"PO",'capacity data'!$B:$B,'cluster capacity, unallocateds'!B34))-SUMIFS('capacity data'!$H:$H,'capacity data'!$E:$E,"PO",'capacity data'!$B:$B,'cluster capacity, unallocateds'!B34))/SUMIFS('capacity data'!$G:$G,'capacity data'!$E:$E,"PO",'capacity data'!$B:$B,'cluster capacity, unallocateds'!B34),"")</f>
        <v/>
      </c>
      <c r="D34" s="76" t="str">
        <f>IFERROR(SUM((SUMIFS('capacity data'!$G:$G,'capacity data'!$E:$E,"PSO",'capacity data'!$B:$B,'cluster capacity, unallocateds'!B34))-SUMIFS('capacity data'!$H:$H,'capacity data'!$E:$E,"PSO",'capacity data'!$B:$B,'cluster capacity, unallocateds'!B34))/SUMIFS('capacity data'!$G:$G,'capacity data'!$E:$E,"PSO",'capacity data'!$B:$B,'cluster capacity, unallocateds'!B34),"")</f>
        <v/>
      </c>
      <c r="E34" s="76" t="str">
        <f>IFERROR(SUM((SUMIFS('capacity data'!$G:$G,'capacity data'!$E:$E,"TPO",'capacity data'!$B:$B,'cluster capacity, unallocateds'!B34))-SUMIFS('capacity data'!$H:$H,'capacity data'!$E:$E,"TPO",'capacity data'!$B:$B,'cluster capacity, unallocateds'!B34))/SUMIFS('capacity data'!$G:$G,'capacity data'!$E:$E,"TPO",'capacity data'!$B:$B,'cluster capacity, unallocateds'!B34),"")</f>
        <v/>
      </c>
      <c r="F34" s="167"/>
      <c r="G34" s="230" t="str">
        <f>IFERROR(SUMIFS('capacity data'!$L:$L,'capacity data'!$B:$B,B34,'capacity data'!$E:$E,"PSO")/SUM((SUMIFS('capacity data'!$G:$G,'capacity data'!$E:$E,"PSO",'capacity data'!$B:$B,B34))-SUMIFS('capacity data'!$H:$H,'capacity data'!$E:$E,"PSO",'capacity data'!$B:$B,B34)),"")</f>
        <v/>
      </c>
      <c r="H34" s="230" t="str">
        <f>IFERROR(SUMIFS('capacity data'!$L:$L,'capacity data'!$B:$B,B34,'capacity data'!$E:$E,"PSO")/SUMIFS('capacity data'!$G:$G,'capacity data'!$E:$E,"PSO",'capacity data'!$B:$B,B34),"")</f>
        <v/>
      </c>
      <c r="I34" s="167"/>
      <c r="J34" s="75" t="str">
        <f>IFERROR(SUMIFS('capacity data'!$L:$L,'capacity data'!$B:$B,B34,'capacity data'!$E:$E,"TPO")/SUM((SUMIFS('capacity data'!$G:$G,'capacity data'!$E:$E,"TPO",'capacity data'!$B:$B,B34))-SUMIFS('capacity data'!$H:$H,'capacity data'!$E:$E,"TPO",'capacity data'!$B:$B,B34)),"")</f>
        <v/>
      </c>
      <c r="K34" s="75" t="str">
        <f>IFERROR(SUMIFS('capacity data'!$L:$L,'capacity data'!$B:$B,B34,'capacity data'!$E:$E,"TPO")/SUMIFS('capacity data'!$G:$G,'capacity data'!$E:$E,"TPO",'capacity data'!$B:$B,B34),"")</f>
        <v/>
      </c>
    </row>
    <row r="35" spans="1:23" ht="16" x14ac:dyDescent="0.2">
      <c r="A35" s="11"/>
      <c r="B35" s="1"/>
      <c r="C35" s="2"/>
      <c r="D35" s="2"/>
      <c r="E35" s="2"/>
      <c r="F35" s="2"/>
      <c r="G35" s="2"/>
      <c r="H35" s="2"/>
      <c r="I35" s="2"/>
      <c r="J35" s="2"/>
      <c r="K35" s="2"/>
      <c r="L35" s="2"/>
      <c r="M35" s="2"/>
      <c r="N35" s="2"/>
      <c r="O35" s="2"/>
      <c r="P35" s="2"/>
      <c r="Q35" s="2"/>
      <c r="R35" s="2"/>
      <c r="S35" s="2"/>
      <c r="T35" s="2"/>
      <c r="U35" s="2"/>
      <c r="V35" s="2"/>
      <c r="W35" s="1"/>
    </row>
    <row r="36" spans="1:23" ht="84" x14ac:dyDescent="0.2">
      <c r="A36" s="11"/>
      <c r="B36" s="238" t="s">
        <v>1135</v>
      </c>
      <c r="C36" s="171" t="s">
        <v>1145</v>
      </c>
      <c r="D36" s="171" t="s">
        <v>1146</v>
      </c>
      <c r="E36" s="171" t="s">
        <v>1147</v>
      </c>
      <c r="F36" s="171" t="s">
        <v>1148</v>
      </c>
      <c r="G36" s="171" t="s">
        <v>1149</v>
      </c>
      <c r="H36" s="171" t="s">
        <v>1150</v>
      </c>
      <c r="I36" s="171" t="s">
        <v>1151</v>
      </c>
      <c r="J36" s="172" t="s">
        <v>1152</v>
      </c>
      <c r="K36" s="171" t="s">
        <v>1153</v>
      </c>
      <c r="L36" s="171" t="s">
        <v>1154</v>
      </c>
      <c r="M36" s="171" t="s">
        <v>1155</v>
      </c>
      <c r="N36" s="2"/>
      <c r="O36" s="2"/>
      <c r="P36" s="2"/>
      <c r="Q36" s="2"/>
      <c r="R36" s="2"/>
      <c r="S36" s="2"/>
      <c r="T36" s="2"/>
      <c r="U36" s="2"/>
      <c r="V36" s="2"/>
      <c r="W36" s="1"/>
    </row>
    <row r="37" spans="1:23" ht="16" x14ac:dyDescent="0.2">
      <c r="A37" s="11"/>
      <c r="B37" s="168" t="s">
        <v>1139</v>
      </c>
      <c r="C37" s="173">
        <f>COUNTIF('capacity data'!E:E,"PO")</f>
        <v>0</v>
      </c>
      <c r="D37" s="173">
        <f>COUNTIFS('capacity data'!E:E,"PO",'capacity data'!F:F,"&gt;110%")</f>
        <v>0</v>
      </c>
      <c r="E37" s="174" t="str">
        <f>IFERROR((D37/C37),"0")</f>
        <v>0</v>
      </c>
      <c r="F37" s="173">
        <f>COUNTIF('capacity data'!E:E,"PSO")</f>
        <v>0</v>
      </c>
      <c r="G37" s="173">
        <f>COUNTIFS('capacity data'!E:E,"PSO",'capacity data'!F:F,"&gt;110%")</f>
        <v>0</v>
      </c>
      <c r="H37" s="174" t="str">
        <f>IFERROR((G37/F37),"")</f>
        <v/>
      </c>
      <c r="I37" s="173">
        <f>COUNTIFS('capacity data'!E:E,"PSO",'capacity data'!F:F,"&lt;90%")</f>
        <v>0</v>
      </c>
      <c r="J37" s="174" t="str">
        <f>IFERROR((I37/F37),"")</f>
        <v/>
      </c>
      <c r="K37" s="173">
        <f>COUNTIF('capacity data'!E:E,"TPO")</f>
        <v>0</v>
      </c>
      <c r="L37" s="173">
        <f>COUNTIFS('capacity data'!E:E,"TPO",'capacity data'!F:F,"&gt;110%")</f>
        <v>0</v>
      </c>
      <c r="M37" s="174" t="str">
        <f>IFERROR((L37/K37),"")</f>
        <v/>
      </c>
      <c r="N37" s="2"/>
      <c r="O37" s="2"/>
      <c r="P37" s="2"/>
      <c r="Q37" s="2"/>
      <c r="R37" s="2"/>
      <c r="S37" s="2"/>
      <c r="T37" s="2"/>
      <c r="U37" s="2"/>
      <c r="V37" s="2"/>
      <c r="W37" s="1"/>
    </row>
    <row r="38" spans="1:23" ht="16" x14ac:dyDescent="0.2">
      <c r="A38" s="11"/>
      <c r="B38" s="71" t="str">
        <f>HLOOKUP($B$4,Region_Table,2,0)</f>
        <v>Barking and Dagenham and Havering</v>
      </c>
      <c r="C38" s="84">
        <f>COUNTIFS('capacity data'!$B:$B,'cluster capacity, unallocateds'!B38,'capacity data'!$E:$E,"PO")</f>
        <v>0</v>
      </c>
      <c r="D38" s="84">
        <f>COUNTIFS('capacity data'!$B:$B,'cluster capacity, unallocateds'!B38,'capacity data'!$E:$E,"PO",'capacity data'!$F:$F,"&gt;110%")</f>
        <v>0</v>
      </c>
      <c r="E38" s="75" t="str">
        <f t="shared" ref="E38:E56" si="0">IFERROR((D38/C38),"")</f>
        <v/>
      </c>
      <c r="F38" s="84">
        <f>COUNTIFS('capacity data'!$B:$B,'cluster capacity, unallocateds'!B38,'capacity data'!$E:$E,"PSO")</f>
        <v>0</v>
      </c>
      <c r="G38" s="84">
        <f>COUNTIFS('capacity data'!$B:$B,'cluster capacity, unallocateds'!B38,'capacity data'!$E:$E,"PSO",'capacity data'!$F:$F,"&gt;110%")</f>
        <v>0</v>
      </c>
      <c r="H38" s="75" t="str">
        <f t="shared" ref="H38:H56" si="1">IFERROR((G38/F38),"")</f>
        <v/>
      </c>
      <c r="I38" s="84">
        <f>COUNTIFS('capacity data'!$B:$B,'cluster capacity, unallocateds'!B38,'capacity data'!$E:$E,"PSO",'capacity data'!$F:$F,"&lt;90%")</f>
        <v>0</v>
      </c>
      <c r="J38" s="75" t="str">
        <f t="shared" ref="J38:J56" si="2">IFERROR((I38/F38),"")</f>
        <v/>
      </c>
      <c r="K38" s="84">
        <f>COUNTIFS('capacity data'!$B:$B,'cluster capacity, unallocateds'!B38,'capacity data'!$E:$E,"TPO")</f>
        <v>0</v>
      </c>
      <c r="L38" s="84">
        <f>COUNTIFS('capacity data'!$B:$B,'cluster capacity, unallocateds'!B38,'capacity data'!$E:$E,"TPO",'capacity data'!$F:$F,"&gt;110%")</f>
        <v>0</v>
      </c>
      <c r="M38" s="75" t="str">
        <f t="shared" ref="M38:M56" si="3">IFERROR((L38/K38),"")</f>
        <v/>
      </c>
      <c r="N38" s="2"/>
      <c r="O38" s="2"/>
      <c r="P38" s="2"/>
      <c r="Q38" s="2"/>
      <c r="R38" s="2"/>
      <c r="S38" s="2"/>
      <c r="T38" s="2"/>
      <c r="U38" s="2"/>
      <c r="V38" s="2"/>
      <c r="W38" s="1"/>
    </row>
    <row r="39" spans="1:23" ht="16" x14ac:dyDescent="0.2">
      <c r="A39" s="11"/>
      <c r="B39" s="71" t="str">
        <f>HLOOKUP($B$4,Region_Table,3,0)</f>
        <v>Brent - N07</v>
      </c>
      <c r="C39" s="84">
        <f>COUNTIFS('capacity data'!$B:$B,'cluster capacity, unallocateds'!B39,'capacity data'!$E:$E,"PO")</f>
        <v>0</v>
      </c>
      <c r="D39" s="84">
        <f>COUNTIFS('capacity data'!$B:$B,'cluster capacity, unallocateds'!B39,'capacity data'!$E:$E,"PO",'capacity data'!$F:$F,"&gt;110%")</f>
        <v>0</v>
      </c>
      <c r="E39" s="75" t="str">
        <f t="shared" si="0"/>
        <v/>
      </c>
      <c r="F39" s="84">
        <f>COUNTIFS('capacity data'!$B:$B,'cluster capacity, unallocateds'!B39,'capacity data'!$E:$E,"PSO")</f>
        <v>0</v>
      </c>
      <c r="G39" s="84">
        <f>COUNTIFS('capacity data'!$B:$B,'cluster capacity, unallocateds'!B39,'capacity data'!$E:$E,"PSO",'capacity data'!$F:$F,"&gt;110%")</f>
        <v>0</v>
      </c>
      <c r="H39" s="75" t="str">
        <f t="shared" si="1"/>
        <v/>
      </c>
      <c r="I39" s="84">
        <f>COUNTIFS('capacity data'!$B:$B,'cluster capacity, unallocateds'!B39,'capacity data'!$E:$E,"PSO",'capacity data'!$F:$F,"&lt;90%")</f>
        <v>0</v>
      </c>
      <c r="J39" s="75" t="str">
        <f t="shared" si="2"/>
        <v/>
      </c>
      <c r="K39" s="84">
        <f>COUNTIFS('capacity data'!$B:$B,'cluster capacity, unallocateds'!B39,'capacity data'!$E:$E,"TPO")</f>
        <v>0</v>
      </c>
      <c r="L39" s="84">
        <f>COUNTIFS('capacity data'!$B:$B,'cluster capacity, unallocateds'!B39,'capacity data'!$E:$E,"TPO",'capacity data'!$F:$F,"&gt;110%")</f>
        <v>0</v>
      </c>
      <c r="M39" s="75" t="str">
        <f t="shared" si="3"/>
        <v/>
      </c>
      <c r="N39" s="2"/>
      <c r="O39" s="2"/>
      <c r="P39" s="2"/>
      <c r="Q39" s="2"/>
      <c r="R39" s="2"/>
      <c r="S39" s="2"/>
      <c r="T39" s="2"/>
      <c r="U39" s="2"/>
      <c r="V39" s="2"/>
      <c r="W39" s="1"/>
    </row>
    <row r="40" spans="1:23" ht="16" x14ac:dyDescent="0.2">
      <c r="A40" s="11"/>
      <c r="B40" s="71" t="str">
        <f>HLOOKUP($B$4,Region_Table,4,0)</f>
        <v>Camden, Islington</v>
      </c>
      <c r="C40" s="84">
        <f>COUNTIFS('capacity data'!$B:$B,'cluster capacity, unallocateds'!B40,'capacity data'!$E:$E,"PO")</f>
        <v>0</v>
      </c>
      <c r="D40" s="84">
        <f>COUNTIFS('capacity data'!$B:$B,'cluster capacity, unallocateds'!B40,'capacity data'!$E:$E,"PO",'capacity data'!$F:$F,"&gt;110%")</f>
        <v>0</v>
      </c>
      <c r="E40" s="75" t="str">
        <f t="shared" si="0"/>
        <v/>
      </c>
      <c r="F40" s="84">
        <f>COUNTIFS('capacity data'!$B:$B,'cluster capacity, unallocateds'!B40,'capacity data'!$E:$E,"PSO")</f>
        <v>0</v>
      </c>
      <c r="G40" s="84">
        <f>COUNTIFS('capacity data'!$B:$B,'cluster capacity, unallocateds'!B40,'capacity data'!$E:$E,"PSO",'capacity data'!$F:$F,"&gt;110%")</f>
        <v>0</v>
      </c>
      <c r="H40" s="75" t="str">
        <f t="shared" si="1"/>
        <v/>
      </c>
      <c r="I40" s="84">
        <f>COUNTIFS('capacity data'!$B:$B,'cluster capacity, unallocateds'!B40,'capacity data'!$E:$E,"PSO",'capacity data'!$F:$F,"&lt;90%")</f>
        <v>0</v>
      </c>
      <c r="J40" s="75" t="str">
        <f t="shared" si="2"/>
        <v/>
      </c>
      <c r="K40" s="84">
        <f>COUNTIFS('capacity data'!$B:$B,'cluster capacity, unallocateds'!B40,'capacity data'!$E:$E,"TPO")</f>
        <v>0</v>
      </c>
      <c r="L40" s="84">
        <f>COUNTIFS('capacity data'!$B:$B,'cluster capacity, unallocateds'!B40,'capacity data'!$E:$E,"TPO",'capacity data'!$F:$F,"&gt;110%")</f>
        <v>0</v>
      </c>
      <c r="M40" s="75" t="str">
        <f t="shared" si="3"/>
        <v/>
      </c>
      <c r="N40" s="2"/>
      <c r="O40" s="2"/>
      <c r="P40" s="2"/>
      <c r="Q40" s="2"/>
      <c r="R40" s="2"/>
      <c r="S40" s="2"/>
      <c r="T40" s="2"/>
      <c r="U40" s="2"/>
      <c r="V40" s="2"/>
      <c r="W40" s="1"/>
    </row>
    <row r="41" spans="1:23" ht="16" x14ac:dyDescent="0.2">
      <c r="A41" s="11"/>
      <c r="B41" s="71" t="str">
        <f>HLOOKUP($B$4,Region_Table,5,0)</f>
        <v>Community Integration</v>
      </c>
      <c r="C41" s="84">
        <f>COUNTIFS('capacity data'!$B:$B,'cluster capacity, unallocateds'!B41,'capacity data'!$E:$E,"PO")</f>
        <v>0</v>
      </c>
      <c r="D41" s="84">
        <f>COUNTIFS('capacity data'!$B:$B,'cluster capacity, unallocateds'!B41,'capacity data'!$E:$E,"PO",'capacity data'!$F:$F,"&gt;110%")</f>
        <v>0</v>
      </c>
      <c r="E41" s="75" t="str">
        <f t="shared" si="0"/>
        <v/>
      </c>
      <c r="F41" s="84">
        <f>COUNTIFS('capacity data'!$B:$B,'cluster capacity, unallocateds'!B41,'capacity data'!$E:$E,"PSO")</f>
        <v>0</v>
      </c>
      <c r="G41" s="84">
        <f>COUNTIFS('capacity data'!$B:$B,'cluster capacity, unallocateds'!B41,'capacity data'!$E:$E,"PSO",'capacity data'!$F:$F,"&gt;110%")</f>
        <v>0</v>
      </c>
      <c r="H41" s="75" t="str">
        <f t="shared" si="1"/>
        <v/>
      </c>
      <c r="I41" s="84">
        <f>COUNTIFS('capacity data'!$B:$B,'cluster capacity, unallocateds'!B41,'capacity data'!$E:$E,"PSO",'capacity data'!$F:$F,"&lt;90%")</f>
        <v>0</v>
      </c>
      <c r="J41" s="75" t="str">
        <f t="shared" si="2"/>
        <v/>
      </c>
      <c r="K41" s="84">
        <f>COUNTIFS('capacity data'!$B:$B,'cluster capacity, unallocateds'!B41,'capacity data'!$E:$E,"TPO")</f>
        <v>0</v>
      </c>
      <c r="L41" s="84">
        <f>COUNTIFS('capacity data'!$B:$B,'cluster capacity, unallocateds'!B41,'capacity data'!$E:$E,"TPO",'capacity data'!$F:$F,"&gt;110%")</f>
        <v>0</v>
      </c>
      <c r="M41" s="75" t="str">
        <f t="shared" si="3"/>
        <v/>
      </c>
      <c r="N41" s="2"/>
      <c r="O41" s="2"/>
      <c r="P41" s="2"/>
      <c r="Q41" s="2"/>
      <c r="R41" s="2"/>
      <c r="S41" s="2"/>
      <c r="T41" s="2"/>
      <c r="U41" s="2"/>
      <c r="V41" s="2"/>
      <c r="W41" s="1"/>
    </row>
    <row r="42" spans="1:23" ht="16" x14ac:dyDescent="0.2">
      <c r="A42" s="11"/>
      <c r="B42" s="71" t="str">
        <f>HLOOKUP($B$4,Region_Table,6,0)</f>
        <v>Corporate Services - N07</v>
      </c>
      <c r="C42" s="84">
        <f>COUNTIFS('capacity data'!$B:$B,'cluster capacity, unallocateds'!B42,'capacity data'!$E:$E,"PO")</f>
        <v>0</v>
      </c>
      <c r="D42" s="84">
        <f>COUNTIFS('capacity data'!$B:$B,'cluster capacity, unallocateds'!B42,'capacity data'!$E:$E,"PO",'capacity data'!$F:$F,"&gt;110%")</f>
        <v>0</v>
      </c>
      <c r="E42" s="75" t="str">
        <f t="shared" si="0"/>
        <v/>
      </c>
      <c r="F42" s="84">
        <f>COUNTIFS('capacity data'!$B:$B,'cluster capacity, unallocateds'!B42,'capacity data'!$E:$E,"PSO")</f>
        <v>0</v>
      </c>
      <c r="G42" s="84">
        <f>COUNTIFS('capacity data'!$B:$B,'cluster capacity, unallocateds'!B42,'capacity data'!$E:$E,"PSO",'capacity data'!$F:$F,"&gt;110%")</f>
        <v>0</v>
      </c>
      <c r="H42" s="75" t="str">
        <f t="shared" si="1"/>
        <v/>
      </c>
      <c r="I42" s="84">
        <f>COUNTIFS('capacity data'!$B:$B,'cluster capacity, unallocateds'!B42,'capacity data'!$E:$E,"PSO",'capacity data'!$F:$F,"&lt;90%")</f>
        <v>0</v>
      </c>
      <c r="J42" s="75" t="str">
        <f t="shared" si="2"/>
        <v/>
      </c>
      <c r="K42" s="84">
        <f>COUNTIFS('capacity data'!$B:$B,'cluster capacity, unallocateds'!B42,'capacity data'!$E:$E,"TPO")</f>
        <v>0</v>
      </c>
      <c r="L42" s="84">
        <f>COUNTIFS('capacity data'!$B:$B,'cluster capacity, unallocateds'!B42,'capacity data'!$E:$E,"TPO",'capacity data'!$F:$F,"&gt;110%")</f>
        <v>0</v>
      </c>
      <c r="M42" s="75" t="str">
        <f t="shared" si="3"/>
        <v/>
      </c>
      <c r="N42" s="2"/>
      <c r="O42" s="2"/>
      <c r="P42" s="2"/>
      <c r="Q42" s="2"/>
      <c r="R42" s="2"/>
      <c r="S42" s="2"/>
      <c r="T42" s="2"/>
      <c r="U42" s="2"/>
      <c r="V42" s="2"/>
      <c r="W42" s="1"/>
    </row>
    <row r="43" spans="1:23" ht="16" x14ac:dyDescent="0.2">
      <c r="A43" s="11"/>
      <c r="B43" s="71" t="str">
        <f>HLOOKUP($B$4,Region_Table,7,0)</f>
        <v>Croydon - N07</v>
      </c>
      <c r="C43" s="84">
        <f>COUNTIFS('capacity data'!$B:$B,'cluster capacity, unallocateds'!B43,'capacity data'!$E:$E,"PO")</f>
        <v>0</v>
      </c>
      <c r="D43" s="84">
        <f>COUNTIFS('capacity data'!$B:$B,'cluster capacity, unallocateds'!B43,'capacity data'!$E:$E,"PO",'capacity data'!$F:$F,"&gt;110%")</f>
        <v>0</v>
      </c>
      <c r="E43" s="75" t="str">
        <f t="shared" si="0"/>
        <v/>
      </c>
      <c r="F43" s="84">
        <f>COUNTIFS('capacity data'!$B:$B,'cluster capacity, unallocateds'!B43,'capacity data'!$E:$E,"PSO")</f>
        <v>0</v>
      </c>
      <c r="G43" s="84">
        <f>COUNTIFS('capacity data'!$B:$B,'cluster capacity, unallocateds'!B43,'capacity data'!$E:$E,"PSO",'capacity data'!$F:$F,"&gt;110%")</f>
        <v>0</v>
      </c>
      <c r="H43" s="75" t="str">
        <f t="shared" si="1"/>
        <v/>
      </c>
      <c r="I43" s="84">
        <f>COUNTIFS('capacity data'!$B:$B,'cluster capacity, unallocateds'!B43,'capacity data'!$E:$E,"PSO",'capacity data'!$F:$F,"&lt;90%")</f>
        <v>0</v>
      </c>
      <c r="J43" s="75" t="str">
        <f t="shared" si="2"/>
        <v/>
      </c>
      <c r="K43" s="84">
        <f>COUNTIFS('capacity data'!$B:$B,'cluster capacity, unallocateds'!B43,'capacity data'!$E:$E,"TPO")</f>
        <v>0</v>
      </c>
      <c r="L43" s="84">
        <f>COUNTIFS('capacity data'!$B:$B,'cluster capacity, unallocateds'!B43,'capacity data'!$E:$E,"TPO",'capacity data'!$F:$F,"&gt;110%")</f>
        <v>0</v>
      </c>
      <c r="M43" s="75" t="str">
        <f t="shared" si="3"/>
        <v/>
      </c>
      <c r="N43" s="2"/>
      <c r="O43" s="2"/>
      <c r="P43" s="2"/>
      <c r="Q43" s="2"/>
      <c r="R43" s="2"/>
      <c r="S43" s="2"/>
      <c r="T43" s="2"/>
      <c r="U43" s="2"/>
      <c r="V43" s="2"/>
      <c r="W43" s="1"/>
    </row>
    <row r="44" spans="1:23" ht="16" x14ac:dyDescent="0.2">
      <c r="A44" s="11"/>
      <c r="B44" s="71" t="str">
        <f>HLOOKUP($B$4,Region_Table,8,0)</f>
        <v>Ealing and Hillingdon</v>
      </c>
      <c r="C44" s="84">
        <f>COUNTIFS('capacity data'!$B:$B,'cluster capacity, unallocateds'!B44,'capacity data'!$E:$E,"PO")</f>
        <v>0</v>
      </c>
      <c r="D44" s="84">
        <f>COUNTIFS('capacity data'!$B:$B,'cluster capacity, unallocateds'!B44,'capacity data'!$E:$E,"PO",'capacity data'!$F:$F,"&gt;110%")</f>
        <v>0</v>
      </c>
      <c r="E44" s="75" t="str">
        <f t="shared" si="0"/>
        <v/>
      </c>
      <c r="F44" s="84">
        <f>COUNTIFS('capacity data'!$B:$B,'cluster capacity, unallocateds'!B44,'capacity data'!$E:$E,"PSO")</f>
        <v>0</v>
      </c>
      <c r="G44" s="84">
        <f>COUNTIFS('capacity data'!$B:$B,'cluster capacity, unallocateds'!B44,'capacity data'!$E:$E,"PSO",'capacity data'!$F:$F,"&gt;110%")</f>
        <v>0</v>
      </c>
      <c r="H44" s="75" t="str">
        <f t="shared" si="1"/>
        <v/>
      </c>
      <c r="I44" s="84">
        <f>COUNTIFS('capacity data'!$B:$B,'cluster capacity, unallocateds'!B44,'capacity data'!$E:$E,"PSO",'capacity data'!$F:$F,"&lt;90%")</f>
        <v>0</v>
      </c>
      <c r="J44" s="75" t="str">
        <f t="shared" si="2"/>
        <v/>
      </c>
      <c r="K44" s="84">
        <f>COUNTIFS('capacity data'!$B:$B,'cluster capacity, unallocateds'!B44,'capacity data'!$E:$E,"TPO")</f>
        <v>0</v>
      </c>
      <c r="L44" s="84">
        <f>COUNTIFS('capacity data'!$B:$B,'cluster capacity, unallocateds'!B44,'capacity data'!$E:$E,"TPO",'capacity data'!$F:$F,"&gt;110%")</f>
        <v>0</v>
      </c>
      <c r="M44" s="75" t="str">
        <f t="shared" si="3"/>
        <v/>
      </c>
      <c r="N44" s="2"/>
      <c r="O44" s="2"/>
      <c r="P44" s="2"/>
      <c r="Q44" s="2"/>
      <c r="R44" s="2"/>
      <c r="S44" s="2"/>
      <c r="T44" s="2"/>
      <c r="U44" s="2"/>
      <c r="V44" s="2"/>
      <c r="W44" s="1"/>
    </row>
    <row r="45" spans="1:23" ht="16" x14ac:dyDescent="0.2">
      <c r="A45" s="11"/>
      <c r="B45" s="71" t="str">
        <f>HLOOKUP($B$4,Region_Table,9,0)</f>
        <v>Enfield and Haringey</v>
      </c>
      <c r="C45" s="84">
        <f>COUNTIFS('capacity data'!$B:$B,'cluster capacity, unallocateds'!B45,'capacity data'!$E:$E,"PO")</f>
        <v>0</v>
      </c>
      <c r="D45" s="84">
        <f>COUNTIFS('capacity data'!$B:$B,'cluster capacity, unallocateds'!B45,'capacity data'!$E:$E,"PO",'capacity data'!$F:$F,"&gt;110%")</f>
        <v>0</v>
      </c>
      <c r="E45" s="75" t="str">
        <f t="shared" si="0"/>
        <v/>
      </c>
      <c r="F45" s="84">
        <f>COUNTIFS('capacity data'!$B:$B,'cluster capacity, unallocateds'!B45,'capacity data'!$E:$E,"PSO")</f>
        <v>0</v>
      </c>
      <c r="G45" s="84">
        <f>COUNTIFS('capacity data'!$B:$B,'cluster capacity, unallocateds'!B45,'capacity data'!$E:$E,"PSO",'capacity data'!$F:$F,"&gt;110%")</f>
        <v>0</v>
      </c>
      <c r="H45" s="75" t="str">
        <f t="shared" si="1"/>
        <v/>
      </c>
      <c r="I45" s="84">
        <f>COUNTIFS('capacity data'!$B:$B,'cluster capacity, unallocateds'!B45,'capacity data'!$E:$E,"PSO",'capacity data'!$F:$F,"&lt;90%")</f>
        <v>0</v>
      </c>
      <c r="J45" s="75" t="str">
        <f t="shared" si="2"/>
        <v/>
      </c>
      <c r="K45" s="84">
        <f>COUNTIFS('capacity data'!$B:$B,'cluster capacity, unallocateds'!B45,'capacity data'!$E:$E,"TPO")</f>
        <v>0</v>
      </c>
      <c r="L45" s="84">
        <f>COUNTIFS('capacity data'!$B:$B,'cluster capacity, unallocateds'!B45,'capacity data'!$E:$E,"TPO",'capacity data'!$F:$F,"&gt;110%")</f>
        <v>0</v>
      </c>
      <c r="M45" s="75" t="str">
        <f t="shared" si="3"/>
        <v/>
      </c>
      <c r="N45" s="2"/>
      <c r="O45" s="2"/>
      <c r="P45" s="2"/>
      <c r="Q45" s="2"/>
      <c r="R45" s="2"/>
      <c r="S45" s="2"/>
      <c r="T45" s="2"/>
      <c r="U45" s="2"/>
      <c r="V45" s="2"/>
      <c r="W45" s="1"/>
    </row>
    <row r="46" spans="1:23" ht="16" x14ac:dyDescent="0.2">
      <c r="A46" s="11"/>
      <c r="B46" s="71" t="str">
        <f>HLOOKUP($B$4,Region_Table,10,0)</f>
        <v>Greenwich and Bexley</v>
      </c>
      <c r="C46" s="84">
        <f>COUNTIFS('capacity data'!$B:$B,'cluster capacity, unallocateds'!B46,'capacity data'!$E:$E,"PO")</f>
        <v>0</v>
      </c>
      <c r="D46" s="84">
        <f>COUNTIFS('capacity data'!$B:$B,'cluster capacity, unallocateds'!B46,'capacity data'!$E:$E,"PO",'capacity data'!$F:$F,"&gt;110%")</f>
        <v>0</v>
      </c>
      <c r="E46" s="75" t="str">
        <f t="shared" si="0"/>
        <v/>
      </c>
      <c r="F46" s="84">
        <f>COUNTIFS('capacity data'!$B:$B,'cluster capacity, unallocateds'!B46,'capacity data'!$E:$E,"PSO")</f>
        <v>0</v>
      </c>
      <c r="G46" s="84">
        <f>COUNTIFS('capacity data'!$B:$B,'cluster capacity, unallocateds'!B46,'capacity data'!$E:$E,"PSO",'capacity data'!$F:$F,"&gt;110%")</f>
        <v>0</v>
      </c>
      <c r="H46" s="75" t="str">
        <f t="shared" si="1"/>
        <v/>
      </c>
      <c r="I46" s="84">
        <f>COUNTIFS('capacity data'!$B:$B,'cluster capacity, unallocateds'!B46,'capacity data'!$E:$E,"PSO",'capacity data'!$F:$F,"&lt;90%")</f>
        <v>0</v>
      </c>
      <c r="J46" s="75" t="str">
        <f t="shared" si="2"/>
        <v/>
      </c>
      <c r="K46" s="84">
        <f>COUNTIFS('capacity data'!$B:$B,'cluster capacity, unallocateds'!B46,'capacity data'!$E:$E,"TPO")</f>
        <v>0</v>
      </c>
      <c r="L46" s="84">
        <f>COUNTIFS('capacity data'!$B:$B,'cluster capacity, unallocateds'!B46,'capacity data'!$E:$E,"TPO",'capacity data'!$F:$F,"&gt;110%")</f>
        <v>0</v>
      </c>
      <c r="M46" s="75" t="str">
        <f t="shared" si="3"/>
        <v/>
      </c>
      <c r="N46" s="2"/>
      <c r="O46" s="2"/>
      <c r="P46" s="2"/>
      <c r="Q46" s="2"/>
      <c r="R46" s="2"/>
      <c r="S46" s="2"/>
      <c r="T46" s="2"/>
      <c r="U46" s="2"/>
      <c r="V46" s="2"/>
      <c r="W46" s="1"/>
    </row>
    <row r="47" spans="1:23" ht="16" x14ac:dyDescent="0.2">
      <c r="A47" s="11"/>
      <c r="B47" s="71" t="str">
        <f>HLOOKUP($B$4,Region_Table,11,0)</f>
        <v>Hackney and City</v>
      </c>
      <c r="C47" s="84">
        <f>COUNTIFS('capacity data'!$B:$B,'cluster capacity, unallocateds'!B47,'capacity data'!$E:$E,"PO")</f>
        <v>0</v>
      </c>
      <c r="D47" s="84">
        <f>COUNTIFS('capacity data'!$B:$B,'cluster capacity, unallocateds'!B47,'capacity data'!$E:$E,"PO",'capacity data'!$F:$F,"&gt;110%")</f>
        <v>0</v>
      </c>
      <c r="E47" s="75" t="str">
        <f t="shared" si="0"/>
        <v/>
      </c>
      <c r="F47" s="84">
        <f>COUNTIFS('capacity data'!$B:$B,'cluster capacity, unallocateds'!B47,'capacity data'!$E:$E,"PSO")</f>
        <v>0</v>
      </c>
      <c r="G47" s="84">
        <f>COUNTIFS('capacity data'!$B:$B,'cluster capacity, unallocateds'!B47,'capacity data'!$E:$E,"PSO",'capacity data'!$F:$F,"&gt;110%")</f>
        <v>0</v>
      </c>
      <c r="H47" s="75" t="str">
        <f t="shared" si="1"/>
        <v/>
      </c>
      <c r="I47" s="84">
        <f>COUNTIFS('capacity data'!$B:$B,'cluster capacity, unallocateds'!B47,'capacity data'!$E:$E,"PSO",'capacity data'!$F:$F,"&lt;90%")</f>
        <v>0</v>
      </c>
      <c r="J47" s="75" t="str">
        <f t="shared" si="2"/>
        <v/>
      </c>
      <c r="K47" s="84">
        <f>COUNTIFS('capacity data'!$B:$B,'cluster capacity, unallocateds'!B47,'capacity data'!$E:$E,"TPO")</f>
        <v>0</v>
      </c>
      <c r="L47" s="84">
        <f>COUNTIFS('capacity data'!$B:$B,'cluster capacity, unallocateds'!B47,'capacity data'!$E:$E,"TPO",'capacity data'!$F:$F,"&gt;110%")</f>
        <v>0</v>
      </c>
      <c r="M47" s="75" t="str">
        <f t="shared" si="3"/>
        <v/>
      </c>
      <c r="N47" s="2"/>
      <c r="O47" s="2"/>
      <c r="P47" s="2"/>
      <c r="Q47" s="2"/>
      <c r="R47" s="2"/>
      <c r="S47" s="2"/>
      <c r="T47" s="2"/>
      <c r="U47" s="2"/>
      <c r="V47" s="2"/>
      <c r="W47" s="1"/>
    </row>
    <row r="48" spans="1:23" ht="16" x14ac:dyDescent="0.2">
      <c r="A48" s="11"/>
      <c r="B48" s="71" t="str">
        <f>HLOOKUP($B$4,Region_Table,12,0)</f>
        <v>Hammersmith, Fulham, Kensington, Chelsea and Westminster</v>
      </c>
      <c r="C48" s="84">
        <f>COUNTIFS('capacity data'!$B:$B,'cluster capacity, unallocateds'!B48,'capacity data'!$E:$E,"PO")</f>
        <v>0</v>
      </c>
      <c r="D48" s="84">
        <f>COUNTIFS('capacity data'!$B:$B,'cluster capacity, unallocateds'!B48,'capacity data'!$E:$E,"PO",'capacity data'!$F:$F,"&gt;110%")</f>
        <v>0</v>
      </c>
      <c r="E48" s="75" t="str">
        <f t="shared" si="0"/>
        <v/>
      </c>
      <c r="F48" s="84">
        <f>COUNTIFS('capacity data'!$B:$B,'cluster capacity, unallocateds'!B48,'capacity data'!$E:$E,"PSO")</f>
        <v>0</v>
      </c>
      <c r="G48" s="84">
        <f>COUNTIFS('capacity data'!$B:$B,'cluster capacity, unallocateds'!B48,'capacity data'!$E:$E,"PSO",'capacity data'!$F:$F,"&gt;110%")</f>
        <v>0</v>
      </c>
      <c r="H48" s="75" t="str">
        <f t="shared" si="1"/>
        <v/>
      </c>
      <c r="I48" s="84">
        <f>COUNTIFS('capacity data'!$B:$B,'cluster capacity, unallocateds'!B48,'capacity data'!$E:$E,"PSO",'capacity data'!$F:$F,"&lt;90%")</f>
        <v>0</v>
      </c>
      <c r="J48" s="75" t="str">
        <f t="shared" si="2"/>
        <v/>
      </c>
      <c r="K48" s="84">
        <f>COUNTIFS('capacity data'!$B:$B,'cluster capacity, unallocateds'!B48,'capacity data'!$E:$E,"TPO")</f>
        <v>0</v>
      </c>
      <c r="L48" s="84">
        <f>COUNTIFS('capacity data'!$B:$B,'cluster capacity, unallocateds'!B48,'capacity data'!$E:$E,"TPO",'capacity data'!$F:$F,"&gt;110%")</f>
        <v>0</v>
      </c>
      <c r="M48" s="75" t="str">
        <f t="shared" si="3"/>
        <v/>
      </c>
      <c r="N48" s="2"/>
      <c r="O48" s="2"/>
      <c r="P48" s="2"/>
      <c r="Q48" s="2"/>
      <c r="R48" s="2"/>
      <c r="S48" s="2"/>
      <c r="T48" s="2"/>
      <c r="U48" s="2"/>
      <c r="V48" s="2"/>
      <c r="W48" s="1"/>
    </row>
    <row r="49" spans="1:23" ht="16" x14ac:dyDescent="0.2">
      <c r="A49" s="11"/>
      <c r="B49" s="71" t="str">
        <f>HLOOKUP($B$4,Region_Table,13,0)</f>
        <v>Harrow and Barnet</v>
      </c>
      <c r="C49" s="84">
        <f>COUNTIFS('capacity data'!$B:$B,'cluster capacity, unallocateds'!B49,'capacity data'!$E:$E,"PO")</f>
        <v>0</v>
      </c>
      <c r="D49" s="84">
        <f>COUNTIFS('capacity data'!$B:$B,'cluster capacity, unallocateds'!B49,'capacity data'!$E:$E,"PO",'capacity data'!$F:$F,"&gt;110%")</f>
        <v>0</v>
      </c>
      <c r="E49" s="75" t="str">
        <f t="shared" si="0"/>
        <v/>
      </c>
      <c r="F49" s="84">
        <f>COUNTIFS('capacity data'!$B:$B,'cluster capacity, unallocateds'!B49,'capacity data'!$E:$E,"PSO")</f>
        <v>0</v>
      </c>
      <c r="G49" s="84">
        <f>COUNTIFS('capacity data'!$B:$B,'cluster capacity, unallocateds'!B49,'capacity data'!$E:$E,"PSO",'capacity data'!$F:$F,"&gt;110%")</f>
        <v>0</v>
      </c>
      <c r="H49" s="75" t="str">
        <f t="shared" si="1"/>
        <v/>
      </c>
      <c r="I49" s="84">
        <f>COUNTIFS('capacity data'!$B:$B,'cluster capacity, unallocateds'!B49,'capacity data'!$E:$E,"PSO",'capacity data'!$F:$F,"&lt;90%")</f>
        <v>0</v>
      </c>
      <c r="J49" s="75" t="str">
        <f t="shared" si="2"/>
        <v/>
      </c>
      <c r="K49" s="84">
        <f>COUNTIFS('capacity data'!$B:$B,'cluster capacity, unallocateds'!B49,'capacity data'!$E:$E,"TPO")</f>
        <v>0</v>
      </c>
      <c r="L49" s="84">
        <f>COUNTIFS('capacity data'!$B:$B,'cluster capacity, unallocateds'!B49,'capacity data'!$E:$E,"TPO",'capacity data'!$F:$F,"&gt;110%")</f>
        <v>0</v>
      </c>
      <c r="M49" s="75" t="str">
        <f t="shared" si="3"/>
        <v/>
      </c>
      <c r="N49" s="2"/>
      <c r="O49" s="2"/>
      <c r="P49" s="2"/>
      <c r="Q49" s="2"/>
      <c r="R49" s="2"/>
      <c r="S49" s="2"/>
      <c r="T49" s="2"/>
      <c r="U49" s="2"/>
      <c r="V49" s="2"/>
      <c r="W49" s="1"/>
    </row>
    <row r="50" spans="1:23" ht="16" x14ac:dyDescent="0.2">
      <c r="A50" s="11"/>
      <c r="B50" s="71" t="str">
        <f>HLOOKUP($B$4,Region_Table,14,0)</f>
        <v>Inactive Level 2(N07)</v>
      </c>
      <c r="C50" s="84">
        <f>COUNTIFS('capacity data'!$B:$B,'cluster capacity, unallocateds'!B50,'capacity data'!$E:$E,"PO")</f>
        <v>0</v>
      </c>
      <c r="D50" s="84">
        <f>COUNTIFS('capacity data'!$B:$B,'cluster capacity, unallocateds'!B50,'capacity data'!$E:$E,"PO",'capacity data'!$F:$F,"&gt;110%")</f>
        <v>0</v>
      </c>
      <c r="E50" s="75" t="str">
        <f t="shared" si="0"/>
        <v/>
      </c>
      <c r="F50" s="84">
        <f>COUNTIFS('capacity data'!$B:$B,'cluster capacity, unallocateds'!B50,'capacity data'!$E:$E,"PSO")</f>
        <v>0</v>
      </c>
      <c r="G50" s="84">
        <f>COUNTIFS('capacity data'!$B:$B,'cluster capacity, unallocateds'!B50,'capacity data'!$E:$E,"PSO",'capacity data'!$F:$F,"&gt;110%")</f>
        <v>0</v>
      </c>
      <c r="H50" s="75" t="str">
        <f t="shared" si="1"/>
        <v/>
      </c>
      <c r="I50" s="84">
        <f>COUNTIFS('capacity data'!$B:$B,'cluster capacity, unallocateds'!B50,'capacity data'!$E:$E,"PSO",'capacity data'!$F:$F,"&lt;90%")</f>
        <v>0</v>
      </c>
      <c r="J50" s="75" t="str">
        <f t="shared" si="2"/>
        <v/>
      </c>
      <c r="K50" s="84">
        <f>COUNTIFS('capacity data'!$B:$B,'cluster capacity, unallocateds'!B50,'capacity data'!$E:$E,"TPO")</f>
        <v>0</v>
      </c>
      <c r="L50" s="84">
        <f>COUNTIFS('capacity data'!$B:$B,'cluster capacity, unallocateds'!B50,'capacity data'!$E:$E,"TPO",'capacity data'!$F:$F,"&gt;110%")</f>
        <v>0</v>
      </c>
      <c r="M50" s="75" t="str">
        <f t="shared" si="3"/>
        <v/>
      </c>
      <c r="N50" s="2"/>
      <c r="O50" s="2"/>
      <c r="P50" s="2"/>
      <c r="Q50" s="2"/>
      <c r="R50" s="2"/>
      <c r="S50" s="2"/>
      <c r="T50" s="2"/>
      <c r="U50" s="2"/>
      <c r="V50" s="2"/>
      <c r="W50" s="1"/>
    </row>
    <row r="51" spans="1:23" ht="16" x14ac:dyDescent="0.2">
      <c r="A51" s="11"/>
      <c r="B51" s="71" t="str">
        <f>HLOOKUP($B$4,Region_Table,15,0)</f>
        <v>Kingston, Richmond and Hounslow</v>
      </c>
      <c r="C51" s="84">
        <f>COUNTIFS('capacity data'!$B:$B,'cluster capacity, unallocateds'!B51,'capacity data'!$E:$E,"PO")</f>
        <v>0</v>
      </c>
      <c r="D51" s="84">
        <f>COUNTIFS('capacity data'!$B:$B,'cluster capacity, unallocateds'!B51,'capacity data'!$E:$E,"PO",'capacity data'!$F:$F,"&gt;110%")</f>
        <v>0</v>
      </c>
      <c r="E51" s="75" t="str">
        <f t="shared" si="0"/>
        <v/>
      </c>
      <c r="F51" s="84">
        <f>COUNTIFS('capacity data'!$B:$B,'cluster capacity, unallocateds'!B51,'capacity data'!$E:$E,"PSO")</f>
        <v>0</v>
      </c>
      <c r="G51" s="84">
        <f>COUNTIFS('capacity data'!$B:$B,'cluster capacity, unallocateds'!B51,'capacity data'!$E:$E,"PSO",'capacity data'!$F:$F,"&gt;110%")</f>
        <v>0</v>
      </c>
      <c r="H51" s="75" t="str">
        <f t="shared" si="1"/>
        <v/>
      </c>
      <c r="I51" s="84">
        <f>COUNTIFS('capacity data'!$B:$B,'cluster capacity, unallocateds'!B51,'capacity data'!$E:$E,"PSO",'capacity data'!$F:$F,"&lt;90%")</f>
        <v>0</v>
      </c>
      <c r="J51" s="75" t="str">
        <f t="shared" si="2"/>
        <v/>
      </c>
      <c r="K51" s="84">
        <f>COUNTIFS('capacity data'!$B:$B,'cluster capacity, unallocateds'!B51,'capacity data'!$E:$E,"TPO")</f>
        <v>0</v>
      </c>
      <c r="L51" s="84">
        <f>COUNTIFS('capacity data'!$B:$B,'cluster capacity, unallocateds'!B51,'capacity data'!$E:$E,"TPO",'capacity data'!$F:$F,"&gt;110%")</f>
        <v>0</v>
      </c>
      <c r="M51" s="75" t="str">
        <f t="shared" si="3"/>
        <v/>
      </c>
      <c r="N51" s="2"/>
      <c r="O51" s="2"/>
      <c r="P51" s="2"/>
      <c r="Q51" s="2"/>
      <c r="R51" s="2"/>
      <c r="S51" s="2"/>
      <c r="T51" s="2"/>
      <c r="U51" s="2"/>
      <c r="V51" s="2"/>
      <c r="W51" s="1"/>
    </row>
    <row r="52" spans="1:23" ht="16" x14ac:dyDescent="0.2">
      <c r="A52" s="11"/>
      <c r="B52" s="71" t="str">
        <f>HLOOKUP($B$4,Region_Table,16,0)</f>
        <v>Lambeth - N07</v>
      </c>
      <c r="C52" s="84">
        <f>COUNTIFS('capacity data'!$B:$B,'cluster capacity, unallocateds'!B52,'capacity data'!$E:$E,"PO")</f>
        <v>0</v>
      </c>
      <c r="D52" s="84">
        <f>COUNTIFS('capacity data'!$B:$B,'cluster capacity, unallocateds'!B52,'capacity data'!$E:$E,"PO",'capacity data'!$F:$F,"&gt;110%")</f>
        <v>0</v>
      </c>
      <c r="E52" s="75" t="str">
        <f t="shared" si="0"/>
        <v/>
      </c>
      <c r="F52" s="84">
        <f>COUNTIFS('capacity data'!$B:$B,'cluster capacity, unallocateds'!B52,'capacity data'!$E:$E,"PSO")</f>
        <v>0</v>
      </c>
      <c r="G52" s="84">
        <f>COUNTIFS('capacity data'!$B:$B,'cluster capacity, unallocateds'!B52,'capacity data'!$E:$E,"PSO",'capacity data'!$F:$F,"&gt;110%")</f>
        <v>0</v>
      </c>
      <c r="H52" s="75" t="str">
        <f t="shared" si="1"/>
        <v/>
      </c>
      <c r="I52" s="84">
        <f>COUNTIFS('capacity data'!$B:$B,'cluster capacity, unallocateds'!B52,'capacity data'!$E:$E,"PSO",'capacity data'!$F:$F,"&lt;90%")</f>
        <v>0</v>
      </c>
      <c r="J52" s="75" t="str">
        <f t="shared" si="2"/>
        <v/>
      </c>
      <c r="K52" s="84">
        <f>COUNTIFS('capacity data'!$B:$B,'cluster capacity, unallocateds'!B52,'capacity data'!$E:$E,"TPO")</f>
        <v>0</v>
      </c>
      <c r="L52" s="84">
        <f>COUNTIFS('capacity data'!$B:$B,'cluster capacity, unallocateds'!B52,'capacity data'!$E:$E,"TPO",'capacity data'!$F:$F,"&gt;110%")</f>
        <v>0</v>
      </c>
      <c r="M52" s="75" t="str">
        <f t="shared" si="3"/>
        <v/>
      </c>
      <c r="N52" s="2"/>
      <c r="O52" s="2"/>
      <c r="P52" s="2"/>
      <c r="Q52" s="2"/>
      <c r="R52" s="2"/>
      <c r="S52" s="2"/>
      <c r="T52" s="2"/>
      <c r="U52" s="2"/>
      <c r="V52" s="2"/>
      <c r="W52" s="1"/>
    </row>
    <row r="53" spans="1:23" ht="16" x14ac:dyDescent="0.2">
      <c r="A53" s="11"/>
      <c r="B53" s="71" t="str">
        <f>HLOOKUP($B$4,Region_Table,17,0)</f>
        <v>Lewisham and Bromley</v>
      </c>
      <c r="C53" s="84">
        <f>COUNTIFS('capacity data'!$B:$B,'cluster capacity, unallocateds'!B53,'capacity data'!$E:$E,"PO")</f>
        <v>0</v>
      </c>
      <c r="D53" s="84">
        <f>COUNTIFS('capacity data'!$B:$B,'cluster capacity, unallocateds'!B53,'capacity data'!$E:$E,"PO",'capacity data'!$F:$F,"&gt;110%")</f>
        <v>0</v>
      </c>
      <c r="E53" s="75" t="str">
        <f t="shared" si="0"/>
        <v/>
      </c>
      <c r="F53" s="84">
        <f>COUNTIFS('capacity data'!$B:$B,'cluster capacity, unallocateds'!B53,'capacity data'!$E:$E,"PSO")</f>
        <v>0</v>
      </c>
      <c r="G53" s="84">
        <f>COUNTIFS('capacity data'!$B:$B,'cluster capacity, unallocateds'!B53,'capacity data'!$E:$E,"PSO",'capacity data'!$F:$F,"&gt;110%")</f>
        <v>0</v>
      </c>
      <c r="H53" s="75" t="str">
        <f t="shared" si="1"/>
        <v/>
      </c>
      <c r="I53" s="84">
        <f>COUNTIFS('capacity data'!$B:$B,'cluster capacity, unallocateds'!B53,'capacity data'!$E:$E,"PSO",'capacity data'!$F:$F,"&lt;90%")</f>
        <v>0</v>
      </c>
      <c r="J53" s="75" t="str">
        <f t="shared" si="2"/>
        <v/>
      </c>
      <c r="K53" s="84">
        <f>COUNTIFS('capacity data'!$B:$B,'cluster capacity, unallocateds'!B53,'capacity data'!$E:$E,"TPO")</f>
        <v>0</v>
      </c>
      <c r="L53" s="84">
        <f>COUNTIFS('capacity data'!$B:$B,'cluster capacity, unallocateds'!B53,'capacity data'!$E:$E,"TPO",'capacity data'!$F:$F,"&gt;110%")</f>
        <v>0</v>
      </c>
      <c r="M53" s="75" t="str">
        <f t="shared" si="3"/>
        <v/>
      </c>
      <c r="N53" s="2"/>
      <c r="O53" s="2"/>
      <c r="P53" s="2"/>
      <c r="Q53" s="2"/>
      <c r="R53" s="2"/>
      <c r="S53" s="2"/>
      <c r="T53" s="2"/>
      <c r="U53" s="2"/>
      <c r="V53" s="2"/>
      <c r="W53" s="1"/>
    </row>
    <row r="54" spans="1:23" ht="16" x14ac:dyDescent="0.2">
      <c r="A54" s="11"/>
      <c r="B54" s="71" t="str">
        <f>HLOOKUP($B$4,Region_Table,18,0)</f>
        <v>Newham - N07</v>
      </c>
      <c r="C54" s="84">
        <f>COUNTIFS('capacity data'!$B:$B,'cluster capacity, unallocateds'!B54,'capacity data'!$E:$E,"PO")</f>
        <v>0</v>
      </c>
      <c r="D54" s="84">
        <f>COUNTIFS('capacity data'!$B:$B,'cluster capacity, unallocateds'!B54,'capacity data'!$E:$E,"PO",'capacity data'!$F:$F,"&gt;110%")</f>
        <v>0</v>
      </c>
      <c r="E54" s="75" t="str">
        <f t="shared" si="0"/>
        <v/>
      </c>
      <c r="F54" s="84">
        <f>COUNTIFS('capacity data'!$B:$B,'cluster capacity, unallocateds'!B54,'capacity data'!$E:$E,"PSO")</f>
        <v>0</v>
      </c>
      <c r="G54" s="84">
        <f>COUNTIFS('capacity data'!$B:$B,'cluster capacity, unallocateds'!B54,'capacity data'!$E:$E,"PSO",'capacity data'!$F:$F,"&gt;110%")</f>
        <v>0</v>
      </c>
      <c r="H54" s="75" t="str">
        <f t="shared" si="1"/>
        <v/>
      </c>
      <c r="I54" s="84">
        <f>COUNTIFS('capacity data'!$B:$B,'cluster capacity, unallocateds'!B54,'capacity data'!$E:$E,"PSO",'capacity data'!$F:$F,"&lt;90%")</f>
        <v>0</v>
      </c>
      <c r="J54" s="75" t="str">
        <f t="shared" si="2"/>
        <v/>
      </c>
      <c r="K54" s="84">
        <f>COUNTIFS('capacity data'!$B:$B,'cluster capacity, unallocateds'!B54,'capacity data'!$E:$E,"TPO")</f>
        <v>0</v>
      </c>
      <c r="L54" s="84">
        <f>COUNTIFS('capacity data'!$B:$B,'cluster capacity, unallocateds'!B54,'capacity data'!$E:$E,"TPO",'capacity data'!$F:$F,"&gt;110%")</f>
        <v>0</v>
      </c>
      <c r="M54" s="75" t="str">
        <f t="shared" si="3"/>
        <v/>
      </c>
      <c r="N54" s="2"/>
      <c r="O54" s="2"/>
      <c r="P54" s="2"/>
      <c r="Q54" s="2"/>
      <c r="R54" s="2"/>
      <c r="S54" s="2"/>
      <c r="T54" s="2"/>
      <c r="U54" s="2"/>
      <c r="V54" s="2"/>
      <c r="W54" s="1"/>
    </row>
    <row r="55" spans="1:23" ht="16" x14ac:dyDescent="0.2">
      <c r="A55" s="11"/>
      <c r="B55" s="71" t="str">
        <f>HLOOKUP($B$4,Region_Table,19,0)</f>
        <v>Public Protection London</v>
      </c>
      <c r="C55" s="84">
        <f>COUNTIFS('capacity data'!$B:$B,'cluster capacity, unallocateds'!B55,'capacity data'!$E:$E,"PO")</f>
        <v>0</v>
      </c>
      <c r="D55" s="84">
        <f>COUNTIFS('capacity data'!$B:$B,'cluster capacity, unallocateds'!B55,'capacity data'!$E:$E,"PO",'capacity data'!$F:$F,"&gt;110%")</f>
        <v>0</v>
      </c>
      <c r="E55" s="75" t="str">
        <f t="shared" si="0"/>
        <v/>
      </c>
      <c r="F55" s="84">
        <f>COUNTIFS('capacity data'!$B:$B,'cluster capacity, unallocateds'!B55,'capacity data'!$E:$E,"PSO")</f>
        <v>0</v>
      </c>
      <c r="G55" s="84">
        <f>COUNTIFS('capacity data'!$B:$B,'cluster capacity, unallocateds'!B55,'capacity data'!$E:$E,"PSO",'capacity data'!$F:$F,"&gt;110%")</f>
        <v>0</v>
      </c>
      <c r="H55" s="75" t="str">
        <f t="shared" si="1"/>
        <v/>
      </c>
      <c r="I55" s="84">
        <f>COUNTIFS('capacity data'!$B:$B,'cluster capacity, unallocateds'!B55,'capacity data'!$E:$E,"PSO",'capacity data'!$F:$F,"&lt;90%")</f>
        <v>0</v>
      </c>
      <c r="J55" s="75" t="str">
        <f t="shared" si="2"/>
        <v/>
      </c>
      <c r="K55" s="84">
        <f>COUNTIFS('capacity data'!$B:$B,'cluster capacity, unallocateds'!B55,'capacity data'!$E:$E,"TPO")</f>
        <v>0</v>
      </c>
      <c r="L55" s="84">
        <f>COUNTIFS('capacity data'!$B:$B,'cluster capacity, unallocateds'!B55,'capacity data'!$E:$E,"TPO",'capacity data'!$F:$F,"&gt;110%")</f>
        <v>0</v>
      </c>
      <c r="M55" s="75" t="str">
        <f t="shared" si="3"/>
        <v/>
      </c>
      <c r="N55" s="2"/>
      <c r="O55" s="2"/>
      <c r="P55" s="2"/>
      <c r="Q55" s="2"/>
      <c r="R55" s="2"/>
      <c r="S55" s="2"/>
      <c r="T55" s="2"/>
      <c r="U55" s="2"/>
      <c r="V55" s="2"/>
      <c r="W55" s="1"/>
    </row>
    <row r="56" spans="1:23" ht="16" x14ac:dyDescent="0.2">
      <c r="A56" s="11"/>
      <c r="B56" s="71" t="str">
        <f>HLOOKUP($B$4,Region_Table,20,0)</f>
        <v>Redbridge and Waltham Forest</v>
      </c>
      <c r="C56" s="84">
        <f>COUNTIFS('capacity data'!$B:$B,'cluster capacity, unallocateds'!B56,'capacity data'!$E:$E,"PO")</f>
        <v>0</v>
      </c>
      <c r="D56" s="84">
        <f>COUNTIFS('capacity data'!$B:$B,'cluster capacity, unallocateds'!B56,'capacity data'!$E:$E,"PO",'capacity data'!$F:$F,"&gt;110%")</f>
        <v>0</v>
      </c>
      <c r="E56" s="75" t="str">
        <f t="shared" si="0"/>
        <v/>
      </c>
      <c r="F56" s="84">
        <f>COUNTIFS('capacity data'!$B:$B,'cluster capacity, unallocateds'!B56,'capacity data'!$E:$E,"PSO")</f>
        <v>0</v>
      </c>
      <c r="G56" s="84">
        <f>COUNTIFS('capacity data'!$B:$B,'cluster capacity, unallocateds'!B56,'capacity data'!$E:$E,"PSO",'capacity data'!$F:$F,"&gt;110%")</f>
        <v>0</v>
      </c>
      <c r="H56" s="75" t="str">
        <f t="shared" si="1"/>
        <v/>
      </c>
      <c r="I56" s="84">
        <f>COUNTIFS('capacity data'!$B:$B,'cluster capacity, unallocateds'!B56,'capacity data'!$E:$E,"PSO",'capacity data'!$F:$F,"&lt;90%")</f>
        <v>0</v>
      </c>
      <c r="J56" s="75" t="str">
        <f t="shared" si="2"/>
        <v/>
      </c>
      <c r="K56" s="84">
        <f>COUNTIFS('capacity data'!$B:$B,'cluster capacity, unallocateds'!B56,'capacity data'!$E:$E,"TPO")</f>
        <v>0</v>
      </c>
      <c r="L56" s="84">
        <f>COUNTIFS('capacity data'!$B:$B,'cluster capacity, unallocateds'!B56,'capacity data'!$E:$E,"TPO",'capacity data'!$F:$F,"&gt;110%")</f>
        <v>0</v>
      </c>
      <c r="M56" s="75" t="str">
        <f t="shared" si="3"/>
        <v/>
      </c>
      <c r="N56" s="2"/>
      <c r="O56" s="2"/>
      <c r="P56" s="2"/>
      <c r="Q56" s="2"/>
      <c r="R56" s="2"/>
      <c r="S56" s="2"/>
      <c r="T56" s="2"/>
      <c r="U56" s="2"/>
      <c r="V56" s="2"/>
      <c r="W56" s="1"/>
    </row>
    <row r="57" spans="1:23" ht="16" x14ac:dyDescent="0.2">
      <c r="A57" s="11"/>
      <c r="B57" s="71" t="str">
        <f>HLOOKUP($B$4,Region_Table,21,0)</f>
        <v>Southwark - N07</v>
      </c>
      <c r="C57" s="84">
        <f>COUNTIFS('capacity data'!$B:$B,'cluster capacity, unallocateds'!B57,'capacity data'!$E:$E,"PO")</f>
        <v>0</v>
      </c>
      <c r="D57" s="84">
        <f>COUNTIFS('capacity data'!$B:$B,'cluster capacity, unallocateds'!B57,'capacity data'!$E:$E,"PO",'capacity data'!$F:$F,"&gt;110%")</f>
        <v>0</v>
      </c>
      <c r="E57" s="75" t="str">
        <f t="shared" ref="E57:E64" si="4">IFERROR((D57/C57),"")</f>
        <v/>
      </c>
      <c r="F57" s="84">
        <f>COUNTIFS('capacity data'!$B:$B,'cluster capacity, unallocateds'!B57,'capacity data'!$E:$E,"PSO")</f>
        <v>0</v>
      </c>
      <c r="G57" s="84">
        <f>COUNTIFS('capacity data'!$B:$B,'cluster capacity, unallocateds'!B57,'capacity data'!$E:$E,"PSO",'capacity data'!$F:$F,"&gt;110%")</f>
        <v>0</v>
      </c>
      <c r="H57" s="75" t="str">
        <f t="shared" ref="H57:H64" si="5">IFERROR((G57/F57),"")</f>
        <v/>
      </c>
      <c r="I57" s="84">
        <f>COUNTIFS('capacity data'!$B:$B,'cluster capacity, unallocateds'!B57,'capacity data'!$E:$E,"PSO",'capacity data'!$F:$F,"&lt;90%")</f>
        <v>0</v>
      </c>
      <c r="J57" s="75" t="str">
        <f t="shared" ref="J57:J64" si="6">IFERROR((I57/F57),"")</f>
        <v/>
      </c>
      <c r="K57" s="84">
        <f>COUNTIFS('capacity data'!$B:$B,'cluster capacity, unallocateds'!B57,'capacity data'!$E:$E,"TPO")</f>
        <v>0</v>
      </c>
      <c r="L57" s="84">
        <f>COUNTIFS('capacity data'!$B:$B,'cluster capacity, unallocateds'!B57,'capacity data'!$E:$E,"TPO",'capacity data'!$F:$F,"&gt;110%")</f>
        <v>0</v>
      </c>
      <c r="M57" s="75" t="str">
        <f t="shared" ref="M57:M64" si="7">IFERROR((L57/K57),"")</f>
        <v/>
      </c>
      <c r="N57" s="2"/>
      <c r="O57" s="2"/>
      <c r="P57" s="2"/>
      <c r="Q57" s="2"/>
      <c r="R57" s="2"/>
      <c r="S57" s="2"/>
      <c r="T57" s="2"/>
      <c r="U57" s="2"/>
      <c r="V57" s="2"/>
      <c r="W57" s="1"/>
    </row>
    <row r="58" spans="1:23" ht="16" x14ac:dyDescent="0.2">
      <c r="A58" s="11"/>
      <c r="B58" s="71" t="str">
        <f>HLOOKUP($B$4,Region_Table,22,0)</f>
        <v>Tower Hamlets</v>
      </c>
      <c r="C58" s="84">
        <f>COUNTIFS('capacity data'!$B:$B,'cluster capacity, unallocateds'!B58,'capacity data'!$E:$E,"PO")</f>
        <v>0</v>
      </c>
      <c r="D58" s="84">
        <f>COUNTIFS('capacity data'!$B:$B,'cluster capacity, unallocateds'!B58,'capacity data'!$E:$E,"PO",'capacity data'!$F:$F,"&gt;110%")</f>
        <v>0</v>
      </c>
      <c r="E58" s="75" t="str">
        <f t="shared" si="4"/>
        <v/>
      </c>
      <c r="F58" s="84">
        <f>COUNTIFS('capacity data'!$B:$B,'cluster capacity, unallocateds'!B58,'capacity data'!$E:$E,"PSO")</f>
        <v>0</v>
      </c>
      <c r="G58" s="84">
        <f>COUNTIFS('capacity data'!$B:$B,'cluster capacity, unallocateds'!B58,'capacity data'!$E:$E,"PSO",'capacity data'!$F:$F,"&gt;110%")</f>
        <v>0</v>
      </c>
      <c r="H58" s="75" t="str">
        <f t="shared" si="5"/>
        <v/>
      </c>
      <c r="I58" s="84">
        <f>COUNTIFS('capacity data'!$B:$B,'cluster capacity, unallocateds'!B58,'capacity data'!$E:$E,"PSO",'capacity data'!$F:$F,"&lt;90%")</f>
        <v>0</v>
      </c>
      <c r="J58" s="75" t="str">
        <f t="shared" si="6"/>
        <v/>
      </c>
      <c r="K58" s="84">
        <f>COUNTIFS('capacity data'!$B:$B,'cluster capacity, unallocateds'!B58,'capacity data'!$E:$E,"TPO")</f>
        <v>0</v>
      </c>
      <c r="L58" s="84">
        <f>COUNTIFS('capacity data'!$B:$B,'cluster capacity, unallocateds'!B58,'capacity data'!$E:$E,"TPO",'capacity data'!$F:$F,"&gt;110%")</f>
        <v>0</v>
      </c>
      <c r="M58" s="75" t="str">
        <f t="shared" si="7"/>
        <v/>
      </c>
      <c r="N58" s="2"/>
      <c r="O58" s="2"/>
      <c r="P58" s="2"/>
      <c r="Q58" s="2"/>
      <c r="R58" s="2"/>
      <c r="S58" s="2"/>
      <c r="T58" s="2"/>
      <c r="U58" s="2"/>
      <c r="V58" s="2"/>
      <c r="W58" s="1"/>
    </row>
    <row r="59" spans="1:23" ht="16" x14ac:dyDescent="0.2">
      <c r="A59" s="11"/>
      <c r="B59" s="71" t="str">
        <f>HLOOKUP($B$4,Region_Table,23,0)</f>
        <v>Unallocated Level 2(N07)</v>
      </c>
      <c r="C59" s="84">
        <f>COUNTIFS('capacity data'!$B:$B,'cluster capacity, unallocateds'!B59,'capacity data'!$E:$E,"PO")</f>
        <v>0</v>
      </c>
      <c r="D59" s="84">
        <f>COUNTIFS('capacity data'!$B:$B,'cluster capacity, unallocateds'!B59,'capacity data'!$E:$E,"PO",'capacity data'!$F:$F,"&gt;110%")</f>
        <v>0</v>
      </c>
      <c r="E59" s="75" t="str">
        <f t="shared" si="4"/>
        <v/>
      </c>
      <c r="F59" s="84">
        <f>COUNTIFS('capacity data'!$B:$B,'cluster capacity, unallocateds'!B59,'capacity data'!$E:$E,"PSO")</f>
        <v>0</v>
      </c>
      <c r="G59" s="84">
        <f>COUNTIFS('capacity data'!$B:$B,'cluster capacity, unallocateds'!B59,'capacity data'!$E:$E,"PSO",'capacity data'!$F:$F,"&gt;110%")</f>
        <v>0</v>
      </c>
      <c r="H59" s="75" t="str">
        <f t="shared" si="5"/>
        <v/>
      </c>
      <c r="I59" s="84">
        <f>COUNTIFS('capacity data'!$B:$B,'cluster capacity, unallocateds'!B59,'capacity data'!$E:$E,"PSO",'capacity data'!$F:$F,"&lt;90%")</f>
        <v>0</v>
      </c>
      <c r="J59" s="75" t="str">
        <f t="shared" si="6"/>
        <v/>
      </c>
      <c r="K59" s="84">
        <f>COUNTIFS('capacity data'!$B:$B,'cluster capacity, unallocateds'!B59,'capacity data'!$E:$E,"TPO")</f>
        <v>0</v>
      </c>
      <c r="L59" s="84">
        <f>COUNTIFS('capacity data'!$B:$B,'cluster capacity, unallocateds'!B59,'capacity data'!$E:$E,"TPO",'capacity data'!$F:$F,"&gt;110%")</f>
        <v>0</v>
      </c>
      <c r="M59" s="75" t="str">
        <f t="shared" si="7"/>
        <v/>
      </c>
      <c r="N59" s="2"/>
      <c r="O59" s="2"/>
      <c r="P59" s="2"/>
      <c r="Q59" s="2"/>
      <c r="R59" s="2"/>
      <c r="S59" s="2"/>
      <c r="T59" s="2"/>
      <c r="U59" s="2"/>
      <c r="V59" s="2"/>
      <c r="W59" s="1"/>
    </row>
    <row r="60" spans="1:23" ht="16" x14ac:dyDescent="0.2">
      <c r="A60" s="11"/>
      <c r="B60" s="71" t="str">
        <f>HLOOKUP($B$4,Region_Table,24,0)</f>
        <v>Unpaid Work and Attendance Centres - N07</v>
      </c>
      <c r="C60" s="84">
        <f>COUNTIFS('capacity data'!$B:$B,'cluster capacity, unallocateds'!B60,'capacity data'!$E:$E,"PO")</f>
        <v>0</v>
      </c>
      <c r="D60" s="84">
        <f>COUNTIFS('capacity data'!$B:$B,'cluster capacity, unallocateds'!B60,'capacity data'!$E:$E,"PO",'capacity data'!$F:$F,"&gt;110%")</f>
        <v>0</v>
      </c>
      <c r="E60" s="75" t="str">
        <f t="shared" si="4"/>
        <v/>
      </c>
      <c r="F60" s="84">
        <f>COUNTIFS('capacity data'!$B:$B,'cluster capacity, unallocateds'!B60,'capacity data'!$E:$E,"PSO")</f>
        <v>0</v>
      </c>
      <c r="G60" s="84">
        <f>COUNTIFS('capacity data'!$B:$B,'cluster capacity, unallocateds'!B60,'capacity data'!$E:$E,"PSO",'capacity data'!$F:$F,"&gt;110%")</f>
        <v>0</v>
      </c>
      <c r="H60" s="75" t="str">
        <f t="shared" si="5"/>
        <v/>
      </c>
      <c r="I60" s="84">
        <f>COUNTIFS('capacity data'!$B:$B,'cluster capacity, unallocateds'!B60,'capacity data'!$E:$E,"PSO",'capacity data'!$F:$F,"&lt;90%")</f>
        <v>0</v>
      </c>
      <c r="J60" s="75" t="str">
        <f t="shared" si="6"/>
        <v/>
      </c>
      <c r="K60" s="84">
        <f>COUNTIFS('capacity data'!$B:$B,'cluster capacity, unallocateds'!B60,'capacity data'!$E:$E,"TPO")</f>
        <v>0</v>
      </c>
      <c r="L60" s="84">
        <f>COUNTIFS('capacity data'!$B:$B,'cluster capacity, unallocateds'!B60,'capacity data'!$E:$E,"TPO",'capacity data'!$F:$F,"&gt;110%")</f>
        <v>0</v>
      </c>
      <c r="M60" s="75" t="str">
        <f t="shared" si="7"/>
        <v/>
      </c>
      <c r="N60" s="2"/>
      <c r="O60" s="2"/>
      <c r="P60" s="2"/>
      <c r="Q60" s="2"/>
      <c r="R60" s="2"/>
      <c r="S60" s="2"/>
      <c r="T60" s="2"/>
      <c r="U60" s="2"/>
      <c r="V60" s="2"/>
      <c r="W60" s="1"/>
    </row>
    <row r="61" spans="1:23" ht="16" x14ac:dyDescent="0.2">
      <c r="A61" s="11"/>
      <c r="B61" s="71" t="str">
        <f>HLOOKUP($B$4,Region_Table,25,0)</f>
        <v>Wandsworth, Merton and Sutton</v>
      </c>
      <c r="C61" s="84">
        <f>COUNTIFS('capacity data'!$B:$B,'cluster capacity, unallocateds'!B61,'capacity data'!$E:$E,"PO")</f>
        <v>0</v>
      </c>
      <c r="D61" s="84">
        <f>COUNTIFS('capacity data'!$B:$B,'cluster capacity, unallocateds'!B61,'capacity data'!$E:$E,"PO",'capacity data'!$F:$F,"&gt;110%")</f>
        <v>0</v>
      </c>
      <c r="E61" s="75" t="str">
        <f t="shared" si="4"/>
        <v/>
      </c>
      <c r="F61" s="84">
        <f>COUNTIFS('capacity data'!$B:$B,'cluster capacity, unallocateds'!B61,'capacity data'!$E:$E,"PSO")</f>
        <v>0</v>
      </c>
      <c r="G61" s="84">
        <f>COUNTIFS('capacity data'!$B:$B,'cluster capacity, unallocateds'!B61,'capacity data'!$E:$E,"PSO",'capacity data'!$F:$F,"&gt;110%")</f>
        <v>0</v>
      </c>
      <c r="H61" s="75" t="str">
        <f t="shared" si="5"/>
        <v/>
      </c>
      <c r="I61" s="84">
        <f>COUNTIFS('capacity data'!$B:$B,'cluster capacity, unallocateds'!B61,'capacity data'!$E:$E,"PSO",'capacity data'!$F:$F,"&lt;90%")</f>
        <v>0</v>
      </c>
      <c r="J61" s="75" t="str">
        <f t="shared" si="6"/>
        <v/>
      </c>
      <c r="K61" s="84">
        <f>COUNTIFS('capacity data'!$B:$B,'cluster capacity, unallocateds'!B61,'capacity data'!$E:$E,"TPO")</f>
        <v>0</v>
      </c>
      <c r="L61" s="84">
        <f>COUNTIFS('capacity data'!$B:$B,'cluster capacity, unallocateds'!B61,'capacity data'!$E:$E,"TPO",'capacity data'!$F:$F,"&gt;110%")</f>
        <v>0</v>
      </c>
      <c r="M61" s="75" t="str">
        <f t="shared" si="7"/>
        <v/>
      </c>
      <c r="N61" s="2"/>
      <c r="O61" s="2"/>
      <c r="P61" s="2"/>
      <c r="Q61" s="2"/>
      <c r="R61" s="2"/>
      <c r="S61" s="2"/>
      <c r="T61" s="2"/>
      <c r="U61" s="2"/>
      <c r="V61" s="2"/>
      <c r="W61" s="1"/>
    </row>
    <row r="62" spans="1:23" ht="16" x14ac:dyDescent="0.2">
      <c r="A62" s="11"/>
      <c r="B62" s="71">
        <f>HLOOKUP($B$4,Region_Table,26,0)</f>
        <v>0</v>
      </c>
      <c r="C62" s="84">
        <f>COUNTIFS('capacity data'!$B:$B,'cluster capacity, unallocateds'!B62,'capacity data'!$E:$E,"PO")</f>
        <v>0</v>
      </c>
      <c r="D62" s="84">
        <f>COUNTIFS('capacity data'!$B:$B,'cluster capacity, unallocateds'!B62,'capacity data'!$E:$E,"PO",'capacity data'!$F:$F,"&gt;110%")</f>
        <v>0</v>
      </c>
      <c r="E62" s="75" t="str">
        <f t="shared" si="4"/>
        <v/>
      </c>
      <c r="F62" s="84">
        <f>COUNTIFS('capacity data'!$B:$B,'cluster capacity, unallocateds'!B62,'capacity data'!$E:$E,"PSO")</f>
        <v>0</v>
      </c>
      <c r="G62" s="84">
        <f>COUNTIFS('capacity data'!$B:$B,'cluster capacity, unallocateds'!B62,'capacity data'!$E:$E,"PSO",'capacity data'!$F:$F,"&gt;110%")</f>
        <v>0</v>
      </c>
      <c r="H62" s="75" t="str">
        <f t="shared" si="5"/>
        <v/>
      </c>
      <c r="I62" s="84">
        <f>COUNTIFS('capacity data'!$B:$B,'cluster capacity, unallocateds'!B62,'capacity data'!$E:$E,"PSO",'capacity data'!$F:$F,"&lt;90%")</f>
        <v>0</v>
      </c>
      <c r="J62" s="75" t="str">
        <f t="shared" si="6"/>
        <v/>
      </c>
      <c r="K62" s="84">
        <f>COUNTIFS('capacity data'!$B:$B,'cluster capacity, unallocateds'!B62,'capacity data'!$E:$E,"TPO")</f>
        <v>0</v>
      </c>
      <c r="L62" s="84">
        <f>COUNTIFS('capacity data'!$B:$B,'cluster capacity, unallocateds'!B62,'capacity data'!$E:$E,"TPO",'capacity data'!$F:$F,"&gt;110%")</f>
        <v>0</v>
      </c>
      <c r="M62" s="75" t="str">
        <f t="shared" si="7"/>
        <v/>
      </c>
      <c r="N62" s="2"/>
      <c r="O62" s="2"/>
      <c r="P62" s="2"/>
      <c r="Q62" s="2"/>
      <c r="R62" s="2"/>
      <c r="S62" s="2"/>
      <c r="T62" s="2"/>
      <c r="U62" s="2"/>
      <c r="V62" s="2"/>
      <c r="W62" s="1"/>
    </row>
    <row r="63" spans="1:23" ht="16" x14ac:dyDescent="0.2">
      <c r="A63" s="11"/>
      <c r="B63" s="71">
        <f>HLOOKUP($B$4,Region_Table,27,0)</f>
        <v>0</v>
      </c>
      <c r="C63" s="84">
        <f>COUNTIFS('capacity data'!$B:$B,'cluster capacity, unallocateds'!B63,'capacity data'!$E:$E,"PO")</f>
        <v>0</v>
      </c>
      <c r="D63" s="84">
        <f>COUNTIFS('capacity data'!$B:$B,'cluster capacity, unallocateds'!B63,'capacity data'!$E:$E,"PO",'capacity data'!$F:$F,"&gt;110%")</f>
        <v>0</v>
      </c>
      <c r="E63" s="75" t="str">
        <f t="shared" si="4"/>
        <v/>
      </c>
      <c r="F63" s="84">
        <f>COUNTIFS('capacity data'!$B:$B,'cluster capacity, unallocateds'!B63,'capacity data'!$E:$E,"PSO")</f>
        <v>0</v>
      </c>
      <c r="G63" s="84">
        <f>COUNTIFS('capacity data'!$B:$B,'cluster capacity, unallocateds'!B63,'capacity data'!$E:$E,"PSO",'capacity data'!$F:$F,"&gt;110%")</f>
        <v>0</v>
      </c>
      <c r="H63" s="75" t="str">
        <f t="shared" si="5"/>
        <v/>
      </c>
      <c r="I63" s="84">
        <f>COUNTIFS('capacity data'!$B:$B,'cluster capacity, unallocateds'!B63,'capacity data'!$E:$E,"PSO",'capacity data'!$F:$F,"&lt;90%")</f>
        <v>0</v>
      </c>
      <c r="J63" s="75" t="str">
        <f t="shared" si="6"/>
        <v/>
      </c>
      <c r="K63" s="84">
        <f>COUNTIFS('capacity data'!$B:$B,'cluster capacity, unallocateds'!B63,'capacity data'!$E:$E,"TPO")</f>
        <v>0</v>
      </c>
      <c r="L63" s="84">
        <f>COUNTIFS('capacity data'!$B:$B,'cluster capacity, unallocateds'!B63,'capacity data'!$E:$E,"TPO",'capacity data'!$F:$F,"&gt;110%")</f>
        <v>0</v>
      </c>
      <c r="M63" s="75" t="str">
        <f t="shared" si="7"/>
        <v/>
      </c>
      <c r="N63" s="2"/>
      <c r="O63" s="2"/>
      <c r="P63" s="2"/>
      <c r="Q63" s="2"/>
      <c r="R63" s="2"/>
      <c r="S63" s="2"/>
      <c r="T63" s="2"/>
      <c r="U63" s="2"/>
      <c r="V63" s="2"/>
      <c r="W63" s="1"/>
    </row>
    <row r="64" spans="1:23" ht="16" x14ac:dyDescent="0.2">
      <c r="A64" s="11"/>
      <c r="B64" s="71">
        <f>HLOOKUP($B$4,Region_Table,28,0)</f>
        <v>0</v>
      </c>
      <c r="C64" s="84">
        <f>COUNTIFS('capacity data'!$B:$B,'cluster capacity, unallocateds'!B64,'capacity data'!$E:$E,"PO")</f>
        <v>0</v>
      </c>
      <c r="D64" s="84">
        <f>COUNTIFS('capacity data'!$B:$B,'cluster capacity, unallocateds'!B64,'capacity data'!$E:$E,"PO",'capacity data'!$F:$F,"&gt;110%")</f>
        <v>0</v>
      </c>
      <c r="E64" s="75" t="str">
        <f t="shared" si="4"/>
        <v/>
      </c>
      <c r="F64" s="84">
        <f>COUNTIFS('capacity data'!$B:$B,'cluster capacity, unallocateds'!B64,'capacity data'!$E:$E,"PSO")</f>
        <v>0</v>
      </c>
      <c r="G64" s="84">
        <f>COUNTIFS('capacity data'!$B:$B,'cluster capacity, unallocateds'!B64,'capacity data'!$E:$E,"PSO",'capacity data'!$F:$F,"&gt;110%")</f>
        <v>0</v>
      </c>
      <c r="H64" s="75" t="str">
        <f t="shared" si="5"/>
        <v/>
      </c>
      <c r="I64" s="84">
        <f>COUNTIFS('capacity data'!$B:$B,'cluster capacity, unallocateds'!B64,'capacity data'!$E:$E,"PSO",'capacity data'!$F:$F,"&lt;90%")</f>
        <v>0</v>
      </c>
      <c r="J64" s="75" t="str">
        <f t="shared" si="6"/>
        <v/>
      </c>
      <c r="K64" s="84">
        <f>COUNTIFS('capacity data'!$B:$B,'cluster capacity, unallocateds'!B64,'capacity data'!$E:$E,"TPO")</f>
        <v>0</v>
      </c>
      <c r="L64" s="84">
        <f>COUNTIFS('capacity data'!$B:$B,'cluster capacity, unallocateds'!B64,'capacity data'!$E:$E,"TPO",'capacity data'!$F:$F,"&gt;110%")</f>
        <v>0</v>
      </c>
      <c r="M64" s="75" t="str">
        <f t="shared" si="7"/>
        <v/>
      </c>
      <c r="N64" s="2"/>
      <c r="O64" s="2"/>
      <c r="P64" s="2"/>
      <c r="Q64" s="2"/>
      <c r="R64" s="2"/>
      <c r="S64" s="2"/>
      <c r="T64" s="2"/>
      <c r="U64" s="2"/>
      <c r="V64" s="2"/>
      <c r="W64" s="1"/>
    </row>
    <row r="65" spans="1:23" ht="10.5" customHeight="1" x14ac:dyDescent="0.2">
      <c r="A65" s="11"/>
      <c r="B65" s="1"/>
      <c r="C65" s="386"/>
      <c r="D65" s="387"/>
      <c r="E65" s="387"/>
      <c r="F65" s="387"/>
      <c r="G65" s="387"/>
      <c r="H65" s="387"/>
      <c r="I65" s="387"/>
      <c r="J65" s="387"/>
      <c r="K65" s="387"/>
      <c r="L65" s="2"/>
      <c r="M65" s="2"/>
      <c r="N65" s="2"/>
      <c r="O65" s="2"/>
      <c r="P65" s="2"/>
      <c r="Q65" s="2"/>
      <c r="R65" s="2"/>
      <c r="S65" s="2"/>
      <c r="T65" s="2"/>
      <c r="U65" s="2"/>
      <c r="V65" s="2"/>
      <c r="W65" s="1"/>
    </row>
    <row r="66" spans="1:23" ht="72.75" customHeight="1" x14ac:dyDescent="0.2">
      <c r="A66" s="11"/>
      <c r="B66" s="238" t="s">
        <v>1135</v>
      </c>
      <c r="C66" s="238" t="s">
        <v>1033</v>
      </c>
      <c r="D66" s="238" t="s">
        <v>1034</v>
      </c>
      <c r="E66" s="238" t="s">
        <v>1035</v>
      </c>
      <c r="F66" s="238" t="s">
        <v>1036</v>
      </c>
      <c r="G66" s="238" t="s">
        <v>1037</v>
      </c>
      <c r="H66" s="238" t="s">
        <v>1038</v>
      </c>
      <c r="I66" s="238" t="s">
        <v>1039</v>
      </c>
      <c r="J66" s="238" t="s">
        <v>1040</v>
      </c>
      <c r="K66" s="238" t="s">
        <v>1041</v>
      </c>
      <c r="O66" s="2"/>
      <c r="P66" s="2"/>
      <c r="Q66" s="2"/>
      <c r="R66" s="2"/>
      <c r="S66" s="2"/>
      <c r="T66" s="2"/>
      <c r="U66" s="2"/>
      <c r="V66" s="2"/>
      <c r="W66" s="1"/>
    </row>
    <row r="67" spans="1:23" ht="16" x14ac:dyDescent="0.2">
      <c r="A67" s="11"/>
      <c r="B67" s="168" t="s">
        <v>1081</v>
      </c>
      <c r="C67" s="175">
        <f>SUMIF('capacity data'!E:E,"PO",'capacity data'!I:I)</f>
        <v>0</v>
      </c>
      <c r="D67" s="175">
        <f>SUMIF('capacity data'!E:E,"PO",'capacity data'!J:J)</f>
        <v>0</v>
      </c>
      <c r="E67" s="176" t="e">
        <f>D67/C67</f>
        <v>#DIV/0!</v>
      </c>
      <c r="F67" s="175">
        <f>SUMIF('capacity data'!E:E,"PSO",'capacity data'!I:I)</f>
        <v>0</v>
      </c>
      <c r="G67" s="175">
        <f>SUMIF('capacity data'!E:E,"PSO",'capacity data'!J:J)</f>
        <v>0</v>
      </c>
      <c r="H67" s="176" t="e">
        <f>G67/F67</f>
        <v>#DIV/0!</v>
      </c>
      <c r="I67" s="175">
        <f>SUMIF('capacity data'!E:E,"TPO",'capacity data'!I:I)</f>
        <v>0</v>
      </c>
      <c r="J67" s="175">
        <f>SUMIF('capacity data'!E:E,"TPO",'capacity data'!J:J)</f>
        <v>0</v>
      </c>
      <c r="K67" s="176" t="e">
        <f>J67/I67</f>
        <v>#DIV/0!</v>
      </c>
      <c r="O67" s="2"/>
      <c r="P67" s="2"/>
      <c r="Q67" s="2"/>
      <c r="R67" s="2"/>
      <c r="S67" s="2"/>
      <c r="T67" s="2"/>
      <c r="U67" s="2"/>
      <c r="V67" s="2"/>
      <c r="W67" s="1"/>
    </row>
    <row r="68" spans="1:23" ht="16" x14ac:dyDescent="0.2">
      <c r="A68" s="11"/>
      <c r="B68" s="71" t="str">
        <f>HLOOKUP($B$4,Region_Table,2,0)</f>
        <v>Barking and Dagenham and Havering</v>
      </c>
      <c r="C68" s="104">
        <f>SUMIFS('capacity data'!I:I,'capacity data'!E:E,"PO",'capacity data'!B:B,'cluster capacity, unallocateds'!B68)</f>
        <v>0</v>
      </c>
      <c r="D68" s="104">
        <f>SUMIFS('capacity data'!J:J,'capacity data'!E:E,"PO",'capacity data'!B:B,'cluster capacity, unallocateds'!B68)</f>
        <v>0</v>
      </c>
      <c r="E68" s="176" t="str">
        <f>IFERROR(D68/C68,"")</f>
        <v/>
      </c>
      <c r="F68" s="104">
        <f>SUMIFS('capacity data'!I:I,'capacity data'!E:E,"PSO",'capacity data'!B:B,'cluster capacity, unallocateds'!B68)</f>
        <v>0</v>
      </c>
      <c r="G68" s="104">
        <f>SUMIFS('capacity data'!J:J,'capacity data'!E:E,"PSO",'capacity data'!B:B,'cluster capacity, unallocateds'!B68)</f>
        <v>0</v>
      </c>
      <c r="H68" s="176" t="str">
        <f>IFERROR(G68/F68,"")</f>
        <v/>
      </c>
      <c r="I68" s="104">
        <f>SUMIFS('capacity data'!I:I,'capacity data'!E:E,"TPO",'capacity data'!B:B,'cluster capacity, unallocateds'!B68)</f>
        <v>0</v>
      </c>
      <c r="J68" s="104">
        <f>SUMIFS('capacity data'!J:J,'capacity data'!E:E,"TPO",'capacity data'!B:B,'cluster capacity, unallocateds'!B68)</f>
        <v>0</v>
      </c>
      <c r="K68" s="176" t="str">
        <f>IFERROR(J68/I68,"")</f>
        <v/>
      </c>
      <c r="O68" s="2"/>
      <c r="P68" s="2"/>
      <c r="Q68" s="2"/>
      <c r="R68" s="2"/>
      <c r="S68" s="2"/>
      <c r="T68" s="2"/>
      <c r="U68" s="2"/>
      <c r="V68" s="2"/>
      <c r="W68" s="1"/>
    </row>
    <row r="69" spans="1:23" ht="16" x14ac:dyDescent="0.2">
      <c r="A69" s="11"/>
      <c r="B69" s="71" t="str">
        <f>HLOOKUP($B$4,Region_Table,3,0)</f>
        <v>Brent - N07</v>
      </c>
      <c r="C69" s="104">
        <f>SUMIFS('capacity data'!I:I,'capacity data'!E:E,"PO",'capacity data'!B:B,'cluster capacity, unallocateds'!B69)</f>
        <v>0</v>
      </c>
      <c r="D69" s="104">
        <f>SUMIFS('capacity data'!J:J,'capacity data'!E:E,"PO",'capacity data'!B:B,'cluster capacity, unallocateds'!B69)</f>
        <v>0</v>
      </c>
      <c r="E69" s="176" t="str">
        <f t="shared" ref="E69:E83" si="8">IFERROR(D69/C69,"")</f>
        <v/>
      </c>
      <c r="F69" s="104">
        <f>SUMIFS('capacity data'!I:I,'capacity data'!E:E,"PSO",'capacity data'!B:B,'cluster capacity, unallocateds'!B69)</f>
        <v>0</v>
      </c>
      <c r="G69" s="104">
        <f>SUMIFS('capacity data'!J:J,'capacity data'!E:E,"PSO",'capacity data'!B:B,'cluster capacity, unallocateds'!B69)</f>
        <v>0</v>
      </c>
      <c r="H69" s="176" t="str">
        <f t="shared" ref="H69:H83" si="9">IFERROR(G69/F69,"")</f>
        <v/>
      </c>
      <c r="I69" s="104">
        <f>SUMIFS('capacity data'!I:I,'capacity data'!E:E,"TPO",'capacity data'!B:B,'cluster capacity, unallocateds'!B69)</f>
        <v>0</v>
      </c>
      <c r="J69" s="104">
        <f>SUMIFS('capacity data'!J:J,'capacity data'!E:E,"TPO",'capacity data'!B:B,'cluster capacity, unallocateds'!B69)</f>
        <v>0</v>
      </c>
      <c r="K69" s="176" t="str">
        <f t="shared" ref="K69:K83" si="10">IFERROR(J69/I69,"")</f>
        <v/>
      </c>
      <c r="O69" s="2"/>
      <c r="P69" s="2"/>
      <c r="Q69" s="2"/>
      <c r="R69" s="2"/>
      <c r="S69" s="2"/>
      <c r="T69" s="2"/>
      <c r="U69" s="2"/>
      <c r="V69" s="2"/>
      <c r="W69" s="1"/>
    </row>
    <row r="70" spans="1:23" x14ac:dyDescent="0.15">
      <c r="B70" s="71" t="str">
        <f>HLOOKUP($B$4,Region_Table,4,0)</f>
        <v>Camden, Islington</v>
      </c>
      <c r="C70" s="104">
        <f>SUMIFS('capacity data'!I:I,'capacity data'!E:E,"PO",'capacity data'!B:B,'cluster capacity, unallocateds'!B70)</f>
        <v>0</v>
      </c>
      <c r="D70" s="104">
        <f>SUMIFS('capacity data'!J:J,'capacity data'!E:E,"PO",'capacity data'!B:B,'cluster capacity, unallocateds'!B70)</f>
        <v>0</v>
      </c>
      <c r="E70" s="176" t="str">
        <f t="shared" si="8"/>
        <v/>
      </c>
      <c r="F70" s="104">
        <f>SUMIFS('capacity data'!I:I,'capacity data'!E:E,"PSO",'capacity data'!B:B,'cluster capacity, unallocateds'!B70)</f>
        <v>0</v>
      </c>
      <c r="G70" s="104">
        <f>SUMIFS('capacity data'!J:J,'capacity data'!E:E,"PSO",'capacity data'!B:B,'cluster capacity, unallocateds'!B70)</f>
        <v>0</v>
      </c>
      <c r="H70" s="176" t="str">
        <f t="shared" si="9"/>
        <v/>
      </c>
      <c r="I70" s="104">
        <f>SUMIFS('capacity data'!I:I,'capacity data'!E:E,"TPO",'capacity data'!B:B,'cluster capacity, unallocateds'!B70)</f>
        <v>0</v>
      </c>
      <c r="J70" s="104">
        <f>SUMIFS('capacity data'!J:J,'capacity data'!E:E,"TPO",'capacity data'!B:B,'cluster capacity, unallocateds'!B70)</f>
        <v>0</v>
      </c>
      <c r="K70" s="176" t="str">
        <f t="shared" si="10"/>
        <v/>
      </c>
    </row>
    <row r="71" spans="1:23" x14ac:dyDescent="0.15">
      <c r="B71" s="71" t="str">
        <f>HLOOKUP($B$4,Region_Table,5,0)</f>
        <v>Community Integration</v>
      </c>
      <c r="C71" s="104">
        <f>SUMIFS('capacity data'!I:I,'capacity data'!E:E,"PO",'capacity data'!B:B,'cluster capacity, unallocateds'!B71)</f>
        <v>0</v>
      </c>
      <c r="D71" s="104">
        <f>SUMIFS('capacity data'!J:J,'capacity data'!E:E,"PO",'capacity data'!B:B,'cluster capacity, unallocateds'!B71)</f>
        <v>0</v>
      </c>
      <c r="E71" s="176" t="str">
        <f t="shared" si="8"/>
        <v/>
      </c>
      <c r="F71" s="104">
        <f>SUMIFS('capacity data'!I:I,'capacity data'!E:E,"PSO",'capacity data'!B:B,'cluster capacity, unallocateds'!B71)</f>
        <v>0</v>
      </c>
      <c r="G71" s="104">
        <f>SUMIFS('capacity data'!J:J,'capacity data'!E:E,"PSO",'capacity data'!B:B,'cluster capacity, unallocateds'!B71)</f>
        <v>0</v>
      </c>
      <c r="H71" s="176" t="str">
        <f t="shared" si="9"/>
        <v/>
      </c>
      <c r="I71" s="104">
        <f>SUMIFS('capacity data'!I:I,'capacity data'!E:E,"TPO",'capacity data'!B:B,'cluster capacity, unallocateds'!B71)</f>
        <v>0</v>
      </c>
      <c r="J71" s="104">
        <f>SUMIFS('capacity data'!J:J,'capacity data'!E:E,"TPO",'capacity data'!B:B,'cluster capacity, unallocateds'!B71)</f>
        <v>0</v>
      </c>
      <c r="K71" s="176" t="str">
        <f t="shared" si="10"/>
        <v/>
      </c>
    </row>
    <row r="72" spans="1:23" x14ac:dyDescent="0.15">
      <c r="B72" s="71" t="str">
        <f>HLOOKUP($B$4,Region_Table,6,0)</f>
        <v>Corporate Services - N07</v>
      </c>
      <c r="C72" s="104">
        <f>SUMIFS('capacity data'!I:I,'capacity data'!E:E,"PO",'capacity data'!B:B,'cluster capacity, unallocateds'!B72)</f>
        <v>0</v>
      </c>
      <c r="D72" s="104">
        <f>SUMIFS('capacity data'!J:J,'capacity data'!E:E,"PO",'capacity data'!B:B,'cluster capacity, unallocateds'!B72)</f>
        <v>0</v>
      </c>
      <c r="E72" s="176" t="str">
        <f t="shared" si="8"/>
        <v/>
      </c>
      <c r="F72" s="104">
        <f>SUMIFS('capacity data'!I:I,'capacity data'!E:E,"PSO",'capacity data'!B:B,'cluster capacity, unallocateds'!B72)</f>
        <v>0</v>
      </c>
      <c r="G72" s="104">
        <f>SUMIFS('capacity data'!J:J,'capacity data'!E:E,"PSO",'capacity data'!B:B,'cluster capacity, unallocateds'!B72)</f>
        <v>0</v>
      </c>
      <c r="H72" s="176" t="str">
        <f t="shared" si="9"/>
        <v/>
      </c>
      <c r="I72" s="104">
        <f>SUMIFS('capacity data'!I:I,'capacity data'!E:E,"TPO",'capacity data'!B:B,'cluster capacity, unallocateds'!B72)</f>
        <v>0</v>
      </c>
      <c r="J72" s="104">
        <f>SUMIFS('capacity data'!J:J,'capacity data'!E:E,"TPO",'capacity data'!B:B,'cluster capacity, unallocateds'!B72)</f>
        <v>0</v>
      </c>
      <c r="K72" s="176" t="str">
        <f t="shared" si="10"/>
        <v/>
      </c>
    </row>
    <row r="73" spans="1:23" x14ac:dyDescent="0.15">
      <c r="B73" s="71" t="str">
        <f>HLOOKUP($B$4,Region_Table,7,0)</f>
        <v>Croydon - N07</v>
      </c>
      <c r="C73" s="104">
        <f>SUMIFS('capacity data'!I:I,'capacity data'!E:E,"PO",'capacity data'!B:B,'cluster capacity, unallocateds'!B73)</f>
        <v>0</v>
      </c>
      <c r="D73" s="104">
        <f>SUMIFS('capacity data'!J:J,'capacity data'!E:E,"PO",'capacity data'!B:B,'cluster capacity, unallocateds'!B73)</f>
        <v>0</v>
      </c>
      <c r="E73" s="176" t="str">
        <f t="shared" si="8"/>
        <v/>
      </c>
      <c r="F73" s="104">
        <f>SUMIFS('capacity data'!I:I,'capacity data'!E:E,"PSO",'capacity data'!B:B,'cluster capacity, unallocateds'!B73)</f>
        <v>0</v>
      </c>
      <c r="G73" s="104">
        <f>SUMIFS('capacity data'!J:J,'capacity data'!E:E,"PSO",'capacity data'!B:B,'cluster capacity, unallocateds'!B73)</f>
        <v>0</v>
      </c>
      <c r="H73" s="176" t="str">
        <f t="shared" si="9"/>
        <v/>
      </c>
      <c r="I73" s="104">
        <f>SUMIFS('capacity data'!I:I,'capacity data'!E:E,"TPO",'capacity data'!B:B,'cluster capacity, unallocateds'!B73)</f>
        <v>0</v>
      </c>
      <c r="J73" s="104">
        <f>SUMIFS('capacity data'!J:J,'capacity data'!E:E,"TPO",'capacity data'!B:B,'cluster capacity, unallocateds'!B73)</f>
        <v>0</v>
      </c>
      <c r="K73" s="176" t="str">
        <f t="shared" si="10"/>
        <v/>
      </c>
    </row>
    <row r="74" spans="1:23" x14ac:dyDescent="0.15">
      <c r="B74" s="71" t="str">
        <f>HLOOKUP($B$4,Region_Table,8,0)</f>
        <v>Ealing and Hillingdon</v>
      </c>
      <c r="C74" s="104">
        <f>SUMIFS('capacity data'!I:I,'capacity data'!E:E,"PO",'capacity data'!B:B,'cluster capacity, unallocateds'!B74)</f>
        <v>0</v>
      </c>
      <c r="D74" s="104">
        <f>SUMIFS('capacity data'!J:J,'capacity data'!E:E,"PO",'capacity data'!B:B,'cluster capacity, unallocateds'!B74)</f>
        <v>0</v>
      </c>
      <c r="E74" s="176" t="str">
        <f t="shared" si="8"/>
        <v/>
      </c>
      <c r="F74" s="104">
        <f>SUMIFS('capacity data'!I:I,'capacity data'!E:E,"PSO",'capacity data'!B:B,'cluster capacity, unallocateds'!B74)</f>
        <v>0</v>
      </c>
      <c r="G74" s="104">
        <f>SUMIFS('capacity data'!J:J,'capacity data'!E:E,"PSO",'capacity data'!B:B,'cluster capacity, unallocateds'!B74)</f>
        <v>0</v>
      </c>
      <c r="H74" s="176" t="str">
        <f t="shared" si="9"/>
        <v/>
      </c>
      <c r="I74" s="104">
        <f>SUMIFS('capacity data'!I:I,'capacity data'!E:E,"TPO",'capacity data'!B:B,'cluster capacity, unallocateds'!B74)</f>
        <v>0</v>
      </c>
      <c r="J74" s="104">
        <f>SUMIFS('capacity data'!J:J,'capacity data'!E:E,"TPO",'capacity data'!B:B,'cluster capacity, unallocateds'!B74)</f>
        <v>0</v>
      </c>
      <c r="K74" s="176" t="str">
        <f t="shared" si="10"/>
        <v/>
      </c>
    </row>
    <row r="75" spans="1:23" x14ac:dyDescent="0.15">
      <c r="B75" s="71" t="str">
        <f>HLOOKUP($B$4,Region_Table,9,0)</f>
        <v>Enfield and Haringey</v>
      </c>
      <c r="C75" s="104">
        <f>SUMIFS('capacity data'!I:I,'capacity data'!E:E,"PO",'capacity data'!B:B,'cluster capacity, unallocateds'!B75)</f>
        <v>0</v>
      </c>
      <c r="D75" s="104">
        <f>SUMIFS('capacity data'!J:J,'capacity data'!E:E,"PO",'capacity data'!B:B,'cluster capacity, unallocateds'!B75)</f>
        <v>0</v>
      </c>
      <c r="E75" s="176" t="str">
        <f t="shared" si="8"/>
        <v/>
      </c>
      <c r="F75" s="104">
        <f>SUMIFS('capacity data'!I:I,'capacity data'!E:E,"PSO",'capacity data'!B:B,'cluster capacity, unallocateds'!B75)</f>
        <v>0</v>
      </c>
      <c r="G75" s="104">
        <f>SUMIFS('capacity data'!J:J,'capacity data'!E:E,"PSO",'capacity data'!B:B,'cluster capacity, unallocateds'!B75)</f>
        <v>0</v>
      </c>
      <c r="H75" s="176" t="str">
        <f t="shared" si="9"/>
        <v/>
      </c>
      <c r="I75" s="104">
        <f>SUMIFS('capacity data'!I:I,'capacity data'!E:E,"TPO",'capacity data'!B:B,'cluster capacity, unallocateds'!B75)</f>
        <v>0</v>
      </c>
      <c r="J75" s="104">
        <f>SUMIFS('capacity data'!J:J,'capacity data'!E:E,"TPO",'capacity data'!B:B,'cluster capacity, unallocateds'!B75)</f>
        <v>0</v>
      </c>
      <c r="K75" s="176" t="str">
        <f t="shared" si="10"/>
        <v/>
      </c>
    </row>
    <row r="76" spans="1:23" x14ac:dyDescent="0.15">
      <c r="B76" s="71" t="str">
        <f>HLOOKUP($B$4,Region_Table,10,0)</f>
        <v>Greenwich and Bexley</v>
      </c>
      <c r="C76" s="104">
        <f>SUMIFS('capacity data'!I:I,'capacity data'!E:E,"PO",'capacity data'!B:B,'cluster capacity, unallocateds'!B76)</f>
        <v>0</v>
      </c>
      <c r="D76" s="104">
        <f>SUMIFS('capacity data'!J:J,'capacity data'!E:E,"PO",'capacity data'!B:B,'cluster capacity, unallocateds'!B76)</f>
        <v>0</v>
      </c>
      <c r="E76" s="176" t="str">
        <f t="shared" si="8"/>
        <v/>
      </c>
      <c r="F76" s="104">
        <f>SUMIFS('capacity data'!I:I,'capacity data'!E:E,"PSO",'capacity data'!B:B,'cluster capacity, unallocateds'!B76)</f>
        <v>0</v>
      </c>
      <c r="G76" s="104">
        <f>SUMIFS('capacity data'!J:J,'capacity data'!E:E,"PSO",'capacity data'!B:B,'cluster capacity, unallocateds'!B76)</f>
        <v>0</v>
      </c>
      <c r="H76" s="176" t="str">
        <f t="shared" si="9"/>
        <v/>
      </c>
      <c r="I76" s="104">
        <f>SUMIFS('capacity data'!I:I,'capacity data'!E:E,"TPO",'capacity data'!B:B,'cluster capacity, unallocateds'!B76)</f>
        <v>0</v>
      </c>
      <c r="J76" s="104">
        <f>SUMIFS('capacity data'!J:J,'capacity data'!E:E,"TPO",'capacity data'!B:B,'cluster capacity, unallocateds'!B76)</f>
        <v>0</v>
      </c>
      <c r="K76" s="176" t="str">
        <f t="shared" si="10"/>
        <v/>
      </c>
    </row>
    <row r="77" spans="1:23" x14ac:dyDescent="0.15">
      <c r="B77" s="71" t="str">
        <f>HLOOKUP($B$4,Region_Table,11,0)</f>
        <v>Hackney and City</v>
      </c>
      <c r="C77" s="104">
        <f>SUMIFS('capacity data'!I:I,'capacity data'!E:E,"PO",'capacity data'!B:B,'cluster capacity, unallocateds'!B77)</f>
        <v>0</v>
      </c>
      <c r="D77" s="104">
        <f>SUMIFS('capacity data'!J:J,'capacity data'!E:E,"PO",'capacity data'!B:B,'cluster capacity, unallocateds'!B77)</f>
        <v>0</v>
      </c>
      <c r="E77" s="176" t="str">
        <f t="shared" si="8"/>
        <v/>
      </c>
      <c r="F77" s="104">
        <f>SUMIFS('capacity data'!I:I,'capacity data'!E:E,"PSO",'capacity data'!B:B,'cluster capacity, unallocateds'!B77)</f>
        <v>0</v>
      </c>
      <c r="G77" s="104">
        <f>SUMIFS('capacity data'!J:J,'capacity data'!E:E,"PSO",'capacity data'!B:B,'cluster capacity, unallocateds'!B77)</f>
        <v>0</v>
      </c>
      <c r="H77" s="176" t="str">
        <f t="shared" si="9"/>
        <v/>
      </c>
      <c r="I77" s="104">
        <f>SUMIFS('capacity data'!I:I,'capacity data'!E:E,"TPO",'capacity data'!B:B,'cluster capacity, unallocateds'!B77)</f>
        <v>0</v>
      </c>
      <c r="J77" s="104">
        <f>SUMIFS('capacity data'!J:J,'capacity data'!E:E,"TPO",'capacity data'!B:B,'cluster capacity, unallocateds'!B77)</f>
        <v>0</v>
      </c>
      <c r="K77" s="176" t="str">
        <f t="shared" si="10"/>
        <v/>
      </c>
    </row>
    <row r="78" spans="1:23" x14ac:dyDescent="0.15">
      <c r="B78" s="71" t="str">
        <f>HLOOKUP($B$4,Region_Table,12,0)</f>
        <v>Hammersmith, Fulham, Kensington, Chelsea and Westminster</v>
      </c>
      <c r="C78" s="104">
        <f>SUMIFS('capacity data'!I:I,'capacity data'!E:E,"PO",'capacity data'!B:B,'cluster capacity, unallocateds'!B78)</f>
        <v>0</v>
      </c>
      <c r="D78" s="104">
        <f>SUMIFS('capacity data'!J:J,'capacity data'!E:E,"PO",'capacity data'!B:B,'cluster capacity, unallocateds'!B78)</f>
        <v>0</v>
      </c>
      <c r="E78" s="176" t="str">
        <f t="shared" si="8"/>
        <v/>
      </c>
      <c r="F78" s="104">
        <f>SUMIFS('capacity data'!I:I,'capacity data'!E:E,"PSO",'capacity data'!B:B,'cluster capacity, unallocateds'!B78)</f>
        <v>0</v>
      </c>
      <c r="G78" s="104">
        <f>SUMIFS('capacity data'!J:J,'capacity data'!E:E,"PSO",'capacity data'!B:B,'cluster capacity, unallocateds'!B78)</f>
        <v>0</v>
      </c>
      <c r="H78" s="176" t="str">
        <f t="shared" si="9"/>
        <v/>
      </c>
      <c r="I78" s="104">
        <f>SUMIFS('capacity data'!I:I,'capacity data'!E:E,"TPO",'capacity data'!B:B,'cluster capacity, unallocateds'!B78)</f>
        <v>0</v>
      </c>
      <c r="J78" s="104">
        <f>SUMIFS('capacity data'!J:J,'capacity data'!E:E,"TPO",'capacity data'!B:B,'cluster capacity, unallocateds'!B78)</f>
        <v>0</v>
      </c>
      <c r="K78" s="176" t="str">
        <f t="shared" si="10"/>
        <v/>
      </c>
    </row>
    <row r="79" spans="1:23" x14ac:dyDescent="0.15">
      <c r="B79" s="71" t="str">
        <f>HLOOKUP($B$4,Region_Table,13,0)</f>
        <v>Harrow and Barnet</v>
      </c>
      <c r="C79" s="104">
        <f>SUMIFS('capacity data'!I:I,'capacity data'!E:E,"PO",'capacity data'!B:B,'cluster capacity, unallocateds'!B79)</f>
        <v>0</v>
      </c>
      <c r="D79" s="104">
        <f>SUMIFS('capacity data'!J:J,'capacity data'!E:E,"PO",'capacity data'!B:B,'cluster capacity, unallocateds'!B79)</f>
        <v>0</v>
      </c>
      <c r="E79" s="176" t="str">
        <f t="shared" si="8"/>
        <v/>
      </c>
      <c r="F79" s="104">
        <f>SUMIFS('capacity data'!I:I,'capacity data'!E:E,"PSO",'capacity data'!B:B,'cluster capacity, unallocateds'!B79)</f>
        <v>0</v>
      </c>
      <c r="G79" s="104">
        <f>SUMIFS('capacity data'!J:J,'capacity data'!E:E,"PSO",'capacity data'!B:B,'cluster capacity, unallocateds'!B79)</f>
        <v>0</v>
      </c>
      <c r="H79" s="176" t="str">
        <f t="shared" si="9"/>
        <v/>
      </c>
      <c r="I79" s="104">
        <f>SUMIFS('capacity data'!I:I,'capacity data'!E:E,"TPO",'capacity data'!B:B,'cluster capacity, unallocateds'!B79)</f>
        <v>0</v>
      </c>
      <c r="J79" s="104">
        <f>SUMIFS('capacity data'!J:J,'capacity data'!E:E,"TPO",'capacity data'!B:B,'cluster capacity, unallocateds'!B79)</f>
        <v>0</v>
      </c>
      <c r="K79" s="176" t="str">
        <f t="shared" si="10"/>
        <v/>
      </c>
    </row>
    <row r="80" spans="1:23" x14ac:dyDescent="0.15">
      <c r="B80" s="71" t="str">
        <f>HLOOKUP($B$4,Region_Table,14,0)</f>
        <v>Inactive Level 2(N07)</v>
      </c>
      <c r="C80" s="104">
        <f>SUMIFS('capacity data'!I:I,'capacity data'!E:E,"PO",'capacity data'!B:B,'cluster capacity, unallocateds'!B80)</f>
        <v>0</v>
      </c>
      <c r="D80" s="104">
        <f>SUMIFS('capacity data'!J:J,'capacity data'!E:E,"PO",'capacity data'!B:B,'cluster capacity, unallocateds'!B80)</f>
        <v>0</v>
      </c>
      <c r="E80" s="176" t="str">
        <f t="shared" si="8"/>
        <v/>
      </c>
      <c r="F80" s="104">
        <f>SUMIFS('capacity data'!I:I,'capacity data'!E:E,"PSO",'capacity data'!B:B,'cluster capacity, unallocateds'!B80)</f>
        <v>0</v>
      </c>
      <c r="G80" s="104">
        <f>SUMIFS('capacity data'!J:J,'capacity data'!E:E,"PSO",'capacity data'!B:B,'cluster capacity, unallocateds'!B80)</f>
        <v>0</v>
      </c>
      <c r="H80" s="176" t="str">
        <f t="shared" si="9"/>
        <v/>
      </c>
      <c r="I80" s="104">
        <f>SUMIFS('capacity data'!I:I,'capacity data'!E:E,"TPO",'capacity data'!B:B,'cluster capacity, unallocateds'!B80)</f>
        <v>0</v>
      </c>
      <c r="J80" s="104">
        <f>SUMIFS('capacity data'!J:J,'capacity data'!E:E,"TPO",'capacity data'!B:B,'cluster capacity, unallocateds'!B80)</f>
        <v>0</v>
      </c>
      <c r="K80" s="176" t="str">
        <f t="shared" si="10"/>
        <v/>
      </c>
    </row>
    <row r="81" spans="2:11" x14ac:dyDescent="0.15">
      <c r="B81" s="71" t="str">
        <f>HLOOKUP($B$4,Region_Table,15,0)</f>
        <v>Kingston, Richmond and Hounslow</v>
      </c>
      <c r="C81" s="104">
        <f>SUMIFS('capacity data'!I:I,'capacity data'!E:E,"PO",'capacity data'!B:B,'cluster capacity, unallocateds'!B81)</f>
        <v>0</v>
      </c>
      <c r="D81" s="104">
        <f>SUMIFS('capacity data'!J:J,'capacity data'!E:E,"PO",'capacity data'!B:B,'cluster capacity, unallocateds'!B81)</f>
        <v>0</v>
      </c>
      <c r="E81" s="176" t="str">
        <f t="shared" si="8"/>
        <v/>
      </c>
      <c r="F81" s="104">
        <f>SUMIFS('capacity data'!I:I,'capacity data'!E:E,"PSO",'capacity data'!B:B,'cluster capacity, unallocateds'!B81)</f>
        <v>0</v>
      </c>
      <c r="G81" s="104">
        <f>SUMIFS('capacity data'!J:J,'capacity data'!E:E,"PSO",'capacity data'!B:B,'cluster capacity, unallocateds'!B81)</f>
        <v>0</v>
      </c>
      <c r="H81" s="176" t="str">
        <f t="shared" si="9"/>
        <v/>
      </c>
      <c r="I81" s="104">
        <f>SUMIFS('capacity data'!I:I,'capacity data'!E:E,"TPO",'capacity data'!B:B,'cluster capacity, unallocateds'!B81)</f>
        <v>0</v>
      </c>
      <c r="J81" s="104">
        <f>SUMIFS('capacity data'!J:J,'capacity data'!E:E,"TPO",'capacity data'!B:B,'cluster capacity, unallocateds'!B81)</f>
        <v>0</v>
      </c>
      <c r="K81" s="176" t="str">
        <f t="shared" si="10"/>
        <v/>
      </c>
    </row>
    <row r="82" spans="2:11" x14ac:dyDescent="0.15">
      <c r="B82" s="71" t="str">
        <f>HLOOKUP($B$4,Region_Table,16,0)</f>
        <v>Lambeth - N07</v>
      </c>
      <c r="C82" s="104">
        <f>SUMIFS('capacity data'!I:I,'capacity data'!E:E,"PO",'capacity data'!B:B,'cluster capacity, unallocateds'!B82)</f>
        <v>0</v>
      </c>
      <c r="D82" s="104">
        <f>SUMIFS('capacity data'!J:J,'capacity data'!E:E,"PO",'capacity data'!B:B,'cluster capacity, unallocateds'!B82)</f>
        <v>0</v>
      </c>
      <c r="E82" s="176" t="str">
        <f t="shared" si="8"/>
        <v/>
      </c>
      <c r="F82" s="104">
        <f>SUMIFS('capacity data'!I:I,'capacity data'!E:E,"PSO",'capacity data'!B:B,'cluster capacity, unallocateds'!B82)</f>
        <v>0</v>
      </c>
      <c r="G82" s="104">
        <f>SUMIFS('capacity data'!J:J,'capacity data'!E:E,"PSO",'capacity data'!B:B,'cluster capacity, unallocateds'!B82)</f>
        <v>0</v>
      </c>
      <c r="H82" s="176" t="str">
        <f t="shared" si="9"/>
        <v/>
      </c>
      <c r="I82" s="104">
        <f>SUMIFS('capacity data'!I:I,'capacity data'!E:E,"TPO",'capacity data'!B:B,'cluster capacity, unallocateds'!B82)</f>
        <v>0</v>
      </c>
      <c r="J82" s="104">
        <f>SUMIFS('capacity data'!J:J,'capacity data'!E:E,"TPO",'capacity data'!B:B,'cluster capacity, unallocateds'!B82)</f>
        <v>0</v>
      </c>
      <c r="K82" s="176" t="str">
        <f t="shared" si="10"/>
        <v/>
      </c>
    </row>
    <row r="83" spans="2:11" x14ac:dyDescent="0.15">
      <c r="B83" s="71" t="str">
        <f>HLOOKUP($B$4,Region_Table,17,0)</f>
        <v>Lewisham and Bromley</v>
      </c>
      <c r="C83" s="104">
        <f>SUMIFS('capacity data'!I:I,'capacity data'!E:E,"PO",'capacity data'!B:B,'cluster capacity, unallocateds'!B83)</f>
        <v>0</v>
      </c>
      <c r="D83" s="104">
        <f>SUMIFS('capacity data'!J:J,'capacity data'!E:E,"PO",'capacity data'!B:B,'cluster capacity, unallocateds'!B83)</f>
        <v>0</v>
      </c>
      <c r="E83" s="176" t="str">
        <f t="shared" si="8"/>
        <v/>
      </c>
      <c r="F83" s="104">
        <f>SUMIFS('capacity data'!I:I,'capacity data'!E:E,"PSO",'capacity data'!B:B,'cluster capacity, unallocateds'!B83)</f>
        <v>0</v>
      </c>
      <c r="G83" s="104">
        <f>SUMIFS('capacity data'!J:J,'capacity data'!E:E,"PSO",'capacity data'!B:B,'cluster capacity, unallocateds'!B83)</f>
        <v>0</v>
      </c>
      <c r="H83" s="176" t="str">
        <f t="shared" si="9"/>
        <v/>
      </c>
      <c r="I83" s="104">
        <f>SUMIFS('capacity data'!I:I,'capacity data'!E:E,"TPO",'capacity data'!B:B,'cluster capacity, unallocateds'!B83)</f>
        <v>0</v>
      </c>
      <c r="J83" s="104">
        <f>SUMIFS('capacity data'!J:J,'capacity data'!E:E,"TPO",'capacity data'!B:B,'cluster capacity, unallocateds'!B83)</f>
        <v>0</v>
      </c>
      <c r="K83" s="176" t="str">
        <f t="shared" si="10"/>
        <v/>
      </c>
    </row>
    <row r="84" spans="2:11" x14ac:dyDescent="0.15">
      <c r="B84" s="71" t="str">
        <f>HLOOKUP($B$4,Region_Table,18,0)</f>
        <v>Newham - N07</v>
      </c>
      <c r="C84" s="104">
        <f>SUMIFS('capacity data'!I:I,'capacity data'!E:E,"PO",'capacity data'!B:B,'cluster capacity, unallocateds'!B84)</f>
        <v>0</v>
      </c>
      <c r="D84" s="104">
        <f>SUMIFS('capacity data'!J:J,'capacity data'!E:E,"PO",'capacity data'!B:B,'cluster capacity, unallocateds'!B84)</f>
        <v>0</v>
      </c>
      <c r="E84" s="176" t="str">
        <f t="shared" ref="E84:E86" si="11">IFERROR(D84/C84,"")</f>
        <v/>
      </c>
      <c r="F84" s="104">
        <f>SUMIFS('capacity data'!I:I,'capacity data'!E:E,"PSO",'capacity data'!B:B,'cluster capacity, unallocateds'!B84)</f>
        <v>0</v>
      </c>
      <c r="G84" s="104">
        <f>SUMIFS('capacity data'!J:J,'capacity data'!E:E,"PSO",'capacity data'!B:B,'cluster capacity, unallocateds'!B84)</f>
        <v>0</v>
      </c>
      <c r="H84" s="176" t="str">
        <f t="shared" ref="H84:H86" si="12">IFERROR(G84/F84,"")</f>
        <v/>
      </c>
      <c r="I84" s="104">
        <f>SUMIFS('capacity data'!I:I,'capacity data'!E:E,"TPO",'capacity data'!B:B,'cluster capacity, unallocateds'!B84)</f>
        <v>0</v>
      </c>
      <c r="J84" s="104">
        <f>SUMIFS('capacity data'!J:J,'capacity data'!E:E,"TPO",'capacity data'!B:B,'cluster capacity, unallocateds'!B84)</f>
        <v>0</v>
      </c>
      <c r="K84" s="176" t="str">
        <f t="shared" ref="K84:K86" si="13">IFERROR(J84/I84,"")</f>
        <v/>
      </c>
    </row>
    <row r="85" spans="2:11" x14ac:dyDescent="0.15">
      <c r="B85" s="71" t="str">
        <f>HLOOKUP($B$4,Region_Table,19,0)</f>
        <v>Public Protection London</v>
      </c>
      <c r="C85" s="104">
        <f>SUMIFS('capacity data'!I:I,'capacity data'!E:E,"PO",'capacity data'!B:B,'cluster capacity, unallocateds'!B85)</f>
        <v>0</v>
      </c>
      <c r="D85" s="104">
        <f>SUMIFS('capacity data'!J:J,'capacity data'!E:E,"PO",'capacity data'!B:B,'cluster capacity, unallocateds'!B85)</f>
        <v>0</v>
      </c>
      <c r="E85" s="176" t="str">
        <f t="shared" si="11"/>
        <v/>
      </c>
      <c r="F85" s="104">
        <f>SUMIFS('capacity data'!I:I,'capacity data'!E:E,"PSO",'capacity data'!B:B,'cluster capacity, unallocateds'!B85)</f>
        <v>0</v>
      </c>
      <c r="G85" s="104">
        <f>SUMIFS('capacity data'!J:J,'capacity data'!E:E,"PSO",'capacity data'!B:B,'cluster capacity, unallocateds'!B85)</f>
        <v>0</v>
      </c>
      <c r="H85" s="176" t="str">
        <f t="shared" si="12"/>
        <v/>
      </c>
      <c r="I85" s="104">
        <f>SUMIFS('capacity data'!I:I,'capacity data'!E:E,"TPO",'capacity data'!B:B,'cluster capacity, unallocateds'!B85)</f>
        <v>0</v>
      </c>
      <c r="J85" s="104">
        <f>SUMIFS('capacity data'!J:J,'capacity data'!E:E,"TPO",'capacity data'!B:B,'cluster capacity, unallocateds'!B85)</f>
        <v>0</v>
      </c>
      <c r="K85" s="176" t="str">
        <f t="shared" si="13"/>
        <v/>
      </c>
    </row>
    <row r="86" spans="2:11" ht="15" customHeight="1" x14ac:dyDescent="0.15">
      <c r="B86" s="71" t="str">
        <f>HLOOKUP($B$4,Region_Table,20,0)</f>
        <v>Redbridge and Waltham Forest</v>
      </c>
      <c r="C86" s="104">
        <f>SUMIFS('capacity data'!I:I,'capacity data'!E:E,"PO",'capacity data'!B:B,'cluster capacity, unallocateds'!B86)</f>
        <v>0</v>
      </c>
      <c r="D86" s="104">
        <f>SUMIFS('capacity data'!J:J,'capacity data'!E:E,"PO",'capacity data'!B:B,'cluster capacity, unallocateds'!B86)</f>
        <v>0</v>
      </c>
      <c r="E86" s="176" t="str">
        <f t="shared" si="11"/>
        <v/>
      </c>
      <c r="F86" s="104">
        <f>SUMIFS('capacity data'!I:I,'capacity data'!E:E,"PSO",'capacity data'!B:B,'cluster capacity, unallocateds'!B86)</f>
        <v>0</v>
      </c>
      <c r="G86" s="104">
        <f>SUMIFS('capacity data'!J:J,'capacity data'!E:E,"PSO",'capacity data'!B:B,'cluster capacity, unallocateds'!B86)</f>
        <v>0</v>
      </c>
      <c r="H86" s="176" t="str">
        <f t="shared" si="12"/>
        <v/>
      </c>
      <c r="I86" s="104">
        <f>SUMIFS('capacity data'!I:I,'capacity data'!E:E,"TPO",'capacity data'!B:B,'cluster capacity, unallocateds'!B86)</f>
        <v>0</v>
      </c>
      <c r="J86" s="104">
        <f>SUMIFS('capacity data'!J:J,'capacity data'!E:E,"TPO",'capacity data'!B:B,'cluster capacity, unallocateds'!B86)</f>
        <v>0</v>
      </c>
      <c r="K86" s="176" t="str">
        <f t="shared" si="13"/>
        <v/>
      </c>
    </row>
    <row r="87" spans="2:11" ht="15" customHeight="1" x14ac:dyDescent="0.15">
      <c r="B87" s="71" t="str">
        <f>HLOOKUP($B$4,Region_Table,21,0)</f>
        <v>Southwark - N07</v>
      </c>
      <c r="C87" s="104">
        <f>SUMIFS('capacity data'!I:I,'capacity data'!E:E,"PO",'capacity data'!B:B,'cluster capacity, unallocateds'!B87)</f>
        <v>0</v>
      </c>
      <c r="D87" s="104">
        <f>SUMIFS('capacity data'!J:J,'capacity data'!E:E,"PO",'capacity data'!B:B,'cluster capacity, unallocateds'!B87)</f>
        <v>0</v>
      </c>
      <c r="E87" s="176" t="str">
        <f t="shared" ref="E87:E94" si="14">IFERROR(D87/C87,"")</f>
        <v/>
      </c>
      <c r="F87" s="104">
        <f>SUMIFS('capacity data'!I:I,'capacity data'!E:E,"PSO",'capacity data'!B:B,'cluster capacity, unallocateds'!B87)</f>
        <v>0</v>
      </c>
      <c r="G87" s="104">
        <f>SUMIFS('capacity data'!J:J,'capacity data'!E:E,"PSO",'capacity data'!B:B,'cluster capacity, unallocateds'!B87)</f>
        <v>0</v>
      </c>
      <c r="H87" s="176" t="str">
        <f t="shared" ref="H87:H94" si="15">IFERROR(G87/F87,"")</f>
        <v/>
      </c>
      <c r="I87" s="104">
        <f>SUMIFS('capacity data'!I:I,'capacity data'!E:E,"TPO",'capacity data'!B:B,'cluster capacity, unallocateds'!B87)</f>
        <v>0</v>
      </c>
      <c r="J87" s="104">
        <f>SUMIFS('capacity data'!J:J,'capacity data'!E:E,"TPO",'capacity data'!B:B,'cluster capacity, unallocateds'!B87)</f>
        <v>0</v>
      </c>
      <c r="K87" s="176" t="str">
        <f t="shared" ref="K87:K94" si="16">IFERROR(J87/I87,"")</f>
        <v/>
      </c>
    </row>
    <row r="88" spans="2:11" ht="15" customHeight="1" x14ac:dyDescent="0.15">
      <c r="B88" s="71" t="str">
        <f>HLOOKUP($B$4,Region_Table,22,0)</f>
        <v>Tower Hamlets</v>
      </c>
      <c r="C88" s="104">
        <f>SUMIFS('capacity data'!I:I,'capacity data'!E:E,"PO",'capacity data'!B:B,'cluster capacity, unallocateds'!B88)</f>
        <v>0</v>
      </c>
      <c r="D88" s="104">
        <f>SUMIFS('capacity data'!J:J,'capacity data'!E:E,"PO",'capacity data'!B:B,'cluster capacity, unallocateds'!B88)</f>
        <v>0</v>
      </c>
      <c r="E88" s="176" t="str">
        <f t="shared" si="14"/>
        <v/>
      </c>
      <c r="F88" s="104">
        <f>SUMIFS('capacity data'!I:I,'capacity data'!E:E,"PSO",'capacity data'!B:B,'cluster capacity, unallocateds'!B88)</f>
        <v>0</v>
      </c>
      <c r="G88" s="104">
        <f>SUMIFS('capacity data'!J:J,'capacity data'!E:E,"PSO",'capacity data'!B:B,'cluster capacity, unallocateds'!B88)</f>
        <v>0</v>
      </c>
      <c r="H88" s="176" t="str">
        <f t="shared" si="15"/>
        <v/>
      </c>
      <c r="I88" s="104">
        <f>SUMIFS('capacity data'!I:I,'capacity data'!E:E,"TPO",'capacity data'!B:B,'cluster capacity, unallocateds'!B88)</f>
        <v>0</v>
      </c>
      <c r="J88" s="104">
        <f>SUMIFS('capacity data'!J:J,'capacity data'!E:E,"TPO",'capacity data'!B:B,'cluster capacity, unallocateds'!B88)</f>
        <v>0</v>
      </c>
      <c r="K88" s="176" t="str">
        <f t="shared" si="16"/>
        <v/>
      </c>
    </row>
    <row r="89" spans="2:11" ht="15" customHeight="1" x14ac:dyDescent="0.15">
      <c r="B89" s="71" t="str">
        <f>HLOOKUP($B$4,Region_Table,23,0)</f>
        <v>Unallocated Level 2(N07)</v>
      </c>
      <c r="C89" s="104">
        <f>SUMIFS('capacity data'!I:I,'capacity data'!E:E,"PO",'capacity data'!B:B,'cluster capacity, unallocateds'!B89)</f>
        <v>0</v>
      </c>
      <c r="D89" s="104">
        <f>SUMIFS('capacity data'!J:J,'capacity data'!E:E,"PO",'capacity data'!B:B,'cluster capacity, unallocateds'!B89)</f>
        <v>0</v>
      </c>
      <c r="E89" s="176" t="str">
        <f t="shared" si="14"/>
        <v/>
      </c>
      <c r="F89" s="104">
        <f>SUMIFS('capacity data'!I:I,'capacity data'!E:E,"PSO",'capacity data'!B:B,'cluster capacity, unallocateds'!B89)</f>
        <v>0</v>
      </c>
      <c r="G89" s="104">
        <f>SUMIFS('capacity data'!J:J,'capacity data'!E:E,"PSO",'capacity data'!B:B,'cluster capacity, unallocateds'!B89)</f>
        <v>0</v>
      </c>
      <c r="H89" s="176" t="str">
        <f t="shared" si="15"/>
        <v/>
      </c>
      <c r="I89" s="104">
        <f>SUMIFS('capacity data'!I:I,'capacity data'!E:E,"TPO",'capacity data'!B:B,'cluster capacity, unallocateds'!B89)</f>
        <v>0</v>
      </c>
      <c r="J89" s="104">
        <f>SUMIFS('capacity data'!J:J,'capacity data'!E:E,"TPO",'capacity data'!B:B,'cluster capacity, unallocateds'!B89)</f>
        <v>0</v>
      </c>
      <c r="K89" s="176" t="str">
        <f t="shared" si="16"/>
        <v/>
      </c>
    </row>
    <row r="90" spans="2:11" ht="15" customHeight="1" x14ac:dyDescent="0.15">
      <c r="B90" s="71" t="str">
        <f>HLOOKUP($B$4,Region_Table,24,0)</f>
        <v>Unpaid Work and Attendance Centres - N07</v>
      </c>
      <c r="C90" s="104">
        <f>SUMIFS('capacity data'!I:I,'capacity data'!E:E,"PO",'capacity data'!B:B,'cluster capacity, unallocateds'!B90)</f>
        <v>0</v>
      </c>
      <c r="D90" s="104">
        <f>SUMIFS('capacity data'!J:J,'capacity data'!E:E,"PO",'capacity data'!B:B,'cluster capacity, unallocateds'!B90)</f>
        <v>0</v>
      </c>
      <c r="E90" s="176" t="str">
        <f t="shared" si="14"/>
        <v/>
      </c>
      <c r="F90" s="104">
        <f>SUMIFS('capacity data'!I:I,'capacity data'!E:E,"PSO",'capacity data'!B:B,'cluster capacity, unallocateds'!B90)</f>
        <v>0</v>
      </c>
      <c r="G90" s="104">
        <f>SUMIFS('capacity data'!J:J,'capacity data'!E:E,"PSO",'capacity data'!B:B,'cluster capacity, unallocateds'!B90)</f>
        <v>0</v>
      </c>
      <c r="H90" s="176" t="str">
        <f t="shared" si="15"/>
        <v/>
      </c>
      <c r="I90" s="104">
        <f>SUMIFS('capacity data'!I:I,'capacity data'!E:E,"TPO",'capacity data'!B:B,'cluster capacity, unallocateds'!B90)</f>
        <v>0</v>
      </c>
      <c r="J90" s="104">
        <f>SUMIFS('capacity data'!J:J,'capacity data'!E:E,"TPO",'capacity data'!B:B,'cluster capacity, unallocateds'!B90)</f>
        <v>0</v>
      </c>
      <c r="K90" s="176" t="str">
        <f t="shared" si="16"/>
        <v/>
      </c>
    </row>
    <row r="91" spans="2:11" ht="15" customHeight="1" x14ac:dyDescent="0.15">
      <c r="B91" s="71" t="str">
        <f>HLOOKUP($B$4,Region_Table,25,0)</f>
        <v>Wandsworth, Merton and Sutton</v>
      </c>
      <c r="C91" s="104">
        <f>SUMIFS('capacity data'!I:I,'capacity data'!E:E,"PO",'capacity data'!B:B,'cluster capacity, unallocateds'!B91)</f>
        <v>0</v>
      </c>
      <c r="D91" s="104">
        <f>SUMIFS('capacity data'!J:J,'capacity data'!E:E,"PO",'capacity data'!B:B,'cluster capacity, unallocateds'!B91)</f>
        <v>0</v>
      </c>
      <c r="E91" s="176" t="str">
        <f t="shared" si="14"/>
        <v/>
      </c>
      <c r="F91" s="104">
        <f>SUMIFS('capacity data'!I:I,'capacity data'!E:E,"PSO",'capacity data'!B:B,'cluster capacity, unallocateds'!B91)</f>
        <v>0</v>
      </c>
      <c r="G91" s="104">
        <f>SUMIFS('capacity data'!J:J,'capacity data'!E:E,"PSO",'capacity data'!B:B,'cluster capacity, unallocateds'!B91)</f>
        <v>0</v>
      </c>
      <c r="H91" s="176" t="str">
        <f t="shared" si="15"/>
        <v/>
      </c>
      <c r="I91" s="104">
        <f>SUMIFS('capacity data'!I:I,'capacity data'!E:E,"TPO",'capacity data'!B:B,'cluster capacity, unallocateds'!B91)</f>
        <v>0</v>
      </c>
      <c r="J91" s="104">
        <f>SUMIFS('capacity data'!J:J,'capacity data'!E:E,"TPO",'capacity data'!B:B,'cluster capacity, unallocateds'!B91)</f>
        <v>0</v>
      </c>
      <c r="K91" s="176" t="str">
        <f t="shared" si="16"/>
        <v/>
      </c>
    </row>
    <row r="92" spans="2:11" ht="15" customHeight="1" x14ac:dyDescent="0.15">
      <c r="B92" s="71">
        <f>HLOOKUP($B$4,Region_Table,26,0)</f>
        <v>0</v>
      </c>
      <c r="C92" s="104">
        <f>SUMIFS('capacity data'!I:I,'capacity data'!E:E,"PO",'capacity data'!B:B,'cluster capacity, unallocateds'!B92)</f>
        <v>0</v>
      </c>
      <c r="D92" s="104">
        <f>SUMIFS('capacity data'!J:J,'capacity data'!E:E,"PO",'capacity data'!B:B,'cluster capacity, unallocateds'!B92)</f>
        <v>0</v>
      </c>
      <c r="E92" s="176" t="str">
        <f t="shared" si="14"/>
        <v/>
      </c>
      <c r="F92" s="104">
        <f>SUMIFS('capacity data'!I:I,'capacity data'!E:E,"PSO",'capacity data'!B:B,'cluster capacity, unallocateds'!B92)</f>
        <v>0</v>
      </c>
      <c r="G92" s="104">
        <f>SUMIFS('capacity data'!J:J,'capacity data'!E:E,"PSO",'capacity data'!B:B,'cluster capacity, unallocateds'!B92)</f>
        <v>0</v>
      </c>
      <c r="H92" s="176" t="str">
        <f t="shared" si="15"/>
        <v/>
      </c>
      <c r="I92" s="104">
        <f>SUMIFS('capacity data'!I:I,'capacity data'!E:E,"TPO",'capacity data'!B:B,'cluster capacity, unallocateds'!B92)</f>
        <v>0</v>
      </c>
      <c r="J92" s="104">
        <f>SUMIFS('capacity data'!J:J,'capacity data'!E:E,"TPO",'capacity data'!B:B,'cluster capacity, unallocateds'!B92)</f>
        <v>0</v>
      </c>
      <c r="K92" s="176" t="str">
        <f t="shared" si="16"/>
        <v/>
      </c>
    </row>
    <row r="93" spans="2:11" ht="15" customHeight="1" x14ac:dyDescent="0.15">
      <c r="B93" s="71">
        <f>HLOOKUP($B$4,Region_Table,27,0)</f>
        <v>0</v>
      </c>
      <c r="C93" s="104">
        <f>SUMIFS('capacity data'!I:I,'capacity data'!E:E,"PO",'capacity data'!B:B,'cluster capacity, unallocateds'!B93)</f>
        <v>0</v>
      </c>
      <c r="D93" s="104">
        <f>SUMIFS('capacity data'!J:J,'capacity data'!E:E,"PO",'capacity data'!B:B,'cluster capacity, unallocateds'!B93)</f>
        <v>0</v>
      </c>
      <c r="E93" s="176" t="str">
        <f t="shared" si="14"/>
        <v/>
      </c>
      <c r="F93" s="104">
        <f>SUMIFS('capacity data'!I:I,'capacity data'!E:E,"PSO",'capacity data'!B:B,'cluster capacity, unallocateds'!B93)</f>
        <v>0</v>
      </c>
      <c r="G93" s="104">
        <f>SUMIFS('capacity data'!J:J,'capacity data'!E:E,"PSO",'capacity data'!B:B,'cluster capacity, unallocateds'!B93)</f>
        <v>0</v>
      </c>
      <c r="H93" s="176" t="str">
        <f t="shared" si="15"/>
        <v/>
      </c>
      <c r="I93" s="104">
        <f>SUMIFS('capacity data'!I:I,'capacity data'!E:E,"TPO",'capacity data'!B:B,'cluster capacity, unallocateds'!B93)</f>
        <v>0</v>
      </c>
      <c r="J93" s="104">
        <f>SUMIFS('capacity data'!J:J,'capacity data'!E:E,"TPO",'capacity data'!B:B,'cluster capacity, unallocateds'!B93)</f>
        <v>0</v>
      </c>
      <c r="K93" s="176" t="str">
        <f t="shared" si="16"/>
        <v/>
      </c>
    </row>
    <row r="94" spans="2:11" ht="15" customHeight="1" x14ac:dyDescent="0.15">
      <c r="B94" s="71">
        <f>HLOOKUP($B$4,Region_Table,28,0)</f>
        <v>0</v>
      </c>
      <c r="C94" s="104">
        <f>SUMIFS('capacity data'!I:I,'capacity data'!E:E,"PO",'capacity data'!B:B,'cluster capacity, unallocateds'!B94)</f>
        <v>0</v>
      </c>
      <c r="D94" s="104">
        <f>SUMIFS('capacity data'!J:J,'capacity data'!E:E,"PO",'capacity data'!B:B,'cluster capacity, unallocateds'!B94)</f>
        <v>0</v>
      </c>
      <c r="E94" s="176" t="str">
        <f t="shared" si="14"/>
        <v/>
      </c>
      <c r="F94" s="104">
        <f>SUMIFS('capacity data'!I:I,'capacity data'!E:E,"PSO",'capacity data'!B:B,'cluster capacity, unallocateds'!B94)</f>
        <v>0</v>
      </c>
      <c r="G94" s="104">
        <f>SUMIFS('capacity data'!J:J,'capacity data'!E:E,"PSO",'capacity data'!B:B,'cluster capacity, unallocateds'!B94)</f>
        <v>0</v>
      </c>
      <c r="H94" s="176" t="str">
        <f t="shared" si="15"/>
        <v/>
      </c>
      <c r="I94" s="104">
        <f>SUMIFS('capacity data'!I:I,'capacity data'!E:E,"TPO",'capacity data'!B:B,'cluster capacity, unallocateds'!B94)</f>
        <v>0</v>
      </c>
      <c r="J94" s="104">
        <f>SUMIFS('capacity data'!J:J,'capacity data'!E:E,"TPO",'capacity data'!B:B,'cluster capacity, unallocateds'!B94)</f>
        <v>0</v>
      </c>
      <c r="K94" s="176" t="str">
        <f t="shared" si="16"/>
        <v/>
      </c>
    </row>
    <row r="96" spans="2:11" ht="56" x14ac:dyDescent="0.15">
      <c r="B96" s="238" t="s">
        <v>1135</v>
      </c>
      <c r="C96" s="238" t="s">
        <v>1156</v>
      </c>
      <c r="D96" s="238" t="s">
        <v>1157</v>
      </c>
      <c r="E96" s="238" t="s">
        <v>1158</v>
      </c>
      <c r="F96" s="238" t="s">
        <v>1159</v>
      </c>
      <c r="G96" s="238" t="s">
        <v>1160</v>
      </c>
      <c r="H96" s="238" t="s">
        <v>1078</v>
      </c>
      <c r="I96" s="238" t="s">
        <v>1161</v>
      </c>
    </row>
    <row r="97" spans="2:9" x14ac:dyDescent="0.15">
      <c r="B97" s="168" t="s">
        <v>1081</v>
      </c>
      <c r="C97" s="175">
        <f>SUM('capacity data'!K:K)</f>
        <v>0</v>
      </c>
      <c r="D97" s="175">
        <f>COUNTIF('capacity data'!E:E,"DMY")</f>
        <v>0</v>
      </c>
      <c r="E97" s="175">
        <f>SUMIF('capacity data'!E:E,"DMY",'capacity data'!K:K)</f>
        <v>0</v>
      </c>
      <c r="F97" s="176" t="e">
        <f>E97/C97</f>
        <v>#DIV/0!</v>
      </c>
      <c r="G97" s="177">
        <f>SUMIF('capacity data'!E:E,"SPO",'capacity data'!K:K)</f>
        <v>0</v>
      </c>
      <c r="H97" s="175">
        <f>E97+G97</f>
        <v>0</v>
      </c>
      <c r="I97" s="178" t="e">
        <f>H97/C97</f>
        <v>#DIV/0!</v>
      </c>
    </row>
    <row r="98" spans="2:9" x14ac:dyDescent="0.15">
      <c r="B98" s="71" t="str">
        <f>HLOOKUP($B$4,Region_Table,2,0)</f>
        <v>Barking and Dagenham and Havering</v>
      </c>
      <c r="C98" s="104">
        <f>SUMIF('capacity data'!B:B,'cluster capacity, unallocateds'!B98,'capacity data'!K:K)</f>
        <v>0</v>
      </c>
      <c r="D98" s="104">
        <f>COUNTIFS('capacity data'!B:B,'cluster capacity, unallocateds'!B98,'capacity data'!E:E,"DMY")</f>
        <v>0</v>
      </c>
      <c r="E98" s="104">
        <f>SUMIFS('capacity data'!K:K,'capacity data'!E:E,"DMY",'capacity data'!B:B,'cluster capacity, unallocateds'!B98)</f>
        <v>0</v>
      </c>
      <c r="F98" s="75" t="str">
        <f>IFERROR(E98/C98,"")</f>
        <v/>
      </c>
      <c r="G98" s="84">
        <f>SUMIFS('capacity data'!K:K,'capacity data'!E:E,"SPO",'capacity data'!B:B,'cluster capacity, unallocateds'!B98)</f>
        <v>0</v>
      </c>
      <c r="H98" s="175">
        <f t="shared" ref="H98:H113" si="17">E98+G98</f>
        <v>0</v>
      </c>
      <c r="I98" s="178" t="str">
        <f>IFERROR(H98/C98,"")</f>
        <v/>
      </c>
    </row>
    <row r="99" spans="2:9" x14ac:dyDescent="0.15">
      <c r="B99" s="71" t="str">
        <f>HLOOKUP($B$4,Region_Table,3,0)</f>
        <v>Brent - N07</v>
      </c>
      <c r="C99" s="104">
        <f>SUMIF('capacity data'!B:B,'cluster capacity, unallocateds'!B99,'capacity data'!K:K)</f>
        <v>0</v>
      </c>
      <c r="D99" s="104">
        <f>COUNTIFS('capacity data'!B:B,'cluster capacity, unallocateds'!B99,'capacity data'!E:E,"DMY")</f>
        <v>0</v>
      </c>
      <c r="E99" s="104">
        <f>SUMIFS('capacity data'!K:K,'capacity data'!E:E,"DMY",'capacity data'!B:B,'cluster capacity, unallocateds'!B99)</f>
        <v>0</v>
      </c>
      <c r="F99" s="75" t="str">
        <f t="shared" ref="F99:F113" si="18">IFERROR(E99/C99,"")</f>
        <v/>
      </c>
      <c r="G99" s="84">
        <f>SUMIFS('capacity data'!K:K,'capacity data'!E:E,"SPO",'capacity data'!B:B,'cluster capacity, unallocateds'!B99)</f>
        <v>0</v>
      </c>
      <c r="H99" s="175">
        <f t="shared" si="17"/>
        <v>0</v>
      </c>
      <c r="I99" s="178" t="str">
        <f t="shared" ref="I99:I113" si="19">IFERROR(H99/C99,"")</f>
        <v/>
      </c>
    </row>
    <row r="100" spans="2:9" x14ac:dyDescent="0.15">
      <c r="B100" s="71" t="str">
        <f>HLOOKUP($B$4,Region_Table,4,0)</f>
        <v>Camden, Islington</v>
      </c>
      <c r="C100" s="104">
        <f>SUMIF('capacity data'!B:B,'cluster capacity, unallocateds'!B100,'capacity data'!K:K)</f>
        <v>0</v>
      </c>
      <c r="D100" s="104">
        <f>COUNTIFS('capacity data'!B:B,'cluster capacity, unallocateds'!B100,'capacity data'!E:E,"DMY")</f>
        <v>0</v>
      </c>
      <c r="E100" s="104">
        <f>SUMIFS('capacity data'!K:K,'capacity data'!E:E,"DMY",'capacity data'!B:B,'cluster capacity, unallocateds'!B100)</f>
        <v>0</v>
      </c>
      <c r="F100" s="75" t="str">
        <f t="shared" si="18"/>
        <v/>
      </c>
      <c r="G100" s="84">
        <f>SUMIFS('capacity data'!K:K,'capacity data'!E:E,"SPO",'capacity data'!B:B,'cluster capacity, unallocateds'!B100)</f>
        <v>0</v>
      </c>
      <c r="H100" s="175">
        <f t="shared" si="17"/>
        <v>0</v>
      </c>
      <c r="I100" s="178" t="str">
        <f t="shared" si="19"/>
        <v/>
      </c>
    </row>
    <row r="101" spans="2:9" x14ac:dyDescent="0.15">
      <c r="B101" s="71" t="str">
        <f>HLOOKUP($B$4,Region_Table,5,0)</f>
        <v>Community Integration</v>
      </c>
      <c r="C101" s="104">
        <f>SUMIF('capacity data'!B:B,'cluster capacity, unallocateds'!B101,'capacity data'!K:K)</f>
        <v>0</v>
      </c>
      <c r="D101" s="104">
        <f>COUNTIFS('capacity data'!B:B,'cluster capacity, unallocateds'!B101,'capacity data'!E:E,"DMY")</f>
        <v>0</v>
      </c>
      <c r="E101" s="104">
        <f>SUMIFS('capacity data'!K:K,'capacity data'!E:E,"DMY",'capacity data'!B:B,'cluster capacity, unallocateds'!B101)</f>
        <v>0</v>
      </c>
      <c r="F101" s="75" t="str">
        <f t="shared" si="18"/>
        <v/>
      </c>
      <c r="G101" s="84">
        <f>SUMIFS('capacity data'!K:K,'capacity data'!E:E,"SPO",'capacity data'!B:B,'cluster capacity, unallocateds'!B101)</f>
        <v>0</v>
      </c>
      <c r="H101" s="175">
        <f t="shared" si="17"/>
        <v>0</v>
      </c>
      <c r="I101" s="178" t="str">
        <f t="shared" si="19"/>
        <v/>
      </c>
    </row>
    <row r="102" spans="2:9" x14ac:dyDescent="0.15">
      <c r="B102" s="71" t="str">
        <f>HLOOKUP($B$4,Region_Table,6,0)</f>
        <v>Corporate Services - N07</v>
      </c>
      <c r="C102" s="104">
        <f>SUMIF('capacity data'!B:B,'cluster capacity, unallocateds'!B102,'capacity data'!K:K)</f>
        <v>0</v>
      </c>
      <c r="D102" s="104">
        <f>COUNTIFS('capacity data'!B:B,'cluster capacity, unallocateds'!B102,'capacity data'!E:E,"DMY")</f>
        <v>0</v>
      </c>
      <c r="E102" s="104">
        <f>SUMIFS('capacity data'!K:K,'capacity data'!E:E,"DMY",'capacity data'!B:B,'cluster capacity, unallocateds'!B102)</f>
        <v>0</v>
      </c>
      <c r="F102" s="75" t="str">
        <f t="shared" si="18"/>
        <v/>
      </c>
      <c r="G102" s="84">
        <f>SUMIFS('capacity data'!K:K,'capacity data'!E:E,"SPO",'capacity data'!B:B,'cluster capacity, unallocateds'!B102)</f>
        <v>0</v>
      </c>
      <c r="H102" s="175">
        <f t="shared" si="17"/>
        <v>0</v>
      </c>
      <c r="I102" s="178" t="str">
        <f t="shared" si="19"/>
        <v/>
      </c>
    </row>
    <row r="103" spans="2:9" x14ac:dyDescent="0.15">
      <c r="B103" s="71" t="str">
        <f>HLOOKUP($B$4,Region_Table,7,0)</f>
        <v>Croydon - N07</v>
      </c>
      <c r="C103" s="104">
        <f>SUMIF('capacity data'!B:B,'cluster capacity, unallocateds'!B103,'capacity data'!K:K)</f>
        <v>0</v>
      </c>
      <c r="D103" s="104">
        <f>COUNTIFS('capacity data'!B:B,'cluster capacity, unallocateds'!B103,'capacity data'!E:E,"DMY")</f>
        <v>0</v>
      </c>
      <c r="E103" s="104">
        <f>SUMIFS('capacity data'!K:K,'capacity data'!E:E,"DMY",'capacity data'!B:B,'cluster capacity, unallocateds'!B103)</f>
        <v>0</v>
      </c>
      <c r="F103" s="75" t="str">
        <f t="shared" si="18"/>
        <v/>
      </c>
      <c r="G103" s="84">
        <f>SUMIFS('capacity data'!K:K,'capacity data'!E:E,"SPO",'capacity data'!B:B,'cluster capacity, unallocateds'!B103)</f>
        <v>0</v>
      </c>
      <c r="H103" s="175">
        <f t="shared" si="17"/>
        <v>0</v>
      </c>
      <c r="I103" s="178" t="str">
        <f t="shared" si="19"/>
        <v/>
      </c>
    </row>
    <row r="104" spans="2:9" x14ac:dyDescent="0.15">
      <c r="B104" s="71" t="str">
        <f>HLOOKUP($B$4,Region_Table,8,0)</f>
        <v>Ealing and Hillingdon</v>
      </c>
      <c r="C104" s="104">
        <f>SUMIF('capacity data'!B:B,'cluster capacity, unallocateds'!B104,'capacity data'!K:K)</f>
        <v>0</v>
      </c>
      <c r="D104" s="104">
        <f>COUNTIFS('capacity data'!B:B,'cluster capacity, unallocateds'!B104,'capacity data'!E:E,"DMY")</f>
        <v>0</v>
      </c>
      <c r="E104" s="104">
        <f>SUMIFS('capacity data'!K:K,'capacity data'!E:E,"DMY",'capacity data'!B:B,'cluster capacity, unallocateds'!B104)</f>
        <v>0</v>
      </c>
      <c r="F104" s="75" t="str">
        <f t="shared" si="18"/>
        <v/>
      </c>
      <c r="G104" s="84">
        <f>SUMIFS('capacity data'!K:K,'capacity data'!E:E,"SPO",'capacity data'!B:B,'cluster capacity, unallocateds'!B104)</f>
        <v>0</v>
      </c>
      <c r="H104" s="175">
        <f t="shared" si="17"/>
        <v>0</v>
      </c>
      <c r="I104" s="178" t="str">
        <f t="shared" si="19"/>
        <v/>
      </c>
    </row>
    <row r="105" spans="2:9" x14ac:dyDescent="0.15">
      <c r="B105" s="71" t="str">
        <f>HLOOKUP($B$4,Region_Table,9,0)</f>
        <v>Enfield and Haringey</v>
      </c>
      <c r="C105" s="104">
        <f>SUMIF('capacity data'!B:B,'cluster capacity, unallocateds'!B105,'capacity data'!K:K)</f>
        <v>0</v>
      </c>
      <c r="D105" s="104">
        <f>COUNTIFS('capacity data'!B:B,'cluster capacity, unallocateds'!B105,'capacity data'!E:E,"DMY")</f>
        <v>0</v>
      </c>
      <c r="E105" s="104">
        <f>SUMIFS('capacity data'!K:K,'capacity data'!E:E,"DMY",'capacity data'!B:B,'cluster capacity, unallocateds'!B105)</f>
        <v>0</v>
      </c>
      <c r="F105" s="75" t="str">
        <f t="shared" si="18"/>
        <v/>
      </c>
      <c r="G105" s="84">
        <f>SUMIFS('capacity data'!K:K,'capacity data'!E:E,"SPO",'capacity data'!B:B,'cluster capacity, unallocateds'!B105)</f>
        <v>0</v>
      </c>
      <c r="H105" s="175">
        <f t="shared" si="17"/>
        <v>0</v>
      </c>
      <c r="I105" s="178" t="str">
        <f t="shared" si="19"/>
        <v/>
      </c>
    </row>
    <row r="106" spans="2:9" x14ac:dyDescent="0.15">
      <c r="B106" s="71" t="str">
        <f>HLOOKUP($B$4,Region_Table,10,0)</f>
        <v>Greenwich and Bexley</v>
      </c>
      <c r="C106" s="104">
        <f>SUMIF('capacity data'!B:B,'cluster capacity, unallocateds'!B106,'capacity data'!K:K)</f>
        <v>0</v>
      </c>
      <c r="D106" s="104">
        <f>COUNTIFS('capacity data'!B:B,'cluster capacity, unallocateds'!B106,'capacity data'!E:E,"DMY")</f>
        <v>0</v>
      </c>
      <c r="E106" s="104">
        <f>SUMIFS('capacity data'!K:K,'capacity data'!E:E,"DMY",'capacity data'!B:B,'cluster capacity, unallocateds'!B106)</f>
        <v>0</v>
      </c>
      <c r="F106" s="75" t="str">
        <f t="shared" si="18"/>
        <v/>
      </c>
      <c r="G106" s="84">
        <f>SUMIFS('capacity data'!K:K,'capacity data'!E:E,"SPO",'capacity data'!B:B,'cluster capacity, unallocateds'!B106)</f>
        <v>0</v>
      </c>
      <c r="H106" s="175">
        <f t="shared" si="17"/>
        <v>0</v>
      </c>
      <c r="I106" s="178" t="str">
        <f t="shared" si="19"/>
        <v/>
      </c>
    </row>
    <row r="107" spans="2:9" x14ac:dyDescent="0.15">
      <c r="B107" s="71" t="str">
        <f>HLOOKUP($B$4,Region_Table,11,0)</f>
        <v>Hackney and City</v>
      </c>
      <c r="C107" s="104">
        <f>SUMIF('capacity data'!B:B,'cluster capacity, unallocateds'!B107,'capacity data'!K:K)</f>
        <v>0</v>
      </c>
      <c r="D107" s="104">
        <f>COUNTIFS('capacity data'!B:B,'cluster capacity, unallocateds'!B107,'capacity data'!E:E,"DMY")</f>
        <v>0</v>
      </c>
      <c r="E107" s="104">
        <f>SUMIFS('capacity data'!K:K,'capacity data'!E:E,"DMY",'capacity data'!B:B,'cluster capacity, unallocateds'!B107)</f>
        <v>0</v>
      </c>
      <c r="F107" s="75" t="str">
        <f t="shared" si="18"/>
        <v/>
      </c>
      <c r="G107" s="84">
        <f>SUMIFS('capacity data'!K:K,'capacity data'!E:E,"SPO",'capacity data'!B:B,'cluster capacity, unallocateds'!B107)</f>
        <v>0</v>
      </c>
      <c r="H107" s="175">
        <f t="shared" si="17"/>
        <v>0</v>
      </c>
      <c r="I107" s="178" t="str">
        <f t="shared" si="19"/>
        <v/>
      </c>
    </row>
    <row r="108" spans="2:9" x14ac:dyDescent="0.15">
      <c r="B108" s="71" t="str">
        <f>HLOOKUP($B$4,Region_Table,12,0)</f>
        <v>Hammersmith, Fulham, Kensington, Chelsea and Westminster</v>
      </c>
      <c r="C108" s="104">
        <f>SUMIF('capacity data'!B:B,'cluster capacity, unallocateds'!B108,'capacity data'!K:K)</f>
        <v>0</v>
      </c>
      <c r="D108" s="104">
        <f>COUNTIFS('capacity data'!B:B,'cluster capacity, unallocateds'!B108,'capacity data'!E:E,"DMY")</f>
        <v>0</v>
      </c>
      <c r="E108" s="104">
        <f>SUMIFS('capacity data'!K:K,'capacity data'!E:E,"DMY",'capacity data'!B:B,'cluster capacity, unallocateds'!B108)</f>
        <v>0</v>
      </c>
      <c r="F108" s="75" t="str">
        <f t="shared" si="18"/>
        <v/>
      </c>
      <c r="G108" s="84">
        <f>SUMIFS('capacity data'!K:K,'capacity data'!E:E,"SPO",'capacity data'!B:B,'cluster capacity, unallocateds'!B108)</f>
        <v>0</v>
      </c>
      <c r="H108" s="175">
        <f t="shared" si="17"/>
        <v>0</v>
      </c>
      <c r="I108" s="178" t="str">
        <f t="shared" si="19"/>
        <v/>
      </c>
    </row>
    <row r="109" spans="2:9" x14ac:dyDescent="0.15">
      <c r="B109" s="71" t="str">
        <f>HLOOKUP($B$4,Region_Table,13,0)</f>
        <v>Harrow and Barnet</v>
      </c>
      <c r="C109" s="104">
        <f>SUMIF('capacity data'!B:B,'cluster capacity, unallocateds'!B109,'capacity data'!K:K)</f>
        <v>0</v>
      </c>
      <c r="D109" s="104">
        <f>COUNTIFS('capacity data'!B:B,'cluster capacity, unallocateds'!B109,'capacity data'!E:E,"DMY")</f>
        <v>0</v>
      </c>
      <c r="E109" s="104">
        <f>SUMIFS('capacity data'!K:K,'capacity data'!E:E,"DMY",'capacity data'!B:B,'cluster capacity, unallocateds'!B109)</f>
        <v>0</v>
      </c>
      <c r="F109" s="75" t="str">
        <f t="shared" si="18"/>
        <v/>
      </c>
      <c r="G109" s="84">
        <f>SUMIFS('capacity data'!K:K,'capacity data'!E:E,"SPO",'capacity data'!B:B,'cluster capacity, unallocateds'!B109)</f>
        <v>0</v>
      </c>
      <c r="H109" s="175">
        <f t="shared" si="17"/>
        <v>0</v>
      </c>
      <c r="I109" s="178" t="str">
        <f t="shared" si="19"/>
        <v/>
      </c>
    </row>
    <row r="110" spans="2:9" x14ac:dyDescent="0.15">
      <c r="B110" s="71" t="str">
        <f>HLOOKUP($B$4,Region_Table,14,0)</f>
        <v>Inactive Level 2(N07)</v>
      </c>
      <c r="C110" s="104">
        <f>SUMIF('capacity data'!B:B,'cluster capacity, unallocateds'!B110,'capacity data'!K:K)</f>
        <v>0</v>
      </c>
      <c r="D110" s="104">
        <f>COUNTIFS('capacity data'!B:B,'cluster capacity, unallocateds'!B110,'capacity data'!E:E,"DMY")</f>
        <v>0</v>
      </c>
      <c r="E110" s="104">
        <f>SUMIFS('capacity data'!K:K,'capacity data'!E:E,"DMY",'capacity data'!B:B,'cluster capacity, unallocateds'!B110)</f>
        <v>0</v>
      </c>
      <c r="F110" s="75" t="str">
        <f t="shared" si="18"/>
        <v/>
      </c>
      <c r="G110" s="84">
        <f>SUMIFS('capacity data'!K:K,'capacity data'!E:E,"SPO",'capacity data'!B:B,'cluster capacity, unallocateds'!B110)</f>
        <v>0</v>
      </c>
      <c r="H110" s="175">
        <f t="shared" si="17"/>
        <v>0</v>
      </c>
      <c r="I110" s="178" t="str">
        <f t="shared" si="19"/>
        <v/>
      </c>
    </row>
    <row r="111" spans="2:9" x14ac:dyDescent="0.15">
      <c r="B111" s="71" t="str">
        <f>HLOOKUP($B$4,Region_Table,15,0)</f>
        <v>Kingston, Richmond and Hounslow</v>
      </c>
      <c r="C111" s="104">
        <f>SUMIF('capacity data'!B:B,'cluster capacity, unallocateds'!B111,'capacity data'!K:K)</f>
        <v>0</v>
      </c>
      <c r="D111" s="104">
        <f>COUNTIFS('capacity data'!B:B,'cluster capacity, unallocateds'!B111,'capacity data'!E:E,"DMY")</f>
        <v>0</v>
      </c>
      <c r="E111" s="104">
        <f>SUMIFS('capacity data'!K:K,'capacity data'!E:E,"DMY",'capacity data'!B:B,'cluster capacity, unallocateds'!B111)</f>
        <v>0</v>
      </c>
      <c r="F111" s="75" t="str">
        <f t="shared" si="18"/>
        <v/>
      </c>
      <c r="G111" s="84">
        <f>SUMIFS('capacity data'!K:K,'capacity data'!E:E,"SPO",'capacity data'!B:B,'cluster capacity, unallocateds'!B111)</f>
        <v>0</v>
      </c>
      <c r="H111" s="175">
        <f t="shared" si="17"/>
        <v>0</v>
      </c>
      <c r="I111" s="178" t="str">
        <f t="shared" si="19"/>
        <v/>
      </c>
    </row>
    <row r="112" spans="2:9" x14ac:dyDescent="0.15">
      <c r="B112" s="71" t="str">
        <f>HLOOKUP($B$4,Region_Table,16,0)</f>
        <v>Lambeth - N07</v>
      </c>
      <c r="C112" s="104">
        <f>SUMIF('capacity data'!B:B,'cluster capacity, unallocateds'!B112,'capacity data'!K:K)</f>
        <v>0</v>
      </c>
      <c r="D112" s="104">
        <f>COUNTIFS('capacity data'!B:B,'cluster capacity, unallocateds'!B112,'capacity data'!E:E,"DMY")</f>
        <v>0</v>
      </c>
      <c r="E112" s="104">
        <f>SUMIFS('capacity data'!K:K,'capacity data'!E:E,"DMY",'capacity data'!B:B,'cluster capacity, unallocateds'!B112)</f>
        <v>0</v>
      </c>
      <c r="F112" s="75" t="str">
        <f t="shared" si="18"/>
        <v/>
      </c>
      <c r="G112" s="84">
        <f>SUMIFS('capacity data'!K:K,'capacity data'!E:E,"SPO",'capacity data'!B:B,'cluster capacity, unallocateds'!B112)</f>
        <v>0</v>
      </c>
      <c r="H112" s="175">
        <f t="shared" si="17"/>
        <v>0</v>
      </c>
      <c r="I112" s="178" t="str">
        <f t="shared" si="19"/>
        <v/>
      </c>
    </row>
    <row r="113" spans="2:9" x14ac:dyDescent="0.15">
      <c r="B113" s="71" t="str">
        <f>HLOOKUP($B$4,Region_Table,17,0)</f>
        <v>Lewisham and Bromley</v>
      </c>
      <c r="C113" s="104">
        <f>SUMIF('capacity data'!B:B,'cluster capacity, unallocateds'!B113,'capacity data'!K:K)</f>
        <v>0</v>
      </c>
      <c r="D113" s="104">
        <f>COUNTIFS('capacity data'!B:B,'cluster capacity, unallocateds'!B113,'capacity data'!E:E,"DMY")</f>
        <v>0</v>
      </c>
      <c r="E113" s="104">
        <f>SUMIFS('capacity data'!K:K,'capacity data'!E:E,"DMY",'capacity data'!B:B,'cluster capacity, unallocateds'!B113)</f>
        <v>0</v>
      </c>
      <c r="F113" s="75" t="str">
        <f t="shared" si="18"/>
        <v/>
      </c>
      <c r="G113" s="84">
        <f>SUMIFS('capacity data'!K:K,'capacity data'!E:E,"SPO",'capacity data'!B:B,'cluster capacity, unallocateds'!B113)</f>
        <v>0</v>
      </c>
      <c r="H113" s="175">
        <f t="shared" si="17"/>
        <v>0</v>
      </c>
      <c r="I113" s="178" t="str">
        <f t="shared" si="19"/>
        <v/>
      </c>
    </row>
    <row r="114" spans="2:9" x14ac:dyDescent="0.15">
      <c r="B114" s="71" t="str">
        <f>HLOOKUP($B$4,Region_Table,18,0)</f>
        <v>Newham - N07</v>
      </c>
      <c r="C114" s="104">
        <f>SUMIF('capacity data'!B:B,'cluster capacity, unallocateds'!B114,'capacity data'!K:K)</f>
        <v>0</v>
      </c>
      <c r="D114" s="104">
        <f>COUNTIFS('capacity data'!B:B,'cluster capacity, unallocateds'!B114,'capacity data'!E:E,"DMY")</f>
        <v>0</v>
      </c>
      <c r="E114" s="104">
        <f>SUMIFS('capacity data'!K:K,'capacity data'!E:E,"DMY",'capacity data'!B:B,'cluster capacity, unallocateds'!B114)</f>
        <v>0</v>
      </c>
      <c r="F114" s="75" t="str">
        <f t="shared" ref="F114:F116" si="20">IFERROR(E114/C114,"")</f>
        <v/>
      </c>
      <c r="G114" s="84">
        <f>SUMIFS('capacity data'!K:K,'capacity data'!E:E,"SPO",'capacity data'!B:B,'cluster capacity, unallocateds'!B114)</f>
        <v>0</v>
      </c>
      <c r="H114" s="175">
        <f t="shared" ref="H114:H116" si="21">E114+G114</f>
        <v>0</v>
      </c>
      <c r="I114" s="178" t="str">
        <f t="shared" ref="I114:I116" si="22">IFERROR(H114/C114,"")</f>
        <v/>
      </c>
    </row>
    <row r="115" spans="2:9" x14ac:dyDescent="0.15">
      <c r="B115" s="71" t="str">
        <f>HLOOKUP($B$4,Region_Table,19,0)</f>
        <v>Public Protection London</v>
      </c>
      <c r="C115" s="104">
        <f>SUMIF('capacity data'!B:B,'cluster capacity, unallocateds'!B115,'capacity data'!K:K)</f>
        <v>0</v>
      </c>
      <c r="D115" s="104">
        <f>COUNTIFS('capacity data'!B:B,'cluster capacity, unallocateds'!B115,'capacity data'!E:E,"DMY")</f>
        <v>0</v>
      </c>
      <c r="E115" s="104">
        <f>SUMIFS('capacity data'!K:K,'capacity data'!E:E,"DMY",'capacity data'!B:B,'cluster capacity, unallocateds'!B115)</f>
        <v>0</v>
      </c>
      <c r="F115" s="75" t="str">
        <f t="shared" si="20"/>
        <v/>
      </c>
      <c r="G115" s="84">
        <f>SUMIFS('capacity data'!K:K,'capacity data'!E:E,"SPO",'capacity data'!B:B,'cluster capacity, unallocateds'!B115)</f>
        <v>0</v>
      </c>
      <c r="H115" s="175">
        <f t="shared" si="21"/>
        <v>0</v>
      </c>
      <c r="I115" s="178" t="str">
        <f t="shared" si="22"/>
        <v/>
      </c>
    </row>
    <row r="116" spans="2:9" x14ac:dyDescent="0.15">
      <c r="B116" s="71" t="str">
        <f>HLOOKUP($B$4,Region_Table,20,0)</f>
        <v>Redbridge and Waltham Forest</v>
      </c>
      <c r="C116" s="104">
        <f>SUMIF('capacity data'!B:B,'cluster capacity, unallocateds'!B116,'capacity data'!K:K)</f>
        <v>0</v>
      </c>
      <c r="D116" s="104">
        <f>COUNTIFS('capacity data'!B:B,'cluster capacity, unallocateds'!B116,'capacity data'!E:E,"DMY")</f>
        <v>0</v>
      </c>
      <c r="E116" s="104">
        <f>SUMIFS('capacity data'!K:K,'capacity data'!E:E,"DMY",'capacity data'!B:B,'cluster capacity, unallocateds'!B116)</f>
        <v>0</v>
      </c>
      <c r="F116" s="75" t="str">
        <f t="shared" si="20"/>
        <v/>
      </c>
      <c r="G116" s="84">
        <f>SUMIFS('capacity data'!K:K,'capacity data'!E:E,"SPO",'capacity data'!B:B,'cluster capacity, unallocateds'!B116)</f>
        <v>0</v>
      </c>
      <c r="H116" s="175">
        <f t="shared" si="21"/>
        <v>0</v>
      </c>
      <c r="I116" s="178" t="str">
        <f t="shared" si="22"/>
        <v/>
      </c>
    </row>
    <row r="117" spans="2:9" ht="10" customHeight="1" x14ac:dyDescent="0.15">
      <c r="B117" s="71" t="str">
        <f>HLOOKUP($B$4,Region_Table,21,0)</f>
        <v>Southwark - N07</v>
      </c>
      <c r="C117" s="104">
        <f>SUMIF('capacity data'!B:B,'cluster capacity, unallocateds'!B117,'capacity data'!K:K)</f>
        <v>0</v>
      </c>
      <c r="D117" s="104">
        <f>COUNTIFS('capacity data'!B:B,'cluster capacity, unallocateds'!B117,'capacity data'!E:E,"DMY")</f>
        <v>0</v>
      </c>
      <c r="E117" s="104">
        <f>SUMIFS('capacity data'!K:K,'capacity data'!E:E,"DMY",'capacity data'!B:B,'cluster capacity, unallocateds'!B117)</f>
        <v>0</v>
      </c>
      <c r="F117" s="75" t="str">
        <f t="shared" ref="F117:F124" si="23">IFERROR(E117/C117,"")</f>
        <v/>
      </c>
      <c r="G117" s="84">
        <f>SUMIFS('capacity data'!K:K,'capacity data'!E:E,"SPO",'capacity data'!B:B,'cluster capacity, unallocateds'!B117)</f>
        <v>0</v>
      </c>
      <c r="H117" s="175">
        <f t="shared" ref="H117:H124" si="24">E117+G117</f>
        <v>0</v>
      </c>
      <c r="I117" s="178" t="str">
        <f t="shared" ref="I117:I124" si="25">IFERROR(H117/C117,"")</f>
        <v/>
      </c>
    </row>
    <row r="118" spans="2:9" x14ac:dyDescent="0.15">
      <c r="B118" s="71" t="str">
        <f>HLOOKUP($B$4,Region_Table,22,0)</f>
        <v>Tower Hamlets</v>
      </c>
      <c r="C118" s="104">
        <f>SUMIF('capacity data'!B:B,'cluster capacity, unallocateds'!B118,'capacity data'!K:K)</f>
        <v>0</v>
      </c>
      <c r="D118" s="104">
        <f>COUNTIFS('capacity data'!B:B,'cluster capacity, unallocateds'!B118,'capacity data'!E:E,"DMY")</f>
        <v>0</v>
      </c>
      <c r="E118" s="104">
        <f>SUMIFS('capacity data'!K:K,'capacity data'!E:E,"DMY",'capacity data'!B:B,'cluster capacity, unallocateds'!B118)</f>
        <v>0</v>
      </c>
      <c r="F118" s="75" t="str">
        <f t="shared" si="23"/>
        <v/>
      </c>
      <c r="G118" s="84">
        <f>SUMIFS('capacity data'!K:K,'capacity data'!E:E,"SPO",'capacity data'!B:B,'cluster capacity, unallocateds'!B118)</f>
        <v>0</v>
      </c>
      <c r="H118" s="175">
        <f t="shared" si="24"/>
        <v>0</v>
      </c>
      <c r="I118" s="178" t="str">
        <f t="shared" si="25"/>
        <v/>
      </c>
    </row>
    <row r="119" spans="2:9" x14ac:dyDescent="0.15">
      <c r="B119" s="71" t="str">
        <f>HLOOKUP($B$4,Region_Table,23,0)</f>
        <v>Unallocated Level 2(N07)</v>
      </c>
      <c r="C119" s="104">
        <f>SUMIF('capacity data'!B:B,'cluster capacity, unallocateds'!B119,'capacity data'!K:K)</f>
        <v>0</v>
      </c>
      <c r="D119" s="104">
        <f>COUNTIFS('capacity data'!B:B,'cluster capacity, unallocateds'!B119,'capacity data'!E:E,"DMY")</f>
        <v>0</v>
      </c>
      <c r="E119" s="104">
        <f>SUMIFS('capacity data'!K:K,'capacity data'!E:E,"DMY",'capacity data'!B:B,'cluster capacity, unallocateds'!B119)</f>
        <v>0</v>
      </c>
      <c r="F119" s="75" t="str">
        <f t="shared" si="23"/>
        <v/>
      </c>
      <c r="G119" s="84">
        <f>SUMIFS('capacity data'!K:K,'capacity data'!E:E,"SPO",'capacity data'!B:B,'cluster capacity, unallocateds'!B119)</f>
        <v>0</v>
      </c>
      <c r="H119" s="175">
        <f t="shared" si="24"/>
        <v>0</v>
      </c>
      <c r="I119" s="178" t="str">
        <f t="shared" si="25"/>
        <v/>
      </c>
    </row>
    <row r="120" spans="2:9" x14ac:dyDescent="0.15">
      <c r="B120" s="71" t="str">
        <f>HLOOKUP($B$4,Region_Table,24,0)</f>
        <v>Unpaid Work and Attendance Centres - N07</v>
      </c>
      <c r="C120" s="104">
        <f>SUMIF('capacity data'!B:B,'cluster capacity, unallocateds'!B120,'capacity data'!K:K)</f>
        <v>0</v>
      </c>
      <c r="D120" s="104">
        <f>COUNTIFS('capacity data'!B:B,'cluster capacity, unallocateds'!B120,'capacity data'!E:E,"DMY")</f>
        <v>0</v>
      </c>
      <c r="E120" s="104">
        <f>SUMIFS('capacity data'!K:K,'capacity data'!E:E,"DMY",'capacity data'!B:B,'cluster capacity, unallocateds'!B120)</f>
        <v>0</v>
      </c>
      <c r="F120" s="75" t="str">
        <f t="shared" si="23"/>
        <v/>
      </c>
      <c r="G120" s="84">
        <f>SUMIFS('capacity data'!K:K,'capacity data'!E:E,"SPO",'capacity data'!B:B,'cluster capacity, unallocateds'!B120)</f>
        <v>0</v>
      </c>
      <c r="H120" s="175">
        <f t="shared" si="24"/>
        <v>0</v>
      </c>
      <c r="I120" s="178" t="str">
        <f t="shared" si="25"/>
        <v/>
      </c>
    </row>
    <row r="121" spans="2:9" x14ac:dyDescent="0.15">
      <c r="B121" s="71" t="str">
        <f>HLOOKUP($B$4,Region_Table,25,0)</f>
        <v>Wandsworth, Merton and Sutton</v>
      </c>
      <c r="C121" s="104">
        <f>SUMIF('capacity data'!B:B,'cluster capacity, unallocateds'!B121,'capacity data'!K:K)</f>
        <v>0</v>
      </c>
      <c r="D121" s="104">
        <f>COUNTIFS('capacity data'!B:B,'cluster capacity, unallocateds'!B121,'capacity data'!E:E,"DMY")</f>
        <v>0</v>
      </c>
      <c r="E121" s="104">
        <f>SUMIFS('capacity data'!K:K,'capacity data'!E:E,"DMY",'capacity data'!B:B,'cluster capacity, unallocateds'!B121)</f>
        <v>0</v>
      </c>
      <c r="F121" s="75" t="str">
        <f t="shared" si="23"/>
        <v/>
      </c>
      <c r="G121" s="84">
        <f>SUMIFS('capacity data'!K:K,'capacity data'!E:E,"SPO",'capacity data'!B:B,'cluster capacity, unallocateds'!B121)</f>
        <v>0</v>
      </c>
      <c r="H121" s="175">
        <f t="shared" si="24"/>
        <v>0</v>
      </c>
      <c r="I121" s="178" t="str">
        <f t="shared" si="25"/>
        <v/>
      </c>
    </row>
    <row r="122" spans="2:9" x14ac:dyDescent="0.15">
      <c r="B122" s="71">
        <f>HLOOKUP($B$4,Region_Table,26,0)</f>
        <v>0</v>
      </c>
      <c r="C122" s="104">
        <f>SUMIF('capacity data'!B:B,'cluster capacity, unallocateds'!B122,'capacity data'!K:K)</f>
        <v>0</v>
      </c>
      <c r="D122" s="104">
        <f>COUNTIFS('capacity data'!B:B,'cluster capacity, unallocateds'!B122,'capacity data'!E:E,"DMY")</f>
        <v>0</v>
      </c>
      <c r="E122" s="104">
        <f>SUMIFS('capacity data'!K:K,'capacity data'!E:E,"DMY",'capacity data'!B:B,'cluster capacity, unallocateds'!B122)</f>
        <v>0</v>
      </c>
      <c r="F122" s="75" t="str">
        <f t="shared" si="23"/>
        <v/>
      </c>
      <c r="G122" s="84">
        <f>SUMIFS('capacity data'!K:K,'capacity data'!E:E,"SPO",'capacity data'!B:B,'cluster capacity, unallocateds'!B122)</f>
        <v>0</v>
      </c>
      <c r="H122" s="175">
        <f t="shared" si="24"/>
        <v>0</v>
      </c>
      <c r="I122" s="178" t="str">
        <f t="shared" si="25"/>
        <v/>
      </c>
    </row>
    <row r="123" spans="2:9" x14ac:dyDescent="0.15">
      <c r="B123" s="71">
        <f>HLOOKUP($B$4,Region_Table,27,0)</f>
        <v>0</v>
      </c>
      <c r="C123" s="104">
        <f>SUMIF('capacity data'!B:B,'cluster capacity, unallocateds'!B123,'capacity data'!K:K)</f>
        <v>0</v>
      </c>
      <c r="D123" s="104">
        <f>COUNTIFS('capacity data'!B:B,'cluster capacity, unallocateds'!B123,'capacity data'!E:E,"DMY")</f>
        <v>0</v>
      </c>
      <c r="E123" s="104">
        <f>SUMIFS('capacity data'!K:K,'capacity data'!E:E,"DMY",'capacity data'!B:B,'cluster capacity, unallocateds'!B123)</f>
        <v>0</v>
      </c>
      <c r="F123" s="75" t="str">
        <f t="shared" si="23"/>
        <v/>
      </c>
      <c r="G123" s="84">
        <f>SUMIFS('capacity data'!K:K,'capacity data'!E:E,"SPO",'capacity data'!B:B,'cluster capacity, unallocateds'!B123)</f>
        <v>0</v>
      </c>
      <c r="H123" s="175">
        <f t="shared" si="24"/>
        <v>0</v>
      </c>
      <c r="I123" s="178" t="str">
        <f t="shared" si="25"/>
        <v/>
      </c>
    </row>
    <row r="124" spans="2:9" x14ac:dyDescent="0.15">
      <c r="B124" s="71">
        <f>HLOOKUP($B$4,Region_Table,28,0)</f>
        <v>0</v>
      </c>
      <c r="C124" s="104">
        <f>SUMIF('capacity data'!B:B,'cluster capacity, unallocateds'!B124,'capacity data'!K:K)</f>
        <v>0</v>
      </c>
      <c r="D124" s="104">
        <f>COUNTIFS('capacity data'!B:B,'cluster capacity, unallocateds'!B124,'capacity data'!E:E,"DMY")</f>
        <v>0</v>
      </c>
      <c r="E124" s="104">
        <f>SUMIFS('capacity data'!K:K,'capacity data'!E:E,"DMY",'capacity data'!B:B,'cluster capacity, unallocateds'!B124)</f>
        <v>0</v>
      </c>
      <c r="F124" s="75" t="str">
        <f t="shared" si="23"/>
        <v/>
      </c>
      <c r="G124" s="84">
        <f>SUMIFS('capacity data'!K:K,'capacity data'!E:E,"SPO",'capacity data'!B:B,'cluster capacity, unallocateds'!B124)</f>
        <v>0</v>
      </c>
      <c r="H124" s="175">
        <f t="shared" si="24"/>
        <v>0</v>
      </c>
      <c r="I124" s="178" t="str">
        <f t="shared" si="25"/>
        <v/>
      </c>
    </row>
  </sheetData>
  <mergeCells count="3">
    <mergeCell ref="B1:Z1"/>
    <mergeCell ref="B2:Z2"/>
    <mergeCell ref="C65:K65"/>
  </mergeCells>
  <conditionalFormatting sqref="D8:D34">
    <cfRule type="cellIs" dxfId="3085" priority="4" operator="greaterThan">
      <formula>1.1</formula>
    </cfRule>
  </conditionalFormatting>
  <conditionalFormatting sqref="C8:C34">
    <cfRule type="cellIs" dxfId="3084" priority="3" operator="greaterThan">
      <formula>1.1</formula>
    </cfRule>
  </conditionalFormatting>
  <conditionalFormatting sqref="E8:E34">
    <cfRule type="cellIs" dxfId="3083" priority="2" operator="greaterThan">
      <formula>1.1</formula>
    </cfRule>
  </conditionalFormatting>
  <conditionalFormatting sqref="C8:E34">
    <cfRule type="cellIs" dxfId="3082" priority="1" operator="lessThan">
      <formula>0.9</formula>
    </cfRule>
  </conditionalFormatting>
  <dataValidations count="1">
    <dataValidation type="list" allowBlank="1" showInputMessage="1" showErrorMessage="1" sqref="B4" xr:uid="{BE83FA65-4E74-476B-A6A9-84A179B1C858}">
      <formula1>Regions</formula1>
    </dataValidation>
  </dataValidation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5"/>
  <dimension ref="A1:AX104"/>
  <sheetViews>
    <sheetView showGridLines="0" topLeftCell="A2" zoomScale="67" zoomScaleNormal="50" workbookViewId="0">
      <selection activeCell="B99" sqref="B99"/>
    </sheetView>
  </sheetViews>
  <sheetFormatPr baseColWidth="10" defaultColWidth="9.1640625" defaultRowHeight="14" x14ac:dyDescent="0.15"/>
  <cols>
    <col min="1" max="1" width="1.5" customWidth="1"/>
    <col min="2" max="2" width="36.1640625" customWidth="1"/>
    <col min="20" max="20" width="33" customWidth="1"/>
  </cols>
  <sheetData>
    <row r="1" spans="1:50" ht="66" customHeight="1" x14ac:dyDescent="0.35">
      <c r="A1" s="388" t="s">
        <v>1162</v>
      </c>
      <c r="B1" s="388"/>
      <c r="C1" s="388"/>
      <c r="D1" s="388"/>
      <c r="E1" s="388"/>
      <c r="F1" s="388"/>
      <c r="G1" s="388"/>
      <c r="H1" s="388"/>
      <c r="I1" s="388"/>
      <c r="J1" s="388"/>
      <c r="K1" s="388"/>
      <c r="L1" s="388"/>
      <c r="M1" s="388"/>
      <c r="N1" s="388"/>
      <c r="O1" s="388"/>
      <c r="P1" s="388"/>
      <c r="Q1" s="388"/>
      <c r="R1" s="388"/>
      <c r="S1" s="388"/>
      <c r="T1" s="388"/>
      <c r="U1" s="388"/>
      <c r="V1" s="388"/>
      <c r="W1" s="388"/>
      <c r="X1" s="388"/>
      <c r="Y1" s="388"/>
      <c r="Z1" s="388"/>
      <c r="AA1" s="388"/>
      <c r="AB1" s="388"/>
      <c r="AC1" s="388"/>
      <c r="AD1" s="388"/>
      <c r="AE1" s="388"/>
      <c r="AF1" s="388"/>
      <c r="AG1" s="388"/>
      <c r="AH1" s="388"/>
      <c r="AI1" s="388"/>
      <c r="AJ1" s="388"/>
      <c r="AK1" s="388"/>
      <c r="AL1" s="388"/>
      <c r="AM1" s="388"/>
      <c r="AN1" s="388"/>
      <c r="AO1" s="388"/>
      <c r="AP1" s="388"/>
      <c r="AQ1" s="388"/>
      <c r="AR1" s="388"/>
      <c r="AS1" s="388"/>
      <c r="AT1" s="388"/>
      <c r="AU1" s="388"/>
      <c r="AV1" s="388"/>
      <c r="AW1" s="388"/>
      <c r="AX1" s="388"/>
    </row>
    <row r="2" spans="1:50" ht="53.25" customHeight="1" x14ac:dyDescent="0.15">
      <c r="A2" s="382"/>
      <c r="B2" s="382"/>
      <c r="C2" s="382"/>
      <c r="D2" s="382"/>
      <c r="E2" s="382"/>
      <c r="F2" s="382"/>
      <c r="G2" s="382"/>
      <c r="H2" s="382"/>
      <c r="I2" s="382"/>
      <c r="J2" s="382"/>
      <c r="K2" s="382"/>
      <c r="L2" s="382"/>
      <c r="M2" s="382"/>
      <c r="N2" s="382"/>
      <c r="O2" s="382"/>
      <c r="P2" s="382"/>
      <c r="Q2" s="382"/>
      <c r="R2" s="382"/>
      <c r="S2" s="382"/>
      <c r="T2" s="382"/>
      <c r="U2" s="382"/>
      <c r="V2" s="382"/>
      <c r="W2" s="382"/>
      <c r="X2" s="382"/>
      <c r="Y2" s="382"/>
      <c r="Z2" s="382"/>
      <c r="AA2" s="382"/>
      <c r="AB2" s="382"/>
      <c r="AC2" s="382"/>
      <c r="AD2" s="382"/>
      <c r="AE2" s="382"/>
      <c r="AF2" s="382"/>
      <c r="AG2" s="382"/>
      <c r="AH2" s="382"/>
      <c r="AI2" s="382"/>
      <c r="AJ2" s="382"/>
      <c r="AK2" s="382"/>
      <c r="AL2" s="382"/>
      <c r="AM2" s="382"/>
      <c r="AN2" s="382"/>
      <c r="AO2" s="382"/>
      <c r="AP2" s="382"/>
      <c r="AQ2" s="382"/>
      <c r="AR2" s="382"/>
      <c r="AS2" s="382"/>
      <c r="AT2" s="382"/>
      <c r="AU2" s="382"/>
      <c r="AV2" s="382"/>
      <c r="AW2" s="382"/>
      <c r="AX2" s="382"/>
    </row>
    <row r="3" spans="1:50" s="54" customFormat="1" ht="16" x14ac:dyDescent="0.15">
      <c r="B3" s="53"/>
      <c r="C3" s="53"/>
      <c r="D3" s="53"/>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row>
    <row r="4" spans="1:50" ht="30" x14ac:dyDescent="0.15">
      <c r="B4" s="39" t="s">
        <v>999</v>
      </c>
    </row>
    <row r="5" spans="1:50" ht="15" x14ac:dyDescent="0.15">
      <c r="B5" s="60" t="s">
        <v>24</v>
      </c>
      <c r="P5" s="43"/>
      <c r="Q5" s="43"/>
    </row>
    <row r="6" spans="1:50" x14ac:dyDescent="0.15">
      <c r="B6" s="52"/>
    </row>
    <row r="8" spans="1:50" ht="28.5" customHeight="1" x14ac:dyDescent="0.15">
      <c r="B8" s="156" t="str">
        <f>HLOOKUP($B$5,Region_Table,2,0)</f>
        <v>Barking and Dagenham and Havering</v>
      </c>
      <c r="C8" s="367" t="s">
        <v>1163</v>
      </c>
      <c r="D8" s="368"/>
      <c r="E8" s="368"/>
      <c r="F8" s="368"/>
      <c r="G8" s="368"/>
      <c r="H8" s="368"/>
      <c r="I8" s="368"/>
      <c r="J8" s="368"/>
      <c r="K8" s="368"/>
      <c r="L8" s="368"/>
      <c r="M8" s="377"/>
      <c r="N8" s="377"/>
      <c r="O8" s="378"/>
      <c r="P8" s="371">
        <f>SUMIFS('caseload data'!V:V,'caseload data'!B:B,"custody",'caseload data'!C:C,'custody caseload'!B8)</f>
        <v>0</v>
      </c>
      <c r="Q8" s="379"/>
      <c r="R8" s="380"/>
      <c r="S8" s="73"/>
      <c r="T8" s="156" t="str">
        <f>HLOOKUP($B$5,Region_Table,3,0)</f>
        <v>Brent - N07</v>
      </c>
      <c r="U8" s="367" t="s">
        <v>1163</v>
      </c>
      <c r="V8" s="368"/>
      <c r="W8" s="368"/>
      <c r="X8" s="368"/>
      <c r="Y8" s="368"/>
      <c r="Z8" s="368"/>
      <c r="AA8" s="368"/>
      <c r="AB8" s="368"/>
      <c r="AC8" s="368"/>
      <c r="AD8" s="368"/>
      <c r="AE8" s="377"/>
      <c r="AF8" s="377"/>
      <c r="AG8" s="378"/>
      <c r="AH8" s="371">
        <f>SUMIFS('caseload data'!V:V,'caseload data'!B:B,"custody",'caseload data'!C:C,'custody caseload'!T8)</f>
        <v>0</v>
      </c>
      <c r="AI8" s="379"/>
      <c r="AJ8" s="380"/>
    </row>
    <row r="9" spans="1:50" x14ac:dyDescent="0.15">
      <c r="B9" s="105" t="s">
        <v>1065</v>
      </c>
      <c r="C9" s="41" t="s">
        <v>922</v>
      </c>
      <c r="D9" s="41" t="s">
        <v>923</v>
      </c>
      <c r="E9" s="41" t="s">
        <v>924</v>
      </c>
      <c r="F9" s="41" t="s">
        <v>925</v>
      </c>
      <c r="G9" s="41" t="s">
        <v>926</v>
      </c>
      <c r="H9" s="41" t="s">
        <v>927</v>
      </c>
      <c r="I9" s="41" t="s">
        <v>928</v>
      </c>
      <c r="J9" s="41" t="s">
        <v>929</v>
      </c>
      <c r="K9" s="41" t="s">
        <v>930</v>
      </c>
      <c r="L9" s="41" t="s">
        <v>931</v>
      </c>
      <c r="M9" s="41" t="s">
        <v>932</v>
      </c>
      <c r="N9" s="41" t="s">
        <v>933</v>
      </c>
      <c r="O9" s="41" t="s">
        <v>934</v>
      </c>
      <c r="P9" s="41" t="s">
        <v>935</v>
      </c>
      <c r="Q9" s="41" t="s">
        <v>936</v>
      </c>
      <c r="R9" s="41" t="s">
        <v>937</v>
      </c>
      <c r="S9" s="73"/>
      <c r="T9" s="105" t="s">
        <v>1065</v>
      </c>
      <c r="U9" s="41" t="s">
        <v>922</v>
      </c>
      <c r="V9" s="41" t="s">
        <v>923</v>
      </c>
      <c r="W9" s="41" t="s">
        <v>924</v>
      </c>
      <c r="X9" s="41" t="s">
        <v>925</v>
      </c>
      <c r="Y9" s="41" t="s">
        <v>926</v>
      </c>
      <c r="Z9" s="41" t="s">
        <v>927</v>
      </c>
      <c r="AA9" s="41" t="s">
        <v>928</v>
      </c>
      <c r="AB9" s="41" t="s">
        <v>929</v>
      </c>
      <c r="AC9" s="41" t="s">
        <v>930</v>
      </c>
      <c r="AD9" s="41" t="s">
        <v>931</v>
      </c>
      <c r="AE9" s="41" t="s">
        <v>932</v>
      </c>
      <c r="AF9" s="41" t="s">
        <v>933</v>
      </c>
      <c r="AG9" s="41" t="s">
        <v>934</v>
      </c>
      <c r="AH9" s="41" t="s">
        <v>935</v>
      </c>
      <c r="AI9" s="41" t="s">
        <v>936</v>
      </c>
      <c r="AJ9" s="41" t="s">
        <v>937</v>
      </c>
    </row>
    <row r="10" spans="1:50" x14ac:dyDescent="0.15">
      <c r="B10" s="106" t="s">
        <v>911</v>
      </c>
      <c r="C10" s="104">
        <f>SUMIFS('caseload data'!E:E,'caseload data'!$D:$D,"PO",'caseload data'!$C:$C,'custody caseload'!$B$8,'caseload data'!$B:$B,"custody")</f>
        <v>0</v>
      </c>
      <c r="D10" s="104">
        <f>SUMIFS('caseload data'!F:F,'caseload data'!$D:$D,"PO",'caseload data'!$C:$C,'custody caseload'!$B$8,'caseload data'!$B:$B,"custody")</f>
        <v>0</v>
      </c>
      <c r="E10" s="104">
        <f>SUMIFS('caseload data'!G:G,'caseload data'!$D:$D,"PO",'caseload data'!$C:$C,'custody caseload'!$B$8,'caseload data'!$B:$B,"custody")</f>
        <v>0</v>
      </c>
      <c r="F10" s="104">
        <f>SUMIFS('caseload data'!H:H,'caseload data'!$D:$D,"PO",'caseload data'!$C:$C,'custody caseload'!$B$8,'caseload data'!$B:$B,"custody")</f>
        <v>0</v>
      </c>
      <c r="G10" s="104">
        <f>SUMIFS('caseload data'!I:I,'caseload data'!$D:$D,"PO",'caseload data'!$C:$C,'custody caseload'!$B$8,'caseload data'!$B:$B,"custody")</f>
        <v>0</v>
      </c>
      <c r="H10" s="104">
        <f>SUMIFS('caseload data'!J:J,'caseload data'!$D:$D,"PO",'caseload data'!$C:$C,'custody caseload'!$B$8,'caseload data'!$B:$B,"custody")</f>
        <v>0</v>
      </c>
      <c r="I10" s="104">
        <f>SUMIFS('caseload data'!K:K,'caseload data'!$D:$D,"PO",'caseload data'!$C:$C,'custody caseload'!$B$8,'caseload data'!$B:$B,"custody")</f>
        <v>0</v>
      </c>
      <c r="J10" s="104">
        <f>SUMIFS('caseload data'!L:L,'caseload data'!$D:$D,"PO",'caseload data'!$C:$C,'custody caseload'!$B$8,'caseload data'!$B:$B,"custody")</f>
        <v>0</v>
      </c>
      <c r="K10" s="104">
        <f>SUMIFS('caseload data'!M:M,'caseload data'!$D:$D,"PO",'caseload data'!$C:$C,'custody caseload'!$B$8,'caseload data'!$B:$B,"custody")</f>
        <v>0</v>
      </c>
      <c r="L10" s="104">
        <f>SUMIFS('caseload data'!N:N,'caseload data'!$D:$D,"PO",'caseload data'!$C:$C,'custody caseload'!$B$8,'caseload data'!$B:$B,"custody")</f>
        <v>0</v>
      </c>
      <c r="M10" s="104">
        <f>SUMIFS('caseload data'!O:O,'caseload data'!$D:$D,"PO",'caseload data'!$C:$C,'custody caseload'!$B$8,'caseload data'!$B:$B,"custody")</f>
        <v>0</v>
      </c>
      <c r="N10" s="104">
        <f>SUMIFS('caseload data'!P:P,'caseload data'!$D:$D,"PO",'caseload data'!$C:$C,'custody caseload'!$B$8,'caseload data'!$B:$B,"custody")</f>
        <v>0</v>
      </c>
      <c r="O10" s="104">
        <f>SUMIFS('caseload data'!Q:Q,'caseload data'!$D:$D,"PO",'caseload data'!$C:$C,'custody caseload'!$B$8,'caseload data'!$B:$B,"custody")</f>
        <v>0</v>
      </c>
      <c r="P10" s="104">
        <f>SUMIFS('caseload data'!R:R,'caseload data'!$D:$D,"PO",'caseload data'!$C:$C,'custody caseload'!$B$8,'caseload data'!$B:$B,"custody")</f>
        <v>0</v>
      </c>
      <c r="Q10" s="104">
        <f>SUMIFS('caseload data'!S:S,'caseload data'!$D:$D,"PO",'caseload data'!$C:$C,'custody caseload'!$B$8,'caseload data'!$B:$B,"custody")</f>
        <v>0</v>
      </c>
      <c r="R10" s="104">
        <f>SUMIFS('caseload data'!T:T,'caseload data'!$D:$D,"PO",'caseload data'!$C:$C,'custody caseload'!$B$8,'caseload data'!$B:$B,"custody")</f>
        <v>0</v>
      </c>
      <c r="S10" s="73"/>
      <c r="T10" s="106" t="s">
        <v>911</v>
      </c>
      <c r="U10" s="104">
        <f>SUMIFS('caseload data'!E:E,'caseload data'!$D:$D,"PO",'caseload data'!$C:$C,'custody caseload'!$T$8,'caseload data'!$B:$B,"custody")</f>
        <v>0</v>
      </c>
      <c r="V10" s="104">
        <f>SUMIFS('caseload data'!F:F,'caseload data'!$D:$D,"PO",'caseload data'!$C:$C,'custody caseload'!$T$8,'caseload data'!$B:$B,"custody")</f>
        <v>0</v>
      </c>
      <c r="W10" s="104">
        <f>SUMIFS('caseload data'!G:G,'caseload data'!$D:$D,"PO",'caseload data'!$C:$C,'custody caseload'!$T$8,'caseload data'!$B:$B,"custody")</f>
        <v>0</v>
      </c>
      <c r="X10" s="104">
        <f>SUMIFS('caseload data'!H:H,'caseload data'!$D:$D,"PO",'caseload data'!$C:$C,'custody caseload'!$T$8,'caseload data'!$B:$B,"custody")</f>
        <v>0</v>
      </c>
      <c r="Y10" s="104">
        <f>SUMIFS('caseload data'!I:I,'caseload data'!$D:$D,"PO",'caseload data'!$C:$C,'custody caseload'!$T$8,'caseload data'!$B:$B,"custody")</f>
        <v>0</v>
      </c>
      <c r="Z10" s="104">
        <f>SUMIFS('caseload data'!J:J,'caseload data'!$D:$D,"PO",'caseload data'!$C:$C,'custody caseload'!$T$8,'caseload data'!$B:$B,"custody")</f>
        <v>0</v>
      </c>
      <c r="AA10" s="104">
        <f>SUMIFS('caseload data'!K:K,'caseload data'!$D:$D,"PO",'caseload data'!$C:$C,'custody caseload'!$T$8,'caseload data'!$B:$B,"custody")</f>
        <v>0</v>
      </c>
      <c r="AB10" s="104">
        <f>SUMIFS('caseload data'!L:L,'caseload data'!$D:$D,"PO",'caseload data'!$C:$C,'custody caseload'!$T$8,'caseload data'!$B:$B,"custody")</f>
        <v>0</v>
      </c>
      <c r="AC10" s="104">
        <f>SUMIFS('caseload data'!M:M,'caseload data'!$D:$D,"PO",'caseload data'!$C:$C,'custody caseload'!$T$8,'caseload data'!$B:$B,"custody")</f>
        <v>0</v>
      </c>
      <c r="AD10" s="104">
        <f>SUMIFS('caseload data'!N:N,'caseload data'!$D:$D,"PO",'caseload data'!$C:$C,'custody caseload'!$T$8,'caseload data'!$B:$B,"custody")</f>
        <v>0</v>
      </c>
      <c r="AE10" s="104">
        <f>SUMIFS('caseload data'!O:O,'caseload data'!$D:$D,"PO",'caseload data'!$C:$C,'custody caseload'!$T$8,'caseload data'!$B:$B,"custody")</f>
        <v>0</v>
      </c>
      <c r="AF10" s="104">
        <f>SUMIFS('caseload data'!P:P,'caseload data'!$D:$D,"PO",'caseload data'!$C:$C,'custody caseload'!$T$8,'caseload data'!$B:$B,"custody")</f>
        <v>0</v>
      </c>
      <c r="AG10" s="104">
        <f>SUMIFS('caseload data'!Q:Q,'caseload data'!$D:$D,"PO",'caseload data'!$C:$C,'custody caseload'!$T$8,'caseload data'!$B:$B,"custody")</f>
        <v>0</v>
      </c>
      <c r="AH10" s="104">
        <f>SUMIFS('caseload data'!R:R,'caseload data'!$D:$D,"PO",'caseload data'!$C:$C,'custody caseload'!$T$8,'caseload data'!$B:$B,"custody")</f>
        <v>0</v>
      </c>
      <c r="AI10" s="104">
        <f>SUMIFS('caseload data'!S:S,'caseload data'!$D:$D,"PO",'caseload data'!$C:$C,'custody caseload'!$T$8,'caseload data'!$B:$B,"custody")</f>
        <v>0</v>
      </c>
      <c r="AJ10" s="104">
        <f>SUMIFS('caseload data'!T:T,'caseload data'!$D:$D,"PO",'caseload data'!$C:$C,'custody caseload'!$T$8,'caseload data'!$B:$B,"custody")</f>
        <v>0</v>
      </c>
    </row>
    <row r="11" spans="1:50" ht="15" x14ac:dyDescent="0.2">
      <c r="B11" s="107" t="s">
        <v>912</v>
      </c>
      <c r="C11" s="159">
        <f>SUMIFS('caseload data'!E:E,'caseload data'!$D:$D,"PSO",'caseload data'!$C:$C,'custody caseload'!$B$8,'caseload data'!$B:$B,"custody")</f>
        <v>0</v>
      </c>
      <c r="D11" s="159">
        <f>SUMIFS('caseload data'!F:F,'caseload data'!$D:$D,"PSO",'caseload data'!$C:$C,'custody caseload'!$B$8,'caseload data'!$B:$B,"custody")</f>
        <v>0</v>
      </c>
      <c r="E11" s="159">
        <f>SUMIFS('caseload data'!G:G,'caseload data'!$D:$D,"PSO",'caseload data'!$C:$C,'custody caseload'!$B$8,'caseload data'!$B:$B,"custody")</f>
        <v>0</v>
      </c>
      <c r="F11" s="159">
        <f>SUMIFS('caseload data'!H:H,'caseload data'!$D:$D,"PSO",'caseload data'!$C:$C,'custody caseload'!$B$8,'caseload data'!$B:$B,"custody")</f>
        <v>0</v>
      </c>
      <c r="G11" s="159">
        <f>SUMIFS('caseload data'!I:I,'caseload data'!$D:$D,"PSO",'caseload data'!$C:$C,'custody caseload'!$B$8,'caseload data'!$B:$B,"custody")</f>
        <v>0</v>
      </c>
      <c r="H11" s="159">
        <f>SUMIFS('caseload data'!J:J,'caseload data'!$D:$D,"PSO",'caseload data'!$C:$C,'custody caseload'!$B$8,'caseload data'!$B:$B,"custody")</f>
        <v>0</v>
      </c>
      <c r="I11" s="159">
        <f>SUMIFS('caseload data'!K:K,'caseload data'!$D:$D,"PSO",'caseload data'!$C:$C,'custody caseload'!$B$8,'caseload data'!$B:$B,"custody")</f>
        <v>0</v>
      </c>
      <c r="J11" s="159">
        <f>SUMIFS('caseload data'!L:L,'caseload data'!$D:$D,"PSO",'caseload data'!$C:$C,'custody caseload'!$B$8,'caseload data'!$B:$B,"custody")</f>
        <v>0</v>
      </c>
      <c r="K11" s="104">
        <f>SUMIFS('caseload data'!M:M,'caseload data'!$D:$D,"PSO",'caseload data'!$C:$C,'custody caseload'!$B$8,'caseload data'!$B:$B,"custody")</f>
        <v>0</v>
      </c>
      <c r="L11" s="104">
        <f>SUMIFS('caseload data'!N:N,'caseload data'!$D:$D,"PSO",'caseload data'!$C:$C,'custody caseload'!$B$8,'caseload data'!$B:$B,"custody")</f>
        <v>0</v>
      </c>
      <c r="M11" s="104">
        <f>SUMIFS('caseload data'!O:O,'caseload data'!$D:$D,"PSO",'caseload data'!$C:$C,'custody caseload'!$B$8,'caseload data'!$B:$B,"custody")</f>
        <v>0</v>
      </c>
      <c r="N11" s="104">
        <f>SUMIFS('caseload data'!P:P,'caseload data'!$D:$D,"PSO",'caseload data'!$C:$C,'custody caseload'!$B$8,'caseload data'!$B:$B,"custody")</f>
        <v>0</v>
      </c>
      <c r="O11" s="104">
        <f>SUMIFS('caseload data'!Q:Q,'caseload data'!$D:$D,"PSO",'caseload data'!$C:$C,'custody caseload'!$B$8,'caseload data'!$B:$B,"custody")</f>
        <v>0</v>
      </c>
      <c r="P11" s="104">
        <f>SUMIFS('caseload data'!R:R,'caseload data'!$D:$D,"PSO",'caseload data'!$C:$C,'custody caseload'!$B$8,'caseload data'!$B:$B,"custody")</f>
        <v>0</v>
      </c>
      <c r="Q11" s="104">
        <f>SUMIFS('caseload data'!S:S,'caseload data'!$D:$D,"PSO",'caseload data'!$C:$C,'custody caseload'!$B$8,'caseload data'!$B:$B,"custody")</f>
        <v>0</v>
      </c>
      <c r="R11" s="104">
        <f>SUMIFS('caseload data'!T:T,'caseload data'!$D:$D,"PSO",'caseload data'!$C:$C,'custody caseload'!$B$8,'caseload data'!$B:$B,"custody")</f>
        <v>0</v>
      </c>
      <c r="S11" s="73"/>
      <c r="T11" s="107" t="s">
        <v>912</v>
      </c>
      <c r="U11" s="159">
        <f>SUMIFS('caseload data'!E:E,'caseload data'!$D:$D,"PSO",'caseload data'!$C:$C,'custody caseload'!$T$8,'caseload data'!$B:$B,"custody")</f>
        <v>0</v>
      </c>
      <c r="V11" s="159">
        <f>SUMIFS('caseload data'!F:F,'caseload data'!$D:$D,"PSO",'caseload data'!$C:$C,'custody caseload'!$T$8,'caseload data'!$B:$B,"custody")</f>
        <v>0</v>
      </c>
      <c r="W11" s="159">
        <f>SUMIFS('caseload data'!G:G,'caseload data'!$D:$D,"PSO",'caseload data'!$C:$C,'custody caseload'!$T$8,'caseload data'!$B:$B,"custody")</f>
        <v>0</v>
      </c>
      <c r="X11" s="159">
        <f>SUMIFS('caseload data'!H:H,'caseload data'!$D:$D,"PSO",'caseload data'!$C:$C,'custody caseload'!$T$8,'caseload data'!$B:$B,"custody")</f>
        <v>0</v>
      </c>
      <c r="Y11" s="159">
        <f>SUMIFS('caseload data'!I:I,'caseload data'!$D:$D,"PSO",'caseload data'!$C:$C,'custody caseload'!$T$8,'caseload data'!$B:$B,"custody")</f>
        <v>0</v>
      </c>
      <c r="Z11" s="159">
        <f>SUMIFS('caseload data'!J:J,'caseload data'!$D:$D,"PSO",'caseload data'!$C:$C,'custody caseload'!$T$8,'caseload data'!$B:$B,"custody")</f>
        <v>0</v>
      </c>
      <c r="AA11" s="159">
        <f>SUMIFS('caseload data'!K:K,'caseload data'!$D:$D,"PSO",'caseload data'!$C:$C,'custody caseload'!$T$8,'caseload data'!$B:$B,"custody")</f>
        <v>0</v>
      </c>
      <c r="AB11" s="159">
        <f>SUMIFS('caseload data'!L:L,'caseload data'!$D:$D,"PSO",'caseload data'!$C:$C,'custody caseload'!$T$8,'caseload data'!$B:$B,"custody")</f>
        <v>0</v>
      </c>
      <c r="AC11" s="104">
        <f>SUMIFS('caseload data'!M:M,'caseload data'!$D:$D,"PSO",'caseload data'!$C:$C,'custody caseload'!$T$8,'caseload data'!$B:$B,"custody")</f>
        <v>0</v>
      </c>
      <c r="AD11" s="104">
        <f>SUMIFS('caseload data'!N:N,'caseload data'!$D:$D,"PSO",'caseload data'!$C:$C,'custody caseload'!$T$8,'caseload data'!$B:$B,"custody")</f>
        <v>0</v>
      </c>
      <c r="AE11" s="104">
        <f>SUMIFS('caseload data'!O:O,'caseload data'!$D:$D,"PSO",'caseload data'!$C:$C,'custody caseload'!$T$8,'caseload data'!$B:$B,"custody")</f>
        <v>0</v>
      </c>
      <c r="AF11" s="104">
        <f>SUMIFS('caseload data'!P:P,'caseload data'!$D:$D,"PSO",'caseload data'!$C:$C,'custody caseload'!$T$8,'caseload data'!$B:$B,"custody")</f>
        <v>0</v>
      </c>
      <c r="AG11" s="104">
        <f>SUMIFS('caseload data'!Q:Q,'caseload data'!$D:$D,"PSO",'caseload data'!$C:$C,'custody caseload'!$T$8,'caseload data'!$B:$B,"custody")</f>
        <v>0</v>
      </c>
      <c r="AH11" s="104">
        <f>SUMIFS('caseload data'!R:R,'caseload data'!$D:$D,"PSO",'caseload data'!$C:$C,'custody caseload'!$T$8,'caseload data'!$B:$B,"custody")</f>
        <v>0</v>
      </c>
      <c r="AI11" s="104">
        <f>SUMIFS('caseload data'!S:S,'caseload data'!$D:$D,"PSO",'caseload data'!$C:$C,'custody caseload'!$T$8,'caseload data'!$B:$B,"custody")</f>
        <v>0</v>
      </c>
      <c r="AJ11" s="104">
        <f>SUMIFS('caseload data'!T:T,'caseload data'!$D:$D,"PSO",'caseload data'!$C:$C,'custody caseload'!$T$8,'caseload data'!$B:$B,"custody")</f>
        <v>0</v>
      </c>
    </row>
    <row r="12" spans="1:50" ht="15" x14ac:dyDescent="0.2">
      <c r="B12" s="107" t="s">
        <v>913</v>
      </c>
      <c r="C12" s="159">
        <f>SUMIFS('caseload data'!E:E,'caseload data'!$D:$D,"TPO",'caseload data'!$C:$C,'custody caseload'!$B$8,'caseload data'!$B:$B,"custody")</f>
        <v>0</v>
      </c>
      <c r="D12" s="159">
        <f>SUMIFS('caseload data'!F:F,'caseload data'!$D:$D,"TPO",'caseload data'!$C:$C,'custody caseload'!$B$8,'caseload data'!$B:$B,"custody")</f>
        <v>0</v>
      </c>
      <c r="E12" s="159">
        <f>SUMIFS('caseload data'!G:G,'caseload data'!$D:$D,"TPO",'caseload data'!$C:$C,'custody caseload'!$B$8,'caseload data'!$B:$B,"custody")</f>
        <v>0</v>
      </c>
      <c r="F12" s="159">
        <f>SUMIFS('caseload data'!H:H,'caseload data'!$D:$D,"TPO",'caseload data'!$C:$C,'custody caseload'!$B$8,'caseload data'!$B:$B,"custody")</f>
        <v>0</v>
      </c>
      <c r="G12" s="159">
        <f>SUMIFS('caseload data'!I:I,'caseload data'!$D:$D,"TPO",'caseload data'!$C:$C,'custody caseload'!$B$8,'caseload data'!$B:$B,"custody")</f>
        <v>0</v>
      </c>
      <c r="H12" s="159">
        <f>SUMIFS('caseload data'!J:J,'caseload data'!$D:$D,"TPO",'caseload data'!$C:$C,'custody caseload'!$B$8,'caseload data'!$B:$B,"custody")</f>
        <v>0</v>
      </c>
      <c r="I12" s="159">
        <f>SUMIFS('caseload data'!K:K,'caseload data'!$D:$D,"TPO",'caseload data'!$C:$C,'custody caseload'!$B$8,'caseload data'!$B:$B,"custody")</f>
        <v>0</v>
      </c>
      <c r="J12" s="159">
        <f>SUMIFS('caseload data'!L:L,'caseload data'!$D:$D,"TPO",'caseload data'!$C:$C,'custody caseload'!$B$8,'caseload data'!$B:$B,"custody")</f>
        <v>0</v>
      </c>
      <c r="K12" s="104">
        <f>SUMIFS('caseload data'!M:M,'caseload data'!$D:$D,"TPO",'caseload data'!$C:$C,'custody caseload'!$B$8,'caseload data'!$B:$B,"custody")</f>
        <v>0</v>
      </c>
      <c r="L12" s="104">
        <f>SUMIFS('caseload data'!N:N,'caseload data'!$D:$D,"TPO",'caseload data'!$C:$C,'custody caseload'!$B$8,'caseload data'!$B:$B,"custody")</f>
        <v>0</v>
      </c>
      <c r="M12" s="104">
        <f>SUMIFS('caseload data'!O:O,'caseload data'!$D:$D,"TPO",'caseload data'!$C:$C,'custody caseload'!$B$8,'caseload data'!$B:$B,"custody")</f>
        <v>0</v>
      </c>
      <c r="N12" s="104">
        <f>SUMIFS('caseload data'!P:P,'caseload data'!$D:$D,"TPO",'caseload data'!$C:$C,'custody caseload'!$B$8,'caseload data'!$B:$B,"custody")</f>
        <v>0</v>
      </c>
      <c r="O12" s="104">
        <f>SUMIFS('caseload data'!Q:Q,'caseload data'!$D:$D,"TPO",'caseload data'!$C:$C,'custody caseload'!$B$8,'caseload data'!$B:$B,"custody")</f>
        <v>0</v>
      </c>
      <c r="P12" s="104">
        <f>SUMIFS('caseload data'!R:R,'caseload data'!$D:$D,"TPO",'caseload data'!$C:$C,'custody caseload'!$B$8,'caseload data'!$B:$B,"custody")</f>
        <v>0</v>
      </c>
      <c r="Q12" s="104">
        <f>SUMIFS('caseload data'!S:S,'caseload data'!$D:$D,"TPO",'caseload data'!$C:$C,'custody caseload'!$B$8,'caseload data'!$B:$B,"custody")</f>
        <v>0</v>
      </c>
      <c r="R12" s="104">
        <f>SUMIFS('caseload data'!T:T,'caseload data'!$D:$D,"TPO",'caseload data'!$C:$C,'custody caseload'!$B$8,'caseload data'!$B:$B,"custody")</f>
        <v>0</v>
      </c>
      <c r="S12" s="73"/>
      <c r="T12" s="107" t="s">
        <v>913</v>
      </c>
      <c r="U12" s="159">
        <f>SUMIFS('caseload data'!E:E,'caseload data'!$D:$D,"TPO",'caseload data'!$C:$C,'custody caseload'!$T$8,'caseload data'!$B:$B,"custody")</f>
        <v>0</v>
      </c>
      <c r="V12" s="159">
        <f>SUMIFS('caseload data'!F:F,'caseload data'!$D:$D,"TPO",'caseload data'!$C:$C,'custody caseload'!$T$8,'caseload data'!$B:$B,"custody")</f>
        <v>0</v>
      </c>
      <c r="W12" s="159">
        <f>SUMIFS('caseload data'!G:G,'caseload data'!$D:$D,"TPO",'caseload data'!$C:$C,'custody caseload'!$T$8,'caseload data'!$B:$B,"custody")</f>
        <v>0</v>
      </c>
      <c r="X12" s="159">
        <f>SUMIFS('caseload data'!H:H,'caseload data'!$D:$D,"TPO",'caseload data'!$C:$C,'custody caseload'!$T$8,'caseload data'!$B:$B,"custody")</f>
        <v>0</v>
      </c>
      <c r="Y12" s="159">
        <f>SUMIFS('caseload data'!I:I,'caseload data'!$D:$D,"TPO",'caseload data'!$C:$C,'custody caseload'!$T$8,'caseload data'!$B:$B,"custody")</f>
        <v>0</v>
      </c>
      <c r="Z12" s="159">
        <f>SUMIFS('caseload data'!J:J,'caseload data'!$D:$D,"TPO",'caseload data'!$C:$C,'custody caseload'!$T$8,'caseload data'!$B:$B,"custody")</f>
        <v>0</v>
      </c>
      <c r="AA12" s="159">
        <f>SUMIFS('caseload data'!K:K,'caseload data'!$D:$D,"TPO",'caseload data'!$C:$C,'custody caseload'!$T$8,'caseload data'!$B:$B,"custody")</f>
        <v>0</v>
      </c>
      <c r="AB12" s="159">
        <f>SUMIFS('caseload data'!L:L,'caseload data'!$D:$D,"TPO",'caseload data'!$C:$C,'custody caseload'!$T$8,'caseload data'!$B:$B,"custody")</f>
        <v>0</v>
      </c>
      <c r="AC12" s="104">
        <f>SUMIFS('caseload data'!M:M,'caseload data'!$D:$D,"TPO",'caseload data'!$C:$C,'custody caseload'!$T$8,'caseload data'!$B:$B,"custody")</f>
        <v>0</v>
      </c>
      <c r="AD12" s="104">
        <f>SUMIFS('caseload data'!N:N,'caseload data'!$D:$D,"TPO",'caseload data'!$C:$C,'custody caseload'!$T$8,'caseload data'!$B:$B,"custody")</f>
        <v>0</v>
      </c>
      <c r="AE12" s="104">
        <f>SUMIFS('caseload data'!O:O,'caseload data'!$D:$D,"TPO",'caseload data'!$C:$C,'custody caseload'!$T$8,'caseload data'!$B:$B,"custody")</f>
        <v>0</v>
      </c>
      <c r="AF12" s="104">
        <f>SUMIFS('caseload data'!P:P,'caseload data'!$D:$D,"TPO",'caseload data'!$C:$C,'custody caseload'!$T$8,'caseload data'!$B:$B,"custody")</f>
        <v>0</v>
      </c>
      <c r="AG12" s="104">
        <f>SUMIFS('caseload data'!Q:Q,'caseload data'!$D:$D,"TPO",'caseload data'!$C:$C,'custody caseload'!$T$8,'caseload data'!$B:$B,"custody")</f>
        <v>0</v>
      </c>
      <c r="AH12" s="104">
        <f>SUMIFS('caseload data'!R:R,'caseload data'!$D:$D,"TPO",'caseload data'!$C:$C,'custody caseload'!$T$8,'caseload data'!$B:$B,"custody")</f>
        <v>0</v>
      </c>
      <c r="AI12" s="104">
        <f>SUMIFS('caseload data'!S:S,'caseload data'!$D:$D,"TPO",'caseload data'!$C:$C,'custody caseload'!$T$8,'caseload data'!$B:$B,"custody")</f>
        <v>0</v>
      </c>
      <c r="AJ12" s="104">
        <f>SUMIFS('caseload data'!T:T,'caseload data'!$D:$D,"TPO",'caseload data'!$C:$C,'custody caseload'!$T$8,'caseload data'!$B:$B,"custody")</f>
        <v>0</v>
      </c>
    </row>
    <row r="13" spans="1:50" x14ac:dyDescent="0.15">
      <c r="B13" s="108" t="s">
        <v>914</v>
      </c>
      <c r="C13" s="104">
        <f>SUMIFS('caseload data'!E:E,'caseload data'!$D:$D,"SPO",'caseload data'!$C:$C,'custody caseload'!$B$8,'caseload data'!$B:$B,"custody")</f>
        <v>0</v>
      </c>
      <c r="D13" s="104">
        <f>SUMIFS('caseload data'!F:F,'caseload data'!$D:$D,"SPO",'caseload data'!$C:$C,'custody caseload'!$B$8,'caseload data'!$B:$B,"custody")</f>
        <v>0</v>
      </c>
      <c r="E13" s="104">
        <f>SUMIFS('caseload data'!G:G,'caseload data'!$D:$D,"SPO",'caseload data'!$C:$C,'custody caseload'!$B$8,'caseload data'!$B:$B,"custody")</f>
        <v>0</v>
      </c>
      <c r="F13" s="104">
        <f>SUMIFS('caseload data'!H:H,'caseload data'!$D:$D,"SPO",'caseload data'!$C:$C,'custody caseload'!$B$8,'caseload data'!$B:$B,"custody")</f>
        <v>0</v>
      </c>
      <c r="G13" s="104">
        <f>SUMIFS('caseload data'!I:I,'caseload data'!$D:$D,"SPO",'caseload data'!$C:$C,'custody caseload'!$B$8,'caseload data'!$B:$B,"custody")</f>
        <v>0</v>
      </c>
      <c r="H13" s="104">
        <f>SUMIFS('caseload data'!J:J,'caseload data'!$D:$D,"SPO",'caseload data'!$C:$C,'custody caseload'!$B$8,'caseload data'!$B:$B,"custody")</f>
        <v>0</v>
      </c>
      <c r="I13" s="104">
        <f>SUMIFS('caseload data'!K:K,'caseload data'!$D:$D,"SPO",'caseload data'!$C:$C,'custody caseload'!$B$8,'caseload data'!$B:$B,"custody")</f>
        <v>0</v>
      </c>
      <c r="J13" s="104">
        <f>SUMIFS('caseload data'!L:L,'caseload data'!$D:$D,"SPO",'caseload data'!$C:$C,'custody caseload'!$B$8,'caseload data'!$B:$B,"custody")</f>
        <v>0</v>
      </c>
      <c r="K13" s="104">
        <f>SUMIFS('caseload data'!M:M,'caseload data'!$D:$D,"SPO",'caseload data'!$C:$C,'custody caseload'!$B$8,'caseload data'!$B:$B,"custody")</f>
        <v>0</v>
      </c>
      <c r="L13" s="104">
        <f>SUMIFS('caseload data'!N:N,'caseload data'!$D:$D,"SPO",'caseload data'!$C:$C,'custody caseload'!$B$8,'caseload data'!$B:$B,"custody")</f>
        <v>0</v>
      </c>
      <c r="M13" s="104">
        <f>SUMIFS('caseload data'!O:O,'caseload data'!$D:$D,"SPO",'caseload data'!$C:$C,'custody caseload'!$B$8,'caseload data'!$B:$B,"custody")</f>
        <v>0</v>
      </c>
      <c r="N13" s="104">
        <f>SUMIFS('caseload data'!P:P,'caseload data'!$D:$D,"SPO",'caseload data'!$C:$C,'custody caseload'!$B$8,'caseload data'!$B:$B,"custody")</f>
        <v>0</v>
      </c>
      <c r="O13" s="104">
        <f>SUMIFS('caseload data'!Q:Q,'caseload data'!$D:$D,"SPO",'caseload data'!$C:$C,'custody caseload'!$B$8,'caseload data'!$B:$B,"custody")</f>
        <v>0</v>
      </c>
      <c r="P13" s="104">
        <f>SUMIFS('caseload data'!R:R,'caseload data'!$D:$D,"SPO",'caseload data'!$C:$C,'custody caseload'!$B$8,'caseload data'!$B:$B,"custody")</f>
        <v>0</v>
      </c>
      <c r="Q13" s="104">
        <f>SUMIFS('caseload data'!S:S,'caseload data'!$D:$D,"SPO",'caseload data'!$C:$C,'custody caseload'!$B$8,'caseload data'!$B:$B,"custody")</f>
        <v>0</v>
      </c>
      <c r="R13" s="104">
        <f>SUMIFS('caseload data'!T:T,'caseload data'!$D:$D,"SPO",'caseload data'!$C:$C,'custody caseload'!$B$8,'caseload data'!$B:$B,"custody")</f>
        <v>0</v>
      </c>
      <c r="S13" s="73"/>
      <c r="T13" s="108" t="s">
        <v>914</v>
      </c>
      <c r="U13" s="104">
        <f>SUMIFS('caseload data'!E:E,'caseload data'!$D:$D,"SPO",'caseload data'!$C:$C,'custody caseload'!$T$8,'caseload data'!$B:$B,"custody")</f>
        <v>0</v>
      </c>
      <c r="V13" s="104">
        <f>SUMIFS('caseload data'!F:F,'caseload data'!$D:$D,"SPO",'caseload data'!$C:$C,'custody caseload'!$T$8,'caseload data'!$B:$B,"custody")</f>
        <v>0</v>
      </c>
      <c r="W13" s="104">
        <f>SUMIFS('caseload data'!G:G,'caseload data'!$D:$D,"SPO",'caseload data'!$C:$C,'custody caseload'!$T$8,'caseload data'!$B:$B,"custody")</f>
        <v>0</v>
      </c>
      <c r="X13" s="104">
        <f>SUMIFS('caseload data'!H:H,'caseload data'!$D:$D,"SPO",'caseload data'!$C:$C,'custody caseload'!$T$8,'caseload data'!$B:$B,"custody")</f>
        <v>0</v>
      </c>
      <c r="Y13" s="104">
        <f>SUMIFS('caseload data'!I:I,'caseload data'!$D:$D,"SPO",'caseload data'!$C:$C,'custody caseload'!$T$8,'caseload data'!$B:$B,"custody")</f>
        <v>0</v>
      </c>
      <c r="Z13" s="104">
        <f>SUMIFS('caseload data'!J:J,'caseload data'!$D:$D,"SPO",'caseload data'!$C:$C,'custody caseload'!$T$8,'caseload data'!$B:$B,"custody")</f>
        <v>0</v>
      </c>
      <c r="AA13" s="104">
        <f>SUMIFS('caseload data'!K:K,'caseload data'!$D:$D,"SPO",'caseload data'!$C:$C,'custody caseload'!$T$8,'caseload data'!$B:$B,"custody")</f>
        <v>0</v>
      </c>
      <c r="AB13" s="104">
        <f>SUMIFS('caseload data'!L:L,'caseload data'!$D:$D,"SPO",'caseload data'!$C:$C,'custody caseload'!$T$8,'caseload data'!$B:$B,"custody")</f>
        <v>0</v>
      </c>
      <c r="AC13" s="104">
        <f>SUMIFS('caseload data'!M:M,'caseload data'!$D:$D,"SPO",'caseload data'!$C:$C,'custody caseload'!$T$8,'caseload data'!$B:$B,"custody")</f>
        <v>0</v>
      </c>
      <c r="AD13" s="104">
        <f>SUMIFS('caseload data'!N:N,'caseload data'!$D:$D,"SPO",'caseload data'!$C:$C,'custody caseload'!$T$8,'caseload data'!$B:$B,"custody")</f>
        <v>0</v>
      </c>
      <c r="AE13" s="104">
        <f>SUMIFS('caseload data'!O:O,'caseload data'!$D:$D,"SPO",'caseload data'!$C:$C,'custody caseload'!$T$8,'caseload data'!$B:$B,"custody")</f>
        <v>0</v>
      </c>
      <c r="AF13" s="104">
        <f>SUMIFS('caseload data'!P:P,'caseload data'!$D:$D,"SPO",'caseload data'!$C:$C,'custody caseload'!$T$8,'caseload data'!$B:$B,"custody")</f>
        <v>0</v>
      </c>
      <c r="AG13" s="104">
        <f>SUMIFS('caseload data'!Q:Q,'caseload data'!$D:$D,"SPO",'caseload data'!$C:$C,'custody caseload'!$T$8,'caseload data'!$B:$B,"custody")</f>
        <v>0</v>
      </c>
      <c r="AH13" s="104">
        <f>SUMIFS('caseload data'!R:R,'caseload data'!$D:$D,"SPO",'caseload data'!$C:$C,'custody caseload'!$T$8,'caseload data'!$B:$B,"custody")</f>
        <v>0</v>
      </c>
      <c r="AI13" s="104">
        <f>SUMIFS('caseload data'!S:S,'caseload data'!$D:$D,"SPO",'caseload data'!$C:$C,'custody caseload'!$T$8,'caseload data'!$B:$B,"custody")</f>
        <v>0</v>
      </c>
      <c r="AJ13" s="104">
        <f>SUMIFS('caseload data'!T:T,'caseload data'!$D:$D,"SPO",'caseload data'!$C:$C,'custody caseload'!$T$8,'caseload data'!$B:$B,"custody")</f>
        <v>0</v>
      </c>
    </row>
    <row r="14" spans="1:50" x14ac:dyDescent="0.15">
      <c r="B14" s="101"/>
      <c r="C14" s="73"/>
      <c r="D14" s="73"/>
      <c r="E14" s="73"/>
      <c r="F14" s="73"/>
      <c r="G14" s="73"/>
      <c r="H14" s="73"/>
      <c r="I14" s="73"/>
      <c r="J14" s="73"/>
      <c r="K14" s="73"/>
      <c r="L14" s="73"/>
      <c r="M14" s="73"/>
      <c r="N14" s="73"/>
      <c r="O14" s="73"/>
      <c r="P14" s="73"/>
      <c r="Q14" s="73"/>
      <c r="R14" s="73"/>
      <c r="S14" s="73"/>
      <c r="T14" s="101"/>
      <c r="U14" s="73"/>
      <c r="V14" s="73"/>
      <c r="W14" s="73"/>
      <c r="X14" s="73"/>
      <c r="Y14" s="73"/>
      <c r="Z14" s="73"/>
      <c r="AA14" s="73"/>
      <c r="AB14" s="73"/>
      <c r="AC14" s="73"/>
      <c r="AD14" s="73"/>
      <c r="AE14" s="73"/>
      <c r="AF14" s="73"/>
      <c r="AG14" s="73"/>
      <c r="AH14" s="73"/>
      <c r="AI14" s="73"/>
      <c r="AJ14" s="73"/>
    </row>
    <row r="15" spans="1:50" ht="30" customHeight="1" x14ac:dyDescent="0.15">
      <c r="B15" s="156" t="str">
        <f>HLOOKUP($B$5,Region_Table,4,0)</f>
        <v>Camden, Islington</v>
      </c>
      <c r="C15" s="367" t="s">
        <v>1163</v>
      </c>
      <c r="D15" s="368"/>
      <c r="E15" s="368"/>
      <c r="F15" s="368"/>
      <c r="G15" s="368"/>
      <c r="H15" s="368"/>
      <c r="I15" s="368"/>
      <c r="J15" s="368"/>
      <c r="K15" s="368"/>
      <c r="L15" s="368"/>
      <c r="M15" s="377"/>
      <c r="N15" s="377"/>
      <c r="O15" s="378"/>
      <c r="P15" s="371">
        <f>SUMIFS('caseload data'!V:V,'caseload data'!B:B,"custody",'caseload data'!$C:$C,'custody caseload'!B15)</f>
        <v>0</v>
      </c>
      <c r="Q15" s="379"/>
      <c r="R15" s="380"/>
      <c r="S15" s="73"/>
      <c r="T15" s="156" t="str">
        <f>HLOOKUP($B$5,Region_Table,5,0)</f>
        <v>Community Integration</v>
      </c>
      <c r="U15" s="367" t="s">
        <v>1163</v>
      </c>
      <c r="V15" s="368"/>
      <c r="W15" s="368"/>
      <c r="X15" s="368"/>
      <c r="Y15" s="368"/>
      <c r="Z15" s="368"/>
      <c r="AA15" s="368"/>
      <c r="AB15" s="368"/>
      <c r="AC15" s="368"/>
      <c r="AD15" s="368"/>
      <c r="AE15" s="377"/>
      <c r="AF15" s="377"/>
      <c r="AG15" s="378"/>
      <c r="AH15" s="371">
        <f>SUMIFS('caseload data'!V:V,'caseload data'!B:B,"custody",'caseload data'!$C:$C,'custody caseload'!T15)</f>
        <v>0</v>
      </c>
      <c r="AI15" s="379"/>
      <c r="AJ15" s="380"/>
    </row>
    <row r="16" spans="1:50" x14ac:dyDescent="0.15">
      <c r="B16" s="105" t="s">
        <v>1065</v>
      </c>
      <c r="C16" s="41" t="s">
        <v>922</v>
      </c>
      <c r="D16" s="41" t="s">
        <v>923</v>
      </c>
      <c r="E16" s="41" t="s">
        <v>924</v>
      </c>
      <c r="F16" s="41" t="s">
        <v>925</v>
      </c>
      <c r="G16" s="41" t="s">
        <v>926</v>
      </c>
      <c r="H16" s="41" t="s">
        <v>927</v>
      </c>
      <c r="I16" s="41" t="s">
        <v>928</v>
      </c>
      <c r="J16" s="41" t="s">
        <v>929</v>
      </c>
      <c r="K16" s="41" t="s">
        <v>930</v>
      </c>
      <c r="L16" s="41" t="s">
        <v>931</v>
      </c>
      <c r="M16" s="41" t="s">
        <v>932</v>
      </c>
      <c r="N16" s="41" t="s">
        <v>933</v>
      </c>
      <c r="O16" s="41" t="s">
        <v>934</v>
      </c>
      <c r="P16" s="41" t="s">
        <v>935</v>
      </c>
      <c r="Q16" s="41" t="s">
        <v>936</v>
      </c>
      <c r="R16" s="41" t="s">
        <v>937</v>
      </c>
      <c r="S16" s="73"/>
      <c r="T16" s="105" t="s">
        <v>1065</v>
      </c>
      <c r="U16" s="41" t="s">
        <v>922</v>
      </c>
      <c r="V16" s="41" t="s">
        <v>923</v>
      </c>
      <c r="W16" s="41" t="s">
        <v>924</v>
      </c>
      <c r="X16" s="41" t="s">
        <v>925</v>
      </c>
      <c r="Y16" s="41" t="s">
        <v>926</v>
      </c>
      <c r="Z16" s="41" t="s">
        <v>927</v>
      </c>
      <c r="AA16" s="41" t="s">
        <v>928</v>
      </c>
      <c r="AB16" s="41" t="s">
        <v>929</v>
      </c>
      <c r="AC16" s="41" t="s">
        <v>930</v>
      </c>
      <c r="AD16" s="41" t="s">
        <v>931</v>
      </c>
      <c r="AE16" s="41" t="s">
        <v>932</v>
      </c>
      <c r="AF16" s="41" t="s">
        <v>933</v>
      </c>
      <c r="AG16" s="41" t="s">
        <v>934</v>
      </c>
      <c r="AH16" s="41" t="s">
        <v>935</v>
      </c>
      <c r="AI16" s="41" t="s">
        <v>936</v>
      </c>
      <c r="AJ16" s="41" t="s">
        <v>937</v>
      </c>
    </row>
    <row r="17" spans="2:36" x14ac:dyDescent="0.15">
      <c r="B17" s="106" t="s">
        <v>911</v>
      </c>
      <c r="C17" s="104">
        <f>SUMIFS('caseload data'!E:E,'caseload data'!$D:$D,"PO",'caseload data'!$C:$C,'custody caseload'!$B$15,'caseload data'!$B:$B,"custody")</f>
        <v>0</v>
      </c>
      <c r="D17" s="104">
        <f>SUMIFS('caseload data'!F:F,'caseload data'!$D:$D,"PO",'caseload data'!$C:$C,'custody caseload'!$B$15,'caseload data'!$B:$B,"custody")</f>
        <v>0</v>
      </c>
      <c r="E17" s="104">
        <f>SUMIFS('caseload data'!G:G,'caseload data'!$D:$D,"PO",'caseload data'!$C:$C,'custody caseload'!$B$15,'caseload data'!$B:$B,"custody")</f>
        <v>0</v>
      </c>
      <c r="F17" s="104">
        <f>SUMIFS('caseload data'!H:H,'caseload data'!$D:$D,"PO",'caseload data'!$C:$C,'custody caseload'!$B$15,'caseload data'!$B:$B,"custody")</f>
        <v>0</v>
      </c>
      <c r="G17" s="104">
        <f>SUMIFS('caseload data'!I:I,'caseload data'!$D:$D,"PO",'caseload data'!$C:$C,'custody caseload'!$B$15,'caseload data'!$B:$B,"custody")</f>
        <v>0</v>
      </c>
      <c r="H17" s="104">
        <f>SUMIFS('caseload data'!J:J,'caseload data'!$D:$D,"PO",'caseload data'!$C:$C,'custody caseload'!$B$15,'caseload data'!$B:$B,"custody")</f>
        <v>0</v>
      </c>
      <c r="I17" s="104">
        <f>SUMIFS('caseload data'!K:K,'caseload data'!$D:$D,"PO",'caseload data'!$C:$C,'custody caseload'!$B$15,'caseload data'!$B:$B,"custody")</f>
        <v>0</v>
      </c>
      <c r="J17" s="104">
        <f>SUMIFS('caseload data'!L:L,'caseload data'!$D:$D,"PO",'caseload data'!$C:$C,'custody caseload'!$B$15,'caseload data'!$B:$B,"custody")</f>
        <v>0</v>
      </c>
      <c r="K17" s="104">
        <f>SUMIFS('caseload data'!M:M,'caseload data'!$D:$D,"PO",'caseload data'!$C:$C,'custody caseload'!$B$15,'caseload data'!$B:$B,"custody")</f>
        <v>0</v>
      </c>
      <c r="L17" s="104">
        <f>SUMIFS('caseload data'!N:N,'caseload data'!$D:$D,"PO",'caseload data'!$C:$C,'custody caseload'!$B$15,'caseload data'!$B:$B,"custody")</f>
        <v>0</v>
      </c>
      <c r="M17" s="104">
        <f>SUMIFS('caseload data'!O:O,'caseload data'!$D:$D,"PO",'caseload data'!$C:$C,'custody caseload'!$B$15,'caseload data'!$B:$B,"custody")</f>
        <v>0</v>
      </c>
      <c r="N17" s="104">
        <f>SUMIFS('caseload data'!P:P,'caseload data'!$D:$D,"PO",'caseload data'!$C:$C,'custody caseload'!$B$15,'caseload data'!$B:$B,"custody")</f>
        <v>0</v>
      </c>
      <c r="O17" s="104">
        <f>SUMIFS('caseload data'!Q:Q,'caseload data'!$D:$D,"PO",'caseload data'!$C:$C,'custody caseload'!$B$15,'caseload data'!$B:$B,"custody")</f>
        <v>0</v>
      </c>
      <c r="P17" s="104">
        <f>SUMIFS('caseload data'!R:R,'caseload data'!$D:$D,"PO",'caseload data'!$C:$C,'custody caseload'!$B$15,'caseload data'!$B:$B,"custody")</f>
        <v>0</v>
      </c>
      <c r="Q17" s="104">
        <f>SUMIFS('caseload data'!S:S,'caseload data'!$D:$D,"PO",'caseload data'!$C:$C,'custody caseload'!$B$15,'caseload data'!$B:$B,"custody")</f>
        <v>0</v>
      </c>
      <c r="R17" s="104">
        <f>SUMIFS('caseload data'!T:T,'caseload data'!$D:$D,"PO",'caseload data'!$C:$C,'custody caseload'!$B$15,'caseload data'!$B:$B,"custody")</f>
        <v>0</v>
      </c>
      <c r="S17" s="73"/>
      <c r="T17" s="106" t="s">
        <v>911</v>
      </c>
      <c r="U17" s="104">
        <f>SUMIFS('caseload data'!E:E,'caseload data'!$D:$D,"PO",'caseload data'!$C:$C,'custody caseload'!$T$15,'caseload data'!$B:$B,"custody")</f>
        <v>0</v>
      </c>
      <c r="V17" s="104">
        <f>SUMIFS('caseload data'!F:F,'caseload data'!$D:$D,"PO",'caseload data'!$C:$C,'custody caseload'!$T$15,'caseload data'!$B:$B,"custody")</f>
        <v>0</v>
      </c>
      <c r="W17" s="104">
        <f>SUMIFS('caseload data'!G:G,'caseload data'!$D:$D,"PO",'caseload data'!$C:$C,'custody caseload'!$T$15,'caseload data'!$B:$B,"custody")</f>
        <v>0</v>
      </c>
      <c r="X17" s="104">
        <f>SUMIFS('caseload data'!H:H,'caseload data'!$D:$D,"PO",'caseload data'!$C:$C,'custody caseload'!$T$15,'caseload data'!$B:$B,"custody")</f>
        <v>0</v>
      </c>
      <c r="Y17" s="104">
        <f>SUMIFS('caseload data'!I:I,'caseload data'!$D:$D,"PO",'caseload data'!$C:$C,'custody caseload'!$T$15,'caseload data'!$B:$B,"custody")</f>
        <v>0</v>
      </c>
      <c r="Z17" s="104">
        <f>SUMIFS('caseload data'!J:J,'caseload data'!$D:$D,"PO",'caseload data'!$C:$C,'custody caseload'!$T$15,'caseload data'!$B:$B,"custody")</f>
        <v>0</v>
      </c>
      <c r="AA17" s="104">
        <f>SUMIFS('caseload data'!K:K,'caseload data'!$D:$D,"PO",'caseload data'!$C:$C,'custody caseload'!$T$15,'caseload data'!$B:$B,"custody")</f>
        <v>0</v>
      </c>
      <c r="AB17" s="104">
        <f>SUMIFS('caseload data'!L:L,'caseload data'!$D:$D,"PO",'caseload data'!$C:$C,'custody caseload'!$T$15,'caseload data'!$B:$B,"custody")</f>
        <v>0</v>
      </c>
      <c r="AC17" s="104">
        <f>SUMIFS('caseload data'!M:M,'caseload data'!$D:$D,"PO",'caseload data'!$C:$C,'custody caseload'!$T$15,'caseload data'!$B:$B,"custody")</f>
        <v>0</v>
      </c>
      <c r="AD17" s="104">
        <f>SUMIFS('caseload data'!N:N,'caseload data'!$D:$D,"PO",'caseload data'!$C:$C,'custody caseload'!$T$15,'caseload data'!$B:$B,"custody")</f>
        <v>0</v>
      </c>
      <c r="AE17" s="104">
        <f>SUMIFS('caseload data'!O:O,'caseload data'!$D:$D,"PO",'caseload data'!$C:$C,'custody caseload'!$T$15,'caseload data'!$B:$B,"custody")</f>
        <v>0</v>
      </c>
      <c r="AF17" s="104">
        <f>SUMIFS('caseload data'!P:P,'caseload data'!$D:$D,"PO",'caseload data'!$C:$C,'custody caseload'!$T$15,'caseload data'!$B:$B,"custody")</f>
        <v>0</v>
      </c>
      <c r="AG17" s="104">
        <f>SUMIFS('caseload data'!Q:Q,'caseload data'!$D:$D,"PO",'caseload data'!$C:$C,'custody caseload'!$T$15,'caseload data'!$B:$B,"custody")</f>
        <v>0</v>
      </c>
      <c r="AH17" s="104">
        <f>SUMIFS('caseload data'!R:R,'caseload data'!$D:$D,"PO",'caseload data'!$C:$C,'custody caseload'!$T$15,'caseload data'!$B:$B,"custody")</f>
        <v>0</v>
      </c>
      <c r="AI17" s="104">
        <f>SUMIFS('caseload data'!S:S,'caseload data'!$D:$D,"PO",'caseload data'!$C:$C,'custody caseload'!$T$15,'caseload data'!$B:$B,"custody")</f>
        <v>0</v>
      </c>
      <c r="AJ17" s="104">
        <f>SUMIFS('caseload data'!T:T,'caseload data'!$D:$D,"PO",'caseload data'!$C:$C,'custody caseload'!$T$15,'caseload data'!$B:$B,"custody")</f>
        <v>0</v>
      </c>
    </row>
    <row r="18" spans="2:36" ht="15" x14ac:dyDescent="0.2">
      <c r="B18" s="107" t="s">
        <v>912</v>
      </c>
      <c r="C18" s="159">
        <f>SUMIFS('caseload data'!E:E,'caseload data'!$D:$D,"PSO",'caseload data'!$C:$C,'custody caseload'!$B$15,'caseload data'!$B:$B,"custody")</f>
        <v>0</v>
      </c>
      <c r="D18" s="159">
        <f>SUMIFS('caseload data'!F:F,'caseload data'!$D:$D,"PSO",'caseload data'!$C:$C,'custody caseload'!$B$15,'caseload data'!$B:$B,"custody")</f>
        <v>0</v>
      </c>
      <c r="E18" s="159">
        <f>SUMIFS('caseload data'!G:G,'caseload data'!$D:$D,"PSO",'caseload data'!$C:$C,'custody caseload'!$B$15,'caseload data'!$B:$B,"custody")</f>
        <v>0</v>
      </c>
      <c r="F18" s="159">
        <f>SUMIFS('caseload data'!H:H,'caseload data'!$D:$D,"PSO",'caseload data'!$C:$C,'custody caseload'!$B$15,'caseload data'!$B:$B,"custody")</f>
        <v>0</v>
      </c>
      <c r="G18" s="159">
        <f>SUMIFS('caseload data'!I:I,'caseload data'!$D:$D,"PSO",'caseload data'!$C:$C,'custody caseload'!$B$15,'caseload data'!$B:$B,"custody")</f>
        <v>0</v>
      </c>
      <c r="H18" s="159">
        <f>SUMIFS('caseload data'!J:J,'caseload data'!$D:$D,"PSO",'caseload data'!$C:$C,'custody caseload'!$B$15,'caseload data'!$B:$B,"custody")</f>
        <v>0</v>
      </c>
      <c r="I18" s="159">
        <f>SUMIFS('caseload data'!K:K,'caseload data'!$D:$D,"PSO",'caseload data'!$C:$C,'custody caseload'!$B$15,'caseload data'!$B:$B,"custody")</f>
        <v>0</v>
      </c>
      <c r="J18" s="159">
        <f>SUMIFS('caseload data'!L:L,'caseload data'!$D:$D,"PSO",'caseload data'!$C:$C,'custody caseload'!$B$15,'caseload data'!$B:$B,"custody")</f>
        <v>0</v>
      </c>
      <c r="K18" s="104">
        <f>SUMIFS('caseload data'!M:M,'caseload data'!$D:$D,"PSO",'caseload data'!$C:$C,'custody caseload'!$B$15,'caseload data'!$B:$B,"custody")</f>
        <v>0</v>
      </c>
      <c r="L18" s="104">
        <f>SUMIFS('caseload data'!N:N,'caseload data'!$D:$D,"PSO",'caseload data'!$C:$C,'custody caseload'!$B$15,'caseload data'!$B:$B,"custody")</f>
        <v>0</v>
      </c>
      <c r="M18" s="104">
        <f>SUMIFS('caseload data'!O:O,'caseload data'!$D:$D,"PSO",'caseload data'!$C:$C,'custody caseload'!$B$15,'caseload data'!$B:$B,"custody")</f>
        <v>0</v>
      </c>
      <c r="N18" s="104">
        <f>SUMIFS('caseload data'!P:P,'caseload data'!$D:$D,"PSO",'caseload data'!$C:$C,'custody caseload'!$B$15,'caseload data'!$B:$B,"custody")</f>
        <v>0</v>
      </c>
      <c r="O18" s="104">
        <f>SUMIFS('caseload data'!Q:Q,'caseload data'!$D:$D,"PSO",'caseload data'!$C:$C,'custody caseload'!$B$15,'caseload data'!$B:$B,"custody")</f>
        <v>0</v>
      </c>
      <c r="P18" s="104">
        <f>SUMIFS('caseload data'!R:R,'caseload data'!$D:$D,"PSO",'caseload data'!$C:$C,'custody caseload'!$B$15,'caseload data'!$B:$B,"custody")</f>
        <v>0</v>
      </c>
      <c r="Q18" s="104">
        <f>SUMIFS('caseload data'!S:S,'caseload data'!$D:$D,"PSO",'caseload data'!$C:$C,'custody caseload'!$B$15,'caseload data'!$B:$B,"custody")</f>
        <v>0</v>
      </c>
      <c r="R18" s="104">
        <f>SUMIFS('caseload data'!T:T,'caseload data'!$D:$D,"PSO",'caseload data'!$C:$C,'custody caseload'!$B$15,'caseload data'!$B:$B,"custody")</f>
        <v>0</v>
      </c>
      <c r="S18" s="73"/>
      <c r="T18" s="107" t="s">
        <v>912</v>
      </c>
      <c r="U18" s="159">
        <f>SUMIFS('caseload data'!E:E,'caseload data'!$D:$D,"PSO",'caseload data'!$C:$C,'custody caseload'!$T$15,'caseload data'!$B:$B,"custody")</f>
        <v>0</v>
      </c>
      <c r="V18" s="159">
        <f>SUMIFS('caseload data'!F:F,'caseload data'!$D:$D,"PSO",'caseload data'!$C:$C,'custody caseload'!$T$15,'caseload data'!$B:$B,"custody")</f>
        <v>0</v>
      </c>
      <c r="W18" s="159">
        <f>SUMIFS('caseload data'!G:G,'caseload data'!$D:$D,"PSO",'caseload data'!$C:$C,'custody caseload'!$T$15,'caseload data'!$B:$B,"custody")</f>
        <v>0</v>
      </c>
      <c r="X18" s="159">
        <f>SUMIFS('caseload data'!H:H,'caseload data'!$D:$D,"PSO",'caseload data'!$C:$C,'custody caseload'!$T$15,'caseload data'!$B:$B,"custody")</f>
        <v>0</v>
      </c>
      <c r="Y18" s="159">
        <f>SUMIFS('caseload data'!I:I,'caseload data'!$D:$D,"PSO",'caseload data'!$C:$C,'custody caseload'!$T$15,'caseload data'!$B:$B,"custody")</f>
        <v>0</v>
      </c>
      <c r="Z18" s="159">
        <f>SUMIFS('caseload data'!J:J,'caseload data'!$D:$D,"PSO",'caseload data'!$C:$C,'custody caseload'!$T$15,'caseload data'!$B:$B,"custody")</f>
        <v>0</v>
      </c>
      <c r="AA18" s="159">
        <f>SUMIFS('caseload data'!K:K,'caseload data'!$D:$D,"PSO",'caseload data'!$C:$C,'custody caseload'!$T$15,'caseload data'!$B:$B,"custody")</f>
        <v>0</v>
      </c>
      <c r="AB18" s="159">
        <f>SUMIFS('caseload data'!L:L,'caseload data'!$D:$D,"PSO",'caseload data'!$C:$C,'custody caseload'!$T$15,'caseload data'!$B:$B,"custody")</f>
        <v>0</v>
      </c>
      <c r="AC18" s="104">
        <f>SUMIFS('caseload data'!M:M,'caseload data'!$D:$D,"PSO",'caseload data'!$C:$C,'custody caseload'!$T$15,'caseload data'!$B:$B,"custody")</f>
        <v>0</v>
      </c>
      <c r="AD18" s="104">
        <f>SUMIFS('caseload data'!N:N,'caseload data'!$D:$D,"PSO",'caseload data'!$C:$C,'custody caseload'!$T$15,'caseload data'!$B:$B,"custody")</f>
        <v>0</v>
      </c>
      <c r="AE18" s="104">
        <f>SUMIFS('caseload data'!O:O,'caseload data'!$D:$D,"PSO",'caseload data'!$C:$C,'custody caseload'!$T$15,'caseload data'!$B:$B,"custody")</f>
        <v>0</v>
      </c>
      <c r="AF18" s="104">
        <f>SUMIFS('caseload data'!P:P,'caseload data'!$D:$D,"PSO",'caseload data'!$C:$C,'custody caseload'!$T$15,'caseload data'!$B:$B,"custody")</f>
        <v>0</v>
      </c>
      <c r="AG18" s="104">
        <f>SUMIFS('caseload data'!Q:Q,'caseload data'!$D:$D,"PSO",'caseload data'!$C:$C,'custody caseload'!$T$15,'caseload data'!$B:$B,"custody")</f>
        <v>0</v>
      </c>
      <c r="AH18" s="104">
        <f>SUMIFS('caseload data'!R:R,'caseload data'!$D:$D,"PSO",'caseload data'!$C:$C,'custody caseload'!$T$15,'caseload data'!$B:$B,"custody")</f>
        <v>0</v>
      </c>
      <c r="AI18" s="104">
        <f>SUMIFS('caseload data'!S:S,'caseload data'!$D:$D,"PSO",'caseload data'!$C:$C,'custody caseload'!$T$15,'caseload data'!$B:$B,"custody")</f>
        <v>0</v>
      </c>
      <c r="AJ18" s="104">
        <f>SUMIFS('caseload data'!T:T,'caseload data'!$D:$D,"PSO",'caseload data'!$C:$C,'custody caseload'!$T$15,'caseload data'!$B:$B,"custody")</f>
        <v>0</v>
      </c>
    </row>
    <row r="19" spans="2:36" ht="15" x14ac:dyDescent="0.2">
      <c r="B19" s="107" t="s">
        <v>913</v>
      </c>
      <c r="C19" s="159">
        <f>SUMIFS('caseload data'!E:E,'caseload data'!$D:$D,"TPO",'caseload data'!$C:$C,'custody caseload'!$B$15,'caseload data'!$B:$B,"custody")</f>
        <v>0</v>
      </c>
      <c r="D19" s="159">
        <f>SUMIFS('caseload data'!F:F,'caseload data'!$D:$D,"TPO",'caseload data'!$C:$C,'custody caseload'!$B$15,'caseload data'!$B:$B,"custody")</f>
        <v>0</v>
      </c>
      <c r="E19" s="159">
        <f>SUMIFS('caseload data'!G:G,'caseload data'!$D:$D,"TPO",'caseload data'!$C:$C,'custody caseload'!$B$15,'caseload data'!$B:$B,"custody")</f>
        <v>0</v>
      </c>
      <c r="F19" s="159">
        <f>SUMIFS('caseload data'!H:H,'caseload data'!$D:$D,"TPO",'caseload data'!$C:$C,'custody caseload'!$B$15,'caseload data'!$B:$B,"custody")</f>
        <v>0</v>
      </c>
      <c r="G19" s="159">
        <f>SUMIFS('caseload data'!I:I,'caseload data'!$D:$D,"TPO",'caseload data'!$C:$C,'custody caseload'!$B$15,'caseload data'!$B:$B,"custody")</f>
        <v>0</v>
      </c>
      <c r="H19" s="159">
        <f>SUMIFS('caseload data'!J:J,'caseload data'!$D:$D,"TPO",'caseload data'!$C:$C,'custody caseload'!$B$15,'caseload data'!$B:$B,"custody")</f>
        <v>0</v>
      </c>
      <c r="I19" s="159">
        <f>SUMIFS('caseload data'!K:K,'caseload data'!$D:$D,"TPO",'caseload data'!$C:$C,'custody caseload'!$B$15,'caseload data'!$B:$B,"custody")</f>
        <v>0</v>
      </c>
      <c r="J19" s="159">
        <f>SUMIFS('caseload data'!L:L,'caseload data'!$D:$D,"TPO",'caseload data'!$C:$C,'custody caseload'!$B$15,'caseload data'!$B:$B,"custody")</f>
        <v>0</v>
      </c>
      <c r="K19" s="104">
        <f>SUMIFS('caseload data'!M:M,'caseload data'!$D:$D,"TPO",'caseload data'!$C:$C,'custody caseload'!$B$15,'caseload data'!$B:$B,"custody")</f>
        <v>0</v>
      </c>
      <c r="L19" s="104">
        <f>SUMIFS('caseload data'!N:N,'caseload data'!$D:$D,"TPO",'caseload data'!$C:$C,'custody caseload'!$B$15,'caseload data'!$B:$B,"custody")</f>
        <v>0</v>
      </c>
      <c r="M19" s="104">
        <f>SUMIFS('caseload data'!O:O,'caseload data'!$D:$D,"TPO",'caseload data'!$C:$C,'custody caseload'!$B$15,'caseload data'!$B:$B,"custody")</f>
        <v>0</v>
      </c>
      <c r="N19" s="104">
        <f>SUMIFS('caseload data'!P:P,'caseload data'!$D:$D,"TPO",'caseload data'!$C:$C,'custody caseload'!$B$15,'caseload data'!$B:$B,"custody")</f>
        <v>0</v>
      </c>
      <c r="O19" s="104">
        <f>SUMIFS('caseload data'!Q:Q,'caseload data'!$D:$D,"TPO",'caseload data'!$C:$C,'custody caseload'!$B$15,'caseload data'!$B:$B,"custody")</f>
        <v>0</v>
      </c>
      <c r="P19" s="104">
        <f>SUMIFS('caseload data'!R:R,'caseload data'!$D:$D,"TPO",'caseload data'!$C:$C,'custody caseload'!$B$15,'caseload data'!$B:$B,"custody")</f>
        <v>0</v>
      </c>
      <c r="Q19" s="104">
        <f>SUMIFS('caseload data'!S:S,'caseload data'!$D:$D,"TPO",'caseload data'!$C:$C,'custody caseload'!$B$15,'caseload data'!$B:$B,"custody")</f>
        <v>0</v>
      </c>
      <c r="R19" s="104">
        <f>SUMIFS('caseload data'!T:T,'caseload data'!$D:$D,"TPO",'caseload data'!$C:$C,'custody caseload'!$B$15,'caseload data'!$B:$B,"custody")</f>
        <v>0</v>
      </c>
      <c r="S19" s="73"/>
      <c r="T19" s="107" t="s">
        <v>913</v>
      </c>
      <c r="U19" s="159">
        <f>SUMIFS('caseload data'!E:E,'caseload data'!$D:$D,"TPO",'caseload data'!$C:$C,'custody caseload'!$T$15,'caseload data'!$B:$B,"custody")</f>
        <v>0</v>
      </c>
      <c r="V19" s="159">
        <f>SUMIFS('caseload data'!F:F,'caseload data'!$D:$D,"TPO",'caseload data'!$C:$C,'custody caseload'!$T$15,'caseload data'!$B:$B,"custody")</f>
        <v>0</v>
      </c>
      <c r="W19" s="159">
        <f>SUMIFS('caseload data'!G:G,'caseload data'!$D:$D,"TPO",'caseload data'!$C:$C,'custody caseload'!$T$15,'caseload data'!$B:$B,"custody")</f>
        <v>0</v>
      </c>
      <c r="X19" s="159">
        <f>SUMIFS('caseload data'!H:H,'caseload data'!$D:$D,"TPO",'caseload data'!$C:$C,'custody caseload'!$T$15,'caseload data'!$B:$B,"custody")</f>
        <v>0</v>
      </c>
      <c r="Y19" s="159">
        <f>SUMIFS('caseload data'!I:I,'caseload data'!$D:$D,"TPO",'caseload data'!$C:$C,'custody caseload'!$T$15,'caseload data'!$B:$B,"custody")</f>
        <v>0</v>
      </c>
      <c r="Z19" s="159">
        <f>SUMIFS('caseload data'!J:J,'caseload data'!$D:$D,"TPO",'caseload data'!$C:$C,'custody caseload'!$T$15,'caseload data'!$B:$B,"custody")</f>
        <v>0</v>
      </c>
      <c r="AA19" s="159">
        <f>SUMIFS('caseload data'!K:K,'caseload data'!$D:$D,"TPO",'caseload data'!$C:$C,'custody caseload'!$T$15,'caseload data'!$B:$B,"custody")</f>
        <v>0</v>
      </c>
      <c r="AB19" s="159">
        <f>SUMIFS('caseload data'!L:L,'caseload data'!$D:$D,"TPO",'caseload data'!$C:$C,'custody caseload'!$T$15,'caseload data'!$B:$B,"custody")</f>
        <v>0</v>
      </c>
      <c r="AC19" s="104">
        <f>SUMIFS('caseload data'!M:M,'caseload data'!$D:$D,"TPO",'caseload data'!$C:$C,'custody caseload'!$T$15,'caseload data'!$B:$B,"custody")</f>
        <v>0</v>
      </c>
      <c r="AD19" s="104">
        <f>SUMIFS('caseload data'!N:N,'caseload data'!$D:$D,"TPO",'caseload data'!$C:$C,'custody caseload'!$T$15,'caseload data'!$B:$B,"custody")</f>
        <v>0</v>
      </c>
      <c r="AE19" s="104">
        <f>SUMIFS('caseload data'!O:O,'caseload data'!$D:$D,"TPO",'caseload data'!$C:$C,'custody caseload'!$T$15,'caseload data'!$B:$B,"custody")</f>
        <v>0</v>
      </c>
      <c r="AF19" s="104">
        <f>SUMIFS('caseload data'!P:P,'caseload data'!$D:$D,"TPO",'caseload data'!$C:$C,'custody caseload'!$T$15,'caseload data'!$B:$B,"custody")</f>
        <v>0</v>
      </c>
      <c r="AG19" s="104">
        <f>SUMIFS('caseload data'!Q:Q,'caseload data'!$D:$D,"TPO",'caseload data'!$C:$C,'custody caseload'!$T$15,'caseload data'!$B:$B,"custody")</f>
        <v>0</v>
      </c>
      <c r="AH19" s="104">
        <f>SUMIFS('caseload data'!R:R,'caseload data'!$D:$D,"TPO",'caseload data'!$C:$C,'custody caseload'!$T$15,'caseload data'!$B:$B,"custody")</f>
        <v>0</v>
      </c>
      <c r="AI19" s="104">
        <f>SUMIFS('caseload data'!S:S,'caseload data'!$D:$D,"TPO",'caseload data'!$C:$C,'custody caseload'!$T$15,'caseload data'!$B:$B,"custody")</f>
        <v>0</v>
      </c>
      <c r="AJ19" s="104">
        <f>SUMIFS('caseload data'!T:T,'caseload data'!$D:$D,"TPO",'caseload data'!$C:$C,'custody caseload'!$T$15,'caseload data'!$B:$B,"custody")</f>
        <v>0</v>
      </c>
    </row>
    <row r="20" spans="2:36" x14ac:dyDescent="0.15">
      <c r="B20" s="108" t="s">
        <v>914</v>
      </c>
      <c r="C20" s="104">
        <f>SUMIFS('caseload data'!E:E,'caseload data'!$D:$D,"SPO",'caseload data'!$C:$C,'custody caseload'!$B$15,'caseload data'!$B:$B,"custody")</f>
        <v>0</v>
      </c>
      <c r="D20" s="104">
        <f>SUMIFS('caseload data'!F:F,'caseload data'!$D:$D,"SPO",'caseload data'!$C:$C,'custody caseload'!$B$15,'caseload data'!$B:$B,"custody")</f>
        <v>0</v>
      </c>
      <c r="E20" s="104">
        <f>SUMIFS('caseload data'!G:G,'caseload data'!$D:$D,"SPO",'caseload data'!$C:$C,'custody caseload'!$B$15,'caseload data'!$B:$B,"custody")</f>
        <v>0</v>
      </c>
      <c r="F20" s="104">
        <f>SUMIFS('caseload data'!H:H,'caseload data'!$D:$D,"SPO",'caseload data'!$C:$C,'custody caseload'!$B$15,'caseload data'!$B:$B,"custody")</f>
        <v>0</v>
      </c>
      <c r="G20" s="104">
        <f>SUMIFS('caseload data'!I:I,'caseload data'!$D:$D,"SPO",'caseload data'!$C:$C,'custody caseload'!$B$15,'caseload data'!$B:$B,"custody")</f>
        <v>0</v>
      </c>
      <c r="H20" s="104">
        <f>SUMIFS('caseload data'!J:J,'caseload data'!$D:$D,"SPO",'caseload data'!$C:$C,'custody caseload'!$B$15,'caseload data'!$B:$B,"custody")</f>
        <v>0</v>
      </c>
      <c r="I20" s="104">
        <f>SUMIFS('caseload data'!K:K,'caseload data'!$D:$D,"SPO",'caseload data'!$C:$C,'custody caseload'!$B$15,'caseload data'!$B:$B,"custody")</f>
        <v>0</v>
      </c>
      <c r="J20" s="104">
        <f>SUMIFS('caseload data'!L:L,'caseload data'!$D:$D,"SPO",'caseload data'!$C:$C,'custody caseload'!$B$15,'caseload data'!$B:$B,"custody")</f>
        <v>0</v>
      </c>
      <c r="K20" s="104">
        <f>SUMIFS('caseload data'!M:M,'caseload data'!$D:$D,"SPO",'caseload data'!$C:$C,'custody caseload'!$B$15,'caseload data'!$B:$B,"custody")</f>
        <v>0</v>
      </c>
      <c r="L20" s="104">
        <f>SUMIFS('caseload data'!N:N,'caseload data'!$D:$D,"SPO",'caseload data'!$C:$C,'custody caseload'!$B$15,'caseload data'!$B:$B,"custody")</f>
        <v>0</v>
      </c>
      <c r="M20" s="104">
        <f>SUMIFS('caseload data'!O:O,'caseload data'!$D:$D,"SPO",'caseload data'!$C:$C,'custody caseload'!$B$15,'caseload data'!$B:$B,"custody")</f>
        <v>0</v>
      </c>
      <c r="N20" s="104">
        <f>SUMIFS('caseload data'!P:P,'caseload data'!$D:$D,"SPO",'caseload data'!$C:$C,'custody caseload'!$B$15,'caseload data'!$B:$B,"custody")</f>
        <v>0</v>
      </c>
      <c r="O20" s="104">
        <f>SUMIFS('caseload data'!Q:Q,'caseload data'!$D:$D,"SPO",'caseload data'!$C:$C,'custody caseload'!$B$15,'caseload data'!$B:$B,"custody")</f>
        <v>0</v>
      </c>
      <c r="P20" s="104">
        <f>SUMIFS('caseload data'!R:R,'caseload data'!$D:$D,"SPO",'caseload data'!$C:$C,'custody caseload'!$B$15,'caseload data'!$B:$B,"custody")</f>
        <v>0</v>
      </c>
      <c r="Q20" s="104">
        <f>SUMIFS('caseload data'!S:S,'caseload data'!$D:$D,"SPO",'caseload data'!$C:$C,'custody caseload'!$B$15,'caseload data'!$B:$B,"custody")</f>
        <v>0</v>
      </c>
      <c r="R20" s="104">
        <f>SUMIFS('caseload data'!T:T,'caseload data'!$D:$D,"SPO",'caseload data'!$C:$C,'custody caseload'!$B$15,'caseload data'!$B:$B,"custody")</f>
        <v>0</v>
      </c>
      <c r="S20" s="73"/>
      <c r="T20" s="108" t="s">
        <v>914</v>
      </c>
      <c r="U20" s="104">
        <f>SUMIFS('caseload data'!E:E,'caseload data'!$D:$D,"SPO",'caseload data'!$C:$C,'custody caseload'!$T$15,'caseload data'!$B:$B,"custody")</f>
        <v>0</v>
      </c>
      <c r="V20" s="104">
        <f>SUMIFS('caseload data'!F:F,'caseload data'!$D:$D,"SPO",'caseload data'!$C:$C,'custody caseload'!$T$15,'caseload data'!$B:$B,"custody")</f>
        <v>0</v>
      </c>
      <c r="W20" s="104">
        <f>SUMIFS('caseload data'!G:G,'caseload data'!$D:$D,"SPO",'caseload data'!$C:$C,'custody caseload'!$T$15,'caseload data'!$B:$B,"custody")</f>
        <v>0</v>
      </c>
      <c r="X20" s="104">
        <f>SUMIFS('caseload data'!H:H,'caseload data'!$D:$D,"SPO",'caseload data'!$C:$C,'custody caseload'!$T$15,'caseload data'!$B:$B,"custody")</f>
        <v>0</v>
      </c>
      <c r="Y20" s="104">
        <f>SUMIFS('caseload data'!I:I,'caseload data'!$D:$D,"SPO",'caseload data'!$C:$C,'custody caseload'!$T$15,'caseload data'!$B:$B,"custody")</f>
        <v>0</v>
      </c>
      <c r="Z20" s="104">
        <f>SUMIFS('caseload data'!J:J,'caseload data'!$D:$D,"SPO",'caseload data'!$C:$C,'custody caseload'!$T$15,'caseload data'!$B:$B,"custody")</f>
        <v>0</v>
      </c>
      <c r="AA20" s="104">
        <f>SUMIFS('caseload data'!K:K,'caseload data'!$D:$D,"SPO",'caseload data'!$C:$C,'custody caseload'!$T$15,'caseload data'!$B:$B,"custody")</f>
        <v>0</v>
      </c>
      <c r="AB20" s="104">
        <f>SUMIFS('caseload data'!L:L,'caseload data'!$D:$D,"SPO",'caseload data'!$C:$C,'custody caseload'!$T$15,'caseload data'!$B:$B,"custody")</f>
        <v>0</v>
      </c>
      <c r="AC20" s="104">
        <f>SUMIFS('caseload data'!M:M,'caseload data'!$D:$D,"SPO",'caseload data'!$C:$C,'custody caseload'!$T$15,'caseload data'!$B:$B,"custody")</f>
        <v>0</v>
      </c>
      <c r="AD20" s="104">
        <f>SUMIFS('caseload data'!N:N,'caseload data'!$D:$D,"SPO",'caseload data'!$C:$C,'custody caseload'!$T$15,'caseload data'!$B:$B,"custody")</f>
        <v>0</v>
      </c>
      <c r="AE20" s="104">
        <f>SUMIFS('caseload data'!O:O,'caseload data'!$D:$D,"SPO",'caseload data'!$C:$C,'custody caseload'!$T$15,'caseload data'!$B:$B,"custody")</f>
        <v>0</v>
      </c>
      <c r="AF20" s="104">
        <f>SUMIFS('caseload data'!P:P,'caseload data'!$D:$D,"SPO",'caseload data'!$C:$C,'custody caseload'!$T$15,'caseload data'!$B:$B,"custody")</f>
        <v>0</v>
      </c>
      <c r="AG20" s="104">
        <f>SUMIFS('caseload data'!Q:Q,'caseload data'!$D:$D,"SPO",'caseload data'!$C:$C,'custody caseload'!$T$15,'caseload data'!$B:$B,"custody")</f>
        <v>0</v>
      </c>
      <c r="AH20" s="104">
        <f>SUMIFS('caseload data'!R:R,'caseload data'!$D:$D,"SPO",'caseload data'!$C:$C,'custody caseload'!$T$15,'caseload data'!$B:$B,"custody")</f>
        <v>0</v>
      </c>
      <c r="AI20" s="104">
        <f>SUMIFS('caseload data'!S:S,'caseload data'!$D:$D,"SPO",'caseload data'!$C:$C,'custody caseload'!$T$15,'caseload data'!$B:$B,"custody")</f>
        <v>0</v>
      </c>
      <c r="AJ20" s="104">
        <f>SUMIFS('caseload data'!T:T,'caseload data'!$D:$D,"SPO",'caseload data'!$C:$C,'custody caseload'!$T$15,'caseload data'!$B:$B,"custody")</f>
        <v>0</v>
      </c>
    </row>
    <row r="21" spans="2:36" x14ac:dyDescent="0.15">
      <c r="B21" s="101"/>
      <c r="C21" s="73"/>
      <c r="D21" s="73"/>
      <c r="E21" s="73"/>
      <c r="F21" s="73"/>
      <c r="G21" s="73"/>
      <c r="H21" s="73"/>
      <c r="I21" s="73"/>
      <c r="J21" s="73"/>
      <c r="K21" s="73"/>
      <c r="L21" s="73"/>
      <c r="M21" s="73"/>
      <c r="N21" s="73"/>
      <c r="O21" s="73"/>
      <c r="P21" s="73"/>
      <c r="Q21" s="73"/>
      <c r="R21" s="73"/>
      <c r="S21" s="73"/>
      <c r="T21" s="101"/>
      <c r="U21" s="73"/>
      <c r="V21" s="73"/>
      <c r="W21" s="73"/>
      <c r="X21" s="73"/>
      <c r="Y21" s="73"/>
      <c r="Z21" s="73"/>
      <c r="AA21" s="73"/>
      <c r="AB21" s="73"/>
      <c r="AC21" s="73"/>
      <c r="AD21" s="73"/>
      <c r="AE21" s="73"/>
      <c r="AF21" s="73"/>
      <c r="AG21" s="73"/>
      <c r="AH21" s="73"/>
      <c r="AI21" s="73"/>
      <c r="AJ21" s="73"/>
    </row>
    <row r="22" spans="2:36" ht="30.75" customHeight="1" x14ac:dyDescent="0.15">
      <c r="B22" s="156" t="str">
        <f>HLOOKUP($B$5,Region_Table,6,0)</f>
        <v>Corporate Services - N07</v>
      </c>
      <c r="C22" s="367" t="s">
        <v>1163</v>
      </c>
      <c r="D22" s="368"/>
      <c r="E22" s="368"/>
      <c r="F22" s="368"/>
      <c r="G22" s="368"/>
      <c r="H22" s="368"/>
      <c r="I22" s="368"/>
      <c r="J22" s="368"/>
      <c r="K22" s="368"/>
      <c r="L22" s="368"/>
      <c r="M22" s="377"/>
      <c r="N22" s="377"/>
      <c r="O22" s="378"/>
      <c r="P22" s="371">
        <f>SUMIFS('caseload data'!V:V,'caseload data'!B:B,"custody",'caseload data'!$C:$C,'custody caseload'!B22)</f>
        <v>0</v>
      </c>
      <c r="Q22" s="379"/>
      <c r="R22" s="380"/>
      <c r="S22" s="73"/>
      <c r="T22" s="156" t="str">
        <f>HLOOKUP($B$5,Region_Table,7,0)</f>
        <v>Croydon - N07</v>
      </c>
      <c r="U22" s="367" t="s">
        <v>1163</v>
      </c>
      <c r="V22" s="368"/>
      <c r="W22" s="368"/>
      <c r="X22" s="368"/>
      <c r="Y22" s="368"/>
      <c r="Z22" s="368"/>
      <c r="AA22" s="368"/>
      <c r="AB22" s="368"/>
      <c r="AC22" s="368"/>
      <c r="AD22" s="368"/>
      <c r="AE22" s="377"/>
      <c r="AF22" s="377"/>
      <c r="AG22" s="378"/>
      <c r="AH22" s="371">
        <f>SUMIFS('caseload data'!V:V,'caseload data'!B:B,"custody",'caseload data'!$C:$C,'custody caseload'!T22)</f>
        <v>0</v>
      </c>
      <c r="AI22" s="379"/>
      <c r="AJ22" s="380"/>
    </row>
    <row r="23" spans="2:36" x14ac:dyDescent="0.15">
      <c r="B23" s="105" t="s">
        <v>1065</v>
      </c>
      <c r="C23" s="41" t="s">
        <v>922</v>
      </c>
      <c r="D23" s="41" t="s">
        <v>923</v>
      </c>
      <c r="E23" s="41" t="s">
        <v>924</v>
      </c>
      <c r="F23" s="41" t="s">
        <v>925</v>
      </c>
      <c r="G23" s="41" t="s">
        <v>926</v>
      </c>
      <c r="H23" s="41" t="s">
        <v>927</v>
      </c>
      <c r="I23" s="41" t="s">
        <v>928</v>
      </c>
      <c r="J23" s="41" t="s">
        <v>929</v>
      </c>
      <c r="K23" s="41" t="s">
        <v>930</v>
      </c>
      <c r="L23" s="41" t="s">
        <v>931</v>
      </c>
      <c r="M23" s="41" t="s">
        <v>932</v>
      </c>
      <c r="N23" s="41" t="s">
        <v>933</v>
      </c>
      <c r="O23" s="41" t="s">
        <v>934</v>
      </c>
      <c r="P23" s="41" t="s">
        <v>935</v>
      </c>
      <c r="Q23" s="41" t="s">
        <v>936</v>
      </c>
      <c r="R23" s="41" t="s">
        <v>937</v>
      </c>
      <c r="S23" s="73"/>
      <c r="T23" s="105" t="s">
        <v>1065</v>
      </c>
      <c r="U23" s="41" t="s">
        <v>922</v>
      </c>
      <c r="V23" s="41" t="s">
        <v>923</v>
      </c>
      <c r="W23" s="41" t="s">
        <v>924</v>
      </c>
      <c r="X23" s="41" t="s">
        <v>925</v>
      </c>
      <c r="Y23" s="41" t="s">
        <v>926</v>
      </c>
      <c r="Z23" s="41" t="s">
        <v>927</v>
      </c>
      <c r="AA23" s="41" t="s">
        <v>928</v>
      </c>
      <c r="AB23" s="41" t="s">
        <v>929</v>
      </c>
      <c r="AC23" s="41" t="s">
        <v>930</v>
      </c>
      <c r="AD23" s="41" t="s">
        <v>931</v>
      </c>
      <c r="AE23" s="41" t="s">
        <v>932</v>
      </c>
      <c r="AF23" s="41" t="s">
        <v>933</v>
      </c>
      <c r="AG23" s="41" t="s">
        <v>934</v>
      </c>
      <c r="AH23" s="41" t="s">
        <v>935</v>
      </c>
      <c r="AI23" s="41" t="s">
        <v>936</v>
      </c>
      <c r="AJ23" s="41" t="s">
        <v>937</v>
      </c>
    </row>
    <row r="24" spans="2:36" x14ac:dyDescent="0.15">
      <c r="B24" s="106" t="s">
        <v>911</v>
      </c>
      <c r="C24" s="104">
        <f>SUMIFS('caseload data'!E:E,'caseload data'!$D:$D,"PO",'caseload data'!$C:$C,'custody caseload'!$B$22,'caseload data'!$B:$B,"custody")</f>
        <v>0</v>
      </c>
      <c r="D24" s="104">
        <f>SUMIFS('caseload data'!F:F,'caseload data'!$D:$D,"PO",'caseload data'!$C:$C,'custody caseload'!$B$22,'caseload data'!$B:$B,"custody")</f>
        <v>0</v>
      </c>
      <c r="E24" s="104">
        <f>SUMIFS('caseload data'!G:G,'caseload data'!$D:$D,"PO",'caseload data'!$C:$C,'custody caseload'!$B$22,'caseload data'!$B:$B,"custody")</f>
        <v>0</v>
      </c>
      <c r="F24" s="104">
        <f>SUMIFS('caseload data'!H:H,'caseload data'!$D:$D,"PO",'caseload data'!$C:$C,'custody caseload'!$B$22,'caseload data'!$B:$B,"custody")</f>
        <v>0</v>
      </c>
      <c r="G24" s="104">
        <f>SUMIFS('caseload data'!I:I,'caseload data'!$D:$D,"PO",'caseload data'!$C:$C,'custody caseload'!$B$22,'caseload data'!$B:$B,"custody")</f>
        <v>0</v>
      </c>
      <c r="H24" s="104">
        <f>SUMIFS('caseload data'!J:J,'caseload data'!$D:$D,"PO",'caseload data'!$C:$C,'custody caseload'!$B$22,'caseload data'!$B:$B,"custody")</f>
        <v>0</v>
      </c>
      <c r="I24" s="104">
        <f>SUMIFS('caseload data'!K:K,'caseload data'!$D:$D,"PO",'caseload data'!$C:$C,'custody caseload'!$B$22,'caseload data'!$B:$B,"custody")</f>
        <v>0</v>
      </c>
      <c r="J24" s="104">
        <f>SUMIFS('caseload data'!L:L,'caseload data'!$D:$D,"PO",'caseload data'!$C:$C,'custody caseload'!$B$22,'caseload data'!$B:$B,"custody")</f>
        <v>0</v>
      </c>
      <c r="K24" s="104">
        <f>SUMIFS('caseload data'!M:M,'caseload data'!$D:$D,"PO",'caseload data'!$C:$C,'custody caseload'!$B$22,'caseload data'!$B:$B,"custody")</f>
        <v>0</v>
      </c>
      <c r="L24" s="104">
        <f>SUMIFS('caseload data'!N:N,'caseload data'!$D:$D,"PO",'caseload data'!$C:$C,'custody caseload'!$B$22,'caseload data'!$B:$B,"custody")</f>
        <v>0</v>
      </c>
      <c r="M24" s="104">
        <f>SUMIFS('caseload data'!O:O,'caseload data'!$D:$D,"PO",'caseload data'!$C:$C,'custody caseload'!$B$22,'caseload data'!$B:$B,"custody")</f>
        <v>0</v>
      </c>
      <c r="N24" s="104">
        <f>SUMIFS('caseload data'!P:P,'caseload data'!$D:$D,"PO",'caseload data'!$C:$C,'custody caseload'!$B$22,'caseload data'!$B:$B,"custody")</f>
        <v>0</v>
      </c>
      <c r="O24" s="104">
        <f>SUMIFS('caseload data'!Q:Q,'caseload data'!$D:$D,"PO",'caseload data'!$C:$C,'custody caseload'!$B$22,'caseload data'!$B:$B,"custody")</f>
        <v>0</v>
      </c>
      <c r="P24" s="104">
        <f>SUMIFS('caseload data'!R:R,'caseload data'!$D:$D,"PO",'caseload data'!$C:$C,'custody caseload'!$B$22,'caseload data'!$B:$B,"custody")</f>
        <v>0</v>
      </c>
      <c r="Q24" s="104">
        <f>SUMIFS('caseload data'!S:S,'caseload data'!$D:$D,"PO",'caseload data'!$C:$C,'custody caseload'!$B$22,'caseload data'!$B:$B,"custody")</f>
        <v>0</v>
      </c>
      <c r="R24" s="104">
        <f>SUMIFS('caseload data'!T:T,'caseload data'!$D:$D,"PO",'caseload data'!$C:$C,'custody caseload'!$B$22,'caseload data'!$B:$B,"custody")</f>
        <v>0</v>
      </c>
      <c r="S24" s="73"/>
      <c r="T24" s="106" t="s">
        <v>911</v>
      </c>
      <c r="U24" s="104">
        <f>SUMIFS('caseload data'!E:E,'caseload data'!$D:$D,"PO",'caseload data'!$C:$C,'custody caseload'!$T$22,'caseload data'!$B:$B,"custody")</f>
        <v>0</v>
      </c>
      <c r="V24" s="104">
        <f>SUMIFS('caseload data'!F:F,'caseload data'!$D:$D,"PO",'caseload data'!$C:$C,'custody caseload'!$T$22,'caseload data'!$B:$B,"custody")</f>
        <v>0</v>
      </c>
      <c r="W24" s="104">
        <f>SUMIFS('caseload data'!G:G,'caseload data'!$D:$D,"PO",'caseload data'!$C:$C,'custody caseload'!$T$22,'caseload data'!$B:$B,"custody")</f>
        <v>0</v>
      </c>
      <c r="X24" s="104">
        <f>SUMIFS('caseload data'!H:H,'caseload data'!$D:$D,"PO",'caseload data'!$C:$C,'custody caseload'!$T$22,'caseload data'!$B:$B,"custody")</f>
        <v>0</v>
      </c>
      <c r="Y24" s="104">
        <f>SUMIFS('caseload data'!I:I,'caseload data'!$D:$D,"PO",'caseload data'!$C:$C,'custody caseload'!$T$22,'caseload data'!$B:$B,"custody")</f>
        <v>0</v>
      </c>
      <c r="Z24" s="104">
        <f>SUMIFS('caseload data'!J:J,'caseload data'!$D:$D,"PO",'caseload data'!$C:$C,'custody caseload'!$T$22,'caseload data'!$B:$B,"custody")</f>
        <v>0</v>
      </c>
      <c r="AA24" s="104">
        <f>SUMIFS('caseload data'!K:K,'caseload data'!$D:$D,"PO",'caseload data'!$C:$C,'custody caseload'!$T$22,'caseload data'!$B:$B,"custody")</f>
        <v>0</v>
      </c>
      <c r="AB24" s="104">
        <f>SUMIFS('caseload data'!L:L,'caseload data'!$D:$D,"PO",'caseload data'!$C:$C,'custody caseload'!$T$22,'caseload data'!$B:$B,"custody")</f>
        <v>0</v>
      </c>
      <c r="AC24" s="104">
        <f>SUMIFS('caseload data'!M:M,'caseload data'!$D:$D,"PO",'caseload data'!$C:$C,'custody caseload'!$T$22,'caseload data'!$B:$B,"custody")</f>
        <v>0</v>
      </c>
      <c r="AD24" s="104">
        <f>SUMIFS('caseload data'!N:N,'caseload data'!$D:$D,"PO",'caseload data'!$C:$C,'custody caseload'!$T$22,'caseload data'!$B:$B,"custody")</f>
        <v>0</v>
      </c>
      <c r="AE24" s="104">
        <f>SUMIFS('caseload data'!O:O,'caseload data'!$D:$D,"PO",'caseload data'!$C:$C,'custody caseload'!$T$22,'caseload data'!$B:$B,"custody")</f>
        <v>0</v>
      </c>
      <c r="AF24" s="104">
        <f>SUMIFS('caseload data'!P:P,'caseload data'!$D:$D,"PO",'caseload data'!$C:$C,'custody caseload'!$T$22,'caseload data'!$B:$B,"custody")</f>
        <v>0</v>
      </c>
      <c r="AG24" s="104">
        <f>SUMIFS('caseload data'!Q:Q,'caseload data'!$D:$D,"PO",'caseload data'!$C:$C,'custody caseload'!$T$22,'caseload data'!$B:$B,"custody")</f>
        <v>0</v>
      </c>
      <c r="AH24" s="104">
        <f>SUMIFS('caseload data'!R:R,'caseload data'!$D:$D,"PO",'caseload data'!$C:$C,'custody caseload'!$T$22,'caseload data'!$B:$B,"custody")</f>
        <v>0</v>
      </c>
      <c r="AI24" s="104">
        <f>SUMIFS('caseload data'!S:S,'caseload data'!$D:$D,"PO",'caseload data'!$C:$C,'custody caseload'!$T$22,'caseload data'!$B:$B,"custody")</f>
        <v>0</v>
      </c>
      <c r="AJ24" s="104">
        <f>SUMIFS('caseload data'!T:T,'caseload data'!$D:$D,"PO",'caseload data'!$C:$C,'custody caseload'!$T$22,'caseload data'!$B:$B,"custody")</f>
        <v>0</v>
      </c>
    </row>
    <row r="25" spans="2:36" ht="15" x14ac:dyDescent="0.2">
      <c r="B25" s="107" t="s">
        <v>912</v>
      </c>
      <c r="C25" s="159">
        <f>SUMIFS('caseload data'!E:E,'caseload data'!$D:$D,"PSO",'caseload data'!$C:$C,'custody caseload'!$B$22,'caseload data'!$B:$B,"custody")</f>
        <v>0</v>
      </c>
      <c r="D25" s="159">
        <f>SUMIFS('caseload data'!F:F,'caseload data'!$D:$D,"PSO",'caseload data'!$C:$C,'custody caseload'!$B$22,'caseload data'!$B:$B,"custody")</f>
        <v>0</v>
      </c>
      <c r="E25" s="159">
        <f>SUMIFS('caseload data'!G:G,'caseload data'!$D:$D,"PSO",'caseload data'!$C:$C,'custody caseload'!$B$22,'caseload data'!$B:$B,"custody")</f>
        <v>0</v>
      </c>
      <c r="F25" s="159">
        <f>SUMIFS('caseload data'!H:H,'caseload data'!$D:$D,"PSO",'caseload data'!$C:$C,'custody caseload'!$B$22,'caseload data'!$B:$B,"custody")</f>
        <v>0</v>
      </c>
      <c r="G25" s="159">
        <f>SUMIFS('caseload data'!I:I,'caseload data'!$D:$D,"PSO",'caseload data'!$C:$C,'custody caseload'!$B$22,'caseload data'!$B:$B,"custody")</f>
        <v>0</v>
      </c>
      <c r="H25" s="159">
        <f>SUMIFS('caseload data'!J:J,'caseload data'!$D:$D,"PSO",'caseload data'!$C:$C,'custody caseload'!$B$22,'caseload data'!$B:$B,"custody")</f>
        <v>0</v>
      </c>
      <c r="I25" s="159">
        <f>SUMIFS('caseload data'!K:K,'caseload data'!$D:$D,"PSO",'caseload data'!$C:$C,'custody caseload'!$B$22,'caseload data'!$B:$B,"custody")</f>
        <v>0</v>
      </c>
      <c r="J25" s="159">
        <f>SUMIFS('caseload data'!L:L,'caseload data'!$D:$D,"PSO",'caseload data'!$C:$C,'custody caseload'!$B$22,'caseload data'!$B:$B,"custody")</f>
        <v>0</v>
      </c>
      <c r="K25" s="104">
        <f>SUMIFS('caseload data'!M:M,'caseload data'!$D:$D,"PSO",'caseload data'!$C:$C,'custody caseload'!$B$22,'caseload data'!$B:$B,"custody")</f>
        <v>0</v>
      </c>
      <c r="L25" s="104">
        <f>SUMIFS('caseload data'!N:N,'caseload data'!$D:$D,"PSO",'caseload data'!$C:$C,'custody caseload'!$B$22,'caseload data'!$B:$B,"custody")</f>
        <v>0</v>
      </c>
      <c r="M25" s="104">
        <f>SUMIFS('caseload data'!O:O,'caseload data'!$D:$D,"PSO",'caseload data'!$C:$C,'custody caseload'!$B$22,'caseload data'!$B:$B,"custody")</f>
        <v>0</v>
      </c>
      <c r="N25" s="104">
        <f>SUMIFS('caseload data'!P:P,'caseload data'!$D:$D,"PSO",'caseload data'!$C:$C,'custody caseload'!$B$22,'caseload data'!$B:$B,"custody")</f>
        <v>0</v>
      </c>
      <c r="O25" s="104">
        <f>SUMIFS('caseload data'!Q:Q,'caseload data'!$D:$D,"PSO",'caseload data'!$C:$C,'custody caseload'!$B$22,'caseload data'!$B:$B,"custody")</f>
        <v>0</v>
      </c>
      <c r="P25" s="104">
        <f>SUMIFS('caseload data'!R:R,'caseload data'!$D:$D,"PSO",'caseload data'!$C:$C,'custody caseload'!$B$22,'caseload data'!$B:$B,"custody")</f>
        <v>0</v>
      </c>
      <c r="Q25" s="104">
        <f>SUMIFS('caseload data'!S:S,'caseload data'!$D:$D,"PSO",'caseload data'!$C:$C,'custody caseload'!$B$22,'caseload data'!$B:$B,"custody")</f>
        <v>0</v>
      </c>
      <c r="R25" s="104">
        <f>SUMIFS('caseload data'!T:T,'caseload data'!$D:$D,"PSO",'caseload data'!$C:$C,'custody caseload'!$B$22,'caseload data'!$B:$B,"custody")</f>
        <v>0</v>
      </c>
      <c r="S25" s="73"/>
      <c r="T25" s="107" t="s">
        <v>912</v>
      </c>
      <c r="U25" s="159">
        <f>SUMIFS('caseload data'!E:E,'caseload data'!$D:$D,"PSO",'caseload data'!$C:$C,'custody caseload'!$T$22,'caseload data'!$B:$B,"custody")</f>
        <v>0</v>
      </c>
      <c r="V25" s="159">
        <f>SUMIFS('caseload data'!F:F,'caseload data'!$D:$D,"PSO",'caseload data'!$C:$C,'custody caseload'!$T$22,'caseload data'!$B:$B,"custody")</f>
        <v>0</v>
      </c>
      <c r="W25" s="159">
        <f>SUMIFS('caseload data'!G:G,'caseload data'!$D:$D,"PSO",'caseload data'!$C:$C,'custody caseload'!$T$22,'caseload data'!$B:$B,"custody")</f>
        <v>0</v>
      </c>
      <c r="X25" s="159">
        <f>SUMIFS('caseload data'!H:H,'caseload data'!$D:$D,"PSO",'caseload data'!$C:$C,'custody caseload'!$T$22,'caseload data'!$B:$B,"custody")</f>
        <v>0</v>
      </c>
      <c r="Y25" s="159">
        <f>SUMIFS('caseload data'!I:I,'caseload data'!$D:$D,"PSO",'caseload data'!$C:$C,'custody caseload'!$T$22,'caseload data'!$B:$B,"custody")</f>
        <v>0</v>
      </c>
      <c r="Z25" s="159">
        <f>SUMIFS('caseload data'!J:J,'caseload data'!$D:$D,"PSO",'caseload data'!$C:$C,'custody caseload'!$T$22,'caseload data'!$B:$B,"custody")</f>
        <v>0</v>
      </c>
      <c r="AA25" s="159">
        <f>SUMIFS('caseload data'!K:K,'caseload data'!$D:$D,"PSO",'caseload data'!$C:$C,'custody caseload'!$T$22,'caseload data'!$B:$B,"custody")</f>
        <v>0</v>
      </c>
      <c r="AB25" s="159">
        <f>SUMIFS('caseload data'!L:L,'caseload data'!$D:$D,"PSO",'caseload data'!$C:$C,'custody caseload'!$T$22,'caseload data'!$B:$B,"custody")</f>
        <v>0</v>
      </c>
      <c r="AC25" s="104">
        <f>SUMIFS('caseload data'!M:M,'caseload data'!$D:$D,"PSO",'caseload data'!$C:$C,'custody caseload'!$T$22,'caseload data'!$B:$B,"custody")</f>
        <v>0</v>
      </c>
      <c r="AD25" s="104">
        <f>SUMIFS('caseload data'!N:N,'caseload data'!$D:$D,"PSO",'caseload data'!$C:$C,'custody caseload'!$T$22,'caseload data'!$B:$B,"custody")</f>
        <v>0</v>
      </c>
      <c r="AE25" s="104">
        <f>SUMIFS('caseload data'!O:O,'caseload data'!$D:$D,"PSO",'caseload data'!$C:$C,'custody caseload'!$T$22,'caseload data'!$B:$B,"custody")</f>
        <v>0</v>
      </c>
      <c r="AF25" s="104">
        <f>SUMIFS('caseload data'!P:P,'caseload data'!$D:$D,"PSO",'caseload data'!$C:$C,'custody caseload'!$T$22,'caseload data'!$B:$B,"custody")</f>
        <v>0</v>
      </c>
      <c r="AG25" s="104">
        <f>SUMIFS('caseload data'!Q:Q,'caseload data'!$D:$D,"PSO",'caseload data'!$C:$C,'custody caseload'!$T$22,'caseload data'!$B:$B,"custody")</f>
        <v>0</v>
      </c>
      <c r="AH25" s="104">
        <f>SUMIFS('caseload data'!R:R,'caseload data'!$D:$D,"PSO",'caseload data'!$C:$C,'custody caseload'!$T$22,'caseload data'!$B:$B,"custody")</f>
        <v>0</v>
      </c>
      <c r="AI25" s="104">
        <f>SUMIFS('caseload data'!S:S,'caseload data'!$D:$D,"PSO",'caseload data'!$C:$C,'custody caseload'!$T$22,'caseload data'!$B:$B,"custody")</f>
        <v>0</v>
      </c>
      <c r="AJ25" s="104">
        <f>SUMIFS('caseload data'!T:T,'caseload data'!$D:$D,"PSO",'caseload data'!$C:$C,'custody caseload'!$T$22,'caseload data'!$B:$B,"custody")</f>
        <v>0</v>
      </c>
    </row>
    <row r="26" spans="2:36" ht="15" x14ac:dyDescent="0.2">
      <c r="B26" s="107" t="s">
        <v>913</v>
      </c>
      <c r="C26" s="159">
        <f>SUMIFS('caseload data'!E:E,'caseload data'!$D:$D,"TPO",'caseload data'!$C:$C,'custody caseload'!$B$22,'caseload data'!$B:$B,"custody")</f>
        <v>0</v>
      </c>
      <c r="D26" s="159">
        <f>SUMIFS('caseload data'!F:F,'caseload data'!$D:$D,"TPO",'caseload data'!$C:$C,'custody caseload'!$B$22,'caseload data'!$B:$B,"custody")</f>
        <v>0</v>
      </c>
      <c r="E26" s="159">
        <f>SUMIFS('caseload data'!G:G,'caseload data'!$D:$D,"TPO",'caseload data'!$C:$C,'custody caseload'!$B$22,'caseload data'!$B:$B,"custody")</f>
        <v>0</v>
      </c>
      <c r="F26" s="159">
        <f>SUMIFS('caseload data'!H:H,'caseload data'!$D:$D,"TPO",'caseload data'!$C:$C,'custody caseload'!$B$22,'caseload data'!$B:$B,"custody")</f>
        <v>0</v>
      </c>
      <c r="G26" s="159">
        <f>SUMIFS('caseload data'!I:I,'caseload data'!$D:$D,"TPO",'caseload data'!$C:$C,'custody caseload'!$B$22,'caseload data'!$B:$B,"custody")</f>
        <v>0</v>
      </c>
      <c r="H26" s="159">
        <f>SUMIFS('caseload data'!J:J,'caseload data'!$D:$D,"TPO",'caseload data'!$C:$C,'custody caseload'!$B$22,'caseload data'!$B:$B,"custody")</f>
        <v>0</v>
      </c>
      <c r="I26" s="159">
        <f>SUMIFS('caseload data'!K:K,'caseload data'!$D:$D,"TPO",'caseload data'!$C:$C,'custody caseload'!$B$22,'caseload data'!$B:$B,"custody")</f>
        <v>0</v>
      </c>
      <c r="J26" s="159">
        <f>SUMIFS('caseload data'!L:L,'caseload data'!$D:$D,"TPO",'caseload data'!$C:$C,'custody caseload'!$B$22,'caseload data'!$B:$B,"custody")</f>
        <v>0</v>
      </c>
      <c r="K26" s="104">
        <f>SUMIFS('caseload data'!M:M,'caseload data'!$D:$D,"TPO",'caseload data'!$C:$C,'custody caseload'!$B$22,'caseload data'!$B:$B,"custody")</f>
        <v>0</v>
      </c>
      <c r="L26" s="104">
        <f>SUMIFS('caseload data'!N:N,'caseload data'!$D:$D,"TPO",'caseload data'!$C:$C,'custody caseload'!$B$22,'caseload data'!$B:$B,"custody")</f>
        <v>0</v>
      </c>
      <c r="M26" s="104">
        <f>SUMIFS('caseload data'!O:O,'caseload data'!$D:$D,"TPO",'caseload data'!$C:$C,'custody caseload'!$B$22,'caseload data'!$B:$B,"custody")</f>
        <v>0</v>
      </c>
      <c r="N26" s="104">
        <f>SUMIFS('caseload data'!P:P,'caseload data'!$D:$D,"TPO",'caseload data'!$C:$C,'custody caseload'!$B$22,'caseload data'!$B:$B,"custody")</f>
        <v>0</v>
      </c>
      <c r="O26" s="104">
        <f>SUMIFS('caseload data'!Q:Q,'caseload data'!$D:$D,"TPO",'caseload data'!$C:$C,'custody caseload'!$B$22,'caseload data'!$B:$B,"custody")</f>
        <v>0</v>
      </c>
      <c r="P26" s="104">
        <f>SUMIFS('caseload data'!R:R,'caseload data'!$D:$D,"TPO",'caseload data'!$C:$C,'custody caseload'!$B$22,'caseload data'!$B:$B,"custody")</f>
        <v>0</v>
      </c>
      <c r="Q26" s="104">
        <f>SUMIFS('caseload data'!S:S,'caseload data'!$D:$D,"TPO",'caseload data'!$C:$C,'custody caseload'!$B$22,'caseload data'!$B:$B,"custody")</f>
        <v>0</v>
      </c>
      <c r="R26" s="104">
        <f>SUMIFS('caseload data'!T:T,'caseload data'!$D:$D,"TPO",'caseload data'!$C:$C,'custody caseload'!$B$22,'caseload data'!$B:$B,"custody")</f>
        <v>0</v>
      </c>
      <c r="S26" s="73"/>
      <c r="T26" s="107" t="s">
        <v>913</v>
      </c>
      <c r="U26" s="159">
        <f>SUMIFS('caseload data'!E:E,'caseload data'!$D:$D,"TPO",'caseload data'!$C:$C,'custody caseload'!$T$22,'caseload data'!$B:$B,"custody")</f>
        <v>0</v>
      </c>
      <c r="V26" s="159">
        <f>SUMIFS('caseload data'!F:F,'caseload data'!$D:$D,"TPO",'caseload data'!$C:$C,'custody caseload'!$T$22,'caseload data'!$B:$B,"custody")</f>
        <v>0</v>
      </c>
      <c r="W26" s="159">
        <f>SUMIFS('caseload data'!G:G,'caseload data'!$D:$D,"TPO",'caseload data'!$C:$C,'custody caseload'!$T$22,'caseload data'!$B:$B,"custody")</f>
        <v>0</v>
      </c>
      <c r="X26" s="159">
        <f>SUMIFS('caseload data'!H:H,'caseload data'!$D:$D,"TPO",'caseload data'!$C:$C,'custody caseload'!$T$22,'caseload data'!$B:$B,"custody")</f>
        <v>0</v>
      </c>
      <c r="Y26" s="159">
        <f>SUMIFS('caseload data'!I:I,'caseload data'!$D:$D,"TPO",'caseload data'!$C:$C,'custody caseload'!$T$22,'caseload data'!$B:$B,"custody")</f>
        <v>0</v>
      </c>
      <c r="Z26" s="159">
        <f>SUMIFS('caseload data'!J:J,'caseload data'!$D:$D,"TPO",'caseload data'!$C:$C,'custody caseload'!$T$22,'caseload data'!$B:$B,"custody")</f>
        <v>0</v>
      </c>
      <c r="AA26" s="159">
        <f>SUMIFS('caseload data'!K:K,'caseload data'!$D:$D,"TPO",'caseload data'!$C:$C,'custody caseload'!$T$22,'caseload data'!$B:$B,"custody")</f>
        <v>0</v>
      </c>
      <c r="AB26" s="159">
        <f>SUMIFS('caseload data'!L:L,'caseload data'!$D:$D,"TPO",'caseload data'!$C:$C,'custody caseload'!$T$22,'caseload data'!$B:$B,"custody")</f>
        <v>0</v>
      </c>
      <c r="AC26" s="104">
        <f>SUMIFS('caseload data'!M:M,'caseload data'!$D:$D,"TPO",'caseload data'!$C:$C,'custody caseload'!$T$22,'caseload data'!$B:$B,"custody")</f>
        <v>0</v>
      </c>
      <c r="AD26" s="104">
        <f>SUMIFS('caseload data'!N:N,'caseload data'!$D:$D,"TPO",'caseload data'!$C:$C,'custody caseload'!$T$22,'caseload data'!$B:$B,"custody")</f>
        <v>0</v>
      </c>
      <c r="AE26" s="104">
        <f>SUMIFS('caseload data'!O:O,'caseload data'!$D:$D,"TPO",'caseload data'!$C:$C,'custody caseload'!$T$22,'caseload data'!$B:$B,"custody")</f>
        <v>0</v>
      </c>
      <c r="AF26" s="104">
        <f>SUMIFS('caseload data'!P:P,'caseload data'!$D:$D,"TPO",'caseload data'!$C:$C,'custody caseload'!$T$22,'caseload data'!$B:$B,"custody")</f>
        <v>0</v>
      </c>
      <c r="AG26" s="104">
        <f>SUMIFS('caseload data'!Q:Q,'caseload data'!$D:$D,"TPO",'caseload data'!$C:$C,'custody caseload'!$T$22,'caseload data'!$B:$B,"custody")</f>
        <v>0</v>
      </c>
      <c r="AH26" s="104">
        <f>SUMIFS('caseload data'!R:R,'caseload data'!$D:$D,"TPO",'caseload data'!$C:$C,'custody caseload'!$T$22,'caseload data'!$B:$B,"custody")</f>
        <v>0</v>
      </c>
      <c r="AI26" s="104">
        <f>SUMIFS('caseload data'!S:S,'caseload data'!$D:$D,"TPO",'caseload data'!$C:$C,'custody caseload'!$T$22,'caseload data'!$B:$B,"custody")</f>
        <v>0</v>
      </c>
      <c r="AJ26" s="104">
        <f>SUMIFS('caseload data'!T:T,'caseload data'!$D:$D,"TPO",'caseload data'!$C:$C,'custody caseload'!$T$22,'caseload data'!$B:$B,"custody")</f>
        <v>0</v>
      </c>
    </row>
    <row r="27" spans="2:36" x14ac:dyDescent="0.15">
      <c r="B27" s="108" t="s">
        <v>914</v>
      </c>
      <c r="C27" s="104">
        <f>SUMIFS('caseload data'!E:E,'caseload data'!$D:$D,"SPO",'caseload data'!$C:$C,'custody caseload'!$B$22,'caseload data'!$B:$B,"custody")</f>
        <v>0</v>
      </c>
      <c r="D27" s="104">
        <f>SUMIFS('caseload data'!F:F,'caseload data'!$D:$D,"SPO",'caseload data'!$C:$C,'custody caseload'!$B$22,'caseload data'!$B:$B,"custody")</f>
        <v>0</v>
      </c>
      <c r="E27" s="104">
        <f>SUMIFS('caseload data'!G:G,'caseload data'!$D:$D,"SPO",'caseload data'!$C:$C,'custody caseload'!$B$22,'caseload data'!$B:$B,"custody")</f>
        <v>0</v>
      </c>
      <c r="F27" s="104">
        <f>SUMIFS('caseload data'!H:H,'caseload data'!$D:$D,"SPO",'caseload data'!$C:$C,'custody caseload'!$B$22,'caseload data'!$B:$B,"custody")</f>
        <v>0</v>
      </c>
      <c r="G27" s="104">
        <f>SUMIFS('caseload data'!I:I,'caseload data'!$D:$D,"SPO",'caseload data'!$C:$C,'custody caseload'!$B$22,'caseload data'!$B:$B,"custody")</f>
        <v>0</v>
      </c>
      <c r="H27" s="104">
        <f>SUMIFS('caseload data'!J:J,'caseload data'!$D:$D,"SPO",'caseload data'!$C:$C,'custody caseload'!$B$22,'caseload data'!$B:$B,"custody")</f>
        <v>0</v>
      </c>
      <c r="I27" s="104">
        <f>SUMIFS('caseload data'!K:K,'caseload data'!$D:$D,"SPO",'caseload data'!$C:$C,'custody caseload'!$B$22,'caseload data'!$B:$B,"custody")</f>
        <v>0</v>
      </c>
      <c r="J27" s="104">
        <f>SUMIFS('caseload data'!L:L,'caseload data'!$D:$D,"SPO",'caseload data'!$C:$C,'custody caseload'!$B$22,'caseload data'!$B:$B,"custody")</f>
        <v>0</v>
      </c>
      <c r="K27" s="104">
        <f>SUMIFS('caseload data'!M:M,'caseload data'!$D:$D,"SPO",'caseload data'!$C:$C,'custody caseload'!$B$22,'caseload data'!$B:$B,"custody")</f>
        <v>0</v>
      </c>
      <c r="L27" s="104">
        <f>SUMIFS('caseload data'!N:N,'caseload data'!$D:$D,"SPO",'caseload data'!$C:$C,'custody caseload'!$B$22,'caseload data'!$B:$B,"custody")</f>
        <v>0</v>
      </c>
      <c r="M27" s="104">
        <f>SUMIFS('caseload data'!O:O,'caseload data'!$D:$D,"SPO",'caseload data'!$C:$C,'custody caseload'!$B$22,'caseload data'!$B:$B,"custody")</f>
        <v>0</v>
      </c>
      <c r="N27" s="104">
        <f>SUMIFS('caseload data'!P:P,'caseload data'!$D:$D,"SPO",'caseload data'!$C:$C,'custody caseload'!$B$22,'caseload data'!$B:$B,"custody")</f>
        <v>0</v>
      </c>
      <c r="O27" s="104">
        <f>SUMIFS('caseload data'!Q:Q,'caseload data'!$D:$D,"SPO",'caseload data'!$C:$C,'custody caseload'!$B$22,'caseload data'!$B:$B,"custody")</f>
        <v>0</v>
      </c>
      <c r="P27" s="104">
        <f>SUMIFS('caseload data'!R:R,'caseload data'!$D:$D,"SPO",'caseload data'!$C:$C,'custody caseload'!$B$22,'caseload data'!$B:$B,"custody")</f>
        <v>0</v>
      </c>
      <c r="Q27" s="104">
        <f>SUMIFS('caseload data'!S:S,'caseload data'!$D:$D,"SPO",'caseload data'!$C:$C,'custody caseload'!$B$22,'caseload data'!$B:$B,"custody")</f>
        <v>0</v>
      </c>
      <c r="R27" s="104">
        <f>SUMIFS('caseload data'!T:T,'caseload data'!$D:$D,"SPO",'caseload data'!$C:$C,'custody caseload'!$B$22,'caseload data'!$B:$B,"custody")</f>
        <v>0</v>
      </c>
      <c r="S27" s="73"/>
      <c r="T27" s="108" t="s">
        <v>914</v>
      </c>
      <c r="U27" s="104">
        <f>SUMIFS('caseload data'!E:E,'caseload data'!$D:$D,"SPO",'caseload data'!$C:$C,'custody caseload'!$T$22,'caseload data'!$B:$B,"custody")</f>
        <v>0</v>
      </c>
      <c r="V27" s="104">
        <f>SUMIFS('caseload data'!F:F,'caseload data'!$D:$D,"SPO",'caseload data'!$C:$C,'custody caseload'!$T$22,'caseload data'!$B:$B,"custody")</f>
        <v>0</v>
      </c>
      <c r="W27" s="104">
        <f>SUMIFS('caseload data'!G:G,'caseload data'!$D:$D,"SPO",'caseload data'!$C:$C,'custody caseload'!$T$22,'caseload data'!$B:$B,"custody")</f>
        <v>0</v>
      </c>
      <c r="X27" s="104">
        <f>SUMIFS('caseload data'!H:H,'caseload data'!$D:$D,"SPO",'caseload data'!$C:$C,'custody caseload'!$T$22,'caseload data'!$B:$B,"custody")</f>
        <v>0</v>
      </c>
      <c r="Y27" s="104">
        <f>SUMIFS('caseload data'!I:I,'caseload data'!$D:$D,"SPO",'caseload data'!$C:$C,'custody caseload'!$T$22,'caseload data'!$B:$B,"custody")</f>
        <v>0</v>
      </c>
      <c r="Z27" s="104">
        <f>SUMIFS('caseload data'!J:J,'caseload data'!$D:$D,"SPO",'caseload data'!$C:$C,'custody caseload'!$T$22,'caseload data'!$B:$B,"custody")</f>
        <v>0</v>
      </c>
      <c r="AA27" s="104">
        <f>SUMIFS('caseload data'!K:K,'caseload data'!$D:$D,"SPO",'caseload data'!$C:$C,'custody caseload'!$T$22,'caseload data'!$B:$B,"custody")</f>
        <v>0</v>
      </c>
      <c r="AB27" s="104">
        <f>SUMIFS('caseload data'!L:L,'caseload data'!$D:$D,"SPO",'caseload data'!$C:$C,'custody caseload'!$T$22,'caseload data'!$B:$B,"custody")</f>
        <v>0</v>
      </c>
      <c r="AC27" s="104">
        <f>SUMIFS('caseload data'!M:M,'caseload data'!$D:$D,"SPO",'caseload data'!$C:$C,'custody caseload'!$T$22,'caseload data'!$B:$B,"custody")</f>
        <v>0</v>
      </c>
      <c r="AD27" s="104">
        <f>SUMIFS('caseload data'!N:N,'caseload data'!$D:$D,"SPO",'caseload data'!$C:$C,'custody caseload'!$T$22,'caseload data'!$B:$B,"custody")</f>
        <v>0</v>
      </c>
      <c r="AE27" s="104">
        <f>SUMIFS('caseload data'!O:O,'caseload data'!$D:$D,"SPO",'caseload data'!$C:$C,'custody caseload'!$T$22,'caseload data'!$B:$B,"custody")</f>
        <v>0</v>
      </c>
      <c r="AF27" s="104">
        <f>SUMIFS('caseload data'!P:P,'caseload data'!$D:$D,"SPO",'caseload data'!$C:$C,'custody caseload'!$T$22,'caseload data'!$B:$B,"custody")</f>
        <v>0</v>
      </c>
      <c r="AG27" s="104">
        <f>SUMIFS('caseload data'!Q:Q,'caseload data'!$D:$D,"SPO",'caseload data'!$C:$C,'custody caseload'!$T$22,'caseload data'!$B:$B,"custody")</f>
        <v>0</v>
      </c>
      <c r="AH27" s="104">
        <f>SUMIFS('caseload data'!R:R,'caseload data'!$D:$D,"SPO",'caseload data'!$C:$C,'custody caseload'!$T$22,'caseload data'!$B:$B,"custody")</f>
        <v>0</v>
      </c>
      <c r="AI27" s="104">
        <f>SUMIFS('caseload data'!S:S,'caseload data'!$D:$D,"SPO",'caseload data'!$C:$C,'custody caseload'!$T$22,'caseload data'!$B:$B,"custody")</f>
        <v>0</v>
      </c>
      <c r="AJ27" s="104">
        <f>SUMIFS('caseload data'!T:T,'caseload data'!$D:$D,"SPO",'caseload data'!$C:$C,'custody caseload'!$T$22,'caseload data'!$B:$B,"custody")</f>
        <v>0</v>
      </c>
    </row>
    <row r="28" spans="2:36" x14ac:dyDescent="0.15">
      <c r="B28" s="101"/>
      <c r="C28" s="73"/>
      <c r="D28" s="73"/>
      <c r="E28" s="73"/>
      <c r="F28" s="73"/>
      <c r="G28" s="73"/>
      <c r="H28" s="73"/>
      <c r="I28" s="73"/>
      <c r="J28" s="73"/>
      <c r="K28" s="73"/>
      <c r="L28" s="73"/>
      <c r="M28" s="73"/>
      <c r="N28" s="73"/>
      <c r="O28" s="73"/>
      <c r="P28" s="73"/>
      <c r="Q28" s="73"/>
      <c r="R28" s="73"/>
      <c r="S28" s="73"/>
      <c r="T28" s="101"/>
      <c r="U28" s="73"/>
      <c r="V28" s="73"/>
      <c r="W28" s="73"/>
      <c r="X28" s="73"/>
      <c r="Y28" s="73"/>
      <c r="Z28" s="73"/>
      <c r="AA28" s="73"/>
      <c r="AB28" s="73"/>
      <c r="AC28" s="73"/>
      <c r="AD28" s="73"/>
      <c r="AE28" s="73"/>
      <c r="AF28" s="73"/>
      <c r="AG28" s="73"/>
      <c r="AH28" s="73"/>
      <c r="AI28" s="73"/>
      <c r="AJ28" s="73"/>
    </row>
    <row r="29" spans="2:36" ht="29.25" customHeight="1" x14ac:dyDescent="0.15">
      <c r="B29" s="156" t="str">
        <f>HLOOKUP($B$5,Region_Table,8,0)</f>
        <v>Ealing and Hillingdon</v>
      </c>
      <c r="C29" s="367" t="s">
        <v>1163</v>
      </c>
      <c r="D29" s="368"/>
      <c r="E29" s="368"/>
      <c r="F29" s="368"/>
      <c r="G29" s="368"/>
      <c r="H29" s="368"/>
      <c r="I29" s="368"/>
      <c r="J29" s="368"/>
      <c r="K29" s="368"/>
      <c r="L29" s="368"/>
      <c r="M29" s="377"/>
      <c r="N29" s="377"/>
      <c r="O29" s="378"/>
      <c r="P29" s="371">
        <f>SUMIFS('caseload data'!V:V,'caseload data'!B:B,"custody",'caseload data'!$C:$C,'custody caseload'!B29)</f>
        <v>0</v>
      </c>
      <c r="Q29" s="379"/>
      <c r="R29" s="380"/>
      <c r="S29" s="73"/>
      <c r="T29" s="156" t="str">
        <f>HLOOKUP($B$5,Region_Table,9,0)</f>
        <v>Enfield and Haringey</v>
      </c>
      <c r="U29" s="367" t="s">
        <v>1163</v>
      </c>
      <c r="V29" s="368"/>
      <c r="W29" s="368"/>
      <c r="X29" s="368"/>
      <c r="Y29" s="368"/>
      <c r="Z29" s="368"/>
      <c r="AA29" s="368"/>
      <c r="AB29" s="368"/>
      <c r="AC29" s="368"/>
      <c r="AD29" s="368"/>
      <c r="AE29" s="377"/>
      <c r="AF29" s="377"/>
      <c r="AG29" s="378"/>
      <c r="AH29" s="371">
        <f>SUMIFS('caseload data'!V:V,'caseload data'!B:B,"custody",'caseload data'!$C:$C,'custody caseload'!T29)</f>
        <v>0</v>
      </c>
      <c r="AI29" s="379"/>
      <c r="AJ29" s="380"/>
    </row>
    <row r="30" spans="2:36" x14ac:dyDescent="0.15">
      <c r="B30" s="105" t="s">
        <v>1065</v>
      </c>
      <c r="C30" s="41" t="s">
        <v>922</v>
      </c>
      <c r="D30" s="41" t="s">
        <v>923</v>
      </c>
      <c r="E30" s="41" t="s">
        <v>924</v>
      </c>
      <c r="F30" s="41" t="s">
        <v>925</v>
      </c>
      <c r="G30" s="41" t="s">
        <v>926</v>
      </c>
      <c r="H30" s="41" t="s">
        <v>927</v>
      </c>
      <c r="I30" s="41" t="s">
        <v>928</v>
      </c>
      <c r="J30" s="41" t="s">
        <v>929</v>
      </c>
      <c r="K30" s="41" t="s">
        <v>930</v>
      </c>
      <c r="L30" s="41" t="s">
        <v>931</v>
      </c>
      <c r="M30" s="41" t="s">
        <v>932</v>
      </c>
      <c r="N30" s="41" t="s">
        <v>933</v>
      </c>
      <c r="O30" s="41" t="s">
        <v>934</v>
      </c>
      <c r="P30" s="41" t="s">
        <v>935</v>
      </c>
      <c r="Q30" s="41" t="s">
        <v>936</v>
      </c>
      <c r="R30" s="41" t="s">
        <v>937</v>
      </c>
      <c r="S30" s="73"/>
      <c r="T30" s="105" t="s">
        <v>1065</v>
      </c>
      <c r="U30" s="41" t="s">
        <v>922</v>
      </c>
      <c r="V30" s="41" t="s">
        <v>923</v>
      </c>
      <c r="W30" s="41" t="s">
        <v>924</v>
      </c>
      <c r="X30" s="41" t="s">
        <v>925</v>
      </c>
      <c r="Y30" s="41" t="s">
        <v>926</v>
      </c>
      <c r="Z30" s="41" t="s">
        <v>927</v>
      </c>
      <c r="AA30" s="41" t="s">
        <v>928</v>
      </c>
      <c r="AB30" s="41" t="s">
        <v>929</v>
      </c>
      <c r="AC30" s="41" t="s">
        <v>930</v>
      </c>
      <c r="AD30" s="41" t="s">
        <v>931</v>
      </c>
      <c r="AE30" s="41" t="s">
        <v>932</v>
      </c>
      <c r="AF30" s="41" t="s">
        <v>933</v>
      </c>
      <c r="AG30" s="41" t="s">
        <v>934</v>
      </c>
      <c r="AH30" s="41" t="s">
        <v>935</v>
      </c>
      <c r="AI30" s="41" t="s">
        <v>936</v>
      </c>
      <c r="AJ30" s="41" t="s">
        <v>937</v>
      </c>
    </row>
    <row r="31" spans="2:36" x14ac:dyDescent="0.15">
      <c r="B31" s="106" t="s">
        <v>911</v>
      </c>
      <c r="C31" s="104">
        <f>SUMIFS('caseload data'!E:E,'caseload data'!$D:$D,"PO",'caseload data'!$C:$C,'custody caseload'!$B$29,'caseload data'!$B:$B,"custody")</f>
        <v>0</v>
      </c>
      <c r="D31" s="104">
        <f>SUMIFS('caseload data'!F:F,'caseload data'!$D:$D,"PO",'caseload data'!$C:$C,'custody caseload'!$B$29,'caseload data'!$B:$B,"custody")</f>
        <v>0</v>
      </c>
      <c r="E31" s="104">
        <f>SUMIFS('caseload data'!G:G,'caseload data'!$D:$D,"PO",'caseload data'!$C:$C,'custody caseload'!$B$29,'caseload data'!$B:$B,"custody")</f>
        <v>0</v>
      </c>
      <c r="F31" s="104">
        <f>SUMIFS('caseload data'!H:H,'caseload data'!$D:$D,"PO",'caseload data'!$C:$C,'custody caseload'!$B$29,'caseload data'!$B:$B,"custody")</f>
        <v>0</v>
      </c>
      <c r="G31" s="104">
        <f>SUMIFS('caseload data'!I:I,'caseload data'!$D:$D,"PO",'caseload data'!$C:$C,'custody caseload'!$B$29,'caseload data'!$B:$B,"custody")</f>
        <v>0</v>
      </c>
      <c r="H31" s="104">
        <f>SUMIFS('caseload data'!J:J,'caseload data'!$D:$D,"PO",'caseload data'!$C:$C,'custody caseload'!$B$29,'caseload data'!$B:$B,"custody")</f>
        <v>0</v>
      </c>
      <c r="I31" s="104">
        <f>SUMIFS('caseload data'!K:K,'caseload data'!$D:$D,"PO",'caseload data'!$C:$C,'custody caseload'!$B$29,'caseload data'!$B:$B,"custody")</f>
        <v>0</v>
      </c>
      <c r="J31" s="104">
        <f>SUMIFS('caseload data'!L:L,'caseload data'!$D:$D,"PO",'caseload data'!$C:$C,'custody caseload'!$B$29,'caseload data'!$B:$B,"custody")</f>
        <v>0</v>
      </c>
      <c r="K31" s="104">
        <f>SUMIFS('caseload data'!M:M,'caseload data'!$D:$D,"PO",'caseload data'!$C:$C,'custody caseload'!$B$29,'caseload data'!$B:$B,"custody")</f>
        <v>0</v>
      </c>
      <c r="L31" s="104">
        <f>SUMIFS('caseload data'!N:N,'caseload data'!$D:$D,"PO",'caseload data'!$C:$C,'custody caseload'!$B$29,'caseload data'!$B:$B,"custody")</f>
        <v>0</v>
      </c>
      <c r="M31" s="104">
        <f>SUMIFS('caseload data'!O:O,'caseload data'!$D:$D,"PO",'caseload data'!$C:$C,'custody caseload'!$B$29,'caseload data'!$B:$B,"custody")</f>
        <v>0</v>
      </c>
      <c r="N31" s="104">
        <f>SUMIFS('caseload data'!P:P,'caseload data'!$D:$D,"PO",'caseload data'!$C:$C,'custody caseload'!$B$29,'caseload data'!$B:$B,"custody")</f>
        <v>0</v>
      </c>
      <c r="O31" s="104">
        <f>SUMIFS('caseload data'!Q:Q,'caseload data'!$D:$D,"PO",'caseload data'!$C:$C,'custody caseload'!$B$29,'caseload data'!$B:$B,"custody")</f>
        <v>0</v>
      </c>
      <c r="P31" s="104">
        <f>SUMIFS('caseload data'!R:R,'caseload data'!$D:$D,"PO",'caseload data'!$C:$C,'custody caseload'!$B$29,'caseload data'!$B:$B,"custody")</f>
        <v>0</v>
      </c>
      <c r="Q31" s="104">
        <f>SUMIFS('caseload data'!S:S,'caseload data'!$D:$D,"PO",'caseload data'!$C:$C,'custody caseload'!$B$29,'caseload data'!$B:$B,"custody")</f>
        <v>0</v>
      </c>
      <c r="R31" s="104">
        <f>SUMIFS('caseload data'!T:T,'caseload data'!$D:$D,"PO",'caseload data'!$C:$C,'custody caseload'!$B$29,'caseload data'!$B:$B,"custody")</f>
        <v>0</v>
      </c>
      <c r="S31" s="73"/>
      <c r="T31" s="106" t="s">
        <v>911</v>
      </c>
      <c r="U31" s="104">
        <f>SUMIFS('caseload data'!E:E,'caseload data'!$D:$D,"PO",'caseload data'!$C:$C,'custody caseload'!$T$29,'caseload data'!$B:$B,"custody")</f>
        <v>0</v>
      </c>
      <c r="V31" s="104">
        <f>SUMIFS('caseload data'!F:F,'caseload data'!$D:$D,"PO",'caseload data'!$C:$C,'custody caseload'!$T$29,'caseload data'!$B:$B,"custody")</f>
        <v>0</v>
      </c>
      <c r="W31" s="104">
        <f>SUMIFS('caseload data'!G:G,'caseload data'!$D:$D,"PO",'caseload data'!$C:$C,'custody caseload'!$T$29,'caseload data'!$B:$B,"custody")</f>
        <v>0</v>
      </c>
      <c r="X31" s="104">
        <f>SUMIFS('caseload data'!H:H,'caseload data'!$D:$D,"PO",'caseload data'!$C:$C,'custody caseload'!$T$29,'caseload data'!$B:$B,"custody")</f>
        <v>0</v>
      </c>
      <c r="Y31" s="104">
        <f>SUMIFS('caseload data'!I:I,'caseload data'!$D:$D,"PO",'caseload data'!$C:$C,'custody caseload'!$T$29,'caseload data'!$B:$B,"custody")</f>
        <v>0</v>
      </c>
      <c r="Z31" s="104">
        <f>SUMIFS('caseload data'!J:J,'caseload data'!$D:$D,"PO",'caseload data'!$C:$C,'custody caseload'!$T$29,'caseload data'!$B:$B,"custody")</f>
        <v>0</v>
      </c>
      <c r="AA31" s="104">
        <f>SUMIFS('caseload data'!K:K,'caseload data'!$D:$D,"PO",'caseload data'!$C:$C,'custody caseload'!$T$29,'caseload data'!$B:$B,"custody")</f>
        <v>0</v>
      </c>
      <c r="AB31" s="104">
        <f>SUMIFS('caseload data'!L:L,'caseload data'!$D:$D,"PO",'caseload data'!$C:$C,'custody caseload'!$T$29,'caseload data'!$B:$B,"custody")</f>
        <v>0</v>
      </c>
      <c r="AC31" s="104">
        <f>SUMIFS('caseload data'!M:M,'caseload data'!$D:$D,"PO",'caseload data'!$C:$C,'custody caseload'!$T$29,'caseload data'!$B:$B,"custody")</f>
        <v>0</v>
      </c>
      <c r="AD31" s="104">
        <f>SUMIFS('caseload data'!N:N,'caseload data'!$D:$D,"PO",'caseload data'!$C:$C,'custody caseload'!$T$29,'caseload data'!$B:$B,"custody")</f>
        <v>0</v>
      </c>
      <c r="AE31" s="104">
        <f>SUMIFS('caseload data'!O:O,'caseload data'!$D:$D,"PO",'caseload data'!$C:$C,'custody caseload'!$T$29,'caseload data'!$B:$B,"custody")</f>
        <v>0</v>
      </c>
      <c r="AF31" s="104">
        <f>SUMIFS('caseload data'!P:P,'caseload data'!$D:$D,"PO",'caseload data'!$C:$C,'custody caseload'!$T$29,'caseload data'!$B:$B,"custody")</f>
        <v>0</v>
      </c>
      <c r="AG31" s="104">
        <f>SUMIFS('caseload data'!Q:Q,'caseload data'!$D:$D,"PO",'caseload data'!$C:$C,'custody caseload'!$T$29,'caseload data'!$B:$B,"custody")</f>
        <v>0</v>
      </c>
      <c r="AH31" s="104">
        <f>SUMIFS('caseload data'!R:R,'caseload data'!$D:$D,"PO",'caseload data'!$C:$C,'custody caseload'!$T$29,'caseload data'!$B:$B,"custody")</f>
        <v>0</v>
      </c>
      <c r="AI31" s="104">
        <f>SUMIFS('caseload data'!S:S,'caseload data'!$D:$D,"PO",'caseload data'!$C:$C,'custody caseload'!$T$29,'caseload data'!$B:$B,"custody")</f>
        <v>0</v>
      </c>
      <c r="AJ31" s="104">
        <f>SUMIFS('caseload data'!T:T,'caseload data'!$D:$D,"PO",'caseload data'!$C:$C,'custody caseload'!$T$29,'caseload data'!$B:$B,"custody")</f>
        <v>0</v>
      </c>
    </row>
    <row r="32" spans="2:36" ht="15" x14ac:dyDescent="0.2">
      <c r="B32" s="107" t="s">
        <v>912</v>
      </c>
      <c r="C32" s="159">
        <f>SUMIFS('caseload data'!E:E,'caseload data'!$D:$D,"PSO",'caseload data'!$C:$C,'custody caseload'!$B$29,'caseload data'!$B:$B,"custody")</f>
        <v>0</v>
      </c>
      <c r="D32" s="159">
        <f>SUMIFS('caseload data'!F:F,'caseload data'!$D:$D,"PSO",'caseload data'!$C:$C,'custody caseload'!$B$29,'caseload data'!$B:$B,"custody")</f>
        <v>0</v>
      </c>
      <c r="E32" s="159">
        <f>SUMIFS('caseload data'!G:G,'caseload data'!$D:$D,"PSO",'caseload data'!$C:$C,'custody caseload'!$B$29,'caseload data'!$B:$B,"custody")</f>
        <v>0</v>
      </c>
      <c r="F32" s="159">
        <f>SUMIFS('caseload data'!H:H,'caseload data'!$D:$D,"PSO",'caseload data'!$C:$C,'custody caseload'!$B$29,'caseload data'!$B:$B,"custody")</f>
        <v>0</v>
      </c>
      <c r="G32" s="159">
        <f>SUMIFS('caseload data'!I:I,'caseload data'!$D:$D,"PSO",'caseload data'!$C:$C,'custody caseload'!$B$29,'caseload data'!$B:$B,"custody")</f>
        <v>0</v>
      </c>
      <c r="H32" s="159">
        <f>SUMIFS('caseload data'!J:J,'caseload data'!$D:$D,"PSO",'caseload data'!$C:$C,'custody caseload'!$B$29,'caseload data'!$B:$B,"custody")</f>
        <v>0</v>
      </c>
      <c r="I32" s="159">
        <f>SUMIFS('caseload data'!K:K,'caseload data'!$D:$D,"PSO",'caseload data'!$C:$C,'custody caseload'!$B$29,'caseload data'!$B:$B,"custody")</f>
        <v>0</v>
      </c>
      <c r="J32" s="159">
        <f>SUMIFS('caseload data'!L:L,'caseload data'!$D:$D,"PSO",'caseload data'!$C:$C,'custody caseload'!$B$29,'caseload data'!$B:$B,"custody")</f>
        <v>0</v>
      </c>
      <c r="K32" s="104">
        <f>SUMIFS('caseload data'!M:M,'caseload data'!$D:$D,"PSO",'caseload data'!$C:$C,'custody caseload'!$B$29,'caseload data'!$B:$B,"custody")</f>
        <v>0</v>
      </c>
      <c r="L32" s="104">
        <f>SUMIFS('caseload data'!N:N,'caseload data'!$D:$D,"PSO",'caseload data'!$C:$C,'custody caseload'!$B$29,'caseload data'!$B:$B,"custody")</f>
        <v>0</v>
      </c>
      <c r="M32" s="104">
        <f>SUMIFS('caseload data'!O:O,'caseload data'!$D:$D,"PSO",'caseload data'!$C:$C,'custody caseload'!$B$29,'caseload data'!$B:$B,"custody")</f>
        <v>0</v>
      </c>
      <c r="N32" s="104">
        <f>SUMIFS('caseload data'!P:P,'caseload data'!$D:$D,"PSO",'caseload data'!$C:$C,'custody caseload'!$B$29,'caseload data'!$B:$B,"custody")</f>
        <v>0</v>
      </c>
      <c r="O32" s="104">
        <f>SUMIFS('caseload data'!Q:Q,'caseload data'!$D:$D,"PSO",'caseload data'!$C:$C,'custody caseload'!$B$29,'caseload data'!$B:$B,"custody")</f>
        <v>0</v>
      </c>
      <c r="P32" s="104">
        <f>SUMIFS('caseload data'!R:R,'caseload data'!$D:$D,"PSO",'caseload data'!$C:$C,'custody caseload'!$B$29,'caseload data'!$B:$B,"custody")</f>
        <v>0</v>
      </c>
      <c r="Q32" s="104">
        <f>SUMIFS('caseload data'!S:S,'caseload data'!$D:$D,"PSO",'caseload data'!$C:$C,'custody caseload'!$B$29,'caseload data'!$B:$B,"custody")</f>
        <v>0</v>
      </c>
      <c r="R32" s="104">
        <f>SUMIFS('caseload data'!T:T,'caseload data'!$D:$D,"PSO",'caseload data'!$C:$C,'custody caseload'!$B$29,'caseload data'!$B:$B,"custody")</f>
        <v>0</v>
      </c>
      <c r="S32" s="73"/>
      <c r="T32" s="107" t="s">
        <v>912</v>
      </c>
      <c r="U32" s="159">
        <f>SUMIFS('caseload data'!E:E,'caseload data'!$D:$D,"PSO",'caseload data'!$C:$C,'custody caseload'!$T$29,'caseload data'!$B:$B,"custody")</f>
        <v>0</v>
      </c>
      <c r="V32" s="159">
        <f>SUMIFS('caseload data'!F:F,'caseload data'!$D:$D,"PSO",'caseload data'!$C:$C,'custody caseload'!$T$29,'caseload data'!$B:$B,"custody")</f>
        <v>0</v>
      </c>
      <c r="W32" s="159">
        <f>SUMIFS('caseload data'!G:G,'caseload data'!$D:$D,"PSO",'caseload data'!$C:$C,'custody caseload'!$T$29,'caseload data'!$B:$B,"custody")</f>
        <v>0</v>
      </c>
      <c r="X32" s="159">
        <f>SUMIFS('caseload data'!H:H,'caseload data'!$D:$D,"PSO",'caseload data'!$C:$C,'custody caseload'!$T$29,'caseload data'!$B:$B,"custody")</f>
        <v>0</v>
      </c>
      <c r="Y32" s="159">
        <f>SUMIFS('caseload data'!I:I,'caseload data'!$D:$D,"PSO",'caseload data'!$C:$C,'custody caseload'!$T$29,'caseload data'!$B:$B,"custody")</f>
        <v>0</v>
      </c>
      <c r="Z32" s="159">
        <f>SUMIFS('caseload data'!J:J,'caseload data'!$D:$D,"PSO",'caseload data'!$C:$C,'custody caseload'!$T$29,'caseload data'!$B:$B,"custody")</f>
        <v>0</v>
      </c>
      <c r="AA32" s="159">
        <f>SUMIFS('caseload data'!K:K,'caseload data'!$D:$D,"PSO",'caseload data'!$C:$C,'custody caseload'!$T$29,'caseload data'!$B:$B,"custody")</f>
        <v>0</v>
      </c>
      <c r="AB32" s="159">
        <f>SUMIFS('caseload data'!L:L,'caseload data'!$D:$D,"PSO",'caseload data'!$C:$C,'custody caseload'!$T$29,'caseload data'!$B:$B,"custody")</f>
        <v>0</v>
      </c>
      <c r="AC32" s="104">
        <f>SUMIFS('caseload data'!M:M,'caseload data'!$D:$D,"PSO",'caseload data'!$C:$C,'custody caseload'!$T$29,'caseload data'!$B:$B,"custody")</f>
        <v>0</v>
      </c>
      <c r="AD32" s="104">
        <f>SUMIFS('caseload data'!N:N,'caseload data'!$D:$D,"PSO",'caseload data'!$C:$C,'custody caseload'!$T$29,'caseload data'!$B:$B,"custody")</f>
        <v>0</v>
      </c>
      <c r="AE32" s="104">
        <f>SUMIFS('caseload data'!O:O,'caseload data'!$D:$D,"PSO",'caseload data'!$C:$C,'custody caseload'!$T$29,'caseload data'!$B:$B,"custody")</f>
        <v>0</v>
      </c>
      <c r="AF32" s="104">
        <f>SUMIFS('caseload data'!P:P,'caseload data'!$D:$D,"PSO",'caseload data'!$C:$C,'custody caseload'!$T$29,'caseload data'!$B:$B,"custody")</f>
        <v>0</v>
      </c>
      <c r="AG32" s="104">
        <f>SUMIFS('caseload data'!Q:Q,'caseload data'!$D:$D,"PSO",'caseload data'!$C:$C,'custody caseload'!$T$29,'caseload data'!$B:$B,"custody")</f>
        <v>0</v>
      </c>
      <c r="AH32" s="104">
        <f>SUMIFS('caseload data'!R:R,'caseload data'!$D:$D,"PSO",'caseload data'!$C:$C,'custody caseload'!$T$29,'caseload data'!$B:$B,"custody")</f>
        <v>0</v>
      </c>
      <c r="AI32" s="104">
        <f>SUMIFS('caseload data'!S:S,'caseload data'!$D:$D,"PSO",'caseload data'!$C:$C,'custody caseload'!$T$29,'caseload data'!$B:$B,"custody")</f>
        <v>0</v>
      </c>
      <c r="AJ32" s="104">
        <f>SUMIFS('caseload data'!T:T,'caseload data'!$D:$D,"PSO",'caseload data'!$C:$C,'custody caseload'!$T$29,'caseload data'!$B:$B,"custody")</f>
        <v>0</v>
      </c>
    </row>
    <row r="33" spans="2:36" ht="15" x14ac:dyDescent="0.2">
      <c r="B33" s="107" t="s">
        <v>913</v>
      </c>
      <c r="C33" s="159">
        <f>SUMIFS('caseload data'!E:E,'caseload data'!$D:$D,"TPO",'caseload data'!$C:$C,'custody caseload'!$B$29,'caseload data'!$B:$B,"custody")</f>
        <v>0</v>
      </c>
      <c r="D33" s="159">
        <f>SUMIFS('caseload data'!F:F,'caseload data'!$D:$D,"TPO",'caseload data'!$C:$C,'custody caseload'!$B$29,'caseload data'!$B:$B,"custody")</f>
        <v>0</v>
      </c>
      <c r="E33" s="159">
        <f>SUMIFS('caseload data'!G:G,'caseload data'!$D:$D,"TPO",'caseload data'!$C:$C,'custody caseload'!$B$29,'caseload data'!$B:$B,"custody")</f>
        <v>0</v>
      </c>
      <c r="F33" s="159">
        <f>SUMIFS('caseload data'!H:H,'caseload data'!$D:$D,"TPO",'caseload data'!$C:$C,'custody caseload'!$B$29,'caseload data'!$B:$B,"custody")</f>
        <v>0</v>
      </c>
      <c r="G33" s="159">
        <f>SUMIFS('caseload data'!I:I,'caseload data'!$D:$D,"TPO",'caseload data'!$C:$C,'custody caseload'!$B$29,'caseload data'!$B:$B,"custody")</f>
        <v>0</v>
      </c>
      <c r="H33" s="159">
        <f>SUMIFS('caseload data'!J:J,'caseload data'!$D:$D,"TPO",'caseload data'!$C:$C,'custody caseload'!$B$29,'caseload data'!$B:$B,"custody")</f>
        <v>0</v>
      </c>
      <c r="I33" s="159">
        <f>SUMIFS('caseload data'!K:K,'caseload data'!$D:$D,"TPO",'caseload data'!$C:$C,'custody caseload'!$B$29,'caseload data'!$B:$B,"custody")</f>
        <v>0</v>
      </c>
      <c r="J33" s="159">
        <f>SUMIFS('caseload data'!L:L,'caseload data'!$D:$D,"TPO",'caseload data'!$C:$C,'custody caseload'!$B$29,'caseload data'!$B:$B,"custody")</f>
        <v>0</v>
      </c>
      <c r="K33" s="104">
        <f>SUMIFS('caseload data'!M:M,'caseload data'!$D:$D,"TPO",'caseload data'!$C:$C,'custody caseload'!$B$29,'caseload data'!$B:$B,"custody")</f>
        <v>0</v>
      </c>
      <c r="L33" s="104">
        <f>SUMIFS('caseload data'!N:N,'caseload data'!$D:$D,"TPO",'caseload data'!$C:$C,'custody caseload'!$B$29,'caseload data'!$B:$B,"custody")</f>
        <v>0</v>
      </c>
      <c r="M33" s="104">
        <f>SUMIFS('caseload data'!O:O,'caseload data'!$D:$D,"TPO",'caseload data'!$C:$C,'custody caseload'!$B$29,'caseload data'!$B:$B,"custody")</f>
        <v>0</v>
      </c>
      <c r="N33" s="104">
        <f>SUMIFS('caseload data'!P:P,'caseload data'!$D:$D,"TPO",'caseload data'!$C:$C,'custody caseload'!$B$29,'caseload data'!$B:$B,"custody")</f>
        <v>0</v>
      </c>
      <c r="O33" s="104">
        <f>SUMIFS('caseload data'!Q:Q,'caseload data'!$D:$D,"TPO",'caseload data'!$C:$C,'custody caseload'!$B$29,'caseload data'!$B:$B,"custody")</f>
        <v>0</v>
      </c>
      <c r="P33" s="104">
        <f>SUMIFS('caseload data'!R:R,'caseload data'!$D:$D,"TPO",'caseload data'!$C:$C,'custody caseload'!$B$29,'caseload data'!$B:$B,"custody")</f>
        <v>0</v>
      </c>
      <c r="Q33" s="104">
        <f>SUMIFS('caseload data'!S:S,'caseload data'!$D:$D,"TPO",'caseload data'!$C:$C,'custody caseload'!$B$29,'caseload data'!$B:$B,"custody")</f>
        <v>0</v>
      </c>
      <c r="R33" s="104">
        <f>SUMIFS('caseload data'!T:T,'caseload data'!$D:$D,"TPO",'caseload data'!$C:$C,'custody caseload'!$B$29,'caseload data'!$B:$B,"custody")</f>
        <v>0</v>
      </c>
      <c r="S33" s="73"/>
      <c r="T33" s="107" t="s">
        <v>913</v>
      </c>
      <c r="U33" s="159">
        <f>SUMIFS('caseload data'!E:E,'caseload data'!$D:$D,"TPO",'caseload data'!$C:$C,'custody caseload'!$T$29,'caseload data'!$B:$B,"custody")</f>
        <v>0</v>
      </c>
      <c r="V33" s="159">
        <f>SUMIFS('caseload data'!F:F,'caseload data'!$D:$D,"TPO",'caseload data'!$C:$C,'custody caseload'!$T$29,'caseload data'!$B:$B,"custody")</f>
        <v>0</v>
      </c>
      <c r="W33" s="159">
        <f>SUMIFS('caseload data'!G:G,'caseload data'!$D:$D,"TPO",'caseload data'!$C:$C,'custody caseload'!$T$29,'caseload data'!$B:$B,"custody")</f>
        <v>0</v>
      </c>
      <c r="X33" s="159">
        <f>SUMIFS('caseload data'!H:H,'caseload data'!$D:$D,"TPO",'caseload data'!$C:$C,'custody caseload'!$T$29,'caseload data'!$B:$B,"custody")</f>
        <v>0</v>
      </c>
      <c r="Y33" s="159">
        <f>SUMIFS('caseload data'!I:I,'caseload data'!$D:$D,"TPO",'caseload data'!$C:$C,'custody caseload'!$T$29,'caseload data'!$B:$B,"custody")</f>
        <v>0</v>
      </c>
      <c r="Z33" s="159">
        <f>SUMIFS('caseload data'!J:J,'caseload data'!$D:$D,"TPO",'caseload data'!$C:$C,'custody caseload'!$T$29,'caseload data'!$B:$B,"custody")</f>
        <v>0</v>
      </c>
      <c r="AA33" s="159">
        <f>SUMIFS('caseload data'!K:K,'caseload data'!$D:$D,"TPO",'caseload data'!$C:$C,'custody caseload'!$T$29,'caseload data'!$B:$B,"custody")</f>
        <v>0</v>
      </c>
      <c r="AB33" s="159">
        <f>SUMIFS('caseload data'!L:L,'caseload data'!$D:$D,"TPO",'caseload data'!$C:$C,'custody caseload'!$T$29,'caseload data'!$B:$B,"custody")</f>
        <v>0</v>
      </c>
      <c r="AC33" s="104">
        <f>SUMIFS('caseload data'!M:M,'caseload data'!$D:$D,"TPO",'caseload data'!$C:$C,'custody caseload'!$T$29,'caseload data'!$B:$B,"custody")</f>
        <v>0</v>
      </c>
      <c r="AD33" s="104">
        <f>SUMIFS('caseload data'!N:N,'caseload data'!$D:$D,"TPO",'caseload data'!$C:$C,'custody caseload'!$T$29,'caseload data'!$B:$B,"custody")</f>
        <v>0</v>
      </c>
      <c r="AE33" s="104">
        <f>SUMIFS('caseload data'!O:O,'caseload data'!$D:$D,"TPO",'caseload data'!$C:$C,'custody caseload'!$T$29,'caseload data'!$B:$B,"custody")</f>
        <v>0</v>
      </c>
      <c r="AF33" s="104">
        <f>SUMIFS('caseload data'!P:P,'caseload data'!$D:$D,"TPO",'caseload data'!$C:$C,'custody caseload'!$T$29,'caseload data'!$B:$B,"custody")</f>
        <v>0</v>
      </c>
      <c r="AG33" s="104">
        <f>SUMIFS('caseload data'!Q:Q,'caseload data'!$D:$D,"TPO",'caseload data'!$C:$C,'custody caseload'!$T$29,'caseload data'!$B:$B,"custody")</f>
        <v>0</v>
      </c>
      <c r="AH33" s="104">
        <f>SUMIFS('caseload data'!R:R,'caseload data'!$D:$D,"TPO",'caseload data'!$C:$C,'custody caseload'!$T$29,'caseload data'!$B:$B,"custody")</f>
        <v>0</v>
      </c>
      <c r="AI33" s="104">
        <f>SUMIFS('caseload data'!S:S,'caseload data'!$D:$D,"TPO",'caseload data'!$C:$C,'custody caseload'!$T$29,'caseload data'!$B:$B,"custody")</f>
        <v>0</v>
      </c>
      <c r="AJ33" s="104">
        <f>SUMIFS('caseload data'!T:T,'caseload data'!$D:$D,"TPO",'caseload data'!$C:$C,'custody caseload'!$T$29,'caseload data'!$B:$B,"custody")</f>
        <v>0</v>
      </c>
    </row>
    <row r="34" spans="2:36" x14ac:dyDescent="0.15">
      <c r="B34" s="108" t="s">
        <v>914</v>
      </c>
      <c r="C34" s="104">
        <f>SUMIFS('caseload data'!E:E,'caseload data'!$D:$D,"SPO",'caseload data'!$C:$C,'custody caseload'!$B$29,'caseload data'!$B:$B,"custody")</f>
        <v>0</v>
      </c>
      <c r="D34" s="104">
        <f>SUMIFS('caseload data'!F:F,'caseload data'!$D:$D,"SPO",'caseload data'!$C:$C,'custody caseload'!$B$29,'caseload data'!$B:$B,"custody")</f>
        <v>0</v>
      </c>
      <c r="E34" s="104">
        <f>SUMIFS('caseload data'!G:G,'caseload data'!$D:$D,"SPO",'caseload data'!$C:$C,'custody caseload'!$B$29,'caseload data'!$B:$B,"custody")</f>
        <v>0</v>
      </c>
      <c r="F34" s="104">
        <f>SUMIFS('caseload data'!H:H,'caseload data'!$D:$D,"SPO",'caseload data'!$C:$C,'custody caseload'!$B$29,'caseload data'!$B:$B,"custody")</f>
        <v>0</v>
      </c>
      <c r="G34" s="104">
        <f>SUMIFS('caseload data'!I:I,'caseload data'!$D:$D,"SPO",'caseload data'!$C:$C,'custody caseload'!$B$29,'caseload data'!$B:$B,"custody")</f>
        <v>0</v>
      </c>
      <c r="H34" s="104">
        <f>SUMIFS('caseload data'!J:J,'caseload data'!$D:$D,"SPO",'caseload data'!$C:$C,'custody caseload'!$B$29,'caseload data'!$B:$B,"custody")</f>
        <v>0</v>
      </c>
      <c r="I34" s="104">
        <f>SUMIFS('caseload data'!K:K,'caseload data'!$D:$D,"SPO",'caseload data'!$C:$C,'custody caseload'!$B$29,'caseload data'!$B:$B,"custody")</f>
        <v>0</v>
      </c>
      <c r="J34" s="104">
        <f>SUMIFS('caseload data'!L:L,'caseload data'!$D:$D,"SPO",'caseload data'!$C:$C,'custody caseload'!$B$29,'caseload data'!$B:$B,"custody")</f>
        <v>0</v>
      </c>
      <c r="K34" s="104">
        <f>SUMIFS('caseload data'!M:M,'caseload data'!$D:$D,"SPO",'caseload data'!$C:$C,'custody caseload'!$B$29,'caseload data'!$B:$B,"custody")</f>
        <v>0</v>
      </c>
      <c r="L34" s="104">
        <f>SUMIFS('caseload data'!N:N,'caseload data'!$D:$D,"SPO",'caseload data'!$C:$C,'custody caseload'!$B$29,'caseload data'!$B:$B,"custody")</f>
        <v>0</v>
      </c>
      <c r="M34" s="104">
        <f>SUMIFS('caseload data'!O:O,'caseload data'!$D:$D,"SPO",'caseload data'!$C:$C,'custody caseload'!$B$29,'caseload data'!$B:$B,"custody")</f>
        <v>0</v>
      </c>
      <c r="N34" s="104">
        <f>SUMIFS('caseload data'!P:P,'caseload data'!$D:$D,"SPO",'caseload data'!$C:$C,'custody caseload'!$B$29,'caseload data'!$B:$B,"custody")</f>
        <v>0</v>
      </c>
      <c r="O34" s="104">
        <f>SUMIFS('caseload data'!Q:Q,'caseload data'!$D:$D,"SPO",'caseload data'!$C:$C,'custody caseload'!$B$29,'caseload data'!$B:$B,"custody")</f>
        <v>0</v>
      </c>
      <c r="P34" s="104">
        <f>SUMIFS('caseload data'!R:R,'caseload data'!$D:$D,"SPO",'caseload data'!$C:$C,'custody caseload'!$B$29,'caseload data'!$B:$B,"custody")</f>
        <v>0</v>
      </c>
      <c r="Q34" s="104">
        <f>SUMIFS('caseload data'!S:S,'caseload data'!$D:$D,"SPO",'caseload data'!$C:$C,'custody caseload'!$B$29,'caseload data'!$B:$B,"custody")</f>
        <v>0</v>
      </c>
      <c r="R34" s="104">
        <f>SUMIFS('caseload data'!T:T,'caseload data'!$D:$D,"SPO",'caseload data'!$C:$C,'custody caseload'!$B$29,'caseload data'!$B:$B,"custody")</f>
        <v>0</v>
      </c>
      <c r="S34" s="73"/>
      <c r="T34" s="108" t="s">
        <v>914</v>
      </c>
      <c r="U34" s="104">
        <f>SUMIFS('caseload data'!E:E,'caseload data'!$D:$D,"SPO",'caseload data'!$C:$C,'custody caseload'!$T$29,'caseload data'!$B:$B,"custody")</f>
        <v>0</v>
      </c>
      <c r="V34" s="104">
        <f>SUMIFS('caseload data'!F:F,'caseload data'!$D:$D,"SPO",'caseload data'!$C:$C,'custody caseload'!$T$29,'caseload data'!$B:$B,"custody")</f>
        <v>0</v>
      </c>
      <c r="W34" s="104">
        <f>SUMIFS('caseload data'!G:G,'caseload data'!$D:$D,"SPO",'caseload data'!$C:$C,'custody caseload'!$T$29,'caseload data'!$B:$B,"custody")</f>
        <v>0</v>
      </c>
      <c r="X34" s="104">
        <f>SUMIFS('caseload data'!H:H,'caseload data'!$D:$D,"SPO",'caseload data'!$C:$C,'custody caseload'!$T$29,'caseload data'!$B:$B,"custody")</f>
        <v>0</v>
      </c>
      <c r="Y34" s="104">
        <f>SUMIFS('caseload data'!I:I,'caseload data'!$D:$D,"SPO",'caseload data'!$C:$C,'custody caseload'!$T$29,'caseload data'!$B:$B,"custody")</f>
        <v>0</v>
      </c>
      <c r="Z34" s="104">
        <f>SUMIFS('caseload data'!J:J,'caseload data'!$D:$D,"SPO",'caseload data'!$C:$C,'custody caseload'!$T$29,'caseload data'!$B:$B,"custody")</f>
        <v>0</v>
      </c>
      <c r="AA34" s="104">
        <f>SUMIFS('caseload data'!K:K,'caseload data'!$D:$D,"SPO",'caseload data'!$C:$C,'custody caseload'!$T$29,'caseload data'!$B:$B,"custody")</f>
        <v>0</v>
      </c>
      <c r="AB34" s="104">
        <f>SUMIFS('caseload data'!L:L,'caseload data'!$D:$D,"SPO",'caseload data'!$C:$C,'custody caseload'!$T$29,'caseload data'!$B:$B,"custody")</f>
        <v>0</v>
      </c>
      <c r="AC34" s="104">
        <f>SUMIFS('caseload data'!M:M,'caseload data'!$D:$D,"SPO",'caseload data'!$C:$C,'custody caseload'!$T$29,'caseload data'!$B:$B,"custody")</f>
        <v>0</v>
      </c>
      <c r="AD34" s="104">
        <f>SUMIFS('caseload data'!N:N,'caseload data'!$D:$D,"SPO",'caseload data'!$C:$C,'custody caseload'!$T$29,'caseload data'!$B:$B,"custody")</f>
        <v>0</v>
      </c>
      <c r="AE34" s="104">
        <f>SUMIFS('caseload data'!O:O,'caseload data'!$D:$D,"SPO",'caseload data'!$C:$C,'custody caseload'!$T$29,'caseload data'!$B:$B,"custody")</f>
        <v>0</v>
      </c>
      <c r="AF34" s="104">
        <f>SUMIFS('caseload data'!P:P,'caseload data'!$D:$D,"SPO",'caseload data'!$C:$C,'custody caseload'!$T$29,'caseload data'!$B:$B,"custody")</f>
        <v>0</v>
      </c>
      <c r="AG34" s="104">
        <f>SUMIFS('caseload data'!Q:Q,'caseload data'!$D:$D,"SPO",'caseload data'!$C:$C,'custody caseload'!$T$29,'caseload data'!$B:$B,"custody")</f>
        <v>0</v>
      </c>
      <c r="AH34" s="104">
        <f>SUMIFS('caseload data'!R:R,'caseload data'!$D:$D,"SPO",'caseload data'!$C:$C,'custody caseload'!$T$29,'caseload data'!$B:$B,"custody")</f>
        <v>0</v>
      </c>
      <c r="AI34" s="104">
        <f>SUMIFS('caseload data'!S:S,'caseload data'!$D:$D,"SPO",'caseload data'!$C:$C,'custody caseload'!$T$29,'caseload data'!$B:$B,"custody")</f>
        <v>0</v>
      </c>
      <c r="AJ34" s="104">
        <f>SUMIFS('caseload data'!T:T,'caseload data'!$D:$D,"SPO",'caseload data'!$C:$C,'custody caseload'!$T$29,'caseload data'!$B:$B,"custody")</f>
        <v>0</v>
      </c>
    </row>
    <row r="35" spans="2:36" x14ac:dyDescent="0.15">
      <c r="B35" s="101"/>
      <c r="C35" s="73"/>
      <c r="D35" s="73"/>
      <c r="E35" s="73"/>
      <c r="F35" s="73"/>
      <c r="G35" s="73"/>
      <c r="H35" s="73"/>
      <c r="I35" s="73"/>
      <c r="J35" s="73"/>
      <c r="K35" s="73"/>
      <c r="L35" s="73"/>
      <c r="M35" s="73"/>
      <c r="N35" s="73"/>
      <c r="O35" s="73"/>
      <c r="P35" s="73"/>
      <c r="Q35" s="73"/>
      <c r="R35" s="73"/>
      <c r="S35" s="73"/>
      <c r="T35" s="101"/>
      <c r="U35" s="73"/>
      <c r="V35" s="73"/>
      <c r="W35" s="73"/>
      <c r="X35" s="73"/>
      <c r="Y35" s="73"/>
      <c r="Z35" s="73"/>
      <c r="AA35" s="73"/>
      <c r="AB35" s="73"/>
      <c r="AC35" s="73"/>
      <c r="AD35" s="73"/>
      <c r="AE35" s="73"/>
      <c r="AF35" s="73"/>
      <c r="AG35" s="73"/>
      <c r="AH35" s="73"/>
      <c r="AI35" s="73"/>
      <c r="AJ35" s="73"/>
    </row>
    <row r="36" spans="2:36" ht="27.75" customHeight="1" x14ac:dyDescent="0.15">
      <c r="B36" s="156" t="str">
        <f>HLOOKUP($B$5,Region_Table,10,0)</f>
        <v>Greenwich and Bexley</v>
      </c>
      <c r="C36" s="367" t="s">
        <v>1164</v>
      </c>
      <c r="D36" s="368"/>
      <c r="E36" s="368"/>
      <c r="F36" s="368"/>
      <c r="G36" s="368"/>
      <c r="H36" s="368"/>
      <c r="I36" s="368"/>
      <c r="J36" s="368"/>
      <c r="K36" s="368"/>
      <c r="L36" s="368"/>
      <c r="M36" s="377"/>
      <c r="N36" s="377"/>
      <c r="O36" s="378"/>
      <c r="P36" s="371">
        <f>SUMIFS('caseload data'!V:V,'caseload data'!B:B,"custody",'caseload data'!$C:$C,'custody caseload'!B36)</f>
        <v>0</v>
      </c>
      <c r="Q36" s="379"/>
      <c r="R36" s="380"/>
      <c r="S36" s="73"/>
      <c r="T36" s="156" t="str">
        <f>HLOOKUP($B$5,Region_Table,11,0)</f>
        <v>Hackney and City</v>
      </c>
      <c r="U36" s="367" t="s">
        <v>1163</v>
      </c>
      <c r="V36" s="368"/>
      <c r="W36" s="368"/>
      <c r="X36" s="368"/>
      <c r="Y36" s="368"/>
      <c r="Z36" s="368"/>
      <c r="AA36" s="368"/>
      <c r="AB36" s="368"/>
      <c r="AC36" s="368"/>
      <c r="AD36" s="368"/>
      <c r="AE36" s="377"/>
      <c r="AF36" s="377"/>
      <c r="AG36" s="378"/>
      <c r="AH36" s="371">
        <f>SUMIFS('caseload data'!V:V,'caseload data'!B:B,"custody",'caseload data'!$C:$C,'custody caseload'!T36)</f>
        <v>0</v>
      </c>
      <c r="AI36" s="379"/>
      <c r="AJ36" s="380"/>
    </row>
    <row r="37" spans="2:36" x14ac:dyDescent="0.15">
      <c r="B37" s="105" t="s">
        <v>1065</v>
      </c>
      <c r="C37" s="41" t="s">
        <v>922</v>
      </c>
      <c r="D37" s="41" t="s">
        <v>923</v>
      </c>
      <c r="E37" s="41" t="s">
        <v>924</v>
      </c>
      <c r="F37" s="41" t="s">
        <v>925</v>
      </c>
      <c r="G37" s="41" t="s">
        <v>926</v>
      </c>
      <c r="H37" s="41" t="s">
        <v>927</v>
      </c>
      <c r="I37" s="41" t="s">
        <v>928</v>
      </c>
      <c r="J37" s="41" t="s">
        <v>929</v>
      </c>
      <c r="K37" s="41" t="s">
        <v>930</v>
      </c>
      <c r="L37" s="41" t="s">
        <v>931</v>
      </c>
      <c r="M37" s="41" t="s">
        <v>932</v>
      </c>
      <c r="N37" s="41" t="s">
        <v>933</v>
      </c>
      <c r="O37" s="41" t="s">
        <v>934</v>
      </c>
      <c r="P37" s="41" t="s">
        <v>935</v>
      </c>
      <c r="Q37" s="41" t="s">
        <v>936</v>
      </c>
      <c r="R37" s="41" t="s">
        <v>937</v>
      </c>
      <c r="S37" s="73"/>
      <c r="T37" s="105" t="s">
        <v>1065</v>
      </c>
      <c r="U37" s="41" t="s">
        <v>922</v>
      </c>
      <c r="V37" s="41" t="s">
        <v>923</v>
      </c>
      <c r="W37" s="41" t="s">
        <v>924</v>
      </c>
      <c r="X37" s="41" t="s">
        <v>925</v>
      </c>
      <c r="Y37" s="41" t="s">
        <v>926</v>
      </c>
      <c r="Z37" s="41" t="s">
        <v>927</v>
      </c>
      <c r="AA37" s="41" t="s">
        <v>928</v>
      </c>
      <c r="AB37" s="41" t="s">
        <v>929</v>
      </c>
      <c r="AC37" s="41" t="s">
        <v>930</v>
      </c>
      <c r="AD37" s="41" t="s">
        <v>931</v>
      </c>
      <c r="AE37" s="41" t="s">
        <v>932</v>
      </c>
      <c r="AF37" s="41" t="s">
        <v>933</v>
      </c>
      <c r="AG37" s="41" t="s">
        <v>934</v>
      </c>
      <c r="AH37" s="41" t="s">
        <v>935</v>
      </c>
      <c r="AI37" s="41" t="s">
        <v>936</v>
      </c>
      <c r="AJ37" s="41" t="s">
        <v>937</v>
      </c>
    </row>
    <row r="38" spans="2:36" x14ac:dyDescent="0.15">
      <c r="B38" s="106" t="s">
        <v>911</v>
      </c>
      <c r="C38" s="104">
        <f>SUMIFS('caseload data'!E:E,'caseload data'!$D:$D,"PO",'caseload data'!$C:$C,'custody caseload'!$B$36,'caseload data'!$B:$B,"custody")</f>
        <v>0</v>
      </c>
      <c r="D38" s="104">
        <f>SUMIFS('caseload data'!F:F,'caseload data'!$D:$D,"PO",'caseload data'!$C:$C,'custody caseload'!$B$36,'caseload data'!$B:$B,"custody")</f>
        <v>0</v>
      </c>
      <c r="E38" s="104">
        <f>SUMIFS('caseload data'!G:G,'caseload data'!$D:$D,"PO",'caseload data'!$C:$C,'custody caseload'!$B$36,'caseload data'!$B:$B,"custody")</f>
        <v>0</v>
      </c>
      <c r="F38" s="104">
        <f>SUMIFS('caseload data'!H:H,'caseload data'!$D:$D,"PO",'caseload data'!$C:$C,'custody caseload'!$B$36,'caseload data'!$B:$B,"custody")</f>
        <v>0</v>
      </c>
      <c r="G38" s="104">
        <f>SUMIFS('caseload data'!I:I,'caseload data'!$D:$D,"PO",'caseload data'!$C:$C,'custody caseload'!$B$36,'caseload data'!$B:$B,"custody")</f>
        <v>0</v>
      </c>
      <c r="H38" s="104">
        <f>SUMIFS('caseload data'!J:J,'caseload data'!$D:$D,"PO",'caseload data'!$C:$C,'custody caseload'!$B$36,'caseload data'!$B:$B,"custody")</f>
        <v>0</v>
      </c>
      <c r="I38" s="104">
        <f>SUMIFS('caseload data'!K:K,'caseload data'!$D:$D,"PO",'caseload data'!$C:$C,'custody caseload'!$B$36,'caseload data'!$B:$B,"custody")</f>
        <v>0</v>
      </c>
      <c r="J38" s="104">
        <f>SUMIFS('caseload data'!L:L,'caseload data'!$D:$D,"PO",'caseload data'!$C:$C,'custody caseload'!$B$36,'caseload data'!$B:$B,"custody")</f>
        <v>0</v>
      </c>
      <c r="K38" s="104">
        <f>SUMIFS('caseload data'!M:M,'caseload data'!$D:$D,"PO",'caseload data'!$C:$C,'custody caseload'!$B$36,'caseload data'!$B:$B,"custody")</f>
        <v>0</v>
      </c>
      <c r="L38" s="104">
        <f>SUMIFS('caseload data'!N:N,'caseload data'!$D:$D,"PO",'caseload data'!$C:$C,'custody caseload'!$B$36,'caseload data'!$B:$B,"custody")</f>
        <v>0</v>
      </c>
      <c r="M38" s="104">
        <f>SUMIFS('caseload data'!O:O,'caseload data'!$D:$D,"PO",'caseload data'!$C:$C,'custody caseload'!$B$36,'caseload data'!$B:$B,"custody")</f>
        <v>0</v>
      </c>
      <c r="N38" s="104">
        <f>SUMIFS('caseload data'!P:P,'caseload data'!$D:$D,"PO",'caseload data'!$C:$C,'custody caseload'!$B$36,'caseload data'!$B:$B,"custody")</f>
        <v>0</v>
      </c>
      <c r="O38" s="104">
        <f>SUMIFS('caseload data'!Q:Q,'caseload data'!$D:$D,"PO",'caseload data'!$C:$C,'custody caseload'!$B$36,'caseload data'!$B:$B,"custody")</f>
        <v>0</v>
      </c>
      <c r="P38" s="104">
        <f>SUMIFS('caseload data'!R:R,'caseload data'!$D:$D,"PO",'caseload data'!$C:$C,'custody caseload'!$B$36,'caseload data'!$B:$B,"custody")</f>
        <v>0</v>
      </c>
      <c r="Q38" s="104">
        <f>SUMIFS('caseload data'!S:S,'caseload data'!$D:$D,"PO",'caseload data'!$C:$C,'custody caseload'!$B$36,'caseload data'!$B:$B,"custody")</f>
        <v>0</v>
      </c>
      <c r="R38" s="104">
        <f>SUMIFS('caseload data'!T:T,'caseload data'!$D:$D,"PO",'caseload data'!$C:$C,'custody caseload'!$B$36,'caseload data'!$B:$B,"custody")</f>
        <v>0</v>
      </c>
      <c r="S38" s="73"/>
      <c r="T38" s="106" t="s">
        <v>911</v>
      </c>
      <c r="U38" s="104">
        <f>SUMIFS('caseload data'!E:E,'caseload data'!$D:$D,"PO",'caseload data'!$C:$C,'custody caseload'!$T$36,'caseload data'!$B:$B,"custody")</f>
        <v>0</v>
      </c>
      <c r="V38" s="104">
        <f>SUMIFS('caseload data'!F:F,'caseload data'!$D:$D,"PO",'caseload data'!$C:$C,'custody caseload'!$T$36,'caseload data'!$B:$B,"custody")</f>
        <v>0</v>
      </c>
      <c r="W38" s="104">
        <f>SUMIFS('caseload data'!G:G,'caseload data'!$D:$D,"PO",'caseload data'!$C:$C,'custody caseload'!$T$36,'caseload data'!$B:$B,"custody")</f>
        <v>0</v>
      </c>
      <c r="X38" s="104">
        <f>SUMIFS('caseload data'!H:H,'caseload data'!$D:$D,"PO",'caseload data'!$C:$C,'custody caseload'!$T$36,'caseload data'!$B:$B,"custody")</f>
        <v>0</v>
      </c>
      <c r="Y38" s="104">
        <f>SUMIFS('caseload data'!I:I,'caseload data'!$D:$D,"PO",'caseload data'!$C:$C,'custody caseload'!$T$36,'caseload data'!$B:$B,"custody")</f>
        <v>0</v>
      </c>
      <c r="Z38" s="104">
        <f>SUMIFS('caseload data'!J:J,'caseload data'!$D:$D,"PO",'caseload data'!$C:$C,'custody caseload'!$T$36,'caseload data'!$B:$B,"custody")</f>
        <v>0</v>
      </c>
      <c r="AA38" s="104">
        <f>SUMIFS('caseload data'!K:K,'caseload data'!$D:$D,"PO",'caseload data'!$C:$C,'custody caseload'!$T$36,'caseload data'!$B:$B,"custody")</f>
        <v>0</v>
      </c>
      <c r="AB38" s="104">
        <f>SUMIFS('caseload data'!L:L,'caseload data'!$D:$D,"PO",'caseload data'!$C:$C,'custody caseload'!$T$36,'caseload data'!$B:$B,"custody")</f>
        <v>0</v>
      </c>
      <c r="AC38" s="104">
        <f>SUMIFS('caseload data'!M:M,'caseload data'!$D:$D,"PO",'caseload data'!$C:$C,'custody caseload'!$T$36,'caseload data'!$B:$B,"custody")</f>
        <v>0</v>
      </c>
      <c r="AD38" s="104">
        <f>SUMIFS('caseload data'!N:N,'caseload data'!$D:$D,"PO",'caseload data'!$C:$C,'custody caseload'!$T$36,'caseload data'!$B:$B,"custody")</f>
        <v>0</v>
      </c>
      <c r="AE38" s="104">
        <f>SUMIFS('caseload data'!O:O,'caseload data'!$D:$D,"PO",'caseload data'!$C:$C,'custody caseload'!$T$36,'caseload data'!$B:$B,"custody")</f>
        <v>0</v>
      </c>
      <c r="AF38" s="104">
        <f>SUMIFS('caseload data'!P:P,'caseload data'!$D:$D,"PO",'caseload data'!$C:$C,'custody caseload'!$T$36,'caseload data'!$B:$B,"custody")</f>
        <v>0</v>
      </c>
      <c r="AG38" s="104">
        <f>SUMIFS('caseload data'!Q:Q,'caseload data'!$D:$D,"PO",'caseload data'!$C:$C,'custody caseload'!$T$36,'caseload data'!$B:$B,"custody")</f>
        <v>0</v>
      </c>
      <c r="AH38" s="104">
        <f>SUMIFS('caseload data'!R:R,'caseload data'!$D:$D,"PO",'caseload data'!$C:$C,'custody caseload'!$T$36,'caseload data'!$B:$B,"custody")</f>
        <v>0</v>
      </c>
      <c r="AI38" s="104">
        <f>SUMIFS('caseload data'!S:S,'caseload data'!$D:$D,"PO",'caseload data'!$C:$C,'custody caseload'!$T$36,'caseload data'!$B:$B,"custody")</f>
        <v>0</v>
      </c>
      <c r="AJ38" s="104">
        <f>SUMIFS('caseload data'!T:T,'caseload data'!$D:$D,"PO",'caseload data'!$C:$C,'custody caseload'!$T$36,'caseload data'!$B:$B,"custody")</f>
        <v>0</v>
      </c>
    </row>
    <row r="39" spans="2:36" ht="15" x14ac:dyDescent="0.2">
      <c r="B39" s="107" t="s">
        <v>912</v>
      </c>
      <c r="C39" s="159">
        <f>SUMIFS('caseload data'!E:E,'caseload data'!$D:$D,"PSO",'caseload data'!$C:$C,'custody caseload'!$B$36,'caseload data'!$B:$B,"custody")</f>
        <v>0</v>
      </c>
      <c r="D39" s="159">
        <f>SUMIFS('caseload data'!F:F,'caseload data'!$D:$D,"PSO",'caseload data'!$C:$C,'custody caseload'!$B$36,'caseload data'!$B:$B,"custody")</f>
        <v>0</v>
      </c>
      <c r="E39" s="159">
        <f>SUMIFS('caseload data'!G:G,'caseload data'!$D:$D,"PSO",'caseload data'!$C:$C,'custody caseload'!$B$36,'caseload data'!$B:$B,"custody")</f>
        <v>0</v>
      </c>
      <c r="F39" s="159">
        <f>SUMIFS('caseload data'!H:H,'caseload data'!$D:$D,"PSO",'caseload data'!$C:$C,'custody caseload'!$B$36,'caseload data'!$B:$B,"custody")</f>
        <v>0</v>
      </c>
      <c r="G39" s="159">
        <f>SUMIFS('caseload data'!I:I,'caseload data'!$D:$D,"PSO",'caseload data'!$C:$C,'custody caseload'!$B$36,'caseload data'!$B:$B,"custody")</f>
        <v>0</v>
      </c>
      <c r="H39" s="159">
        <f>SUMIFS('caseload data'!J:J,'caseload data'!$D:$D,"PSO",'caseload data'!$C:$C,'custody caseload'!$B$36,'caseload data'!$B:$B,"custody")</f>
        <v>0</v>
      </c>
      <c r="I39" s="159">
        <f>SUMIFS('caseload data'!K:K,'caseload data'!$D:$D,"PSO",'caseload data'!$C:$C,'custody caseload'!$B$36,'caseload data'!$B:$B,"custody")</f>
        <v>0</v>
      </c>
      <c r="J39" s="159">
        <f>SUMIFS('caseload data'!L:L,'caseload data'!$D:$D,"PSO",'caseload data'!$C:$C,'custody caseload'!$B$36,'caseload data'!$B:$B,"custody")</f>
        <v>0</v>
      </c>
      <c r="K39" s="104">
        <f>SUMIFS('caseload data'!M:M,'caseload data'!$D:$D,"PSO",'caseload data'!$C:$C,'custody caseload'!$B$36,'caseload data'!$B:$B,"custody")</f>
        <v>0</v>
      </c>
      <c r="L39" s="104">
        <f>SUMIFS('caseload data'!N:N,'caseload data'!$D:$D,"PSO",'caseload data'!$C:$C,'custody caseload'!$B$36,'caseload data'!$B:$B,"custody")</f>
        <v>0</v>
      </c>
      <c r="M39" s="104">
        <f>SUMIFS('caseload data'!O:O,'caseload data'!$D:$D,"PSO",'caseload data'!$C:$C,'custody caseload'!$B$36,'caseload data'!$B:$B,"custody")</f>
        <v>0</v>
      </c>
      <c r="N39" s="104">
        <f>SUMIFS('caseload data'!P:P,'caseload data'!$D:$D,"PSO",'caseload data'!$C:$C,'custody caseload'!$B$36,'caseload data'!$B:$B,"custody")</f>
        <v>0</v>
      </c>
      <c r="O39" s="104">
        <f>SUMIFS('caseload data'!Q:Q,'caseload data'!$D:$D,"PSO",'caseload data'!$C:$C,'custody caseload'!$B$36,'caseload data'!$B:$B,"custody")</f>
        <v>0</v>
      </c>
      <c r="P39" s="104">
        <f>SUMIFS('caseload data'!R:R,'caseload data'!$D:$D,"PSO",'caseload data'!$C:$C,'custody caseload'!$B$36,'caseload data'!$B:$B,"custody")</f>
        <v>0</v>
      </c>
      <c r="Q39" s="104">
        <f>SUMIFS('caseload data'!S:S,'caseload data'!$D:$D,"PSO",'caseload data'!$C:$C,'custody caseload'!$B$36,'caseload data'!$B:$B,"custody")</f>
        <v>0</v>
      </c>
      <c r="R39" s="104">
        <f>SUMIFS('caseload data'!T:T,'caseload data'!$D:$D,"PSO",'caseload data'!$C:$C,'custody caseload'!$B$36,'caseload data'!$B:$B,"custody")</f>
        <v>0</v>
      </c>
      <c r="S39" s="73"/>
      <c r="T39" s="107" t="s">
        <v>912</v>
      </c>
      <c r="U39" s="159">
        <f>SUMIFS('caseload data'!E:E,'caseload data'!$D:$D,"PSO",'caseload data'!$C:$C,'custody caseload'!$T$36,'caseload data'!$B:$B,"custody")</f>
        <v>0</v>
      </c>
      <c r="V39" s="159">
        <f>SUMIFS('caseload data'!F:F,'caseload data'!$D:$D,"PSO",'caseload data'!$C:$C,'custody caseload'!$T$36,'caseload data'!$B:$B,"custody")</f>
        <v>0</v>
      </c>
      <c r="W39" s="159">
        <f>SUMIFS('caseload data'!G:G,'caseload data'!$D:$D,"PSO",'caseload data'!$C:$C,'custody caseload'!$T$36,'caseload data'!$B:$B,"custody")</f>
        <v>0</v>
      </c>
      <c r="X39" s="159">
        <f>SUMIFS('caseload data'!H:H,'caseload data'!$D:$D,"PSO",'caseload data'!$C:$C,'custody caseload'!$T$36,'caseload data'!$B:$B,"custody")</f>
        <v>0</v>
      </c>
      <c r="Y39" s="159">
        <f>SUMIFS('caseload data'!I:I,'caseload data'!$D:$D,"PSO",'caseload data'!$C:$C,'custody caseload'!$T$36,'caseload data'!$B:$B,"custody")</f>
        <v>0</v>
      </c>
      <c r="Z39" s="159">
        <f>SUMIFS('caseload data'!J:J,'caseload data'!$D:$D,"PSO",'caseload data'!$C:$C,'custody caseload'!$T$36,'caseload data'!$B:$B,"custody")</f>
        <v>0</v>
      </c>
      <c r="AA39" s="159">
        <f>SUMIFS('caseload data'!K:K,'caseload data'!$D:$D,"PSO",'caseload data'!$C:$C,'custody caseload'!$T$36,'caseload data'!$B:$B,"custody")</f>
        <v>0</v>
      </c>
      <c r="AB39" s="159">
        <f>SUMIFS('caseload data'!L:L,'caseload data'!$D:$D,"PSO",'caseload data'!$C:$C,'custody caseload'!$T$36,'caseload data'!$B:$B,"custody")</f>
        <v>0</v>
      </c>
      <c r="AC39" s="104">
        <f>SUMIFS('caseload data'!M:M,'caseload data'!$D:$D,"PSO",'caseload data'!$C:$C,'custody caseload'!$T$36,'caseload data'!$B:$B,"custody")</f>
        <v>0</v>
      </c>
      <c r="AD39" s="104">
        <f>SUMIFS('caseload data'!N:N,'caseload data'!$D:$D,"PSO",'caseload data'!$C:$C,'custody caseload'!$T$36,'caseload data'!$B:$B,"custody")</f>
        <v>0</v>
      </c>
      <c r="AE39" s="104">
        <f>SUMIFS('caseload data'!O:O,'caseload data'!$D:$D,"PSO",'caseload data'!$C:$C,'custody caseload'!$T$36,'caseload data'!$B:$B,"custody")</f>
        <v>0</v>
      </c>
      <c r="AF39" s="104">
        <f>SUMIFS('caseload data'!P:P,'caseload data'!$D:$D,"PSO",'caseload data'!$C:$C,'custody caseload'!$T$36,'caseload data'!$B:$B,"custody")</f>
        <v>0</v>
      </c>
      <c r="AG39" s="104">
        <f>SUMIFS('caseload data'!Q:Q,'caseload data'!$D:$D,"PSO",'caseload data'!$C:$C,'custody caseload'!$T$36,'caseload data'!$B:$B,"custody")</f>
        <v>0</v>
      </c>
      <c r="AH39" s="104">
        <f>SUMIFS('caseload data'!R:R,'caseload data'!$D:$D,"PSO",'caseload data'!$C:$C,'custody caseload'!$T$36,'caseload data'!$B:$B,"custody")</f>
        <v>0</v>
      </c>
      <c r="AI39" s="104">
        <f>SUMIFS('caseload data'!S:S,'caseload data'!$D:$D,"PSO",'caseload data'!$C:$C,'custody caseload'!$T$36,'caseload data'!$B:$B,"custody")</f>
        <v>0</v>
      </c>
      <c r="AJ39" s="104">
        <f>SUMIFS('caseload data'!T:T,'caseload data'!$D:$D,"PSO",'caseload data'!$C:$C,'custody caseload'!$T$36,'caseload data'!$B:$B,"custody")</f>
        <v>0</v>
      </c>
    </row>
    <row r="40" spans="2:36" ht="15" x14ac:dyDescent="0.2">
      <c r="B40" s="107" t="s">
        <v>913</v>
      </c>
      <c r="C40" s="159">
        <f>SUMIFS('caseload data'!E:E,'caseload data'!$D:$D,"TPO",'caseload data'!$C:$C,'custody caseload'!$B$36,'caseload data'!$B:$B,"custody")</f>
        <v>0</v>
      </c>
      <c r="D40" s="159">
        <f>SUMIFS('caseload data'!F:F,'caseload data'!$D:$D,"TPO",'caseload data'!$C:$C,'custody caseload'!$B$36,'caseload data'!$B:$B,"custody")</f>
        <v>0</v>
      </c>
      <c r="E40" s="159">
        <f>SUMIFS('caseload data'!G:G,'caseload data'!$D:$D,"TPO",'caseload data'!$C:$C,'custody caseload'!$B$36,'caseload data'!$B:$B,"custody")</f>
        <v>0</v>
      </c>
      <c r="F40" s="159">
        <f>SUMIFS('caseload data'!H:H,'caseload data'!$D:$D,"TPO",'caseload data'!$C:$C,'custody caseload'!$B$36,'caseload data'!$B:$B,"custody")</f>
        <v>0</v>
      </c>
      <c r="G40" s="159">
        <f>SUMIFS('caseload data'!I:I,'caseload data'!$D:$D,"TPO",'caseload data'!$C:$C,'custody caseload'!$B$36,'caseload data'!$B:$B,"custody")</f>
        <v>0</v>
      </c>
      <c r="H40" s="159">
        <f>SUMIFS('caseload data'!J:J,'caseload data'!$D:$D,"TPO",'caseload data'!$C:$C,'custody caseload'!$B$36,'caseload data'!$B:$B,"custody")</f>
        <v>0</v>
      </c>
      <c r="I40" s="159">
        <f>SUMIFS('caseload data'!K:K,'caseload data'!$D:$D,"TPO",'caseload data'!$C:$C,'custody caseload'!$B$36,'caseload data'!$B:$B,"custody")</f>
        <v>0</v>
      </c>
      <c r="J40" s="159">
        <f>SUMIFS('caseload data'!L:L,'caseload data'!$D:$D,"TPO",'caseload data'!$C:$C,'custody caseload'!$B$36,'caseload data'!$B:$B,"custody")</f>
        <v>0</v>
      </c>
      <c r="K40" s="104">
        <f>SUMIFS('caseload data'!M:M,'caseload data'!$D:$D,"TPO",'caseload data'!$C:$C,'custody caseload'!$B$36,'caseload data'!$B:$B,"custody")</f>
        <v>0</v>
      </c>
      <c r="L40" s="104">
        <f>SUMIFS('caseload data'!N:N,'caseload data'!$D:$D,"TPO",'caseload data'!$C:$C,'custody caseload'!$B$36,'caseload data'!$B:$B,"custody")</f>
        <v>0</v>
      </c>
      <c r="M40" s="104">
        <f>SUMIFS('caseload data'!O:O,'caseload data'!$D:$D,"TPO",'caseload data'!$C:$C,'custody caseload'!$B$36,'caseload data'!$B:$B,"custody")</f>
        <v>0</v>
      </c>
      <c r="N40" s="104">
        <f>SUMIFS('caseload data'!P:P,'caseload data'!$D:$D,"TPO",'caseload data'!$C:$C,'custody caseload'!$B$36,'caseload data'!$B:$B,"custody")</f>
        <v>0</v>
      </c>
      <c r="O40" s="104">
        <f>SUMIFS('caseload data'!Q:Q,'caseload data'!$D:$D,"TPO",'caseload data'!$C:$C,'custody caseload'!$B$36,'caseload data'!$B:$B,"custody")</f>
        <v>0</v>
      </c>
      <c r="P40" s="104">
        <f>SUMIFS('caseload data'!R:R,'caseload data'!$D:$D,"TPO",'caseload data'!$C:$C,'custody caseload'!$B$36,'caseload data'!$B:$B,"custody")</f>
        <v>0</v>
      </c>
      <c r="Q40" s="104">
        <f>SUMIFS('caseload data'!S:S,'caseload data'!$D:$D,"TPO",'caseload data'!$C:$C,'custody caseload'!$B$36,'caseload data'!$B:$B,"custody")</f>
        <v>0</v>
      </c>
      <c r="R40" s="104">
        <f>SUMIFS('caseload data'!T:T,'caseload data'!$D:$D,"TPO",'caseload data'!$C:$C,'custody caseload'!$B$36,'caseload data'!$B:$B,"custody")</f>
        <v>0</v>
      </c>
      <c r="S40" s="73"/>
      <c r="T40" s="107" t="s">
        <v>913</v>
      </c>
      <c r="U40" s="159">
        <f>SUMIFS('caseload data'!E:E,'caseload data'!$D:$D,"TPO",'caseload data'!$C:$C,'custody caseload'!$T$36,'caseload data'!$B:$B,"custody")</f>
        <v>0</v>
      </c>
      <c r="V40" s="159">
        <f>SUMIFS('caseload data'!F:F,'caseload data'!$D:$D,"TPO",'caseload data'!$C:$C,'custody caseload'!$T$36,'caseload data'!$B:$B,"custody")</f>
        <v>0</v>
      </c>
      <c r="W40" s="159">
        <f>SUMIFS('caseload data'!G:G,'caseload data'!$D:$D,"TPO",'caseload data'!$C:$C,'custody caseload'!$T$36,'caseload data'!$B:$B,"custody")</f>
        <v>0</v>
      </c>
      <c r="X40" s="159">
        <f>SUMIFS('caseload data'!H:H,'caseload data'!$D:$D,"TPO",'caseload data'!$C:$C,'custody caseload'!$T$36,'caseload data'!$B:$B,"custody")</f>
        <v>0</v>
      </c>
      <c r="Y40" s="159">
        <f>SUMIFS('caseload data'!I:I,'caseload data'!$D:$D,"TPO",'caseload data'!$C:$C,'custody caseload'!$T$36,'caseload data'!$B:$B,"custody")</f>
        <v>0</v>
      </c>
      <c r="Z40" s="159">
        <f>SUMIFS('caseload data'!J:J,'caseload data'!$D:$D,"TPO",'caseload data'!$C:$C,'custody caseload'!$T$36,'caseload data'!$B:$B,"custody")</f>
        <v>0</v>
      </c>
      <c r="AA40" s="159">
        <f>SUMIFS('caseload data'!K:K,'caseload data'!$D:$D,"TPO",'caseload data'!$C:$C,'custody caseload'!$T$36,'caseload data'!$B:$B,"custody")</f>
        <v>0</v>
      </c>
      <c r="AB40" s="159">
        <f>SUMIFS('caseload data'!L:L,'caseload data'!$D:$D,"TPO",'caseload data'!$C:$C,'custody caseload'!$T$36,'caseload data'!$B:$B,"custody")</f>
        <v>0</v>
      </c>
      <c r="AC40" s="104">
        <f>SUMIFS('caseload data'!M:M,'caseload data'!$D:$D,"TPO",'caseload data'!$C:$C,'custody caseload'!$T$36,'caseload data'!$B:$B,"custody")</f>
        <v>0</v>
      </c>
      <c r="AD40" s="104">
        <f>SUMIFS('caseload data'!N:N,'caseload data'!$D:$D,"TPO",'caseload data'!$C:$C,'custody caseload'!$T$36,'caseload data'!$B:$B,"custody")</f>
        <v>0</v>
      </c>
      <c r="AE40" s="104">
        <f>SUMIFS('caseload data'!O:O,'caseload data'!$D:$D,"TPO",'caseload data'!$C:$C,'custody caseload'!$T$36,'caseload data'!$B:$B,"custody")</f>
        <v>0</v>
      </c>
      <c r="AF40" s="104">
        <f>SUMIFS('caseload data'!P:P,'caseload data'!$D:$D,"TPO",'caseload data'!$C:$C,'custody caseload'!$T$36,'caseload data'!$B:$B,"custody")</f>
        <v>0</v>
      </c>
      <c r="AG40" s="104">
        <f>SUMIFS('caseload data'!Q:Q,'caseload data'!$D:$D,"TPO",'caseload data'!$C:$C,'custody caseload'!$T$36,'caseload data'!$B:$B,"custody")</f>
        <v>0</v>
      </c>
      <c r="AH40" s="104">
        <f>SUMIFS('caseload data'!R:R,'caseload data'!$D:$D,"TPO",'caseload data'!$C:$C,'custody caseload'!$T$36,'caseload data'!$B:$B,"custody")</f>
        <v>0</v>
      </c>
      <c r="AI40" s="104">
        <f>SUMIFS('caseload data'!S:S,'caseload data'!$D:$D,"TPO",'caseload data'!$C:$C,'custody caseload'!$T$36,'caseload data'!$B:$B,"custody")</f>
        <v>0</v>
      </c>
      <c r="AJ40" s="104">
        <f>SUMIFS('caseload data'!T:T,'caseload data'!$D:$D,"TPO",'caseload data'!$C:$C,'custody caseload'!$T$36,'caseload data'!$B:$B,"custody")</f>
        <v>0</v>
      </c>
    </row>
    <row r="41" spans="2:36" x14ac:dyDescent="0.15">
      <c r="B41" s="108" t="s">
        <v>914</v>
      </c>
      <c r="C41" s="104">
        <f>SUMIFS('caseload data'!E:E,'caseload data'!$D:$D,"SPO",'caseload data'!$C:$C,'custody caseload'!$B$36,'caseload data'!$B:$B,"custody")</f>
        <v>0</v>
      </c>
      <c r="D41" s="104">
        <f>SUMIFS('caseload data'!F:F,'caseload data'!$D:$D,"SPO",'caseload data'!$C:$C,'custody caseload'!$B$36,'caseload data'!$B:$B,"custody")</f>
        <v>0</v>
      </c>
      <c r="E41" s="104">
        <f>SUMIFS('caseload data'!G:G,'caseload data'!$D:$D,"SPO",'caseload data'!$C:$C,'custody caseload'!$B$36,'caseload data'!$B:$B,"custody")</f>
        <v>0</v>
      </c>
      <c r="F41" s="104">
        <f>SUMIFS('caseload data'!H:H,'caseload data'!$D:$D,"SPO",'caseload data'!$C:$C,'custody caseload'!$B$36,'caseload data'!$B:$B,"custody")</f>
        <v>0</v>
      </c>
      <c r="G41" s="104">
        <f>SUMIFS('caseload data'!I:I,'caseload data'!$D:$D,"SPO",'caseload data'!$C:$C,'custody caseload'!$B$36,'caseload data'!$B:$B,"custody")</f>
        <v>0</v>
      </c>
      <c r="H41" s="104">
        <f>SUMIFS('caseload data'!J:J,'caseload data'!$D:$D,"SPO",'caseload data'!$C:$C,'custody caseload'!$B$36,'caseload data'!$B:$B,"custody")</f>
        <v>0</v>
      </c>
      <c r="I41" s="104">
        <f>SUMIFS('caseload data'!K:K,'caseload data'!$D:$D,"SPO",'caseload data'!$C:$C,'custody caseload'!$B$36,'caseload data'!$B:$B,"custody")</f>
        <v>0</v>
      </c>
      <c r="J41" s="104">
        <f>SUMIFS('caseload data'!L:L,'caseload data'!$D:$D,"SPO",'caseload data'!$C:$C,'custody caseload'!$B$36,'caseload data'!$B:$B,"custody")</f>
        <v>0</v>
      </c>
      <c r="K41" s="104">
        <f>SUMIFS('caseload data'!M:M,'caseload data'!$D:$D,"SPO",'caseload data'!$C:$C,'custody caseload'!$B$36,'caseload data'!$B:$B,"custody")</f>
        <v>0</v>
      </c>
      <c r="L41" s="104">
        <f>SUMIFS('caseload data'!N:N,'caseload data'!$D:$D,"SPO",'caseload data'!$C:$C,'custody caseload'!$B$36,'caseload data'!$B:$B,"custody")</f>
        <v>0</v>
      </c>
      <c r="M41" s="104">
        <f>SUMIFS('caseload data'!O:O,'caseload data'!$D:$D,"SPO",'caseload data'!$C:$C,'custody caseload'!$B$36,'caseload data'!$B:$B,"custody")</f>
        <v>0</v>
      </c>
      <c r="N41" s="104">
        <f>SUMIFS('caseload data'!P:P,'caseload data'!$D:$D,"SPO",'caseload data'!$C:$C,'custody caseload'!$B$36,'caseload data'!$B:$B,"custody")</f>
        <v>0</v>
      </c>
      <c r="O41" s="104">
        <f>SUMIFS('caseload data'!Q:Q,'caseload data'!$D:$D,"SPO",'caseload data'!$C:$C,'custody caseload'!$B$36,'caseload data'!$B:$B,"custody")</f>
        <v>0</v>
      </c>
      <c r="P41" s="104">
        <f>SUMIFS('caseload data'!R:R,'caseload data'!$D:$D,"SPO",'caseload data'!$C:$C,'custody caseload'!$B$36,'caseload data'!$B:$B,"custody")</f>
        <v>0</v>
      </c>
      <c r="Q41" s="104">
        <f>SUMIFS('caseload data'!S:S,'caseload data'!$D:$D,"SPO",'caseload data'!$C:$C,'custody caseload'!$B$36,'caseload data'!$B:$B,"custody")</f>
        <v>0</v>
      </c>
      <c r="R41" s="104">
        <f>SUMIFS('caseload data'!T:T,'caseload data'!$D:$D,"SPO",'caseload data'!$C:$C,'custody caseload'!$B$36,'caseload data'!$B:$B,"custody")</f>
        <v>0</v>
      </c>
      <c r="S41" s="73"/>
      <c r="T41" s="108" t="s">
        <v>914</v>
      </c>
      <c r="U41" s="104">
        <f>SUMIFS('caseload data'!E:E,'caseload data'!$D:$D,"SPO",'caseload data'!$C:$C,'custody caseload'!$T$36,'caseload data'!$B:$B,"custody")</f>
        <v>0</v>
      </c>
      <c r="V41" s="104">
        <f>SUMIFS('caseload data'!F:F,'caseload data'!$D:$D,"SPO",'caseload data'!$C:$C,'custody caseload'!$T$36,'caseload data'!$B:$B,"custody")</f>
        <v>0</v>
      </c>
      <c r="W41" s="104">
        <f>SUMIFS('caseload data'!G:G,'caseload data'!$D:$D,"SPO",'caseload data'!$C:$C,'custody caseload'!$T$36,'caseload data'!$B:$B,"custody")</f>
        <v>0</v>
      </c>
      <c r="X41" s="104">
        <f>SUMIFS('caseload data'!H:H,'caseload data'!$D:$D,"SPO",'caseload data'!$C:$C,'custody caseload'!$T$36,'caseload data'!$B:$B,"custody")</f>
        <v>0</v>
      </c>
      <c r="Y41" s="104">
        <f>SUMIFS('caseload data'!I:I,'caseload data'!$D:$D,"SPO",'caseload data'!$C:$C,'custody caseload'!$T$36,'caseload data'!$B:$B,"custody")</f>
        <v>0</v>
      </c>
      <c r="Z41" s="104">
        <f>SUMIFS('caseload data'!J:J,'caseload data'!$D:$D,"SPO",'caseload data'!$C:$C,'custody caseload'!$T$36,'caseload data'!$B:$B,"custody")</f>
        <v>0</v>
      </c>
      <c r="AA41" s="104">
        <f>SUMIFS('caseload data'!K:K,'caseload data'!$D:$D,"SPO",'caseload data'!$C:$C,'custody caseload'!$T$36,'caseload data'!$B:$B,"custody")</f>
        <v>0</v>
      </c>
      <c r="AB41" s="104">
        <f>SUMIFS('caseload data'!L:L,'caseload data'!$D:$D,"SPO",'caseload data'!$C:$C,'custody caseload'!$T$36,'caseload data'!$B:$B,"custody")</f>
        <v>0</v>
      </c>
      <c r="AC41" s="104">
        <f>SUMIFS('caseload data'!M:M,'caseload data'!$D:$D,"SPO",'caseload data'!$C:$C,'custody caseload'!$T$36,'caseload data'!$B:$B,"custody")</f>
        <v>0</v>
      </c>
      <c r="AD41" s="104">
        <f>SUMIFS('caseload data'!N:N,'caseload data'!$D:$D,"SPO",'caseload data'!$C:$C,'custody caseload'!$T$36,'caseload data'!$B:$B,"custody")</f>
        <v>0</v>
      </c>
      <c r="AE41" s="104">
        <f>SUMIFS('caseload data'!O:O,'caseload data'!$D:$D,"SPO",'caseload data'!$C:$C,'custody caseload'!$T$36,'caseload data'!$B:$B,"custody")</f>
        <v>0</v>
      </c>
      <c r="AF41" s="104">
        <f>SUMIFS('caseload data'!P:P,'caseload data'!$D:$D,"SPO",'caseload data'!$C:$C,'custody caseload'!$T$36,'caseload data'!$B:$B,"custody")</f>
        <v>0</v>
      </c>
      <c r="AG41" s="104">
        <f>SUMIFS('caseload data'!Q:Q,'caseload data'!$D:$D,"SPO",'caseload data'!$C:$C,'custody caseload'!$T$36,'caseload data'!$B:$B,"custody")</f>
        <v>0</v>
      </c>
      <c r="AH41" s="104">
        <f>SUMIFS('caseload data'!R:R,'caseload data'!$D:$D,"SPO",'caseload data'!$C:$C,'custody caseload'!$T$36,'caseload data'!$B:$B,"custody")</f>
        <v>0</v>
      </c>
      <c r="AI41" s="104">
        <f>SUMIFS('caseload data'!S:S,'caseload data'!$D:$D,"SPO",'caseload data'!$C:$C,'custody caseload'!$T$36,'caseload data'!$B:$B,"custody")</f>
        <v>0</v>
      </c>
      <c r="AJ41" s="104">
        <f>SUMIFS('caseload data'!T:T,'caseload data'!$D:$D,"SPO",'caseload data'!$C:$C,'custody caseload'!$T$36,'caseload data'!$B:$B,"custody")</f>
        <v>0</v>
      </c>
    </row>
    <row r="42" spans="2:36" x14ac:dyDescent="0.15">
      <c r="B42" s="101"/>
      <c r="C42" s="73"/>
      <c r="D42" s="73"/>
      <c r="E42" s="73"/>
      <c r="F42" s="73"/>
      <c r="G42" s="73"/>
      <c r="H42" s="73"/>
      <c r="I42" s="73"/>
      <c r="J42" s="73"/>
      <c r="K42" s="73"/>
      <c r="L42" s="73"/>
      <c r="M42" s="73"/>
      <c r="N42" s="73"/>
      <c r="O42" s="73"/>
      <c r="P42" s="73"/>
      <c r="Q42" s="73"/>
      <c r="R42" s="73"/>
      <c r="S42" s="73"/>
      <c r="T42" s="101"/>
      <c r="U42" s="73"/>
      <c r="V42" s="73"/>
      <c r="W42" s="73"/>
      <c r="X42" s="73"/>
      <c r="Y42" s="73"/>
      <c r="Z42" s="73"/>
      <c r="AA42" s="73"/>
      <c r="AB42" s="73"/>
      <c r="AC42" s="73"/>
      <c r="AD42" s="73"/>
      <c r="AE42" s="73"/>
      <c r="AF42" s="73"/>
      <c r="AG42" s="73"/>
      <c r="AH42" s="73"/>
      <c r="AI42" s="73"/>
      <c r="AJ42" s="73"/>
    </row>
    <row r="43" spans="2:36" ht="29.25" customHeight="1" x14ac:dyDescent="0.15">
      <c r="B43" s="156" t="str">
        <f>HLOOKUP($B$5,Region_Table,12,0)</f>
        <v>Hammersmith, Fulham, Kensington, Chelsea and Westminster</v>
      </c>
      <c r="C43" s="367" t="s">
        <v>1163</v>
      </c>
      <c r="D43" s="368"/>
      <c r="E43" s="368"/>
      <c r="F43" s="368"/>
      <c r="G43" s="368"/>
      <c r="H43" s="368"/>
      <c r="I43" s="368"/>
      <c r="J43" s="368"/>
      <c r="K43" s="368"/>
      <c r="L43" s="368"/>
      <c r="M43" s="377"/>
      <c r="N43" s="377"/>
      <c r="O43" s="378"/>
      <c r="P43" s="371">
        <f>SUMIFS('caseload data'!V:V,'caseload data'!B:B,"custody",'caseload data'!$C:$C,'custody caseload'!B43)</f>
        <v>0</v>
      </c>
      <c r="Q43" s="379"/>
      <c r="R43" s="380"/>
      <c r="S43" s="73"/>
      <c r="T43" s="156" t="str">
        <f>HLOOKUP($B$5,Region_Table,13,0)</f>
        <v>Harrow and Barnet</v>
      </c>
      <c r="U43" s="367" t="s">
        <v>1163</v>
      </c>
      <c r="V43" s="368"/>
      <c r="W43" s="368"/>
      <c r="X43" s="368"/>
      <c r="Y43" s="368"/>
      <c r="Z43" s="368"/>
      <c r="AA43" s="368"/>
      <c r="AB43" s="368"/>
      <c r="AC43" s="368"/>
      <c r="AD43" s="368"/>
      <c r="AE43" s="377"/>
      <c r="AF43" s="377"/>
      <c r="AG43" s="378"/>
      <c r="AH43" s="371">
        <f>SUMIFS('caseload data'!V:V,'caseload data'!B:B,"custody",'caseload data'!$C:$C,'custody caseload'!T43)</f>
        <v>0</v>
      </c>
      <c r="AI43" s="379"/>
      <c r="AJ43" s="380"/>
    </row>
    <row r="44" spans="2:36" x14ac:dyDescent="0.15">
      <c r="B44" s="105" t="s">
        <v>1065</v>
      </c>
      <c r="C44" s="41" t="s">
        <v>922</v>
      </c>
      <c r="D44" s="41" t="s">
        <v>923</v>
      </c>
      <c r="E44" s="41" t="s">
        <v>924</v>
      </c>
      <c r="F44" s="41" t="s">
        <v>925</v>
      </c>
      <c r="G44" s="41" t="s">
        <v>926</v>
      </c>
      <c r="H44" s="41" t="s">
        <v>927</v>
      </c>
      <c r="I44" s="41" t="s">
        <v>928</v>
      </c>
      <c r="J44" s="41" t="s">
        <v>929</v>
      </c>
      <c r="K44" s="41" t="s">
        <v>930</v>
      </c>
      <c r="L44" s="41" t="s">
        <v>931</v>
      </c>
      <c r="M44" s="41" t="s">
        <v>932</v>
      </c>
      <c r="N44" s="41" t="s">
        <v>933</v>
      </c>
      <c r="O44" s="41" t="s">
        <v>934</v>
      </c>
      <c r="P44" s="41" t="s">
        <v>935</v>
      </c>
      <c r="Q44" s="41" t="s">
        <v>936</v>
      </c>
      <c r="R44" s="41" t="s">
        <v>937</v>
      </c>
      <c r="S44" s="73"/>
      <c r="T44" s="105" t="s">
        <v>1065</v>
      </c>
      <c r="U44" s="41" t="s">
        <v>922</v>
      </c>
      <c r="V44" s="41" t="s">
        <v>923</v>
      </c>
      <c r="W44" s="41" t="s">
        <v>924</v>
      </c>
      <c r="X44" s="41" t="s">
        <v>925</v>
      </c>
      <c r="Y44" s="41" t="s">
        <v>926</v>
      </c>
      <c r="Z44" s="41" t="s">
        <v>927</v>
      </c>
      <c r="AA44" s="41" t="s">
        <v>928</v>
      </c>
      <c r="AB44" s="41" t="s">
        <v>929</v>
      </c>
      <c r="AC44" s="41" t="s">
        <v>930</v>
      </c>
      <c r="AD44" s="41" t="s">
        <v>931</v>
      </c>
      <c r="AE44" s="41" t="s">
        <v>932</v>
      </c>
      <c r="AF44" s="41" t="s">
        <v>933</v>
      </c>
      <c r="AG44" s="41" t="s">
        <v>934</v>
      </c>
      <c r="AH44" s="41" t="s">
        <v>935</v>
      </c>
      <c r="AI44" s="41" t="s">
        <v>936</v>
      </c>
      <c r="AJ44" s="41" t="s">
        <v>937</v>
      </c>
    </row>
    <row r="45" spans="2:36" x14ac:dyDescent="0.15">
      <c r="B45" s="106" t="s">
        <v>911</v>
      </c>
      <c r="C45" s="104">
        <f>SUMIFS('caseload data'!E:E,'caseload data'!$D:$D,"PO",'caseload data'!$C:$C,'custody caseload'!$B$43,'caseload data'!$B:$B,"custody")</f>
        <v>0</v>
      </c>
      <c r="D45" s="104">
        <f>SUMIFS('caseload data'!F:F,'caseload data'!$D:$D,"PO",'caseload data'!$C:$C,'custody caseload'!$B$43,'caseload data'!$B:$B,"custody")</f>
        <v>0</v>
      </c>
      <c r="E45" s="104">
        <f>SUMIFS('caseload data'!G:G,'caseload data'!$D:$D,"PO",'caseload data'!$C:$C,'custody caseload'!$B$43,'caseload data'!$B:$B,"custody")</f>
        <v>0</v>
      </c>
      <c r="F45" s="104">
        <f>SUMIFS('caseload data'!H:H,'caseload data'!$D:$D,"PO",'caseload data'!$C:$C,'custody caseload'!$B$43,'caseload data'!$B:$B,"custody")</f>
        <v>0</v>
      </c>
      <c r="G45" s="104">
        <f>SUMIFS('caseload data'!I:I,'caseload data'!$D:$D,"PO",'caseload data'!$C:$C,'custody caseload'!$B$43,'caseload data'!$B:$B,"custody")</f>
        <v>0</v>
      </c>
      <c r="H45" s="104">
        <f>SUMIFS('caseload data'!J:J,'caseload data'!$D:$D,"PO",'caseload data'!$C:$C,'custody caseload'!$B$43,'caseload data'!$B:$B,"custody")</f>
        <v>0</v>
      </c>
      <c r="I45" s="104">
        <f>SUMIFS('caseload data'!K:K,'caseload data'!$D:$D,"PO",'caseload data'!$C:$C,'custody caseload'!$B$43,'caseload data'!$B:$B,"custody")</f>
        <v>0</v>
      </c>
      <c r="J45" s="104">
        <f>SUMIFS('caseload data'!L:L,'caseload data'!$D:$D,"PO",'caseload data'!$C:$C,'custody caseload'!$B$43,'caseload data'!$B:$B,"custody")</f>
        <v>0</v>
      </c>
      <c r="K45" s="104">
        <f>SUMIFS('caseload data'!M:M,'caseload data'!$D:$D,"PO",'caseload data'!$C:$C,'custody caseload'!$B$43,'caseload data'!$B:$B,"custody")</f>
        <v>0</v>
      </c>
      <c r="L45" s="104">
        <f>SUMIFS('caseload data'!N:N,'caseload data'!$D:$D,"PO",'caseload data'!$C:$C,'custody caseload'!$B$43,'caseload data'!$B:$B,"custody")</f>
        <v>0</v>
      </c>
      <c r="M45" s="104">
        <f>SUMIFS('caseload data'!O:O,'caseload data'!$D:$D,"PO",'caseload data'!$C:$C,'custody caseload'!$B$43,'caseload data'!$B:$B,"custody")</f>
        <v>0</v>
      </c>
      <c r="N45" s="104">
        <f>SUMIFS('caseload data'!P:P,'caseload data'!$D:$D,"PO",'caseload data'!$C:$C,'custody caseload'!$B$43,'caseload data'!$B:$B,"custody")</f>
        <v>0</v>
      </c>
      <c r="O45" s="104">
        <f>SUMIFS('caseload data'!Q:Q,'caseload data'!$D:$D,"PO",'caseload data'!$C:$C,'custody caseload'!$B$43,'caseload data'!$B:$B,"custody")</f>
        <v>0</v>
      </c>
      <c r="P45" s="104">
        <f>SUMIFS('caseload data'!R:R,'caseload data'!$D:$D,"PO",'caseload data'!$C:$C,'custody caseload'!$B$43,'caseload data'!$B:$B,"custody")</f>
        <v>0</v>
      </c>
      <c r="Q45" s="104">
        <f>SUMIFS('caseload data'!S:S,'caseload data'!$D:$D,"PO",'caseload data'!$C:$C,'custody caseload'!$B$43,'caseload data'!$B:$B,"custody")</f>
        <v>0</v>
      </c>
      <c r="R45" s="104">
        <f>SUMIFS('caseload data'!T:T,'caseload data'!$D:$D,"PO",'caseload data'!$C:$C,'custody caseload'!$B$43,'caseload data'!$B:$B,"custody")</f>
        <v>0</v>
      </c>
      <c r="S45" s="73"/>
      <c r="T45" s="106" t="s">
        <v>911</v>
      </c>
      <c r="U45" s="104">
        <f>SUMIFS('caseload data'!E:E,'caseload data'!$D:$D,"PO",'caseload data'!$C:$C,'custody caseload'!$T$43,'caseload data'!$B:$B,"custody")</f>
        <v>0</v>
      </c>
      <c r="V45" s="104">
        <f>SUMIFS('caseload data'!F:F,'caseload data'!$D:$D,"PO",'caseload data'!$C:$C,'custody caseload'!$T$43,'caseload data'!$B:$B,"custody")</f>
        <v>0</v>
      </c>
      <c r="W45" s="104">
        <f>SUMIFS('caseload data'!G:G,'caseload data'!$D:$D,"PO",'caseload data'!$C:$C,'custody caseload'!$T$43,'caseload data'!$B:$B,"custody")</f>
        <v>0</v>
      </c>
      <c r="X45" s="104">
        <f>SUMIFS('caseload data'!H:H,'caseload data'!$D:$D,"PO",'caseload data'!$C:$C,'custody caseload'!$T$43,'caseload data'!$B:$B,"custody")</f>
        <v>0</v>
      </c>
      <c r="Y45" s="104">
        <f>SUMIFS('caseload data'!I:I,'caseload data'!$D:$D,"PO",'caseload data'!$C:$C,'custody caseload'!$T$43,'caseload data'!$B:$B,"custody")</f>
        <v>0</v>
      </c>
      <c r="Z45" s="104">
        <f>SUMIFS('caseload data'!J:J,'caseload data'!$D:$D,"PO",'caseload data'!$C:$C,'custody caseload'!$T$43,'caseload data'!$B:$B,"custody")</f>
        <v>0</v>
      </c>
      <c r="AA45" s="104">
        <f>SUMIFS('caseload data'!K:K,'caseload data'!$D:$D,"PO",'caseload data'!$C:$C,'custody caseload'!$T$43,'caseload data'!$B:$B,"custody")</f>
        <v>0</v>
      </c>
      <c r="AB45" s="104">
        <f>SUMIFS('caseload data'!L:L,'caseload data'!$D:$D,"PO",'caseload data'!$C:$C,'custody caseload'!$T$43,'caseload data'!$B:$B,"custody")</f>
        <v>0</v>
      </c>
      <c r="AC45" s="104">
        <f>SUMIFS('caseload data'!M:M,'caseload data'!$D:$D,"PO",'caseload data'!$C:$C,'custody caseload'!$T$43,'caseload data'!$B:$B,"custody")</f>
        <v>0</v>
      </c>
      <c r="AD45" s="104">
        <f>SUMIFS('caseload data'!N:N,'caseload data'!$D:$D,"PO",'caseload data'!$C:$C,'custody caseload'!$T$43,'caseload data'!$B:$B,"custody")</f>
        <v>0</v>
      </c>
      <c r="AE45" s="104">
        <f>SUMIFS('caseload data'!O:O,'caseload data'!$D:$D,"PO",'caseload data'!$C:$C,'custody caseload'!$T$43,'caseload data'!$B:$B,"custody")</f>
        <v>0</v>
      </c>
      <c r="AF45" s="104">
        <f>SUMIFS('caseload data'!P:P,'caseload data'!$D:$D,"PO",'caseload data'!$C:$C,'custody caseload'!$T$43,'caseload data'!$B:$B,"custody")</f>
        <v>0</v>
      </c>
      <c r="AG45" s="104">
        <f>SUMIFS('caseload data'!Q:Q,'caseload data'!$D:$D,"PO",'caseload data'!$C:$C,'custody caseload'!$T$43,'caseload data'!$B:$B,"custody")</f>
        <v>0</v>
      </c>
      <c r="AH45" s="104">
        <f>SUMIFS('caseload data'!R:R,'caseload data'!$D:$D,"PO",'caseload data'!$C:$C,'custody caseload'!$T$43,'caseload data'!$B:$B,"custody")</f>
        <v>0</v>
      </c>
      <c r="AI45" s="104">
        <f>SUMIFS('caseload data'!S:S,'caseload data'!$D:$D,"PO",'caseload data'!$C:$C,'custody caseload'!$T$43,'caseload data'!$B:$B,"custody")</f>
        <v>0</v>
      </c>
      <c r="AJ45" s="104">
        <f>SUMIFS('caseload data'!T:T,'caseload data'!$D:$D,"PO",'caseload data'!$C:$C,'custody caseload'!$T$43,'caseload data'!$B:$B,"custody")</f>
        <v>0</v>
      </c>
    </row>
    <row r="46" spans="2:36" ht="15" x14ac:dyDescent="0.2">
      <c r="B46" s="107" t="s">
        <v>912</v>
      </c>
      <c r="C46" s="159">
        <f>SUMIFS('caseload data'!E:E,'caseload data'!$D:$D,"PSO",'caseload data'!$C:$C,'custody caseload'!$B$43,'caseload data'!$B:$B,"custody")</f>
        <v>0</v>
      </c>
      <c r="D46" s="159">
        <f>SUMIFS('caseload data'!F:F,'caseload data'!$D:$D,"PSO",'caseload data'!$C:$C,'custody caseload'!$B$43,'caseload data'!$B:$B,"custody")</f>
        <v>0</v>
      </c>
      <c r="E46" s="159">
        <f>SUMIFS('caseload data'!G:G,'caseload data'!$D:$D,"PSO",'caseload data'!$C:$C,'custody caseload'!$B$43,'caseload data'!$B:$B,"custody")</f>
        <v>0</v>
      </c>
      <c r="F46" s="159">
        <f>SUMIFS('caseload data'!H:H,'caseload data'!$D:$D,"PSO",'caseload data'!$C:$C,'custody caseload'!$B$43,'caseload data'!$B:$B,"custody")</f>
        <v>0</v>
      </c>
      <c r="G46" s="159">
        <f>SUMIFS('caseload data'!I:I,'caseload data'!$D:$D,"PSO",'caseload data'!$C:$C,'custody caseload'!$B$43,'caseload data'!$B:$B,"custody")</f>
        <v>0</v>
      </c>
      <c r="H46" s="159">
        <f>SUMIFS('caseload data'!J:J,'caseload data'!$D:$D,"PSO",'caseload data'!$C:$C,'custody caseload'!$B$43,'caseload data'!$B:$B,"custody")</f>
        <v>0</v>
      </c>
      <c r="I46" s="159">
        <f>SUMIFS('caseload data'!K:K,'caseload data'!$D:$D,"PSO",'caseload data'!$C:$C,'custody caseload'!$B$43,'caseload data'!$B:$B,"custody")</f>
        <v>0</v>
      </c>
      <c r="J46" s="159">
        <f>SUMIFS('caseload data'!L:L,'caseload data'!$D:$D,"PSO",'caseload data'!$C:$C,'custody caseload'!$B$43,'caseload data'!$B:$B,"custody")</f>
        <v>0</v>
      </c>
      <c r="K46" s="104">
        <f>SUMIFS('caseload data'!M:M,'caseload data'!$D:$D,"PSO",'caseload data'!$C:$C,'custody caseload'!$B$43,'caseload data'!$B:$B,"custody")</f>
        <v>0</v>
      </c>
      <c r="L46" s="104">
        <f>SUMIFS('caseload data'!N:N,'caseload data'!$D:$D,"PSO",'caseload data'!$C:$C,'custody caseload'!$B$43,'caseload data'!$B:$B,"custody")</f>
        <v>0</v>
      </c>
      <c r="M46" s="104">
        <f>SUMIFS('caseload data'!O:O,'caseload data'!$D:$D,"PSO",'caseload data'!$C:$C,'custody caseload'!$B$43,'caseload data'!$B:$B,"custody")</f>
        <v>0</v>
      </c>
      <c r="N46" s="104">
        <f>SUMIFS('caseload data'!P:P,'caseload data'!$D:$D,"PSO",'caseload data'!$C:$C,'custody caseload'!$B$43,'caseload data'!$B:$B,"custody")</f>
        <v>0</v>
      </c>
      <c r="O46" s="104">
        <f>SUMIFS('caseload data'!Q:Q,'caseload data'!$D:$D,"PSO",'caseload data'!$C:$C,'custody caseload'!$B$43,'caseload data'!$B:$B,"custody")</f>
        <v>0</v>
      </c>
      <c r="P46" s="104">
        <f>SUMIFS('caseload data'!R:R,'caseload data'!$D:$D,"PSO",'caseload data'!$C:$C,'custody caseload'!$B$43,'caseload data'!$B:$B,"custody")</f>
        <v>0</v>
      </c>
      <c r="Q46" s="104">
        <f>SUMIFS('caseload data'!S:S,'caseload data'!$D:$D,"PSO",'caseload data'!$C:$C,'custody caseload'!$B$43,'caseload data'!$B:$B,"custody")</f>
        <v>0</v>
      </c>
      <c r="R46" s="104">
        <f>SUMIFS('caseload data'!T:T,'caseload data'!$D:$D,"PSO",'caseload data'!$C:$C,'custody caseload'!$B$43,'caseload data'!$B:$B,"custody")</f>
        <v>0</v>
      </c>
      <c r="S46" s="73"/>
      <c r="T46" s="107" t="s">
        <v>912</v>
      </c>
      <c r="U46" s="159">
        <f>SUMIFS('caseload data'!E:E,'caseload data'!$D:$D,"PSO",'caseload data'!$C:$C,'custody caseload'!$T$43,'caseload data'!$B:$B,"custody")</f>
        <v>0</v>
      </c>
      <c r="V46" s="159">
        <f>SUMIFS('caseload data'!F:F,'caseload data'!$D:$D,"PSO",'caseload data'!$C:$C,'custody caseload'!$T$43,'caseload data'!$B:$B,"custody")</f>
        <v>0</v>
      </c>
      <c r="W46" s="159">
        <f>SUMIFS('caseload data'!G:G,'caseload data'!$D:$D,"PSO",'caseload data'!$C:$C,'custody caseload'!$T$43,'caseload data'!$B:$B,"custody")</f>
        <v>0</v>
      </c>
      <c r="X46" s="159">
        <f>SUMIFS('caseload data'!H:H,'caseload data'!$D:$D,"PSO",'caseload data'!$C:$C,'custody caseload'!$T$43,'caseload data'!$B:$B,"custody")</f>
        <v>0</v>
      </c>
      <c r="Y46" s="159">
        <f>SUMIFS('caseload data'!I:I,'caseload data'!$D:$D,"PSO",'caseload data'!$C:$C,'custody caseload'!$T$43,'caseload data'!$B:$B,"custody")</f>
        <v>0</v>
      </c>
      <c r="Z46" s="159">
        <f>SUMIFS('caseload data'!J:J,'caseload data'!$D:$D,"PSO",'caseload data'!$C:$C,'custody caseload'!$T$43,'caseload data'!$B:$B,"custody")</f>
        <v>0</v>
      </c>
      <c r="AA46" s="159">
        <f>SUMIFS('caseload data'!K:K,'caseload data'!$D:$D,"PSO",'caseload data'!$C:$C,'custody caseload'!$T$43,'caseload data'!$B:$B,"custody")</f>
        <v>0</v>
      </c>
      <c r="AB46" s="159">
        <f>SUMIFS('caseload data'!L:L,'caseload data'!$D:$D,"PSO",'caseload data'!$C:$C,'custody caseload'!$T$43,'caseload data'!$B:$B,"custody")</f>
        <v>0</v>
      </c>
      <c r="AC46" s="104">
        <f>SUMIFS('caseload data'!M:M,'caseload data'!$D:$D,"PSO",'caseload data'!$C:$C,'custody caseload'!$T$43,'caseload data'!$B:$B,"custody")</f>
        <v>0</v>
      </c>
      <c r="AD46" s="104">
        <f>SUMIFS('caseload data'!N:N,'caseload data'!$D:$D,"PSO",'caseload data'!$C:$C,'custody caseload'!$T$43,'caseload data'!$B:$B,"custody")</f>
        <v>0</v>
      </c>
      <c r="AE46" s="104">
        <f>SUMIFS('caseload data'!O:O,'caseload data'!$D:$D,"PSO",'caseload data'!$C:$C,'custody caseload'!$T$43,'caseload data'!$B:$B,"custody")</f>
        <v>0</v>
      </c>
      <c r="AF46" s="104">
        <f>SUMIFS('caseload data'!P:P,'caseload data'!$D:$D,"PSO",'caseload data'!$C:$C,'custody caseload'!$T$43,'caseload data'!$B:$B,"custody")</f>
        <v>0</v>
      </c>
      <c r="AG46" s="104">
        <f>SUMIFS('caseload data'!Q:Q,'caseload data'!$D:$D,"PSO",'caseload data'!$C:$C,'custody caseload'!$T$43,'caseload data'!$B:$B,"custody")</f>
        <v>0</v>
      </c>
      <c r="AH46" s="104">
        <f>SUMIFS('caseload data'!R:R,'caseload data'!$D:$D,"PSO",'caseload data'!$C:$C,'custody caseload'!$T$43,'caseload data'!$B:$B,"custody")</f>
        <v>0</v>
      </c>
      <c r="AI46" s="104">
        <f>SUMIFS('caseload data'!S:S,'caseload data'!$D:$D,"PSO",'caseload data'!$C:$C,'custody caseload'!$T$43,'caseload data'!$B:$B,"custody")</f>
        <v>0</v>
      </c>
      <c r="AJ46" s="104">
        <f>SUMIFS('caseload data'!T:T,'caseload data'!$D:$D,"PSO",'caseload data'!$C:$C,'custody caseload'!$T$43,'caseload data'!$B:$B,"custody")</f>
        <v>0</v>
      </c>
    </row>
    <row r="47" spans="2:36" ht="15" x14ac:dyDescent="0.2">
      <c r="B47" s="107" t="s">
        <v>913</v>
      </c>
      <c r="C47" s="159">
        <f>SUMIFS('caseload data'!E:E,'caseload data'!$D:$D,"TPO",'caseload data'!$C:$C,'custody caseload'!$B$43,'caseload data'!$B:$B,"custody")</f>
        <v>0</v>
      </c>
      <c r="D47" s="159">
        <f>SUMIFS('caseload data'!F:F,'caseload data'!$D:$D,"TPO",'caseload data'!$C:$C,'custody caseload'!$B$43,'caseload data'!$B:$B,"custody")</f>
        <v>0</v>
      </c>
      <c r="E47" s="159">
        <f>SUMIFS('caseload data'!G:G,'caseload data'!$D:$D,"TPO",'caseload data'!$C:$C,'custody caseload'!$B$43,'caseload data'!$B:$B,"custody")</f>
        <v>0</v>
      </c>
      <c r="F47" s="159">
        <f>SUMIFS('caseload data'!H:H,'caseload data'!$D:$D,"TPO",'caseload data'!$C:$C,'custody caseload'!$B$43,'caseload data'!$B:$B,"custody")</f>
        <v>0</v>
      </c>
      <c r="G47" s="159">
        <f>SUMIFS('caseload data'!I:I,'caseload data'!$D:$D,"TPO",'caseload data'!$C:$C,'custody caseload'!$B$43,'caseload data'!$B:$B,"custody")</f>
        <v>0</v>
      </c>
      <c r="H47" s="159">
        <f>SUMIFS('caseload data'!J:J,'caseload data'!$D:$D,"TPO",'caseload data'!$C:$C,'custody caseload'!$B$43,'caseload data'!$B:$B,"custody")</f>
        <v>0</v>
      </c>
      <c r="I47" s="159">
        <f>SUMIFS('caseload data'!K:K,'caseload data'!$D:$D,"TPO",'caseload data'!$C:$C,'custody caseload'!$B$43,'caseload data'!$B:$B,"custody")</f>
        <v>0</v>
      </c>
      <c r="J47" s="159">
        <f>SUMIFS('caseload data'!L:L,'caseload data'!$D:$D,"TPO",'caseload data'!$C:$C,'custody caseload'!$B$43,'caseload data'!$B:$B,"custody")</f>
        <v>0</v>
      </c>
      <c r="K47" s="104">
        <f>SUMIFS('caseload data'!M:M,'caseload data'!$D:$D,"TPO",'caseload data'!$C:$C,'custody caseload'!$B$43,'caseload data'!$B:$B,"custody")</f>
        <v>0</v>
      </c>
      <c r="L47" s="104">
        <f>SUMIFS('caseload data'!N:N,'caseload data'!$D:$D,"TPO",'caseload data'!$C:$C,'custody caseload'!$B$43,'caseload data'!$B:$B,"custody")</f>
        <v>0</v>
      </c>
      <c r="M47" s="104">
        <f>SUMIFS('caseload data'!O:O,'caseload data'!$D:$D,"TPO",'caseload data'!$C:$C,'custody caseload'!$B$43,'caseload data'!$B:$B,"custody")</f>
        <v>0</v>
      </c>
      <c r="N47" s="104">
        <f>SUMIFS('caseload data'!P:P,'caseload data'!$D:$D,"TPO",'caseload data'!$C:$C,'custody caseload'!$B$43,'caseload data'!$B:$B,"custody")</f>
        <v>0</v>
      </c>
      <c r="O47" s="104">
        <f>SUMIFS('caseload data'!Q:Q,'caseload data'!$D:$D,"TPO",'caseload data'!$C:$C,'custody caseload'!$B$43,'caseload data'!$B:$B,"custody")</f>
        <v>0</v>
      </c>
      <c r="P47" s="104">
        <f>SUMIFS('caseload data'!R:R,'caseload data'!$D:$D,"TPO",'caseload data'!$C:$C,'custody caseload'!$B$43,'caseload data'!$B:$B,"custody")</f>
        <v>0</v>
      </c>
      <c r="Q47" s="104">
        <f>SUMIFS('caseload data'!S:S,'caseload data'!$D:$D,"TPO",'caseload data'!$C:$C,'custody caseload'!$B$43,'caseload data'!$B:$B,"custody")</f>
        <v>0</v>
      </c>
      <c r="R47" s="104">
        <f>SUMIFS('caseload data'!T:T,'caseload data'!$D:$D,"TPO",'caseload data'!$C:$C,'custody caseload'!$B$43,'caseload data'!$B:$B,"custody")</f>
        <v>0</v>
      </c>
      <c r="S47" s="73"/>
      <c r="T47" s="107" t="s">
        <v>913</v>
      </c>
      <c r="U47" s="159">
        <f>SUMIFS('caseload data'!E:E,'caseload data'!$D:$D,"TPO",'caseload data'!$C:$C,'custody caseload'!$T$43,'caseload data'!$B:$B,"custody")</f>
        <v>0</v>
      </c>
      <c r="V47" s="159">
        <f>SUMIFS('caseload data'!F:F,'caseload data'!$D:$D,"TPO",'caseload data'!$C:$C,'custody caseload'!$T$43,'caseload data'!$B:$B,"custody")</f>
        <v>0</v>
      </c>
      <c r="W47" s="159">
        <f>SUMIFS('caseload data'!G:G,'caseload data'!$D:$D,"TPO",'caseload data'!$C:$C,'custody caseload'!$T$43,'caseload data'!$B:$B,"custody")</f>
        <v>0</v>
      </c>
      <c r="X47" s="159">
        <f>SUMIFS('caseload data'!H:H,'caseload data'!$D:$D,"TPO",'caseload data'!$C:$C,'custody caseload'!$T$43,'caseload data'!$B:$B,"custody")</f>
        <v>0</v>
      </c>
      <c r="Y47" s="159">
        <f>SUMIFS('caseload data'!I:I,'caseload data'!$D:$D,"TPO",'caseload data'!$C:$C,'custody caseload'!$T$43,'caseload data'!$B:$B,"custody")</f>
        <v>0</v>
      </c>
      <c r="Z47" s="159">
        <f>SUMIFS('caseload data'!J:J,'caseload data'!$D:$D,"TPO",'caseload data'!$C:$C,'custody caseload'!$T$43,'caseload data'!$B:$B,"custody")</f>
        <v>0</v>
      </c>
      <c r="AA47" s="159">
        <f>SUMIFS('caseload data'!K:K,'caseload data'!$D:$D,"TPO",'caseload data'!$C:$C,'custody caseload'!$T$43,'caseload data'!$B:$B,"custody")</f>
        <v>0</v>
      </c>
      <c r="AB47" s="159">
        <f>SUMIFS('caseload data'!L:L,'caseload data'!$D:$D,"TPO",'caseload data'!$C:$C,'custody caseload'!$T$43,'caseload data'!$B:$B,"custody")</f>
        <v>0</v>
      </c>
      <c r="AC47" s="104">
        <f>SUMIFS('caseload data'!M:M,'caseload data'!$D:$D,"TPO",'caseload data'!$C:$C,'custody caseload'!$T$43,'caseload data'!$B:$B,"custody")</f>
        <v>0</v>
      </c>
      <c r="AD47" s="104">
        <f>SUMIFS('caseload data'!N:N,'caseload data'!$D:$D,"TPO",'caseload data'!$C:$C,'custody caseload'!$T$43,'caseload data'!$B:$B,"custody")</f>
        <v>0</v>
      </c>
      <c r="AE47" s="104">
        <f>SUMIFS('caseload data'!O:O,'caseload data'!$D:$D,"TPO",'caseload data'!$C:$C,'custody caseload'!$T$43,'caseload data'!$B:$B,"custody")</f>
        <v>0</v>
      </c>
      <c r="AF47" s="104">
        <f>SUMIFS('caseload data'!P:P,'caseload data'!$D:$D,"TPO",'caseload data'!$C:$C,'custody caseload'!$T$43,'caseload data'!$B:$B,"custody")</f>
        <v>0</v>
      </c>
      <c r="AG47" s="104">
        <f>SUMIFS('caseload data'!Q:Q,'caseload data'!$D:$D,"TPO",'caseload data'!$C:$C,'custody caseload'!$T$43,'caseload data'!$B:$B,"custody")</f>
        <v>0</v>
      </c>
      <c r="AH47" s="104">
        <f>SUMIFS('caseload data'!R:R,'caseload data'!$D:$D,"TPO",'caseload data'!$C:$C,'custody caseload'!$T$43,'caseload data'!$B:$B,"custody")</f>
        <v>0</v>
      </c>
      <c r="AI47" s="104">
        <f>SUMIFS('caseload data'!S:S,'caseload data'!$D:$D,"TPO",'caseload data'!$C:$C,'custody caseload'!$T$43,'caseload data'!$B:$B,"custody")</f>
        <v>0</v>
      </c>
      <c r="AJ47" s="104">
        <f>SUMIFS('caseload data'!T:T,'caseload data'!$D:$D,"TPO",'caseload data'!$C:$C,'custody caseload'!$T$43,'caseload data'!$B:$B,"custody")</f>
        <v>0</v>
      </c>
    </row>
    <row r="48" spans="2:36" x14ac:dyDescent="0.15">
      <c r="B48" s="108" t="s">
        <v>914</v>
      </c>
      <c r="C48" s="104">
        <f>SUMIFS('caseload data'!E:E,'caseload data'!$D:$D,"SPO",'caseload data'!$C:$C,'custody caseload'!$B$43,'caseload data'!$B:$B,"custody")</f>
        <v>0</v>
      </c>
      <c r="D48" s="104">
        <f>SUMIFS('caseload data'!F:F,'caseload data'!$D:$D,"SPO",'caseload data'!$C:$C,'custody caseload'!$B$43,'caseload data'!$B:$B,"custody")</f>
        <v>0</v>
      </c>
      <c r="E48" s="104">
        <f>SUMIFS('caseload data'!G:G,'caseload data'!$D:$D,"SPO",'caseload data'!$C:$C,'custody caseload'!$B$43,'caseload data'!$B:$B,"custody")</f>
        <v>0</v>
      </c>
      <c r="F48" s="104">
        <f>SUMIFS('caseload data'!H:H,'caseload data'!$D:$D,"SPO",'caseload data'!$C:$C,'custody caseload'!$B$43,'caseload data'!$B:$B,"custody")</f>
        <v>0</v>
      </c>
      <c r="G48" s="104">
        <f>SUMIFS('caseload data'!I:I,'caseload data'!$D:$D,"SPO",'caseload data'!$C:$C,'custody caseload'!$B$43,'caseload data'!$B:$B,"custody")</f>
        <v>0</v>
      </c>
      <c r="H48" s="104">
        <f>SUMIFS('caseload data'!J:J,'caseload data'!$D:$D,"SPO",'caseload data'!$C:$C,'custody caseload'!$B$43,'caseload data'!$B:$B,"custody")</f>
        <v>0</v>
      </c>
      <c r="I48" s="104">
        <f>SUMIFS('caseload data'!K:K,'caseload data'!$D:$D,"SPO",'caseload data'!$C:$C,'custody caseload'!$B$43,'caseload data'!$B:$B,"custody")</f>
        <v>0</v>
      </c>
      <c r="J48" s="104">
        <f>SUMIFS('caseload data'!L:L,'caseload data'!$D:$D,"SPO",'caseload data'!$C:$C,'custody caseload'!$B$43,'caseload data'!$B:$B,"custody")</f>
        <v>0</v>
      </c>
      <c r="K48" s="104">
        <f>SUMIFS('caseload data'!M:M,'caseload data'!$D:$D,"SPO",'caseload data'!$C:$C,'custody caseload'!$B$43,'caseload data'!$B:$B,"custody")</f>
        <v>0</v>
      </c>
      <c r="L48" s="104">
        <f>SUMIFS('caseload data'!N:N,'caseload data'!$D:$D,"SPO",'caseload data'!$C:$C,'custody caseload'!$B$43,'caseload data'!$B:$B,"custody")</f>
        <v>0</v>
      </c>
      <c r="M48" s="104">
        <f>SUMIFS('caseload data'!O:O,'caseload data'!$D:$D,"SPO",'caseload data'!$C:$C,'custody caseload'!$B$43,'caseload data'!$B:$B,"custody")</f>
        <v>0</v>
      </c>
      <c r="N48" s="104">
        <f>SUMIFS('caseload data'!P:P,'caseload data'!$D:$D,"SPO",'caseload data'!$C:$C,'custody caseload'!$B$43,'caseload data'!$B:$B,"custody")</f>
        <v>0</v>
      </c>
      <c r="O48" s="104">
        <f>SUMIFS('caseload data'!Q:Q,'caseload data'!$D:$D,"SPO",'caseload data'!$C:$C,'custody caseload'!$B$43,'caseload data'!$B:$B,"custody")</f>
        <v>0</v>
      </c>
      <c r="P48" s="104">
        <f>SUMIFS('caseload data'!R:R,'caseload data'!$D:$D,"SPO",'caseload data'!$C:$C,'custody caseload'!$B$43,'caseload data'!$B:$B,"custody")</f>
        <v>0</v>
      </c>
      <c r="Q48" s="104">
        <f>SUMIFS('caseload data'!S:S,'caseload data'!$D:$D,"SPO",'caseload data'!$C:$C,'custody caseload'!$B$43,'caseload data'!$B:$B,"custody")</f>
        <v>0</v>
      </c>
      <c r="R48" s="104">
        <f>SUMIFS('caseload data'!T:T,'caseload data'!$D:$D,"SPO",'caseload data'!$C:$C,'custody caseload'!$B$43,'caseload data'!$B:$B,"custody")</f>
        <v>0</v>
      </c>
      <c r="S48" s="73"/>
      <c r="T48" s="108" t="s">
        <v>914</v>
      </c>
      <c r="U48" s="104">
        <f>SUMIFS('caseload data'!E:E,'caseload data'!$D:$D,"SPO",'caseload data'!$C:$C,'custody caseload'!$T$43,'caseload data'!$B:$B,"custody")</f>
        <v>0</v>
      </c>
      <c r="V48" s="104">
        <f>SUMIFS('caseload data'!F:F,'caseload data'!$D:$D,"SPO",'caseload data'!$C:$C,'custody caseload'!$T$43,'caseload data'!$B:$B,"custody")</f>
        <v>0</v>
      </c>
      <c r="W48" s="104">
        <f>SUMIFS('caseload data'!G:G,'caseload data'!$D:$D,"SPO",'caseload data'!$C:$C,'custody caseload'!$T$43,'caseload data'!$B:$B,"custody")</f>
        <v>0</v>
      </c>
      <c r="X48" s="104">
        <f>SUMIFS('caseload data'!H:H,'caseload data'!$D:$D,"SPO",'caseload data'!$C:$C,'custody caseload'!$T$43,'caseload data'!$B:$B,"custody")</f>
        <v>0</v>
      </c>
      <c r="Y48" s="104">
        <f>SUMIFS('caseload data'!I:I,'caseload data'!$D:$D,"SPO",'caseload data'!$C:$C,'custody caseload'!$T$43,'caseload data'!$B:$B,"custody")</f>
        <v>0</v>
      </c>
      <c r="Z48" s="104">
        <f>SUMIFS('caseload data'!J:J,'caseload data'!$D:$D,"SPO",'caseload data'!$C:$C,'custody caseload'!$T$43,'caseload data'!$B:$B,"custody")</f>
        <v>0</v>
      </c>
      <c r="AA48" s="104">
        <f>SUMIFS('caseload data'!K:K,'caseload data'!$D:$D,"SPO",'caseload data'!$C:$C,'custody caseload'!$T$43,'caseload data'!$B:$B,"custody")</f>
        <v>0</v>
      </c>
      <c r="AB48" s="104">
        <f>SUMIFS('caseload data'!L:L,'caseload data'!$D:$D,"SPO",'caseload data'!$C:$C,'custody caseload'!$T$43,'caseload data'!$B:$B,"custody")</f>
        <v>0</v>
      </c>
      <c r="AC48" s="104">
        <f>SUMIFS('caseload data'!M:M,'caseload data'!$D:$D,"SPO",'caseload data'!$C:$C,'custody caseload'!$T$43,'caseload data'!$B:$B,"custody")</f>
        <v>0</v>
      </c>
      <c r="AD48" s="104">
        <f>SUMIFS('caseload data'!N:N,'caseload data'!$D:$D,"SPO",'caseload data'!$C:$C,'custody caseload'!$T$43,'caseload data'!$B:$B,"custody")</f>
        <v>0</v>
      </c>
      <c r="AE48" s="104">
        <f>SUMIFS('caseload data'!O:O,'caseload data'!$D:$D,"SPO",'caseload data'!$C:$C,'custody caseload'!$T$43,'caseload data'!$B:$B,"custody")</f>
        <v>0</v>
      </c>
      <c r="AF48" s="104">
        <f>SUMIFS('caseload data'!P:P,'caseload data'!$D:$D,"SPO",'caseload data'!$C:$C,'custody caseload'!$T$43,'caseload data'!$B:$B,"custody")</f>
        <v>0</v>
      </c>
      <c r="AG48" s="104">
        <f>SUMIFS('caseload data'!Q:Q,'caseload data'!$D:$D,"SPO",'caseload data'!$C:$C,'custody caseload'!$T$43,'caseload data'!$B:$B,"custody")</f>
        <v>0</v>
      </c>
      <c r="AH48" s="104">
        <f>SUMIFS('caseload data'!R:R,'caseload data'!$D:$D,"SPO",'caseload data'!$C:$C,'custody caseload'!$T$43,'caseload data'!$B:$B,"custody")</f>
        <v>0</v>
      </c>
      <c r="AI48" s="104">
        <f>SUMIFS('caseload data'!S:S,'caseload data'!$D:$D,"SPO",'caseload data'!$C:$C,'custody caseload'!$T$43,'caseload data'!$B:$B,"custody")</f>
        <v>0</v>
      </c>
      <c r="AJ48" s="104">
        <f>SUMIFS('caseload data'!T:T,'caseload data'!$D:$D,"SPO",'caseload data'!$C:$C,'custody caseload'!$T$43,'caseload data'!$B:$B,"custody")</f>
        <v>0</v>
      </c>
    </row>
    <row r="49" spans="2:36" x14ac:dyDescent="0.15">
      <c r="B49" s="101"/>
      <c r="C49" s="73"/>
      <c r="D49" s="73"/>
      <c r="E49" s="73"/>
      <c r="F49" s="73"/>
      <c r="G49" s="73"/>
      <c r="H49" s="73"/>
      <c r="I49" s="73"/>
      <c r="J49" s="73"/>
      <c r="K49" s="73"/>
      <c r="L49" s="73"/>
      <c r="M49" s="73"/>
      <c r="N49" s="73"/>
      <c r="O49" s="73"/>
      <c r="P49" s="73"/>
      <c r="Q49" s="73"/>
      <c r="R49" s="73"/>
      <c r="S49" s="73"/>
      <c r="T49" s="101"/>
      <c r="U49" s="73"/>
      <c r="V49" s="73"/>
      <c r="W49" s="73"/>
      <c r="X49" s="73"/>
      <c r="Y49" s="73"/>
      <c r="Z49" s="73"/>
      <c r="AA49" s="73"/>
      <c r="AB49" s="73"/>
      <c r="AC49" s="73"/>
      <c r="AD49" s="73"/>
      <c r="AE49" s="73"/>
      <c r="AF49" s="73"/>
      <c r="AG49" s="73"/>
      <c r="AH49" s="73"/>
      <c r="AI49" s="73"/>
      <c r="AJ49" s="73"/>
    </row>
    <row r="50" spans="2:36" ht="30" customHeight="1" x14ac:dyDescent="0.15">
      <c r="B50" s="156" t="str">
        <f>HLOOKUP($B$5,Region_Table,14,0)</f>
        <v>Inactive Level 2(N07)</v>
      </c>
      <c r="C50" s="367" t="s">
        <v>1163</v>
      </c>
      <c r="D50" s="368"/>
      <c r="E50" s="368"/>
      <c r="F50" s="368"/>
      <c r="G50" s="368"/>
      <c r="H50" s="368"/>
      <c r="I50" s="368"/>
      <c r="J50" s="368"/>
      <c r="K50" s="368"/>
      <c r="L50" s="368"/>
      <c r="M50" s="377"/>
      <c r="N50" s="377"/>
      <c r="O50" s="378"/>
      <c r="P50" s="371">
        <f>SUMIFS('caseload data'!V:V,'caseload data'!B:B,"custody",'caseload data'!$C:$C,'custody caseload'!B50)</f>
        <v>0</v>
      </c>
      <c r="Q50" s="379"/>
      <c r="R50" s="380"/>
      <c r="S50" s="73"/>
      <c r="T50" s="156" t="str">
        <f>HLOOKUP($B$5,Region_Table,15,0)</f>
        <v>Kingston, Richmond and Hounslow</v>
      </c>
      <c r="U50" s="367" t="s">
        <v>1163</v>
      </c>
      <c r="V50" s="368"/>
      <c r="W50" s="368"/>
      <c r="X50" s="368"/>
      <c r="Y50" s="368"/>
      <c r="Z50" s="368"/>
      <c r="AA50" s="368"/>
      <c r="AB50" s="368"/>
      <c r="AC50" s="368"/>
      <c r="AD50" s="368"/>
      <c r="AE50" s="377"/>
      <c r="AF50" s="377"/>
      <c r="AG50" s="378"/>
      <c r="AH50" s="371">
        <f>SUMIFS('caseload data'!V:V,'caseload data'!B:B,"custody",'caseload data'!$C:$C,'custody caseload'!T50)</f>
        <v>0</v>
      </c>
      <c r="AI50" s="379"/>
      <c r="AJ50" s="380"/>
    </row>
    <row r="51" spans="2:36" x14ac:dyDescent="0.15">
      <c r="B51" s="105" t="s">
        <v>1065</v>
      </c>
      <c r="C51" s="41" t="s">
        <v>922</v>
      </c>
      <c r="D51" s="41" t="s">
        <v>923</v>
      </c>
      <c r="E51" s="41" t="s">
        <v>924</v>
      </c>
      <c r="F51" s="41" t="s">
        <v>925</v>
      </c>
      <c r="G51" s="41" t="s">
        <v>926</v>
      </c>
      <c r="H51" s="41" t="s">
        <v>927</v>
      </c>
      <c r="I51" s="41" t="s">
        <v>928</v>
      </c>
      <c r="J51" s="41" t="s">
        <v>929</v>
      </c>
      <c r="K51" s="41" t="s">
        <v>930</v>
      </c>
      <c r="L51" s="41" t="s">
        <v>931</v>
      </c>
      <c r="M51" s="41" t="s">
        <v>932</v>
      </c>
      <c r="N51" s="41" t="s">
        <v>933</v>
      </c>
      <c r="O51" s="41" t="s">
        <v>934</v>
      </c>
      <c r="P51" s="41" t="s">
        <v>935</v>
      </c>
      <c r="Q51" s="41" t="s">
        <v>936</v>
      </c>
      <c r="R51" s="41" t="s">
        <v>937</v>
      </c>
      <c r="S51" s="73"/>
      <c r="T51" s="105" t="s">
        <v>1065</v>
      </c>
      <c r="U51" s="41" t="s">
        <v>922</v>
      </c>
      <c r="V51" s="41" t="s">
        <v>923</v>
      </c>
      <c r="W51" s="41" t="s">
        <v>924</v>
      </c>
      <c r="X51" s="41" t="s">
        <v>925</v>
      </c>
      <c r="Y51" s="41" t="s">
        <v>926</v>
      </c>
      <c r="Z51" s="41" t="s">
        <v>927</v>
      </c>
      <c r="AA51" s="41" t="s">
        <v>928</v>
      </c>
      <c r="AB51" s="41" t="s">
        <v>929</v>
      </c>
      <c r="AC51" s="41" t="s">
        <v>930</v>
      </c>
      <c r="AD51" s="41" t="s">
        <v>931</v>
      </c>
      <c r="AE51" s="41" t="s">
        <v>932</v>
      </c>
      <c r="AF51" s="41" t="s">
        <v>933</v>
      </c>
      <c r="AG51" s="41" t="s">
        <v>934</v>
      </c>
      <c r="AH51" s="41" t="s">
        <v>935</v>
      </c>
      <c r="AI51" s="41" t="s">
        <v>936</v>
      </c>
      <c r="AJ51" s="41" t="s">
        <v>937</v>
      </c>
    </row>
    <row r="52" spans="2:36" x14ac:dyDescent="0.15">
      <c r="B52" s="106" t="s">
        <v>911</v>
      </c>
      <c r="C52" s="104">
        <f>SUMIFS('caseload data'!E:E,'caseload data'!$D:$D,"PO",'caseload data'!$C:$C,'custody caseload'!$B$50,'caseload data'!$B:$B,"custody")</f>
        <v>0</v>
      </c>
      <c r="D52" s="104">
        <f>SUMIFS('caseload data'!F:F,'caseload data'!$D:$D,"PO",'caseload data'!$C:$C,'custody caseload'!$B$50,'caseload data'!$B:$B,"custody")</f>
        <v>0</v>
      </c>
      <c r="E52" s="104">
        <f>SUMIFS('caseload data'!G:G,'caseload data'!$D:$D,"PO",'caseload data'!$C:$C,'custody caseload'!$B$50,'caseload data'!$B:$B,"custody")</f>
        <v>0</v>
      </c>
      <c r="F52" s="104">
        <f>SUMIFS('caseload data'!H:H,'caseload data'!$D:$D,"PO",'caseload data'!$C:$C,'custody caseload'!$B$50,'caseload data'!$B:$B,"custody")</f>
        <v>0</v>
      </c>
      <c r="G52" s="104">
        <f>SUMIFS('caseload data'!I:I,'caseload data'!$D:$D,"PO",'caseload data'!$C:$C,'custody caseload'!$B$50,'caseload data'!$B:$B,"custody")</f>
        <v>0</v>
      </c>
      <c r="H52" s="104">
        <f>SUMIFS('caseload data'!J:J,'caseload data'!$D:$D,"PO",'caseload data'!$C:$C,'custody caseload'!$B$50,'caseload data'!$B:$B,"custody")</f>
        <v>0</v>
      </c>
      <c r="I52" s="104">
        <f>SUMIFS('caseload data'!K:K,'caseload data'!$D:$D,"PO",'caseload data'!$C:$C,'custody caseload'!$B$50,'caseload data'!$B:$B,"custody")</f>
        <v>0</v>
      </c>
      <c r="J52" s="104">
        <f>SUMIFS('caseload data'!L:L,'caseload data'!$D:$D,"PO",'caseload data'!$C:$C,'custody caseload'!$B$50,'caseload data'!$B:$B,"custody")</f>
        <v>0</v>
      </c>
      <c r="K52" s="104">
        <f>SUMIFS('caseload data'!M:M,'caseload data'!$D:$D,"PO",'caseload data'!$C:$C,'custody caseload'!$B$50,'caseload data'!$B:$B,"custody")</f>
        <v>0</v>
      </c>
      <c r="L52" s="104">
        <f>SUMIFS('caseload data'!N:N,'caseload data'!$D:$D,"PO",'caseload data'!$C:$C,'custody caseload'!$B$50,'caseload data'!$B:$B,"custody")</f>
        <v>0</v>
      </c>
      <c r="M52" s="104">
        <f>SUMIFS('caseload data'!O:O,'caseload data'!$D:$D,"PO",'caseload data'!$C:$C,'custody caseload'!$B$50,'caseload data'!$B:$B,"custody")</f>
        <v>0</v>
      </c>
      <c r="N52" s="104">
        <f>SUMIFS('caseload data'!P:P,'caseload data'!$D:$D,"PO",'caseload data'!$C:$C,'custody caseload'!$B$50,'caseload data'!$B:$B,"custody")</f>
        <v>0</v>
      </c>
      <c r="O52" s="104">
        <f>SUMIFS('caseload data'!Q:Q,'caseload data'!$D:$D,"PO",'caseload data'!$C:$C,'custody caseload'!$B$50,'caseload data'!$B:$B,"custody")</f>
        <v>0</v>
      </c>
      <c r="P52" s="104">
        <f>SUMIFS('caseload data'!R:R,'caseload data'!$D:$D,"PO",'caseload data'!$C:$C,'custody caseload'!$B$50,'caseload data'!$B:$B,"custody")</f>
        <v>0</v>
      </c>
      <c r="Q52" s="104">
        <f>SUMIFS('caseload data'!S:S,'caseload data'!$D:$D,"PO",'caseload data'!$C:$C,'custody caseload'!$B$50,'caseload data'!$B:$B,"custody")</f>
        <v>0</v>
      </c>
      <c r="R52" s="104">
        <f>SUMIFS('caseload data'!T:T,'caseload data'!$D:$D,"PO",'caseload data'!$C:$C,'custody caseload'!$B$50,'caseload data'!$B:$B,"custody")</f>
        <v>0</v>
      </c>
      <c r="S52" s="73"/>
      <c r="T52" s="106" t="s">
        <v>911</v>
      </c>
      <c r="U52" s="104">
        <f>SUMIFS('caseload data'!E:E,'caseload data'!$D:$D,"PO",'caseload data'!$C:$C,'custody caseload'!$T$50,'caseload data'!$B:$B,"custody")</f>
        <v>0</v>
      </c>
      <c r="V52" s="104">
        <f>SUMIFS('caseload data'!F:F,'caseload data'!$D:$D,"PO",'caseload data'!$C:$C,'custody caseload'!$T$50,'caseload data'!$B:$B,"custody")</f>
        <v>0</v>
      </c>
      <c r="W52" s="104">
        <f>SUMIFS('caseload data'!G:G,'caseload data'!$D:$D,"PO",'caseload data'!$C:$C,'custody caseload'!$T$50,'caseload data'!$B:$B,"custody")</f>
        <v>0</v>
      </c>
      <c r="X52" s="104">
        <f>SUMIFS('caseload data'!H:H,'caseload data'!$D:$D,"PO",'caseload data'!$C:$C,'custody caseload'!$T$50,'caseload data'!$B:$B,"custody")</f>
        <v>0</v>
      </c>
      <c r="Y52" s="104">
        <f>SUMIFS('caseload data'!I:I,'caseload data'!$D:$D,"PO",'caseload data'!$C:$C,'custody caseload'!$T$50,'caseload data'!$B:$B,"custody")</f>
        <v>0</v>
      </c>
      <c r="Z52" s="104">
        <f>SUMIFS('caseload data'!J:J,'caseload data'!$D:$D,"PO",'caseload data'!$C:$C,'custody caseload'!$T$50,'caseload data'!$B:$B,"custody")</f>
        <v>0</v>
      </c>
      <c r="AA52" s="104">
        <f>SUMIFS('caseload data'!K:K,'caseload data'!$D:$D,"PO",'caseload data'!$C:$C,'custody caseload'!$T$50,'caseload data'!$B:$B,"custody")</f>
        <v>0</v>
      </c>
      <c r="AB52" s="104">
        <f>SUMIFS('caseload data'!L:L,'caseload data'!$D:$D,"PO",'caseload data'!$C:$C,'custody caseload'!$T$50,'caseload data'!$B:$B,"custody")</f>
        <v>0</v>
      </c>
      <c r="AC52" s="104">
        <f>SUMIFS('caseload data'!M:M,'caseload data'!$D:$D,"PO",'caseload data'!$C:$C,'custody caseload'!$T$50,'caseload data'!$B:$B,"custody")</f>
        <v>0</v>
      </c>
      <c r="AD52" s="104">
        <f>SUMIFS('caseload data'!N:N,'caseload data'!$D:$D,"PO",'caseload data'!$C:$C,'custody caseload'!$T$50,'caseload data'!$B:$B,"custody")</f>
        <v>0</v>
      </c>
      <c r="AE52" s="104">
        <f>SUMIFS('caseload data'!O:O,'caseload data'!$D:$D,"PO",'caseload data'!$C:$C,'custody caseload'!$T$50,'caseload data'!$B:$B,"custody")</f>
        <v>0</v>
      </c>
      <c r="AF52" s="104">
        <f>SUMIFS('caseload data'!P:P,'caseload data'!$D:$D,"PO",'caseload data'!$C:$C,'custody caseload'!$T$50,'caseload data'!$B:$B,"custody")</f>
        <v>0</v>
      </c>
      <c r="AG52" s="104">
        <f>SUMIFS('caseload data'!Q:Q,'caseload data'!$D:$D,"PO",'caseload data'!$C:$C,'custody caseload'!$T$50,'caseload data'!$B:$B,"custody")</f>
        <v>0</v>
      </c>
      <c r="AH52" s="104">
        <f>SUMIFS('caseload data'!R:R,'caseload data'!$D:$D,"PO",'caseload data'!$C:$C,'custody caseload'!$T$50,'caseload data'!$B:$B,"custody")</f>
        <v>0</v>
      </c>
      <c r="AI52" s="104">
        <f>SUMIFS('caseload data'!S:S,'caseload data'!$D:$D,"PO",'caseload data'!$C:$C,'custody caseload'!$T$50,'caseload data'!$B:$B,"custody")</f>
        <v>0</v>
      </c>
      <c r="AJ52" s="104">
        <f>SUMIFS('caseload data'!T:T,'caseload data'!$D:$D,"PO",'caseload data'!$C:$C,'custody caseload'!$T$50,'caseload data'!$B:$B,"custody")</f>
        <v>0</v>
      </c>
    </row>
    <row r="53" spans="2:36" ht="15" x14ac:dyDescent="0.2">
      <c r="B53" s="107" t="s">
        <v>912</v>
      </c>
      <c r="C53" s="159">
        <f>SUMIFS('caseload data'!E:E,'caseload data'!$D:$D,"PSO",'caseload data'!$C:$C,'custody caseload'!$B$50,'caseload data'!$B:$B,"custody")</f>
        <v>0</v>
      </c>
      <c r="D53" s="159">
        <f>SUMIFS('caseload data'!F:F,'caseload data'!$D:$D,"PSO",'caseload data'!$C:$C,'custody caseload'!$B$50,'caseload data'!$B:$B,"custody")</f>
        <v>0</v>
      </c>
      <c r="E53" s="159">
        <f>SUMIFS('caseload data'!G:G,'caseload data'!$D:$D,"PSO",'caseload data'!$C:$C,'custody caseload'!$B$50,'caseload data'!$B:$B,"custody")</f>
        <v>0</v>
      </c>
      <c r="F53" s="159">
        <f>SUMIFS('caseload data'!H:H,'caseload data'!$D:$D,"PSO",'caseload data'!$C:$C,'custody caseload'!$B$50,'caseload data'!$B:$B,"custody")</f>
        <v>0</v>
      </c>
      <c r="G53" s="159">
        <f>SUMIFS('caseload data'!I:I,'caseload data'!$D:$D,"PSO",'caseload data'!$C:$C,'custody caseload'!$B$50,'caseload data'!$B:$B,"custody")</f>
        <v>0</v>
      </c>
      <c r="H53" s="159">
        <f>SUMIFS('caseload data'!J:J,'caseload data'!$D:$D,"PSO",'caseload data'!$C:$C,'custody caseload'!$B$50,'caseload data'!$B:$B,"custody")</f>
        <v>0</v>
      </c>
      <c r="I53" s="159">
        <f>SUMIFS('caseload data'!K:K,'caseload data'!$D:$D,"PSO",'caseload data'!$C:$C,'custody caseload'!$B$50,'caseload data'!$B:$B,"custody")</f>
        <v>0</v>
      </c>
      <c r="J53" s="159">
        <f>SUMIFS('caseload data'!L:L,'caseload data'!$D:$D,"PSO",'caseload data'!$C:$C,'custody caseload'!$B$50,'caseload data'!$B:$B,"custody")</f>
        <v>0</v>
      </c>
      <c r="K53" s="104">
        <f>SUMIFS('caseload data'!M:M,'caseload data'!$D:$D,"PSO",'caseload data'!$C:$C,'custody caseload'!$B$50,'caseload data'!$B:$B,"custody")</f>
        <v>0</v>
      </c>
      <c r="L53" s="104">
        <f>SUMIFS('caseload data'!N:N,'caseload data'!$D:$D,"PSO",'caseload data'!$C:$C,'custody caseload'!$B$50,'caseload data'!$B:$B,"custody")</f>
        <v>0</v>
      </c>
      <c r="M53" s="104">
        <f>SUMIFS('caseload data'!O:O,'caseload data'!$D:$D,"PSO",'caseload data'!$C:$C,'custody caseload'!$B$50,'caseload data'!$B:$B,"custody")</f>
        <v>0</v>
      </c>
      <c r="N53" s="104">
        <f>SUMIFS('caseload data'!P:P,'caseload data'!$D:$D,"PSO",'caseload data'!$C:$C,'custody caseload'!$B$50,'caseload data'!$B:$B,"custody")</f>
        <v>0</v>
      </c>
      <c r="O53" s="104">
        <f>SUMIFS('caseload data'!Q:Q,'caseload data'!$D:$D,"PSO",'caseload data'!$C:$C,'custody caseload'!$B$50,'caseload data'!$B:$B,"custody")</f>
        <v>0</v>
      </c>
      <c r="P53" s="104">
        <f>SUMIFS('caseload data'!R:R,'caseload data'!$D:$D,"PSO",'caseload data'!$C:$C,'custody caseload'!$B$50,'caseload data'!$B:$B,"custody")</f>
        <v>0</v>
      </c>
      <c r="Q53" s="104">
        <f>SUMIFS('caseload data'!S:S,'caseload data'!$D:$D,"PSO",'caseload data'!$C:$C,'custody caseload'!$B$50,'caseload data'!$B:$B,"custody")</f>
        <v>0</v>
      </c>
      <c r="R53" s="104">
        <f>SUMIFS('caseload data'!T:T,'caseload data'!$D:$D,"PSO",'caseload data'!$C:$C,'custody caseload'!$B$50,'caseload data'!$B:$B,"custody")</f>
        <v>0</v>
      </c>
      <c r="S53" s="73"/>
      <c r="T53" s="107" t="s">
        <v>912</v>
      </c>
      <c r="U53" s="159">
        <f>SUMIFS('caseload data'!E:E,'caseload data'!$D:$D,"PSO",'caseload data'!$C:$C,'custody caseload'!$T$50,'caseload data'!$B:$B,"custody")</f>
        <v>0</v>
      </c>
      <c r="V53" s="159">
        <f>SUMIFS('caseload data'!F:F,'caseload data'!$D:$D,"PSO",'caseload data'!$C:$C,'custody caseload'!$T$50,'caseload data'!$B:$B,"custody")</f>
        <v>0</v>
      </c>
      <c r="W53" s="159">
        <f>SUMIFS('caseload data'!G:G,'caseload data'!$D:$D,"PSO",'caseload data'!$C:$C,'custody caseload'!$T$50,'caseload data'!$B:$B,"custody")</f>
        <v>0</v>
      </c>
      <c r="X53" s="159">
        <f>SUMIFS('caseload data'!H:H,'caseload data'!$D:$D,"PSO",'caseload data'!$C:$C,'custody caseload'!$T$50,'caseload data'!$B:$B,"custody")</f>
        <v>0</v>
      </c>
      <c r="Y53" s="159">
        <f>SUMIFS('caseload data'!I:I,'caseload data'!$D:$D,"PSO",'caseload data'!$C:$C,'custody caseload'!$T$50,'caseload data'!$B:$B,"custody")</f>
        <v>0</v>
      </c>
      <c r="Z53" s="159">
        <f>SUMIFS('caseload data'!J:J,'caseload data'!$D:$D,"PSO",'caseload data'!$C:$C,'custody caseload'!$T$50,'caseload data'!$B:$B,"custody")</f>
        <v>0</v>
      </c>
      <c r="AA53" s="159">
        <f>SUMIFS('caseload data'!K:K,'caseload data'!$D:$D,"PSO",'caseload data'!$C:$C,'custody caseload'!$T$50,'caseload data'!$B:$B,"custody")</f>
        <v>0</v>
      </c>
      <c r="AB53" s="159">
        <f>SUMIFS('caseload data'!L:L,'caseload data'!$D:$D,"PSO",'caseload data'!$C:$C,'custody caseload'!$T$50,'caseload data'!$B:$B,"custody")</f>
        <v>0</v>
      </c>
      <c r="AC53" s="104">
        <f>SUMIFS('caseload data'!M:M,'caseload data'!$D:$D,"PSO",'caseload data'!$C:$C,'custody caseload'!$T$50,'caseload data'!$B:$B,"custody")</f>
        <v>0</v>
      </c>
      <c r="AD53" s="104">
        <f>SUMIFS('caseload data'!N:N,'caseload data'!$D:$D,"PSO",'caseload data'!$C:$C,'custody caseload'!$T$50,'caseload data'!$B:$B,"custody")</f>
        <v>0</v>
      </c>
      <c r="AE53" s="104">
        <f>SUMIFS('caseload data'!O:O,'caseload data'!$D:$D,"PSO",'caseload data'!$C:$C,'custody caseload'!$T$50,'caseload data'!$B:$B,"custody")</f>
        <v>0</v>
      </c>
      <c r="AF53" s="104">
        <f>SUMIFS('caseload data'!P:P,'caseload data'!$D:$D,"PSO",'caseload data'!$C:$C,'custody caseload'!$T$50,'caseload data'!$B:$B,"custody")</f>
        <v>0</v>
      </c>
      <c r="AG53" s="104">
        <f>SUMIFS('caseload data'!Q:Q,'caseload data'!$D:$D,"PSO",'caseload data'!$C:$C,'custody caseload'!$T$50,'caseload data'!$B:$B,"custody")</f>
        <v>0</v>
      </c>
      <c r="AH53" s="104">
        <f>SUMIFS('caseload data'!R:R,'caseload data'!$D:$D,"PSO",'caseload data'!$C:$C,'custody caseload'!$T$50,'caseload data'!$B:$B,"custody")</f>
        <v>0</v>
      </c>
      <c r="AI53" s="104">
        <f>SUMIFS('caseload data'!S:S,'caseload data'!$D:$D,"PSO",'caseload data'!$C:$C,'custody caseload'!$T$50,'caseload data'!$B:$B,"custody")</f>
        <v>0</v>
      </c>
      <c r="AJ53" s="104">
        <f>SUMIFS('caseload data'!T:T,'caseload data'!$D:$D,"PSO",'caseload data'!$C:$C,'custody caseload'!$T$50,'caseload data'!$B:$B,"custody")</f>
        <v>0</v>
      </c>
    </row>
    <row r="54" spans="2:36" ht="15" x14ac:dyDescent="0.2">
      <c r="B54" s="107" t="s">
        <v>913</v>
      </c>
      <c r="C54" s="159">
        <f>SUMIFS('caseload data'!E:E,'caseload data'!$D:$D,"TPO",'caseload data'!$C:$C,'custody caseload'!$B$50,'caseload data'!$B:$B,"custody")</f>
        <v>0</v>
      </c>
      <c r="D54" s="159">
        <f>SUMIFS('caseload data'!F:F,'caseload data'!$D:$D,"TPO",'caseload data'!$C:$C,'custody caseload'!$B$50,'caseload data'!$B:$B,"custody")</f>
        <v>0</v>
      </c>
      <c r="E54" s="159">
        <f>SUMIFS('caseload data'!G:G,'caseload data'!$D:$D,"TPO",'caseload data'!$C:$C,'custody caseload'!$B$50,'caseload data'!$B:$B,"custody")</f>
        <v>0</v>
      </c>
      <c r="F54" s="159">
        <f>SUMIFS('caseload data'!H:H,'caseload data'!$D:$D,"TPO",'caseload data'!$C:$C,'custody caseload'!$B$50,'caseload data'!$B:$B,"custody")</f>
        <v>0</v>
      </c>
      <c r="G54" s="159">
        <f>SUMIFS('caseload data'!I:I,'caseload data'!$D:$D,"TPO",'caseload data'!$C:$C,'custody caseload'!$B$50,'caseload data'!$B:$B,"custody")</f>
        <v>0</v>
      </c>
      <c r="H54" s="159">
        <f>SUMIFS('caseload data'!J:J,'caseload data'!$D:$D,"TPO",'caseload data'!$C:$C,'custody caseload'!$B$50,'caseload data'!$B:$B,"custody")</f>
        <v>0</v>
      </c>
      <c r="I54" s="159">
        <f>SUMIFS('caseload data'!K:K,'caseload data'!$D:$D,"TPO",'caseload data'!$C:$C,'custody caseload'!$B$50,'caseload data'!$B:$B,"custody")</f>
        <v>0</v>
      </c>
      <c r="J54" s="159">
        <f>SUMIFS('caseload data'!L:L,'caseload data'!$D:$D,"TPO",'caseload data'!$C:$C,'custody caseload'!$B$50,'caseload data'!$B:$B,"custody")</f>
        <v>0</v>
      </c>
      <c r="K54" s="104">
        <f>SUMIFS('caseload data'!M:M,'caseload data'!$D:$D,"TPO",'caseload data'!$C:$C,'custody caseload'!$B$50,'caseload data'!$B:$B,"custody")</f>
        <v>0</v>
      </c>
      <c r="L54" s="104">
        <f>SUMIFS('caseload data'!N:N,'caseload data'!$D:$D,"TPO",'caseload data'!$C:$C,'custody caseload'!$B$50,'caseload data'!$B:$B,"custody")</f>
        <v>0</v>
      </c>
      <c r="M54" s="104">
        <f>SUMIFS('caseload data'!O:O,'caseload data'!$D:$D,"TPO",'caseload data'!$C:$C,'custody caseload'!$B$50,'caseload data'!$B:$B,"custody")</f>
        <v>0</v>
      </c>
      <c r="N54" s="104">
        <f>SUMIFS('caseload data'!P:P,'caseload data'!$D:$D,"TPO",'caseload data'!$C:$C,'custody caseload'!$B$50,'caseload data'!$B:$B,"custody")</f>
        <v>0</v>
      </c>
      <c r="O54" s="104">
        <f>SUMIFS('caseload data'!Q:Q,'caseload data'!$D:$D,"TPO",'caseload data'!$C:$C,'custody caseload'!$B$50,'caseload data'!$B:$B,"custody")</f>
        <v>0</v>
      </c>
      <c r="P54" s="104">
        <f>SUMIFS('caseload data'!R:R,'caseload data'!$D:$D,"TPO",'caseload data'!$C:$C,'custody caseload'!$B$50,'caseload data'!$B:$B,"custody")</f>
        <v>0</v>
      </c>
      <c r="Q54" s="104">
        <f>SUMIFS('caseload data'!S:S,'caseload data'!$D:$D,"TPO",'caseload data'!$C:$C,'custody caseload'!$B$50,'caseload data'!$B:$B,"custody")</f>
        <v>0</v>
      </c>
      <c r="R54" s="104">
        <f>SUMIFS('caseload data'!T:T,'caseload data'!$D:$D,"TPO",'caseload data'!$C:$C,'custody caseload'!$B$50,'caseload data'!$B:$B,"custody")</f>
        <v>0</v>
      </c>
      <c r="S54" s="73"/>
      <c r="T54" s="107" t="s">
        <v>913</v>
      </c>
      <c r="U54" s="159">
        <f>SUMIFS('caseload data'!E:E,'caseload data'!$D:$D,"TPO",'caseload data'!$C:$C,'custody caseload'!$T$50,'caseload data'!$B:$B,"custody")</f>
        <v>0</v>
      </c>
      <c r="V54" s="159">
        <f>SUMIFS('caseload data'!F:F,'caseload data'!$D:$D,"TPO",'caseload data'!$C:$C,'custody caseload'!$T$50,'caseload data'!$B:$B,"custody")</f>
        <v>0</v>
      </c>
      <c r="W54" s="159">
        <f>SUMIFS('caseload data'!G:G,'caseload data'!$D:$D,"TPO",'caseload data'!$C:$C,'custody caseload'!$T$50,'caseload data'!$B:$B,"custody")</f>
        <v>0</v>
      </c>
      <c r="X54" s="159">
        <f>SUMIFS('caseload data'!H:H,'caseload data'!$D:$D,"TPO",'caseload data'!$C:$C,'custody caseload'!$T$50,'caseload data'!$B:$B,"custody")</f>
        <v>0</v>
      </c>
      <c r="Y54" s="159">
        <f>SUMIFS('caseload data'!I:I,'caseload data'!$D:$D,"TPO",'caseload data'!$C:$C,'custody caseload'!$T$50,'caseload data'!$B:$B,"custody")</f>
        <v>0</v>
      </c>
      <c r="Z54" s="159">
        <f>SUMIFS('caseload data'!J:J,'caseload data'!$D:$D,"TPO",'caseload data'!$C:$C,'custody caseload'!$T$50,'caseload data'!$B:$B,"custody")</f>
        <v>0</v>
      </c>
      <c r="AA54" s="159">
        <f>SUMIFS('caseload data'!K:K,'caseload data'!$D:$D,"TPO",'caseload data'!$C:$C,'custody caseload'!$T$50,'caseload data'!$B:$B,"custody")</f>
        <v>0</v>
      </c>
      <c r="AB54" s="159">
        <f>SUMIFS('caseload data'!L:L,'caseload data'!$D:$D,"TPO",'caseload data'!$C:$C,'custody caseload'!$T$50,'caseload data'!$B:$B,"custody")</f>
        <v>0</v>
      </c>
      <c r="AC54" s="104">
        <f>SUMIFS('caseload data'!M:M,'caseload data'!$D:$D,"TPO",'caseload data'!$C:$C,'custody caseload'!$T$50,'caseload data'!$B:$B,"custody")</f>
        <v>0</v>
      </c>
      <c r="AD54" s="104">
        <f>SUMIFS('caseload data'!N:N,'caseload data'!$D:$D,"TPO",'caseload data'!$C:$C,'custody caseload'!$T$50,'caseload data'!$B:$B,"custody")</f>
        <v>0</v>
      </c>
      <c r="AE54" s="104">
        <f>SUMIFS('caseload data'!O:O,'caseload data'!$D:$D,"TPO",'caseload data'!$C:$C,'custody caseload'!$T$50,'caseload data'!$B:$B,"custody")</f>
        <v>0</v>
      </c>
      <c r="AF54" s="104">
        <f>SUMIFS('caseload data'!P:P,'caseload data'!$D:$D,"TPO",'caseload data'!$C:$C,'custody caseload'!$T$50,'caseload data'!$B:$B,"custody")</f>
        <v>0</v>
      </c>
      <c r="AG54" s="104">
        <f>SUMIFS('caseload data'!Q:Q,'caseload data'!$D:$D,"TPO",'caseload data'!$C:$C,'custody caseload'!$T$50,'caseload data'!$B:$B,"custody")</f>
        <v>0</v>
      </c>
      <c r="AH54" s="104">
        <f>SUMIFS('caseload data'!R:R,'caseload data'!$D:$D,"TPO",'caseload data'!$C:$C,'custody caseload'!$T$50,'caseload data'!$B:$B,"custody")</f>
        <v>0</v>
      </c>
      <c r="AI54" s="104">
        <f>SUMIFS('caseload data'!S:S,'caseload data'!$D:$D,"TPO",'caseload data'!$C:$C,'custody caseload'!$T$50,'caseload data'!$B:$B,"custody")</f>
        <v>0</v>
      </c>
      <c r="AJ54" s="104">
        <f>SUMIFS('caseload data'!T:T,'caseload data'!$D:$D,"TPO",'caseload data'!$C:$C,'custody caseload'!$T$50,'caseload data'!$B:$B,"custody")</f>
        <v>0</v>
      </c>
    </row>
    <row r="55" spans="2:36" x14ac:dyDescent="0.15">
      <c r="B55" s="108" t="s">
        <v>914</v>
      </c>
      <c r="C55" s="104">
        <f>SUMIFS('caseload data'!E:E,'caseload data'!$D:$D,"SPO",'caseload data'!$C:$C,'custody caseload'!$B$50,'caseload data'!$B:$B,"custody")</f>
        <v>0</v>
      </c>
      <c r="D55" s="104">
        <f>SUMIFS('caseload data'!F:F,'caseload data'!$D:$D,"SPO",'caseload data'!$C:$C,'custody caseload'!$B$50,'caseload data'!$B:$B,"custody")</f>
        <v>0</v>
      </c>
      <c r="E55" s="104">
        <f>SUMIFS('caseload data'!G:G,'caseload data'!$D:$D,"SPO",'caseload data'!$C:$C,'custody caseload'!$B$50,'caseload data'!$B:$B,"custody")</f>
        <v>0</v>
      </c>
      <c r="F55" s="104">
        <f>SUMIFS('caseload data'!H:H,'caseload data'!$D:$D,"SPO",'caseload data'!$C:$C,'custody caseload'!$B$50,'caseload data'!$B:$B,"custody")</f>
        <v>0</v>
      </c>
      <c r="G55" s="104">
        <f>SUMIFS('caseload data'!I:I,'caseload data'!$D:$D,"SPO",'caseload data'!$C:$C,'custody caseload'!$B$50,'caseload data'!$B:$B,"custody")</f>
        <v>0</v>
      </c>
      <c r="H55" s="104">
        <f>SUMIFS('caseload data'!J:J,'caseload data'!$D:$D,"SPO",'caseload data'!$C:$C,'custody caseload'!$B$50,'caseload data'!$B:$B,"custody")</f>
        <v>0</v>
      </c>
      <c r="I55" s="104">
        <f>SUMIFS('caseload data'!K:K,'caseload data'!$D:$D,"SPO",'caseload data'!$C:$C,'custody caseload'!$B$50,'caseload data'!$B:$B,"custody")</f>
        <v>0</v>
      </c>
      <c r="J55" s="104">
        <f>SUMIFS('caseload data'!L:L,'caseload data'!$D:$D,"SPO",'caseload data'!$C:$C,'custody caseload'!$B$50,'caseload data'!$B:$B,"custody")</f>
        <v>0</v>
      </c>
      <c r="K55" s="104">
        <f>SUMIFS('caseload data'!M:M,'caseload data'!$D:$D,"SPO",'caseload data'!$C:$C,'custody caseload'!$B$50,'caseload data'!$B:$B,"custody")</f>
        <v>0</v>
      </c>
      <c r="L55" s="104">
        <f>SUMIFS('caseload data'!N:N,'caseload data'!$D:$D,"SPO",'caseload data'!$C:$C,'custody caseload'!$B$50,'caseload data'!$B:$B,"custody")</f>
        <v>0</v>
      </c>
      <c r="M55" s="104">
        <f>SUMIFS('caseload data'!O:O,'caseload data'!$D:$D,"SPO",'caseload data'!$C:$C,'custody caseload'!$B$50,'caseload data'!$B:$B,"custody")</f>
        <v>0</v>
      </c>
      <c r="N55" s="104">
        <f>SUMIFS('caseload data'!P:P,'caseload data'!$D:$D,"SPO",'caseload data'!$C:$C,'custody caseload'!$B$50,'caseload data'!$B:$B,"custody")</f>
        <v>0</v>
      </c>
      <c r="O55" s="104">
        <f>SUMIFS('caseload data'!Q:Q,'caseload data'!$D:$D,"SPO",'caseload data'!$C:$C,'custody caseload'!$B$50,'caseload data'!$B:$B,"custody")</f>
        <v>0</v>
      </c>
      <c r="P55" s="104">
        <f>SUMIFS('caseload data'!R:R,'caseload data'!$D:$D,"SPO",'caseload data'!$C:$C,'custody caseload'!$B$50,'caseload data'!$B:$B,"custody")</f>
        <v>0</v>
      </c>
      <c r="Q55" s="104">
        <f>SUMIFS('caseload data'!S:S,'caseload data'!$D:$D,"SPO",'caseload data'!$C:$C,'custody caseload'!$B$50,'caseload data'!$B:$B,"custody")</f>
        <v>0</v>
      </c>
      <c r="R55" s="104">
        <f>SUMIFS('caseload data'!T:T,'caseload data'!$D:$D,"SPO",'caseload data'!$C:$C,'custody caseload'!$B$50,'caseload data'!$B:$B,"custody")</f>
        <v>0</v>
      </c>
      <c r="S55" s="73"/>
      <c r="T55" s="108" t="s">
        <v>914</v>
      </c>
      <c r="U55" s="104">
        <f>SUMIFS('caseload data'!E:E,'caseload data'!$D:$D,"SPO",'caseload data'!$C:$C,'custody caseload'!$T$50,'caseload data'!$B:$B,"custody")</f>
        <v>0</v>
      </c>
      <c r="V55" s="104">
        <f>SUMIFS('caseload data'!F:F,'caseload data'!$D:$D,"SPO",'caseload data'!$C:$C,'custody caseload'!$T$50,'caseload data'!$B:$B,"custody")</f>
        <v>0</v>
      </c>
      <c r="W55" s="104">
        <f>SUMIFS('caseload data'!G:G,'caseload data'!$D:$D,"SPO",'caseload data'!$C:$C,'custody caseload'!$T$50,'caseload data'!$B:$B,"custody")</f>
        <v>0</v>
      </c>
      <c r="X55" s="104">
        <f>SUMIFS('caseload data'!H:H,'caseload data'!$D:$D,"SPO",'caseload data'!$C:$C,'custody caseload'!$T$50,'caseload data'!$B:$B,"custody")</f>
        <v>0</v>
      </c>
      <c r="Y55" s="104">
        <f>SUMIFS('caseload data'!I:I,'caseload data'!$D:$D,"SPO",'caseload data'!$C:$C,'custody caseload'!$T$50,'caseload data'!$B:$B,"custody")</f>
        <v>0</v>
      </c>
      <c r="Z55" s="104">
        <f>SUMIFS('caseload data'!J:J,'caseload data'!$D:$D,"SPO",'caseload data'!$C:$C,'custody caseload'!$T$50,'caseload data'!$B:$B,"custody")</f>
        <v>0</v>
      </c>
      <c r="AA55" s="104">
        <f>SUMIFS('caseload data'!K:K,'caseload data'!$D:$D,"SPO",'caseload data'!$C:$C,'custody caseload'!$T$50,'caseload data'!$B:$B,"custody")</f>
        <v>0</v>
      </c>
      <c r="AB55" s="104">
        <f>SUMIFS('caseload data'!L:L,'caseload data'!$D:$D,"SPO",'caseload data'!$C:$C,'custody caseload'!$T$50,'caseload data'!$B:$B,"custody")</f>
        <v>0</v>
      </c>
      <c r="AC55" s="104">
        <f>SUMIFS('caseload data'!M:M,'caseload data'!$D:$D,"SPO",'caseload data'!$C:$C,'custody caseload'!$T$50,'caseload data'!$B:$B,"custody")</f>
        <v>0</v>
      </c>
      <c r="AD55" s="104">
        <f>SUMIFS('caseload data'!N:N,'caseload data'!$D:$D,"SPO",'caseload data'!$C:$C,'custody caseload'!$T$50,'caseload data'!$B:$B,"custody")</f>
        <v>0</v>
      </c>
      <c r="AE55" s="104">
        <f>SUMIFS('caseload data'!O:O,'caseload data'!$D:$D,"SPO",'caseload data'!$C:$C,'custody caseload'!$T$50,'caseload data'!$B:$B,"custody")</f>
        <v>0</v>
      </c>
      <c r="AF55" s="104">
        <f>SUMIFS('caseload data'!P:P,'caseload data'!$D:$D,"SPO",'caseload data'!$C:$C,'custody caseload'!$T$50,'caseload data'!$B:$B,"custody")</f>
        <v>0</v>
      </c>
      <c r="AG55" s="104">
        <f>SUMIFS('caseload data'!Q:Q,'caseload data'!$D:$D,"SPO",'caseload data'!$C:$C,'custody caseload'!$T$50,'caseload data'!$B:$B,"custody")</f>
        <v>0</v>
      </c>
      <c r="AH55" s="104">
        <f>SUMIFS('caseload data'!R:R,'caseload data'!$D:$D,"SPO",'caseload data'!$C:$C,'custody caseload'!$T$50,'caseload data'!$B:$B,"custody")</f>
        <v>0</v>
      </c>
      <c r="AI55" s="104">
        <f>SUMIFS('caseload data'!S:S,'caseload data'!$D:$D,"SPO",'caseload data'!$C:$C,'custody caseload'!$T$50,'caseload data'!$B:$B,"custody")</f>
        <v>0</v>
      </c>
      <c r="AJ55" s="104">
        <f>SUMIFS('caseload data'!T:T,'caseload data'!$D:$D,"SPO",'caseload data'!$C:$C,'custody caseload'!$T$50,'caseload data'!$B:$B,"custody")</f>
        <v>0</v>
      </c>
    </row>
    <row r="56" spans="2:36" x14ac:dyDescent="0.15">
      <c r="B56" s="101"/>
      <c r="C56" s="73"/>
      <c r="D56" s="73"/>
      <c r="E56" s="73"/>
      <c r="F56" s="73"/>
      <c r="G56" s="73"/>
      <c r="H56" s="73"/>
      <c r="I56" s="73"/>
      <c r="J56" s="73"/>
      <c r="K56" s="73"/>
      <c r="L56" s="73"/>
      <c r="M56" s="73"/>
      <c r="N56" s="73"/>
      <c r="O56" s="73"/>
      <c r="P56" s="73"/>
      <c r="Q56" s="73"/>
      <c r="R56" s="73"/>
      <c r="S56" s="73"/>
      <c r="T56" s="101"/>
      <c r="U56" s="73"/>
      <c r="V56" s="73"/>
      <c r="W56" s="73"/>
      <c r="X56" s="73"/>
      <c r="Y56" s="73"/>
      <c r="Z56" s="73"/>
      <c r="AA56" s="73"/>
      <c r="AB56" s="73"/>
      <c r="AC56" s="73"/>
      <c r="AD56" s="73"/>
      <c r="AE56" s="73"/>
      <c r="AF56" s="73"/>
      <c r="AG56" s="73"/>
      <c r="AH56" s="73"/>
      <c r="AI56" s="73"/>
      <c r="AJ56" s="73"/>
    </row>
    <row r="57" spans="2:36" ht="28.5" customHeight="1" x14ac:dyDescent="0.15">
      <c r="B57" s="156" t="str">
        <f>HLOOKUP($B$5,Region_Table,16,0)</f>
        <v>Lambeth - N07</v>
      </c>
      <c r="C57" s="367" t="s">
        <v>1163</v>
      </c>
      <c r="D57" s="368"/>
      <c r="E57" s="368"/>
      <c r="F57" s="368"/>
      <c r="G57" s="368"/>
      <c r="H57" s="368"/>
      <c r="I57" s="368"/>
      <c r="J57" s="368"/>
      <c r="K57" s="368"/>
      <c r="L57" s="368"/>
      <c r="M57" s="377"/>
      <c r="N57" s="377"/>
      <c r="O57" s="378"/>
      <c r="P57" s="371">
        <f>SUMIFS('caseload data'!V:V,'caseload data'!B:B,"custody",'caseload data'!$C:$C,'custody caseload'!B57)</f>
        <v>0</v>
      </c>
      <c r="Q57" s="379"/>
      <c r="R57" s="380"/>
      <c r="S57" s="73"/>
      <c r="T57" s="156" t="str">
        <f>HLOOKUP($B$5,Region_Table,17,0)</f>
        <v>Lewisham and Bromley</v>
      </c>
      <c r="U57" s="367" t="s">
        <v>1163</v>
      </c>
      <c r="V57" s="368"/>
      <c r="W57" s="368"/>
      <c r="X57" s="368"/>
      <c r="Y57" s="368"/>
      <c r="Z57" s="368"/>
      <c r="AA57" s="368"/>
      <c r="AB57" s="368"/>
      <c r="AC57" s="368"/>
      <c r="AD57" s="368"/>
      <c r="AE57" s="377"/>
      <c r="AF57" s="377"/>
      <c r="AG57" s="378"/>
      <c r="AH57" s="371">
        <f>SUMIFS('caseload data'!V:V,'caseload data'!B:B,"custody",'caseload data'!$C:$C,'custody caseload'!T57)</f>
        <v>0</v>
      </c>
      <c r="AI57" s="379"/>
      <c r="AJ57" s="380"/>
    </row>
    <row r="58" spans="2:36" x14ac:dyDescent="0.15">
      <c r="B58" s="105" t="s">
        <v>1065</v>
      </c>
      <c r="C58" s="41" t="s">
        <v>922</v>
      </c>
      <c r="D58" s="41" t="s">
        <v>923</v>
      </c>
      <c r="E58" s="41" t="s">
        <v>924</v>
      </c>
      <c r="F58" s="41" t="s">
        <v>925</v>
      </c>
      <c r="G58" s="41" t="s">
        <v>926</v>
      </c>
      <c r="H58" s="41" t="s">
        <v>927</v>
      </c>
      <c r="I58" s="41" t="s">
        <v>928</v>
      </c>
      <c r="J58" s="41" t="s">
        <v>929</v>
      </c>
      <c r="K58" s="41" t="s">
        <v>930</v>
      </c>
      <c r="L58" s="41" t="s">
        <v>931</v>
      </c>
      <c r="M58" s="41" t="s">
        <v>932</v>
      </c>
      <c r="N58" s="41" t="s">
        <v>933</v>
      </c>
      <c r="O58" s="41" t="s">
        <v>934</v>
      </c>
      <c r="P58" s="41" t="s">
        <v>935</v>
      </c>
      <c r="Q58" s="41" t="s">
        <v>936</v>
      </c>
      <c r="R58" s="41" t="s">
        <v>937</v>
      </c>
      <c r="S58" s="73"/>
      <c r="T58" s="105" t="s">
        <v>1065</v>
      </c>
      <c r="U58" s="41" t="s">
        <v>922</v>
      </c>
      <c r="V58" s="41" t="s">
        <v>923</v>
      </c>
      <c r="W58" s="41" t="s">
        <v>924</v>
      </c>
      <c r="X58" s="41" t="s">
        <v>925</v>
      </c>
      <c r="Y58" s="41" t="s">
        <v>926</v>
      </c>
      <c r="Z58" s="41" t="s">
        <v>927</v>
      </c>
      <c r="AA58" s="41" t="s">
        <v>928</v>
      </c>
      <c r="AB58" s="41" t="s">
        <v>929</v>
      </c>
      <c r="AC58" s="41" t="s">
        <v>930</v>
      </c>
      <c r="AD58" s="41" t="s">
        <v>931</v>
      </c>
      <c r="AE58" s="41" t="s">
        <v>932</v>
      </c>
      <c r="AF58" s="41" t="s">
        <v>933</v>
      </c>
      <c r="AG58" s="41" t="s">
        <v>934</v>
      </c>
      <c r="AH58" s="41" t="s">
        <v>935</v>
      </c>
      <c r="AI58" s="41" t="s">
        <v>936</v>
      </c>
      <c r="AJ58" s="41" t="s">
        <v>937</v>
      </c>
    </row>
    <row r="59" spans="2:36" x14ac:dyDescent="0.15">
      <c r="B59" s="106" t="s">
        <v>911</v>
      </c>
      <c r="C59" s="104">
        <f>SUMIFS('caseload data'!E:E,'caseload data'!$D:$D,"PO",'caseload data'!$C:$C,'custody caseload'!$B$57,'caseload data'!$B:$B,"custody")</f>
        <v>0</v>
      </c>
      <c r="D59" s="104">
        <f>SUMIFS('caseload data'!F:F,'caseload data'!$D:$D,"PO",'caseload data'!$C:$C,'custody caseload'!$B$57,'caseload data'!$B:$B,"custody")</f>
        <v>0</v>
      </c>
      <c r="E59" s="104">
        <f>SUMIFS('caseload data'!G:G,'caseload data'!$D:$D,"PO",'caseload data'!$C:$C,'custody caseload'!$B$57,'caseload data'!$B:$B,"custody")</f>
        <v>0</v>
      </c>
      <c r="F59" s="104">
        <f>SUMIFS('caseload data'!H:H,'caseload data'!$D:$D,"PO",'caseload data'!$C:$C,'custody caseload'!$B$57,'caseload data'!$B:$B,"custody")</f>
        <v>0</v>
      </c>
      <c r="G59" s="104">
        <f>SUMIFS('caseload data'!I:I,'caseload data'!$D:$D,"PO",'caseload data'!$C:$C,'custody caseload'!$B$57,'caseload data'!$B:$B,"custody")</f>
        <v>0</v>
      </c>
      <c r="H59" s="104">
        <f>SUMIFS('caseload data'!J:J,'caseload data'!$D:$D,"PO",'caseload data'!$C:$C,'custody caseload'!$B$57,'caseload data'!$B:$B,"custody")</f>
        <v>0</v>
      </c>
      <c r="I59" s="104">
        <f>SUMIFS('caseload data'!K:K,'caseload data'!$D:$D,"PO",'caseload data'!$C:$C,'custody caseload'!$B$57,'caseload data'!$B:$B,"custody")</f>
        <v>0</v>
      </c>
      <c r="J59" s="104">
        <f>SUMIFS('caseload data'!L:L,'caseload data'!$D:$D,"PO",'caseload data'!$C:$C,'custody caseload'!$B$57,'caseload data'!$B:$B,"custody")</f>
        <v>0</v>
      </c>
      <c r="K59" s="104">
        <f>SUMIFS('caseload data'!M:M,'caseload data'!$D:$D,"PO",'caseload data'!$C:$C,'custody caseload'!$B$57,'caseload data'!$B:$B,"custody")</f>
        <v>0</v>
      </c>
      <c r="L59" s="104">
        <f>SUMIFS('caseload data'!N:N,'caseload data'!$D:$D,"PO",'caseload data'!$C:$C,'custody caseload'!$B$57,'caseload data'!$B:$B,"custody")</f>
        <v>0</v>
      </c>
      <c r="M59" s="104">
        <f>SUMIFS('caseload data'!O:O,'caseload data'!$D:$D,"PO",'caseload data'!$C:$C,'custody caseload'!$B$57,'caseload data'!$B:$B,"custody")</f>
        <v>0</v>
      </c>
      <c r="N59" s="104">
        <f>SUMIFS('caseload data'!P:P,'caseload data'!$D:$D,"PO",'caseload data'!$C:$C,'custody caseload'!$B$57,'caseload data'!$B:$B,"custody")</f>
        <v>0</v>
      </c>
      <c r="O59" s="104">
        <f>SUMIFS('caseload data'!Q:Q,'caseload data'!$D:$D,"PO",'caseload data'!$C:$C,'custody caseload'!$B$57,'caseload data'!$B:$B,"custody")</f>
        <v>0</v>
      </c>
      <c r="P59" s="104">
        <f>SUMIFS('caseload data'!R:R,'caseload data'!$D:$D,"PO",'caseload data'!$C:$C,'custody caseload'!$B$57,'caseload data'!$B:$B,"custody")</f>
        <v>0</v>
      </c>
      <c r="Q59" s="104">
        <f>SUMIFS('caseload data'!S:S,'caseload data'!$D:$D,"PO",'caseload data'!$C:$C,'custody caseload'!$B$57,'caseload data'!$B:$B,"custody")</f>
        <v>0</v>
      </c>
      <c r="R59" s="104">
        <f>SUMIFS('caseload data'!T:T,'caseload data'!$D:$D,"PO",'caseload data'!$C:$C,'custody caseload'!$B$57,'caseload data'!$B:$B,"custody")</f>
        <v>0</v>
      </c>
      <c r="S59" s="73"/>
      <c r="T59" s="106" t="s">
        <v>911</v>
      </c>
      <c r="U59" s="104">
        <f>SUMIFS('caseload data'!E:E,'caseload data'!$D:$D,"PO",'caseload data'!$C:$C,'custody caseload'!$T$57,'caseload data'!$B:$B,"custody")</f>
        <v>0</v>
      </c>
      <c r="V59" s="104">
        <f>SUMIFS('caseload data'!F:F,'caseload data'!$D:$D,"PO",'caseload data'!$C:$C,'custody caseload'!$T$57,'caseload data'!$B:$B,"custody")</f>
        <v>0</v>
      </c>
      <c r="W59" s="104">
        <f>SUMIFS('caseload data'!G:G,'caseload data'!$D:$D,"PO",'caseload data'!$C:$C,'custody caseload'!$T$57,'caseload data'!$B:$B,"custody")</f>
        <v>0</v>
      </c>
      <c r="X59" s="104">
        <f>SUMIFS('caseload data'!H:H,'caseload data'!$D:$D,"PO",'caseload data'!$C:$C,'custody caseload'!$T$57,'caseload data'!$B:$B,"custody")</f>
        <v>0</v>
      </c>
      <c r="Y59" s="104">
        <f>SUMIFS('caseload data'!I:I,'caseload data'!$D:$D,"PO",'caseload data'!$C:$C,'custody caseload'!$T$57,'caseload data'!$B:$B,"custody")</f>
        <v>0</v>
      </c>
      <c r="Z59" s="104">
        <f>SUMIFS('caseload data'!J:J,'caseload data'!$D:$D,"PO",'caseload data'!$C:$C,'custody caseload'!$T$57,'caseload data'!$B:$B,"custody")</f>
        <v>0</v>
      </c>
      <c r="AA59" s="104">
        <f>SUMIFS('caseload data'!K:K,'caseload data'!$D:$D,"PO",'caseload data'!$C:$C,'custody caseload'!$T$57,'caseload data'!$B:$B,"custody")</f>
        <v>0</v>
      </c>
      <c r="AB59" s="104">
        <f>SUMIFS('caseload data'!L:L,'caseload data'!$D:$D,"PO",'caseload data'!$C:$C,'custody caseload'!$T$57,'caseload data'!$B:$B,"custody")</f>
        <v>0</v>
      </c>
      <c r="AC59" s="104">
        <f>SUMIFS('caseload data'!M:M,'caseload data'!$D:$D,"PO",'caseload data'!$C:$C,'custody caseload'!$T$57,'caseload data'!$B:$B,"custody")</f>
        <v>0</v>
      </c>
      <c r="AD59" s="104">
        <f>SUMIFS('caseload data'!N:N,'caseload data'!$D:$D,"PO",'caseload data'!$C:$C,'custody caseload'!$T$57,'caseload data'!$B:$B,"custody")</f>
        <v>0</v>
      </c>
      <c r="AE59" s="104">
        <f>SUMIFS('caseload data'!O:O,'caseload data'!$D:$D,"PO",'caseload data'!$C:$C,'custody caseload'!$T$57,'caseload data'!$B:$B,"custody")</f>
        <v>0</v>
      </c>
      <c r="AF59" s="104">
        <f>SUMIFS('caseload data'!P:P,'caseload data'!$D:$D,"PO",'caseload data'!$C:$C,'custody caseload'!$T$57,'caseload data'!$B:$B,"custody")</f>
        <v>0</v>
      </c>
      <c r="AG59" s="104">
        <f>SUMIFS('caseload data'!Q:Q,'caseload data'!$D:$D,"PO",'caseload data'!$C:$C,'custody caseload'!$T$57,'caseload data'!$B:$B,"custody")</f>
        <v>0</v>
      </c>
      <c r="AH59" s="104">
        <f>SUMIFS('caseload data'!R:R,'caseload data'!$D:$D,"PO",'caseload data'!$C:$C,'custody caseload'!$T$57,'caseload data'!$B:$B,"custody")</f>
        <v>0</v>
      </c>
      <c r="AI59" s="104">
        <f>SUMIFS('caseload data'!S:S,'caseload data'!$D:$D,"PO",'caseload data'!$C:$C,'custody caseload'!$T$57,'caseload data'!$B:$B,"custody")</f>
        <v>0</v>
      </c>
      <c r="AJ59" s="104">
        <f>SUMIFS('caseload data'!T:T,'caseload data'!$D:$D,"PO",'caseload data'!$C:$C,'custody caseload'!$T$57,'caseload data'!$B:$B,"custody")</f>
        <v>0</v>
      </c>
    </row>
    <row r="60" spans="2:36" ht="15" x14ac:dyDescent="0.2">
      <c r="B60" s="107" t="s">
        <v>912</v>
      </c>
      <c r="C60" s="159">
        <f>SUMIFS('caseload data'!E:E,'caseload data'!$D:$D,"PSO",'caseload data'!$C:$C,'custody caseload'!$B$57,'caseload data'!$B:$B,"custody")</f>
        <v>0</v>
      </c>
      <c r="D60" s="159">
        <f>SUMIFS('caseload data'!F:F,'caseload data'!$D:$D,"PSO",'caseload data'!$C:$C,'custody caseload'!$B$57,'caseload data'!$B:$B,"custody")</f>
        <v>0</v>
      </c>
      <c r="E60" s="159">
        <f>SUMIFS('caseload data'!G:G,'caseload data'!$D:$D,"PSO",'caseload data'!$C:$C,'custody caseload'!$B$57,'caseload data'!$B:$B,"custody")</f>
        <v>0</v>
      </c>
      <c r="F60" s="159">
        <f>SUMIFS('caseload data'!H:H,'caseload data'!$D:$D,"PSO",'caseload data'!$C:$C,'custody caseload'!$B$57,'caseload data'!$B:$B,"custody")</f>
        <v>0</v>
      </c>
      <c r="G60" s="159">
        <f>SUMIFS('caseload data'!I:I,'caseload data'!$D:$D,"PSO",'caseload data'!$C:$C,'custody caseload'!$B$57,'caseload data'!$B:$B,"custody")</f>
        <v>0</v>
      </c>
      <c r="H60" s="159">
        <f>SUMIFS('caseload data'!J:J,'caseload data'!$D:$D,"PSO",'caseload data'!$C:$C,'custody caseload'!$B$57,'caseload data'!$B:$B,"custody")</f>
        <v>0</v>
      </c>
      <c r="I60" s="159">
        <f>SUMIFS('caseload data'!K:K,'caseload data'!$D:$D,"PSO",'caseload data'!$C:$C,'custody caseload'!$B$57,'caseload data'!$B:$B,"custody")</f>
        <v>0</v>
      </c>
      <c r="J60" s="159">
        <f>SUMIFS('caseload data'!L:L,'caseload data'!$D:$D,"PSO",'caseload data'!$C:$C,'custody caseload'!$B$57,'caseload data'!$B:$B,"custody")</f>
        <v>0</v>
      </c>
      <c r="K60" s="104">
        <f>SUMIFS('caseload data'!M:M,'caseload data'!$D:$D,"PSO",'caseload data'!$C:$C,'custody caseload'!$B$57,'caseload data'!$B:$B,"custody")</f>
        <v>0</v>
      </c>
      <c r="L60" s="104">
        <f>SUMIFS('caseload data'!N:N,'caseload data'!$D:$D,"PSO",'caseload data'!$C:$C,'custody caseload'!$B$57,'caseload data'!$B:$B,"custody")</f>
        <v>0</v>
      </c>
      <c r="M60" s="104">
        <f>SUMIFS('caseload data'!O:O,'caseload data'!$D:$D,"PSO",'caseload data'!$C:$C,'custody caseload'!$B$57,'caseload data'!$B:$B,"custody")</f>
        <v>0</v>
      </c>
      <c r="N60" s="104">
        <f>SUMIFS('caseload data'!P:P,'caseload data'!$D:$D,"PSO",'caseload data'!$C:$C,'custody caseload'!$B$57,'caseload data'!$B:$B,"custody")</f>
        <v>0</v>
      </c>
      <c r="O60" s="104">
        <f>SUMIFS('caseload data'!Q:Q,'caseload data'!$D:$D,"PSO",'caseload data'!$C:$C,'custody caseload'!$B$57,'caseload data'!$B:$B,"custody")</f>
        <v>0</v>
      </c>
      <c r="P60" s="104">
        <f>SUMIFS('caseload data'!R:R,'caseload data'!$D:$D,"PSO",'caseload data'!$C:$C,'custody caseload'!$B$57,'caseload data'!$B:$B,"custody")</f>
        <v>0</v>
      </c>
      <c r="Q60" s="104">
        <f>SUMIFS('caseload data'!S:S,'caseload data'!$D:$D,"PSO",'caseload data'!$C:$C,'custody caseload'!$B$57,'caseload data'!$B:$B,"custody")</f>
        <v>0</v>
      </c>
      <c r="R60" s="104">
        <f>SUMIFS('caseload data'!T:T,'caseload data'!$D:$D,"PSO",'caseload data'!$C:$C,'custody caseload'!$B$57,'caseload data'!$B:$B,"custody")</f>
        <v>0</v>
      </c>
      <c r="S60" s="73"/>
      <c r="T60" s="107" t="s">
        <v>912</v>
      </c>
      <c r="U60" s="159">
        <f>SUMIFS('caseload data'!E:E,'caseload data'!$D:$D,"PSO",'caseload data'!$C:$C,'custody caseload'!$T$57,'caseload data'!$B:$B,"custody")</f>
        <v>0</v>
      </c>
      <c r="V60" s="159">
        <f>SUMIFS('caseload data'!F:F,'caseload data'!$D:$D,"PSO",'caseload data'!$C:$C,'custody caseload'!$T$57,'caseload data'!$B:$B,"custody")</f>
        <v>0</v>
      </c>
      <c r="W60" s="159">
        <f>SUMIFS('caseload data'!G:G,'caseload data'!$D:$D,"PSO",'caseload data'!$C:$C,'custody caseload'!$T$57,'caseload data'!$B:$B,"custody")</f>
        <v>0</v>
      </c>
      <c r="X60" s="159">
        <f>SUMIFS('caseload data'!H:H,'caseload data'!$D:$D,"PSO",'caseload data'!$C:$C,'custody caseload'!$T$57,'caseload data'!$B:$B,"custody")</f>
        <v>0</v>
      </c>
      <c r="Y60" s="159">
        <f>SUMIFS('caseload data'!I:I,'caseload data'!$D:$D,"PSO",'caseload data'!$C:$C,'custody caseload'!$T$57,'caseload data'!$B:$B,"custody")</f>
        <v>0</v>
      </c>
      <c r="Z60" s="159">
        <f>SUMIFS('caseload data'!J:J,'caseload data'!$D:$D,"PSO",'caseload data'!$C:$C,'custody caseload'!$T$57,'caseload data'!$B:$B,"custody")</f>
        <v>0</v>
      </c>
      <c r="AA60" s="159">
        <f>SUMIFS('caseload data'!K:K,'caseload data'!$D:$D,"PSO",'caseload data'!$C:$C,'custody caseload'!$T$57,'caseload data'!$B:$B,"custody")</f>
        <v>0</v>
      </c>
      <c r="AB60" s="159">
        <f>SUMIFS('caseload data'!L:L,'caseload data'!$D:$D,"PSO",'caseload data'!$C:$C,'custody caseload'!$T$57,'caseload data'!$B:$B,"custody")</f>
        <v>0</v>
      </c>
      <c r="AC60" s="104">
        <f>SUMIFS('caseload data'!M:M,'caseload data'!$D:$D,"PSO",'caseload data'!$C:$C,'custody caseload'!$T$57,'caseload data'!$B:$B,"custody")</f>
        <v>0</v>
      </c>
      <c r="AD60" s="104">
        <f>SUMIFS('caseload data'!N:N,'caseload data'!$D:$D,"PSO",'caseload data'!$C:$C,'custody caseload'!$T$57,'caseload data'!$B:$B,"custody")</f>
        <v>0</v>
      </c>
      <c r="AE60" s="104">
        <f>SUMIFS('caseload data'!O:O,'caseload data'!$D:$D,"PSO",'caseload data'!$C:$C,'custody caseload'!$T$57,'caseload data'!$B:$B,"custody")</f>
        <v>0</v>
      </c>
      <c r="AF60" s="104">
        <f>SUMIFS('caseload data'!P:P,'caseload data'!$D:$D,"PSO",'caseload data'!$C:$C,'custody caseload'!$T$57,'caseload data'!$B:$B,"custody")</f>
        <v>0</v>
      </c>
      <c r="AG60" s="104">
        <f>SUMIFS('caseload data'!Q:Q,'caseload data'!$D:$D,"PSO",'caseload data'!$C:$C,'custody caseload'!$T$57,'caseload data'!$B:$B,"custody")</f>
        <v>0</v>
      </c>
      <c r="AH60" s="104">
        <f>SUMIFS('caseload data'!R:R,'caseload data'!$D:$D,"PSO",'caseload data'!$C:$C,'custody caseload'!$T$57,'caseload data'!$B:$B,"custody")</f>
        <v>0</v>
      </c>
      <c r="AI60" s="104">
        <f>SUMIFS('caseload data'!S:S,'caseload data'!$D:$D,"PSO",'caseload data'!$C:$C,'custody caseload'!$T$57,'caseload data'!$B:$B,"custody")</f>
        <v>0</v>
      </c>
      <c r="AJ60" s="104">
        <f>SUMIFS('caseload data'!T:T,'caseload data'!$D:$D,"PSO",'caseload data'!$C:$C,'custody caseload'!$T$57,'caseload data'!$B:$B,"custody")</f>
        <v>0</v>
      </c>
    </row>
    <row r="61" spans="2:36" ht="15" x14ac:dyDescent="0.2">
      <c r="B61" s="107" t="s">
        <v>913</v>
      </c>
      <c r="C61" s="159">
        <f>SUMIFS('caseload data'!E:E,'caseload data'!$D:$D,"TPO",'caseload data'!$C:$C,'custody caseload'!$B$57,'caseload data'!$B:$B,"custody")</f>
        <v>0</v>
      </c>
      <c r="D61" s="159">
        <f>SUMIFS('caseload data'!F:F,'caseload data'!$D:$D,"TPO",'caseload data'!$C:$C,'custody caseload'!$B$57,'caseload data'!$B:$B,"custody")</f>
        <v>0</v>
      </c>
      <c r="E61" s="159">
        <f>SUMIFS('caseload data'!G:G,'caseload data'!$D:$D,"TPO",'caseload data'!$C:$C,'custody caseload'!$B$57,'caseload data'!$B:$B,"custody")</f>
        <v>0</v>
      </c>
      <c r="F61" s="159">
        <f>SUMIFS('caseload data'!H:H,'caseload data'!$D:$D,"TPO",'caseload data'!$C:$C,'custody caseload'!$B$57,'caseload data'!$B:$B,"custody")</f>
        <v>0</v>
      </c>
      <c r="G61" s="159">
        <f>SUMIFS('caseload data'!I:I,'caseload data'!$D:$D,"TPO",'caseload data'!$C:$C,'custody caseload'!$B$57,'caseload data'!$B:$B,"custody")</f>
        <v>0</v>
      </c>
      <c r="H61" s="159">
        <f>SUMIFS('caseload data'!J:J,'caseload data'!$D:$D,"TPO",'caseload data'!$C:$C,'custody caseload'!$B$57,'caseload data'!$B:$B,"custody")</f>
        <v>0</v>
      </c>
      <c r="I61" s="159">
        <f>SUMIFS('caseload data'!K:K,'caseload data'!$D:$D,"TPO",'caseload data'!$C:$C,'custody caseload'!$B$57,'caseload data'!$B:$B,"custody")</f>
        <v>0</v>
      </c>
      <c r="J61" s="159">
        <f>SUMIFS('caseload data'!L:L,'caseload data'!$D:$D,"TPO",'caseload data'!$C:$C,'custody caseload'!$B$57,'caseload data'!$B:$B,"custody")</f>
        <v>0</v>
      </c>
      <c r="K61" s="104">
        <f>SUMIFS('caseload data'!M:M,'caseload data'!$D:$D,"TPO",'caseload data'!$C:$C,'custody caseload'!$B$57,'caseload data'!$B:$B,"custody")</f>
        <v>0</v>
      </c>
      <c r="L61" s="104">
        <f>SUMIFS('caseload data'!N:N,'caseload data'!$D:$D,"TPO",'caseload data'!$C:$C,'custody caseload'!$B$57,'caseload data'!$B:$B,"custody")</f>
        <v>0</v>
      </c>
      <c r="M61" s="104">
        <f>SUMIFS('caseload data'!O:O,'caseload data'!$D:$D,"TPO",'caseload data'!$C:$C,'custody caseload'!$B$57,'caseload data'!$B:$B,"custody")</f>
        <v>0</v>
      </c>
      <c r="N61" s="104">
        <f>SUMIFS('caseload data'!P:P,'caseload data'!$D:$D,"TPO",'caseload data'!$C:$C,'custody caseload'!$B$57,'caseload data'!$B:$B,"custody")</f>
        <v>0</v>
      </c>
      <c r="O61" s="104">
        <f>SUMIFS('caseload data'!Q:Q,'caseload data'!$D:$D,"TPO",'caseload data'!$C:$C,'custody caseload'!$B$57,'caseload data'!$B:$B,"custody")</f>
        <v>0</v>
      </c>
      <c r="P61" s="104">
        <f>SUMIFS('caseload data'!R:R,'caseload data'!$D:$D,"TPO",'caseload data'!$C:$C,'custody caseload'!$B$57,'caseload data'!$B:$B,"custody")</f>
        <v>0</v>
      </c>
      <c r="Q61" s="104">
        <f>SUMIFS('caseload data'!S:S,'caseload data'!$D:$D,"TPO",'caseload data'!$C:$C,'custody caseload'!$B$57,'caseload data'!$B:$B,"custody")</f>
        <v>0</v>
      </c>
      <c r="R61" s="104">
        <f>SUMIFS('caseload data'!T:T,'caseload data'!$D:$D,"TPO",'caseload data'!$C:$C,'custody caseload'!$B$57,'caseload data'!$B:$B,"custody")</f>
        <v>0</v>
      </c>
      <c r="S61" s="73"/>
      <c r="T61" s="107" t="s">
        <v>913</v>
      </c>
      <c r="U61" s="159">
        <f>SUMIFS('caseload data'!E:E,'caseload data'!$D:$D,"TPO",'caseload data'!$C:$C,'custody caseload'!$T$57,'caseload data'!$B:$B,"custody")</f>
        <v>0</v>
      </c>
      <c r="V61" s="159">
        <f>SUMIFS('caseload data'!F:F,'caseload data'!$D:$D,"TPO",'caseload data'!$C:$C,'custody caseload'!$T$57,'caseload data'!$B:$B,"custody")</f>
        <v>0</v>
      </c>
      <c r="W61" s="159">
        <f>SUMIFS('caseload data'!G:G,'caseload data'!$D:$D,"TPO",'caseload data'!$C:$C,'custody caseload'!$T$57,'caseload data'!$B:$B,"custody")</f>
        <v>0</v>
      </c>
      <c r="X61" s="159">
        <f>SUMIFS('caseload data'!H:H,'caseload data'!$D:$D,"TPO",'caseload data'!$C:$C,'custody caseload'!$T$57,'caseload data'!$B:$B,"custody")</f>
        <v>0</v>
      </c>
      <c r="Y61" s="159">
        <f>SUMIFS('caseload data'!I:I,'caseload data'!$D:$D,"TPO",'caseload data'!$C:$C,'custody caseload'!$T$57,'caseload data'!$B:$B,"custody")</f>
        <v>0</v>
      </c>
      <c r="Z61" s="159">
        <f>SUMIFS('caseload data'!J:J,'caseload data'!$D:$D,"TPO",'caseload data'!$C:$C,'custody caseload'!$T$57,'caseload data'!$B:$B,"custody")</f>
        <v>0</v>
      </c>
      <c r="AA61" s="159">
        <f>SUMIFS('caseload data'!K:K,'caseload data'!$D:$D,"TPO",'caseload data'!$C:$C,'custody caseload'!$T$57,'caseload data'!$B:$B,"custody")</f>
        <v>0</v>
      </c>
      <c r="AB61" s="159">
        <f>SUMIFS('caseload data'!L:L,'caseload data'!$D:$D,"TPO",'caseload data'!$C:$C,'custody caseload'!$T$57,'caseload data'!$B:$B,"custody")</f>
        <v>0</v>
      </c>
      <c r="AC61" s="104">
        <f>SUMIFS('caseload data'!M:M,'caseload data'!$D:$D,"TPO",'caseload data'!$C:$C,'custody caseload'!$T$57,'caseload data'!$B:$B,"custody")</f>
        <v>0</v>
      </c>
      <c r="AD61" s="104">
        <f>SUMIFS('caseload data'!N:N,'caseload data'!$D:$D,"TPO",'caseload data'!$C:$C,'custody caseload'!$T$57,'caseload data'!$B:$B,"custody")</f>
        <v>0</v>
      </c>
      <c r="AE61" s="104">
        <f>SUMIFS('caseload data'!O:O,'caseload data'!$D:$D,"TPO",'caseload data'!$C:$C,'custody caseload'!$T$57,'caseload data'!$B:$B,"custody")</f>
        <v>0</v>
      </c>
      <c r="AF61" s="104">
        <f>SUMIFS('caseload data'!P:P,'caseload data'!$D:$D,"TPO",'caseload data'!$C:$C,'custody caseload'!$T$57,'caseload data'!$B:$B,"custody")</f>
        <v>0</v>
      </c>
      <c r="AG61" s="104">
        <f>SUMIFS('caseload data'!Q:Q,'caseload data'!$D:$D,"TPO",'caseload data'!$C:$C,'custody caseload'!$T$57,'caseload data'!$B:$B,"custody")</f>
        <v>0</v>
      </c>
      <c r="AH61" s="104">
        <f>SUMIFS('caseload data'!R:R,'caseload data'!$D:$D,"TPO",'caseload data'!$C:$C,'custody caseload'!$T$57,'caseload data'!$B:$B,"custody")</f>
        <v>0</v>
      </c>
      <c r="AI61" s="104">
        <f>SUMIFS('caseload data'!S:S,'caseload data'!$D:$D,"TPO",'caseload data'!$C:$C,'custody caseload'!$T$57,'caseload data'!$B:$B,"custody")</f>
        <v>0</v>
      </c>
      <c r="AJ61" s="104">
        <f>SUMIFS('caseload data'!T:T,'caseload data'!$D:$D,"TPO",'caseload data'!$C:$C,'custody caseload'!$T$57,'caseload data'!$B:$B,"custody")</f>
        <v>0</v>
      </c>
    </row>
    <row r="62" spans="2:36" x14ac:dyDescent="0.15">
      <c r="B62" s="108" t="s">
        <v>914</v>
      </c>
      <c r="C62" s="104">
        <f>SUMIFS('caseload data'!E:E,'caseload data'!$D:$D,"SPO",'caseload data'!$C:$C,'custody caseload'!$B$57,'caseload data'!$B:$B,"custody")</f>
        <v>0</v>
      </c>
      <c r="D62" s="104">
        <f>SUMIFS('caseload data'!F:F,'caseload data'!$D:$D,"SPO",'caseload data'!$C:$C,'custody caseload'!$B$57,'caseload data'!$B:$B,"custody")</f>
        <v>0</v>
      </c>
      <c r="E62" s="104">
        <f>SUMIFS('caseload data'!G:G,'caseload data'!$D:$D,"SPO",'caseload data'!$C:$C,'custody caseload'!$B$57,'caseload data'!$B:$B,"custody")</f>
        <v>0</v>
      </c>
      <c r="F62" s="104">
        <f>SUMIFS('caseload data'!H:H,'caseload data'!$D:$D,"SPO",'caseload data'!$C:$C,'custody caseload'!$B$57,'caseload data'!$B:$B,"custody")</f>
        <v>0</v>
      </c>
      <c r="G62" s="104">
        <f>SUMIFS('caseload data'!I:I,'caseload data'!$D:$D,"SPO",'caseload data'!$C:$C,'custody caseload'!$B$57,'caseload data'!$B:$B,"custody")</f>
        <v>0</v>
      </c>
      <c r="H62" s="104">
        <f>SUMIFS('caseload data'!J:J,'caseload data'!$D:$D,"SPO",'caseload data'!$C:$C,'custody caseload'!$B$57,'caseload data'!$B:$B,"custody")</f>
        <v>0</v>
      </c>
      <c r="I62" s="104">
        <f>SUMIFS('caseload data'!K:K,'caseload data'!$D:$D,"SPO",'caseload data'!$C:$C,'custody caseload'!$B$57,'caseload data'!$B:$B,"custody")</f>
        <v>0</v>
      </c>
      <c r="J62" s="104">
        <f>SUMIFS('caseload data'!L:L,'caseload data'!$D:$D,"SPO",'caseload data'!$C:$C,'custody caseload'!$B$57,'caseload data'!$B:$B,"custody")</f>
        <v>0</v>
      </c>
      <c r="K62" s="104">
        <f>SUMIFS('caseload data'!M:M,'caseload data'!$D:$D,"SPO",'caseload data'!$C:$C,'custody caseload'!$B$57,'caseload data'!$B:$B,"custody")</f>
        <v>0</v>
      </c>
      <c r="L62" s="104">
        <f>SUMIFS('caseload data'!N:N,'caseload data'!$D:$D,"SPO",'caseload data'!$C:$C,'custody caseload'!$B$57,'caseload data'!$B:$B,"custody")</f>
        <v>0</v>
      </c>
      <c r="M62" s="104">
        <f>SUMIFS('caseload data'!O:O,'caseload data'!$D:$D,"SPO",'caseload data'!$C:$C,'custody caseload'!$B$57,'caseload data'!$B:$B,"custody")</f>
        <v>0</v>
      </c>
      <c r="N62" s="104">
        <f>SUMIFS('caseload data'!P:P,'caseload data'!$D:$D,"SPO",'caseload data'!$C:$C,'custody caseload'!$B$57,'caseload data'!$B:$B,"custody")</f>
        <v>0</v>
      </c>
      <c r="O62" s="104">
        <f>SUMIFS('caseload data'!Q:Q,'caseload data'!$D:$D,"SPO",'caseload data'!$C:$C,'custody caseload'!$B$57,'caseload data'!$B:$B,"custody")</f>
        <v>0</v>
      </c>
      <c r="P62" s="104">
        <f>SUMIFS('caseload data'!R:R,'caseload data'!$D:$D,"SPO",'caseload data'!$C:$C,'custody caseload'!$B$57,'caseload data'!$B:$B,"custody")</f>
        <v>0</v>
      </c>
      <c r="Q62" s="104">
        <f>SUMIFS('caseload data'!S:S,'caseload data'!$D:$D,"SPO",'caseload data'!$C:$C,'custody caseload'!$B$57,'caseload data'!$B:$B,"custody")</f>
        <v>0</v>
      </c>
      <c r="R62" s="104">
        <f>SUMIFS('caseload data'!T:T,'caseload data'!$D:$D,"SPO",'caseload data'!$C:$C,'custody caseload'!$B$57,'caseload data'!$B:$B,"custody")</f>
        <v>0</v>
      </c>
      <c r="S62" s="73"/>
      <c r="T62" s="108" t="s">
        <v>914</v>
      </c>
      <c r="U62" s="104">
        <f>SUMIFS('caseload data'!E:E,'caseload data'!$D:$D,"SPO",'caseload data'!$C:$C,'custody caseload'!$T$57,'caseload data'!$B:$B,"custody")</f>
        <v>0</v>
      </c>
      <c r="V62" s="104">
        <f>SUMIFS('caseload data'!F:F,'caseload data'!$D:$D,"SPO",'caseload data'!$C:$C,'custody caseload'!$T$57,'caseload data'!$B:$B,"custody")</f>
        <v>0</v>
      </c>
      <c r="W62" s="104">
        <f>SUMIFS('caseload data'!G:G,'caseload data'!$D:$D,"SPO",'caseload data'!$C:$C,'custody caseload'!$T$57,'caseload data'!$B:$B,"custody")</f>
        <v>0</v>
      </c>
      <c r="X62" s="104">
        <f>SUMIFS('caseload data'!H:H,'caseload data'!$D:$D,"SPO",'caseload data'!$C:$C,'custody caseload'!$T$57,'caseload data'!$B:$B,"custody")</f>
        <v>0</v>
      </c>
      <c r="Y62" s="104">
        <f>SUMIFS('caseload data'!I:I,'caseload data'!$D:$D,"SPO",'caseload data'!$C:$C,'custody caseload'!$T$57,'caseload data'!$B:$B,"custody")</f>
        <v>0</v>
      </c>
      <c r="Z62" s="104">
        <f>SUMIFS('caseload data'!J:J,'caseload data'!$D:$D,"SPO",'caseload data'!$C:$C,'custody caseload'!$T$57,'caseload data'!$B:$B,"custody")</f>
        <v>0</v>
      </c>
      <c r="AA62" s="104">
        <f>SUMIFS('caseload data'!K:K,'caseload data'!$D:$D,"SPO",'caseload data'!$C:$C,'custody caseload'!$T$57,'caseload data'!$B:$B,"custody")</f>
        <v>0</v>
      </c>
      <c r="AB62" s="104">
        <f>SUMIFS('caseload data'!L:L,'caseload data'!$D:$D,"SPO",'caseload data'!$C:$C,'custody caseload'!$T$57,'caseload data'!$B:$B,"custody")</f>
        <v>0</v>
      </c>
      <c r="AC62" s="104">
        <f>SUMIFS('caseload data'!M:M,'caseload data'!$D:$D,"SPO",'caseload data'!$C:$C,'custody caseload'!$T$57,'caseload data'!$B:$B,"custody")</f>
        <v>0</v>
      </c>
      <c r="AD62" s="104">
        <f>SUMIFS('caseload data'!N:N,'caseload data'!$D:$D,"SPO",'caseload data'!$C:$C,'custody caseload'!$T$57,'caseload data'!$B:$B,"custody")</f>
        <v>0</v>
      </c>
      <c r="AE62" s="104">
        <f>SUMIFS('caseload data'!O:O,'caseload data'!$D:$D,"SPO",'caseload data'!$C:$C,'custody caseload'!$T$57,'caseload data'!$B:$B,"custody")</f>
        <v>0</v>
      </c>
      <c r="AF62" s="104">
        <f>SUMIFS('caseload data'!P:P,'caseload data'!$D:$D,"SPO",'caseload data'!$C:$C,'custody caseload'!$T$57,'caseload data'!$B:$B,"custody")</f>
        <v>0</v>
      </c>
      <c r="AG62" s="104">
        <f>SUMIFS('caseload data'!Q:Q,'caseload data'!$D:$D,"SPO",'caseload data'!$C:$C,'custody caseload'!$T$57,'caseload data'!$B:$B,"custody")</f>
        <v>0</v>
      </c>
      <c r="AH62" s="104">
        <f>SUMIFS('caseload data'!R:R,'caseload data'!$D:$D,"SPO",'caseload data'!$C:$C,'custody caseload'!$T$57,'caseload data'!$B:$B,"custody")</f>
        <v>0</v>
      </c>
      <c r="AI62" s="104">
        <f>SUMIFS('caseload data'!S:S,'caseload data'!$D:$D,"SPO",'caseload data'!$C:$C,'custody caseload'!$T$57,'caseload data'!$B:$B,"custody")</f>
        <v>0</v>
      </c>
      <c r="AJ62" s="104">
        <f>SUMIFS('caseload data'!T:T,'caseload data'!$D:$D,"SPO",'caseload data'!$C:$C,'custody caseload'!$T$57,'caseload data'!$B:$B,"custody")</f>
        <v>0</v>
      </c>
    </row>
    <row r="64" spans="2:36" x14ac:dyDescent="0.15">
      <c r="B64" s="156" t="str">
        <f>HLOOKUP($B$5,Region_Table,18,0)</f>
        <v>Newham - N07</v>
      </c>
      <c r="C64" s="367" t="s">
        <v>1163</v>
      </c>
      <c r="D64" s="368"/>
      <c r="E64" s="368"/>
      <c r="F64" s="368"/>
      <c r="G64" s="368"/>
      <c r="H64" s="368"/>
      <c r="I64" s="368"/>
      <c r="J64" s="368"/>
      <c r="K64" s="368"/>
      <c r="L64" s="368"/>
      <c r="M64" s="377"/>
      <c r="N64" s="377"/>
      <c r="O64" s="378"/>
      <c r="P64" s="371">
        <f>SUMIFS('caseload data'!V:V,'caseload data'!B:B,"custody",'caseload data'!$C:$C,'custody caseload'!B64)</f>
        <v>0</v>
      </c>
      <c r="Q64" s="379"/>
      <c r="R64" s="380"/>
      <c r="S64" s="73"/>
      <c r="T64" s="156" t="str">
        <f>HLOOKUP($B$5,Region_Table,19,0)</f>
        <v>Public Protection London</v>
      </c>
      <c r="U64" s="367" t="s">
        <v>1163</v>
      </c>
      <c r="V64" s="368"/>
      <c r="W64" s="368"/>
      <c r="X64" s="368"/>
      <c r="Y64" s="368"/>
      <c r="Z64" s="368"/>
      <c r="AA64" s="368"/>
      <c r="AB64" s="368"/>
      <c r="AC64" s="368"/>
      <c r="AD64" s="368"/>
      <c r="AE64" s="377"/>
      <c r="AF64" s="377"/>
      <c r="AG64" s="378"/>
      <c r="AH64" s="371">
        <f>SUMIFS('caseload data'!V:V,'caseload data'!B:B,"custody",'caseload data'!$C:$C,'custody caseload'!T64)</f>
        <v>0</v>
      </c>
      <c r="AI64" s="379"/>
      <c r="AJ64" s="380"/>
    </row>
    <row r="65" spans="2:36" x14ac:dyDescent="0.15">
      <c r="B65" s="105" t="s">
        <v>1065</v>
      </c>
      <c r="C65" s="41" t="s">
        <v>922</v>
      </c>
      <c r="D65" s="41" t="s">
        <v>923</v>
      </c>
      <c r="E65" s="41" t="s">
        <v>924</v>
      </c>
      <c r="F65" s="41" t="s">
        <v>925</v>
      </c>
      <c r="G65" s="41" t="s">
        <v>926</v>
      </c>
      <c r="H65" s="41" t="s">
        <v>927</v>
      </c>
      <c r="I65" s="41" t="s">
        <v>928</v>
      </c>
      <c r="J65" s="41" t="s">
        <v>929</v>
      </c>
      <c r="K65" s="41" t="s">
        <v>930</v>
      </c>
      <c r="L65" s="41" t="s">
        <v>931</v>
      </c>
      <c r="M65" s="41" t="s">
        <v>932</v>
      </c>
      <c r="N65" s="41" t="s">
        <v>933</v>
      </c>
      <c r="O65" s="41" t="s">
        <v>934</v>
      </c>
      <c r="P65" s="41" t="s">
        <v>935</v>
      </c>
      <c r="Q65" s="41" t="s">
        <v>936</v>
      </c>
      <c r="R65" s="41" t="s">
        <v>937</v>
      </c>
      <c r="S65" s="73"/>
      <c r="T65" s="105" t="s">
        <v>1065</v>
      </c>
      <c r="U65" s="41" t="s">
        <v>922</v>
      </c>
      <c r="V65" s="41" t="s">
        <v>923</v>
      </c>
      <c r="W65" s="41" t="s">
        <v>924</v>
      </c>
      <c r="X65" s="41" t="s">
        <v>925</v>
      </c>
      <c r="Y65" s="41" t="s">
        <v>926</v>
      </c>
      <c r="Z65" s="41" t="s">
        <v>927</v>
      </c>
      <c r="AA65" s="41" t="s">
        <v>928</v>
      </c>
      <c r="AB65" s="41" t="s">
        <v>929</v>
      </c>
      <c r="AC65" s="41" t="s">
        <v>930</v>
      </c>
      <c r="AD65" s="41" t="s">
        <v>931</v>
      </c>
      <c r="AE65" s="41" t="s">
        <v>932</v>
      </c>
      <c r="AF65" s="41" t="s">
        <v>933</v>
      </c>
      <c r="AG65" s="41" t="s">
        <v>934</v>
      </c>
      <c r="AH65" s="41" t="s">
        <v>935</v>
      </c>
      <c r="AI65" s="41" t="s">
        <v>936</v>
      </c>
      <c r="AJ65" s="41" t="s">
        <v>937</v>
      </c>
    </row>
    <row r="66" spans="2:36" x14ac:dyDescent="0.15">
      <c r="B66" s="106" t="s">
        <v>911</v>
      </c>
      <c r="C66" s="104">
        <f>SUMIFS('caseload data'!E:E,'caseload data'!$D:$D,"PO",'caseload data'!$C:$C,'custody caseload'!$B$64,'caseload data'!$B:$B,"custody")</f>
        <v>0</v>
      </c>
      <c r="D66" s="104">
        <f>SUMIFS('caseload data'!F:F,'caseload data'!$D:$D,"PO",'caseload data'!$C:$C,'custody caseload'!$B$64,'caseload data'!$B:$B,"custody")</f>
        <v>0</v>
      </c>
      <c r="E66" s="104">
        <f>SUMIFS('caseload data'!G:G,'caseload data'!$D:$D,"PO",'caseload data'!$C:$C,'custody caseload'!$B$64,'caseload data'!$B:$B,"custody")</f>
        <v>0</v>
      </c>
      <c r="F66" s="104">
        <f>SUMIFS('caseload data'!H:H,'caseload data'!$D:$D,"PO",'caseload data'!$C:$C,'custody caseload'!$B$64,'caseload data'!$B:$B,"custody")</f>
        <v>0</v>
      </c>
      <c r="G66" s="104">
        <f>SUMIFS('caseload data'!I:I,'caseload data'!$D:$D,"PO",'caseload data'!$C:$C,'custody caseload'!$B$64,'caseload data'!$B:$B,"custody")</f>
        <v>0</v>
      </c>
      <c r="H66" s="104">
        <f>SUMIFS('caseload data'!J:J,'caseload data'!$D:$D,"PO",'caseload data'!$C:$C,'custody caseload'!$B$64,'caseload data'!$B:$B,"custody")</f>
        <v>0</v>
      </c>
      <c r="I66" s="104">
        <f>SUMIFS('caseload data'!K:K,'caseload data'!$D:$D,"PO",'caseload data'!$C:$C,'custody caseload'!$B$64,'caseload data'!$B:$B,"custody")</f>
        <v>0</v>
      </c>
      <c r="J66" s="104">
        <f>SUMIFS('caseload data'!L:L,'caseload data'!$D:$D,"PO",'caseload data'!$C:$C,'custody caseload'!$B$64,'caseload data'!$B:$B,"custody")</f>
        <v>0</v>
      </c>
      <c r="K66" s="104">
        <f>SUMIFS('caseload data'!M:M,'caseload data'!$D:$D,"PO",'caseload data'!$C:$C,'custody caseload'!$B$64,'caseload data'!$B:$B,"custody")</f>
        <v>0</v>
      </c>
      <c r="L66" s="104">
        <f>SUMIFS('caseload data'!N:N,'caseload data'!$D:$D,"PO",'caseload data'!$C:$C,'custody caseload'!$B$64,'caseload data'!$B:$B,"custody")</f>
        <v>0</v>
      </c>
      <c r="M66" s="104">
        <f>SUMIFS('caseload data'!O:O,'caseload data'!$D:$D,"PO",'caseload data'!$C:$C,'custody caseload'!$B$64,'caseload data'!$B:$B,"custody")</f>
        <v>0</v>
      </c>
      <c r="N66" s="104">
        <f>SUMIFS('caseload data'!P:P,'caseload data'!$D:$D,"PO",'caseload data'!$C:$C,'custody caseload'!$B$64,'caseload data'!$B:$B,"custody")</f>
        <v>0</v>
      </c>
      <c r="O66" s="104">
        <f>SUMIFS('caseload data'!Q:Q,'caseload data'!$D:$D,"PO",'caseload data'!$C:$C,'custody caseload'!$B$64,'caseload data'!$B:$B,"custody")</f>
        <v>0</v>
      </c>
      <c r="P66" s="104">
        <f>SUMIFS('caseload data'!R:R,'caseload data'!$D:$D,"PO",'caseload data'!$C:$C,'custody caseload'!$B$64,'caseload data'!$B:$B,"custody")</f>
        <v>0</v>
      </c>
      <c r="Q66" s="104">
        <f>SUMIFS('caseload data'!S:S,'caseload data'!$D:$D,"PO",'caseload data'!$C:$C,'custody caseload'!$B$64,'caseload data'!$B:$B,"custody")</f>
        <v>0</v>
      </c>
      <c r="R66" s="104">
        <f>SUMIFS('caseload data'!T:T,'caseload data'!$D:$D,"PO",'caseload data'!$C:$C,'custody caseload'!$B$64,'caseload data'!$B:$B,"custody")</f>
        <v>0</v>
      </c>
      <c r="S66" s="73"/>
      <c r="T66" s="106" t="s">
        <v>911</v>
      </c>
      <c r="U66" s="104">
        <f>SUMIFS('caseload data'!E:E,'caseload data'!$D:$D,"PO",'caseload data'!$C:$C,'custody caseload'!$T$64,'caseload data'!$B:$B,"custody")</f>
        <v>0</v>
      </c>
      <c r="V66" s="104">
        <f>SUMIFS('caseload data'!F:F,'caseload data'!$D:$D,"PO",'caseload data'!$C:$C,'custody caseload'!$T$64,'caseload data'!$B:$B,"custody")</f>
        <v>0</v>
      </c>
      <c r="W66" s="104">
        <f>SUMIFS('caseload data'!G:G,'caseload data'!$D:$D,"PO",'caseload data'!$C:$C,'custody caseload'!$T$64,'caseload data'!$B:$B,"custody")</f>
        <v>0</v>
      </c>
      <c r="X66" s="104">
        <f>SUMIFS('caseload data'!H:H,'caseload data'!$D:$D,"PO",'caseload data'!$C:$C,'custody caseload'!$T$64,'caseload data'!$B:$B,"custody")</f>
        <v>0</v>
      </c>
      <c r="Y66" s="104">
        <f>SUMIFS('caseload data'!I:I,'caseload data'!$D:$D,"PO",'caseload data'!$C:$C,'custody caseload'!$T$64,'caseload data'!$B:$B,"custody")</f>
        <v>0</v>
      </c>
      <c r="Z66" s="104">
        <f>SUMIFS('caseload data'!J:J,'caseload data'!$D:$D,"PO",'caseload data'!$C:$C,'custody caseload'!$T$64,'caseload data'!$B:$B,"custody")</f>
        <v>0</v>
      </c>
      <c r="AA66" s="104">
        <f>SUMIFS('caseload data'!K:K,'caseload data'!$D:$D,"PO",'caseload data'!$C:$C,'custody caseload'!$T$64,'caseload data'!$B:$B,"custody")</f>
        <v>0</v>
      </c>
      <c r="AB66" s="104">
        <f>SUMIFS('caseload data'!L:L,'caseload data'!$D:$D,"PO",'caseload data'!$C:$C,'custody caseload'!$T$64,'caseload data'!$B:$B,"custody")</f>
        <v>0</v>
      </c>
      <c r="AC66" s="104">
        <f>SUMIFS('caseload data'!M:M,'caseload data'!$D:$D,"PO",'caseload data'!$C:$C,'custody caseload'!$T$64,'caseload data'!$B:$B,"custody")</f>
        <v>0</v>
      </c>
      <c r="AD66" s="104">
        <f>SUMIFS('caseload data'!N:N,'caseload data'!$D:$D,"PO",'caseload data'!$C:$C,'custody caseload'!$T$64,'caseload data'!$B:$B,"custody")</f>
        <v>0</v>
      </c>
      <c r="AE66" s="104">
        <f>SUMIFS('caseload data'!O:O,'caseload data'!$D:$D,"PO",'caseload data'!$C:$C,'custody caseload'!$T$64,'caseload data'!$B:$B,"custody")</f>
        <v>0</v>
      </c>
      <c r="AF66" s="104">
        <f>SUMIFS('caseload data'!P:P,'caseload data'!$D:$D,"PO",'caseload data'!$C:$C,'custody caseload'!$T$64,'caseload data'!$B:$B,"custody")</f>
        <v>0</v>
      </c>
      <c r="AG66" s="104">
        <f>SUMIFS('caseload data'!Q:Q,'caseload data'!$D:$D,"PO",'caseload data'!$C:$C,'custody caseload'!$T$64,'caseload data'!$B:$B,"custody")</f>
        <v>0</v>
      </c>
      <c r="AH66" s="104">
        <f>SUMIFS('caseload data'!R:R,'caseload data'!$D:$D,"PO",'caseload data'!$C:$C,'custody caseload'!$T$64,'caseload data'!$B:$B,"custody")</f>
        <v>0</v>
      </c>
      <c r="AI66" s="104">
        <f>SUMIFS('caseload data'!S:S,'caseload data'!$D:$D,"PO",'caseload data'!$C:$C,'custody caseload'!$T$64,'caseload data'!$B:$B,"custody")</f>
        <v>0</v>
      </c>
      <c r="AJ66" s="104">
        <f>SUMIFS('caseload data'!T:T,'caseload data'!$D:$D,"PO",'caseload data'!$C:$C,'custody caseload'!$T$64,'caseload data'!$B:$B,"custody")</f>
        <v>0</v>
      </c>
    </row>
    <row r="67" spans="2:36" ht="15" x14ac:dyDescent="0.2">
      <c r="B67" s="107" t="s">
        <v>912</v>
      </c>
      <c r="C67" s="159">
        <f>SUMIFS('caseload data'!E:E,'caseload data'!$D:$D,"PSO",'caseload data'!$C:$C,'custody caseload'!$B$64,'caseload data'!$B:$B,"custody")</f>
        <v>0</v>
      </c>
      <c r="D67" s="159">
        <f>SUMIFS('caseload data'!F:F,'caseload data'!$D:$D,"PSO",'caseload data'!$C:$C,'custody caseload'!$B$64,'caseload data'!$B:$B,"custody")</f>
        <v>0</v>
      </c>
      <c r="E67" s="159">
        <f>SUMIFS('caseload data'!G:G,'caseload data'!$D:$D,"PSO",'caseload data'!$C:$C,'custody caseload'!$B$64,'caseload data'!$B:$B,"custody")</f>
        <v>0</v>
      </c>
      <c r="F67" s="159">
        <f>SUMIFS('caseload data'!H:H,'caseload data'!$D:$D,"PSO",'caseload data'!$C:$C,'custody caseload'!$B$64,'caseload data'!$B:$B,"custody")</f>
        <v>0</v>
      </c>
      <c r="G67" s="159">
        <f>SUMIFS('caseload data'!I:I,'caseload data'!$D:$D,"PSO",'caseload data'!$C:$C,'custody caseload'!$B$64,'caseload data'!$B:$B,"custody")</f>
        <v>0</v>
      </c>
      <c r="H67" s="159">
        <f>SUMIFS('caseload data'!J:J,'caseload data'!$D:$D,"PSO",'caseload data'!$C:$C,'custody caseload'!$B$64,'caseload data'!$B:$B,"custody")</f>
        <v>0</v>
      </c>
      <c r="I67" s="159">
        <f>SUMIFS('caseload data'!K:K,'caseload data'!$D:$D,"PSO",'caseload data'!$C:$C,'custody caseload'!$B$64,'caseload data'!$B:$B,"custody")</f>
        <v>0</v>
      </c>
      <c r="J67" s="159">
        <f>SUMIFS('caseload data'!L:L,'caseload data'!$D:$D,"PSO",'caseload data'!$C:$C,'custody caseload'!$B$64,'caseload data'!$B:$B,"custody")</f>
        <v>0</v>
      </c>
      <c r="K67" s="104">
        <f>SUMIFS('caseload data'!M:M,'caseload data'!$D:$D,"PSO",'caseload data'!$C:$C,'custody caseload'!$B$64,'caseload data'!$B:$B,"custody")</f>
        <v>0</v>
      </c>
      <c r="L67" s="104">
        <f>SUMIFS('caseload data'!N:N,'caseload data'!$D:$D,"PSO",'caseload data'!$C:$C,'custody caseload'!$B$64,'caseload data'!$B:$B,"custody")</f>
        <v>0</v>
      </c>
      <c r="M67" s="104">
        <f>SUMIFS('caseload data'!O:O,'caseload data'!$D:$D,"PSO",'caseload data'!$C:$C,'custody caseload'!$B$64,'caseload data'!$B:$B,"custody")</f>
        <v>0</v>
      </c>
      <c r="N67" s="104">
        <f>SUMIFS('caseload data'!P:P,'caseload data'!$D:$D,"PSO",'caseload data'!$C:$C,'custody caseload'!$B$64,'caseload data'!$B:$B,"custody")</f>
        <v>0</v>
      </c>
      <c r="O67" s="104">
        <f>SUMIFS('caseload data'!Q:Q,'caseload data'!$D:$D,"PSO",'caseload data'!$C:$C,'custody caseload'!$B$64,'caseload data'!$B:$B,"custody")</f>
        <v>0</v>
      </c>
      <c r="P67" s="104">
        <f>SUMIFS('caseload data'!R:R,'caseload data'!$D:$D,"PSO",'caseload data'!$C:$C,'custody caseload'!$B$64,'caseload data'!$B:$B,"custody")</f>
        <v>0</v>
      </c>
      <c r="Q67" s="104">
        <f>SUMIFS('caseload data'!S:S,'caseload data'!$D:$D,"PSO",'caseload data'!$C:$C,'custody caseload'!$B$64,'caseload data'!$B:$B,"custody")</f>
        <v>0</v>
      </c>
      <c r="R67" s="104">
        <f>SUMIFS('caseload data'!T:T,'caseload data'!$D:$D,"PSO",'caseload data'!$C:$C,'custody caseload'!$B$64,'caseload data'!$B:$B,"custody")</f>
        <v>0</v>
      </c>
      <c r="S67" s="73"/>
      <c r="T67" s="107" t="s">
        <v>912</v>
      </c>
      <c r="U67" s="159">
        <f>SUMIFS('caseload data'!E:E,'caseload data'!$D:$D,"PSO",'caseload data'!$C:$C,'custody caseload'!$T$64,'caseload data'!$B:$B,"custody")</f>
        <v>0</v>
      </c>
      <c r="V67" s="159">
        <f>SUMIFS('caseload data'!F:F,'caseload data'!$D:$D,"PSO",'caseload data'!$C:$C,'custody caseload'!$T$64,'caseload data'!$B:$B,"custody")</f>
        <v>0</v>
      </c>
      <c r="W67" s="159">
        <f>SUMIFS('caseload data'!G:G,'caseload data'!$D:$D,"PSO",'caseload data'!$C:$C,'custody caseload'!$T$64,'caseload data'!$B:$B,"custody")</f>
        <v>0</v>
      </c>
      <c r="X67" s="159">
        <f>SUMIFS('caseload data'!H:H,'caseload data'!$D:$D,"PSO",'caseload data'!$C:$C,'custody caseload'!$T$64,'caseload data'!$B:$B,"custody")</f>
        <v>0</v>
      </c>
      <c r="Y67" s="159">
        <f>SUMIFS('caseload data'!I:I,'caseload data'!$D:$D,"PSO",'caseload data'!$C:$C,'custody caseload'!$T$64,'caseload data'!$B:$B,"custody")</f>
        <v>0</v>
      </c>
      <c r="Z67" s="159">
        <f>SUMIFS('caseload data'!J:J,'caseload data'!$D:$D,"PSO",'caseload data'!$C:$C,'custody caseload'!$T$64,'caseload data'!$B:$B,"custody")</f>
        <v>0</v>
      </c>
      <c r="AA67" s="159">
        <f>SUMIFS('caseload data'!K:K,'caseload data'!$D:$D,"PSO",'caseload data'!$C:$C,'custody caseload'!$T$64,'caseload data'!$B:$B,"custody")</f>
        <v>0</v>
      </c>
      <c r="AB67" s="159">
        <f>SUMIFS('caseload data'!L:L,'caseload data'!$D:$D,"PSO",'caseload data'!$C:$C,'custody caseload'!$T$64,'caseload data'!$B:$B,"custody")</f>
        <v>0</v>
      </c>
      <c r="AC67" s="104">
        <f>SUMIFS('caseload data'!M:M,'caseload data'!$D:$D,"PSO",'caseload data'!$C:$C,'custody caseload'!$T$64,'caseload data'!$B:$B,"custody")</f>
        <v>0</v>
      </c>
      <c r="AD67" s="104">
        <f>SUMIFS('caseload data'!N:N,'caseload data'!$D:$D,"PSO",'caseload data'!$C:$C,'custody caseload'!$T$64,'caseload data'!$B:$B,"custody")</f>
        <v>0</v>
      </c>
      <c r="AE67" s="104">
        <f>SUMIFS('caseload data'!O:O,'caseload data'!$D:$D,"PSO",'caseload data'!$C:$C,'custody caseload'!$T$64,'caseload data'!$B:$B,"custody")</f>
        <v>0</v>
      </c>
      <c r="AF67" s="104">
        <f>SUMIFS('caseload data'!P:P,'caseload data'!$D:$D,"PSO",'caseload data'!$C:$C,'custody caseload'!$T$64,'caseload data'!$B:$B,"custody")</f>
        <v>0</v>
      </c>
      <c r="AG67" s="104">
        <f>SUMIFS('caseload data'!Q:Q,'caseload data'!$D:$D,"PSO",'caseload data'!$C:$C,'custody caseload'!$T$64,'caseload data'!$B:$B,"custody")</f>
        <v>0</v>
      </c>
      <c r="AH67" s="104">
        <f>SUMIFS('caseload data'!R:R,'caseload data'!$D:$D,"PSO",'caseload data'!$C:$C,'custody caseload'!$T$64,'caseload data'!$B:$B,"custody")</f>
        <v>0</v>
      </c>
      <c r="AI67" s="104">
        <f>SUMIFS('caseload data'!S:S,'caseload data'!$D:$D,"PSO",'caseload data'!$C:$C,'custody caseload'!$T$64,'caseload data'!$B:$B,"custody")</f>
        <v>0</v>
      </c>
      <c r="AJ67" s="104">
        <f>SUMIFS('caseload data'!T:T,'caseload data'!$D:$D,"PSO",'caseload data'!$C:$C,'custody caseload'!$T$64,'caseload data'!$B:$B,"custody")</f>
        <v>0</v>
      </c>
    </row>
    <row r="68" spans="2:36" ht="15" x14ac:dyDescent="0.2">
      <c r="B68" s="107" t="s">
        <v>913</v>
      </c>
      <c r="C68" s="159">
        <f>SUMIFS('caseload data'!E:E,'caseload data'!$D:$D,"TPO",'caseload data'!$C:$C,'custody caseload'!$B$64,'caseload data'!$B:$B,"custody")</f>
        <v>0</v>
      </c>
      <c r="D68" s="159">
        <f>SUMIFS('caseload data'!F:F,'caseload data'!$D:$D,"TPO",'caseload data'!$C:$C,'custody caseload'!$B$64,'caseload data'!$B:$B,"custody")</f>
        <v>0</v>
      </c>
      <c r="E68" s="159">
        <f>SUMIFS('caseload data'!G:G,'caseload data'!$D:$D,"TPO",'caseload data'!$C:$C,'custody caseload'!$B$64,'caseload data'!$B:$B,"custody")</f>
        <v>0</v>
      </c>
      <c r="F68" s="159">
        <f>SUMIFS('caseload data'!H:H,'caseload data'!$D:$D,"TPO",'caseload data'!$C:$C,'custody caseload'!$B$64,'caseload data'!$B:$B,"custody")</f>
        <v>0</v>
      </c>
      <c r="G68" s="159">
        <f>SUMIFS('caseload data'!I:I,'caseload data'!$D:$D,"TPO",'caseload data'!$C:$C,'custody caseload'!$B$64,'caseload data'!$B:$B,"custody")</f>
        <v>0</v>
      </c>
      <c r="H68" s="159">
        <f>SUMIFS('caseload data'!J:J,'caseload data'!$D:$D,"TPO",'caseload data'!$C:$C,'custody caseload'!$B$64,'caseload data'!$B:$B,"custody")</f>
        <v>0</v>
      </c>
      <c r="I68" s="159">
        <f>SUMIFS('caseload data'!K:K,'caseload data'!$D:$D,"TPO",'caseload data'!$C:$C,'custody caseload'!$B$64,'caseload data'!$B:$B,"custody")</f>
        <v>0</v>
      </c>
      <c r="J68" s="159">
        <f>SUMIFS('caseload data'!L:L,'caseload data'!$D:$D,"TPO",'caseload data'!$C:$C,'custody caseload'!$B$64,'caseload data'!$B:$B,"custody")</f>
        <v>0</v>
      </c>
      <c r="K68" s="104">
        <f>SUMIFS('caseload data'!M:M,'caseload data'!$D:$D,"TPO",'caseload data'!$C:$C,'custody caseload'!$B$64,'caseload data'!$B:$B,"custody")</f>
        <v>0</v>
      </c>
      <c r="L68" s="104">
        <f>SUMIFS('caseload data'!N:N,'caseload data'!$D:$D,"TPO",'caseload data'!$C:$C,'custody caseload'!$B$64,'caseload data'!$B:$B,"custody")</f>
        <v>0</v>
      </c>
      <c r="M68" s="104">
        <f>SUMIFS('caseload data'!O:O,'caseload data'!$D:$D,"TPO",'caseload data'!$C:$C,'custody caseload'!$B$64,'caseload data'!$B:$B,"custody")</f>
        <v>0</v>
      </c>
      <c r="N68" s="104">
        <f>SUMIFS('caseload data'!P:P,'caseload data'!$D:$D,"TPO",'caseload data'!$C:$C,'custody caseload'!$B$64,'caseload data'!$B:$B,"custody")</f>
        <v>0</v>
      </c>
      <c r="O68" s="104">
        <f>SUMIFS('caseload data'!Q:Q,'caseload data'!$D:$D,"TPO",'caseload data'!$C:$C,'custody caseload'!$B$64,'caseload data'!$B:$B,"custody")</f>
        <v>0</v>
      </c>
      <c r="P68" s="104">
        <f>SUMIFS('caseload data'!R:R,'caseload data'!$D:$D,"TPO",'caseload data'!$C:$C,'custody caseload'!$B$64,'caseload data'!$B:$B,"custody")</f>
        <v>0</v>
      </c>
      <c r="Q68" s="104">
        <f>SUMIFS('caseload data'!S:S,'caseload data'!$D:$D,"TPO",'caseload data'!$C:$C,'custody caseload'!$B$64,'caseload data'!$B:$B,"custody")</f>
        <v>0</v>
      </c>
      <c r="R68" s="104">
        <f>SUMIFS('caseload data'!T:T,'caseload data'!$D:$D,"TPO",'caseload data'!$C:$C,'custody caseload'!$B$64,'caseload data'!$B:$B,"custody")</f>
        <v>0</v>
      </c>
      <c r="S68" s="73"/>
      <c r="T68" s="107" t="s">
        <v>913</v>
      </c>
      <c r="U68" s="159">
        <f>SUMIFS('caseload data'!E:E,'caseload data'!$D:$D,"TPO",'caseload data'!$C:$C,'custody caseload'!$T$64,'caseload data'!$B:$B,"custody")</f>
        <v>0</v>
      </c>
      <c r="V68" s="159">
        <f>SUMIFS('caseload data'!F:F,'caseload data'!$D:$D,"TPO",'caseload data'!$C:$C,'custody caseload'!$T$64,'caseload data'!$B:$B,"custody")</f>
        <v>0</v>
      </c>
      <c r="W68" s="159">
        <f>SUMIFS('caseload data'!G:G,'caseload data'!$D:$D,"TPO",'caseload data'!$C:$C,'custody caseload'!$T$64,'caseload data'!$B:$B,"custody")</f>
        <v>0</v>
      </c>
      <c r="X68" s="159">
        <f>SUMIFS('caseload data'!H:H,'caseload data'!$D:$D,"TPO",'caseload data'!$C:$C,'custody caseload'!$T$64,'caseload data'!$B:$B,"custody")</f>
        <v>0</v>
      </c>
      <c r="Y68" s="159">
        <f>SUMIFS('caseload data'!I:I,'caseload data'!$D:$D,"TPO",'caseload data'!$C:$C,'custody caseload'!$T$64,'caseload data'!$B:$B,"custody")</f>
        <v>0</v>
      </c>
      <c r="Z68" s="159">
        <f>SUMIFS('caseload data'!J:J,'caseload data'!$D:$D,"TPO",'caseload data'!$C:$C,'custody caseload'!$T$64,'caseload data'!$B:$B,"custody")</f>
        <v>0</v>
      </c>
      <c r="AA68" s="159">
        <f>SUMIFS('caseload data'!K:K,'caseload data'!$D:$D,"TPO",'caseload data'!$C:$C,'custody caseload'!$T$64,'caseload data'!$B:$B,"custody")</f>
        <v>0</v>
      </c>
      <c r="AB68" s="159">
        <f>SUMIFS('caseload data'!L:L,'caseload data'!$D:$D,"TPO",'caseload data'!$C:$C,'custody caseload'!$T$64,'caseload data'!$B:$B,"custody")</f>
        <v>0</v>
      </c>
      <c r="AC68" s="104">
        <f>SUMIFS('caseload data'!M:M,'caseload data'!$D:$D,"TPO",'caseload data'!$C:$C,'custody caseload'!$T$64,'caseload data'!$B:$B,"custody")</f>
        <v>0</v>
      </c>
      <c r="AD68" s="104">
        <f>SUMIFS('caseload data'!N:N,'caseload data'!$D:$D,"TPO",'caseload data'!$C:$C,'custody caseload'!$T$64,'caseload data'!$B:$B,"custody")</f>
        <v>0</v>
      </c>
      <c r="AE68" s="104">
        <f>SUMIFS('caseload data'!O:O,'caseload data'!$D:$D,"TPO",'caseload data'!$C:$C,'custody caseload'!$T$64,'caseload data'!$B:$B,"custody")</f>
        <v>0</v>
      </c>
      <c r="AF68" s="104">
        <f>SUMIFS('caseload data'!P:P,'caseload data'!$D:$D,"TPO",'caseload data'!$C:$C,'custody caseload'!$T$64,'caseload data'!$B:$B,"custody")</f>
        <v>0</v>
      </c>
      <c r="AG68" s="104">
        <f>SUMIFS('caseload data'!Q:Q,'caseload data'!$D:$D,"TPO",'caseload data'!$C:$C,'custody caseload'!$T$64,'caseload data'!$B:$B,"custody")</f>
        <v>0</v>
      </c>
      <c r="AH68" s="104">
        <f>SUMIFS('caseload data'!R:R,'caseload data'!$D:$D,"TPO",'caseload data'!$C:$C,'custody caseload'!$T$64,'caseload data'!$B:$B,"custody")</f>
        <v>0</v>
      </c>
      <c r="AI68" s="104">
        <f>SUMIFS('caseload data'!S:S,'caseload data'!$D:$D,"TPO",'caseload data'!$C:$C,'custody caseload'!$T$64,'caseload data'!$B:$B,"custody")</f>
        <v>0</v>
      </c>
      <c r="AJ68" s="104">
        <f>SUMIFS('caseload data'!T:T,'caseload data'!$D:$D,"TPO",'caseload data'!$C:$C,'custody caseload'!$T$64,'caseload data'!$B:$B,"custody")</f>
        <v>0</v>
      </c>
    </row>
    <row r="69" spans="2:36" x14ac:dyDescent="0.15">
      <c r="B69" s="108" t="s">
        <v>914</v>
      </c>
      <c r="C69" s="104">
        <f>SUMIFS('caseload data'!E:E,'caseload data'!$D:$D,"SPO",'caseload data'!$C:$C,'custody caseload'!$B$64,'caseload data'!$B:$B,"custody")</f>
        <v>0</v>
      </c>
      <c r="D69" s="104">
        <f>SUMIFS('caseload data'!F:F,'caseload data'!$D:$D,"SPO",'caseload data'!$C:$C,'custody caseload'!$B$64,'caseload data'!$B:$B,"custody")</f>
        <v>0</v>
      </c>
      <c r="E69" s="104">
        <f>SUMIFS('caseload data'!G:G,'caseload data'!$D:$D,"SPO",'caseload data'!$C:$C,'custody caseload'!$B$64,'caseload data'!$B:$B,"custody")</f>
        <v>0</v>
      </c>
      <c r="F69" s="104">
        <f>SUMIFS('caseload data'!H:H,'caseload data'!$D:$D,"SPO",'caseload data'!$C:$C,'custody caseload'!$B$64,'caseload data'!$B:$B,"custody")</f>
        <v>0</v>
      </c>
      <c r="G69" s="104">
        <f>SUMIFS('caseload data'!I:I,'caseload data'!$D:$D,"SPO",'caseload data'!$C:$C,'custody caseload'!$B$64,'caseload data'!$B:$B,"custody")</f>
        <v>0</v>
      </c>
      <c r="H69" s="104">
        <f>SUMIFS('caseload data'!J:J,'caseload data'!$D:$D,"SPO",'caseload data'!$C:$C,'custody caseload'!$B$64,'caseload data'!$B:$B,"custody")</f>
        <v>0</v>
      </c>
      <c r="I69" s="104">
        <f>SUMIFS('caseload data'!K:K,'caseload data'!$D:$D,"SPO",'caseload data'!$C:$C,'custody caseload'!$B$64,'caseload data'!$B:$B,"custody")</f>
        <v>0</v>
      </c>
      <c r="J69" s="104">
        <f>SUMIFS('caseload data'!L:L,'caseload data'!$D:$D,"SPO",'caseload data'!$C:$C,'custody caseload'!$B$64,'caseload data'!$B:$B,"custody")</f>
        <v>0</v>
      </c>
      <c r="K69" s="104">
        <f>SUMIFS('caseload data'!M:M,'caseload data'!$D:$D,"SPO",'caseload data'!$C:$C,'custody caseload'!$B$64,'caseload data'!$B:$B,"custody")</f>
        <v>0</v>
      </c>
      <c r="L69" s="104">
        <f>SUMIFS('caseload data'!N:N,'caseload data'!$D:$D,"SPO",'caseload data'!$C:$C,'custody caseload'!$B$64,'caseload data'!$B:$B,"custody")</f>
        <v>0</v>
      </c>
      <c r="M69" s="104">
        <f>SUMIFS('caseload data'!O:O,'caseload data'!$D:$D,"SPO",'caseload data'!$C:$C,'custody caseload'!$B$64,'caseload data'!$B:$B,"custody")</f>
        <v>0</v>
      </c>
      <c r="N69" s="104">
        <f>SUMIFS('caseload data'!P:P,'caseload data'!$D:$D,"SPO",'caseload data'!$C:$C,'custody caseload'!$B$64,'caseload data'!$B:$B,"custody")</f>
        <v>0</v>
      </c>
      <c r="O69" s="104">
        <f>SUMIFS('caseload data'!Q:Q,'caseload data'!$D:$D,"SPO",'caseload data'!$C:$C,'custody caseload'!$B$64,'caseload data'!$B:$B,"custody")</f>
        <v>0</v>
      </c>
      <c r="P69" s="104">
        <f>SUMIFS('caseload data'!R:R,'caseload data'!$D:$D,"SPO",'caseload data'!$C:$C,'custody caseload'!$B$64,'caseload data'!$B:$B,"custody")</f>
        <v>0</v>
      </c>
      <c r="Q69" s="104">
        <f>SUMIFS('caseload data'!S:S,'caseload data'!$D:$D,"SPO",'caseload data'!$C:$C,'custody caseload'!$B$64,'caseload data'!$B:$B,"custody")</f>
        <v>0</v>
      </c>
      <c r="R69" s="104">
        <f>SUMIFS('caseload data'!T:T,'caseload data'!$D:$D,"SPO",'caseload data'!$C:$C,'custody caseload'!$B$64,'caseload data'!$B:$B,"custody")</f>
        <v>0</v>
      </c>
      <c r="S69" s="73"/>
      <c r="T69" s="108" t="s">
        <v>914</v>
      </c>
      <c r="U69" s="104">
        <f>SUMIFS('caseload data'!E:E,'caseload data'!$D:$D,"SPO",'caseload data'!$C:$C,'custody caseload'!$T$64,'caseload data'!$B:$B,"custody")</f>
        <v>0</v>
      </c>
      <c r="V69" s="104">
        <f>SUMIFS('caseload data'!F:F,'caseload data'!$D:$D,"SPO",'caseload data'!$C:$C,'custody caseload'!$T$64,'caseload data'!$B:$B,"custody")</f>
        <v>0</v>
      </c>
      <c r="W69" s="104">
        <f>SUMIFS('caseload data'!G:G,'caseload data'!$D:$D,"SPO",'caseload data'!$C:$C,'custody caseload'!$T$64,'caseload data'!$B:$B,"custody")</f>
        <v>0</v>
      </c>
      <c r="X69" s="104">
        <f>SUMIFS('caseload data'!H:H,'caseload data'!$D:$D,"SPO",'caseload data'!$C:$C,'custody caseload'!$T$64,'caseload data'!$B:$B,"custody")</f>
        <v>0</v>
      </c>
      <c r="Y69" s="104">
        <f>SUMIFS('caseload data'!I:I,'caseload data'!$D:$D,"SPO",'caseload data'!$C:$C,'custody caseload'!$T$64,'caseload data'!$B:$B,"custody")</f>
        <v>0</v>
      </c>
      <c r="Z69" s="104">
        <f>SUMIFS('caseload data'!J:J,'caseload data'!$D:$D,"SPO",'caseload data'!$C:$C,'custody caseload'!$T$64,'caseload data'!$B:$B,"custody")</f>
        <v>0</v>
      </c>
      <c r="AA69" s="104">
        <f>SUMIFS('caseload data'!K:K,'caseload data'!$D:$D,"SPO",'caseload data'!$C:$C,'custody caseload'!$T$64,'caseload data'!$B:$B,"custody")</f>
        <v>0</v>
      </c>
      <c r="AB69" s="104">
        <f>SUMIFS('caseload data'!L:L,'caseload data'!$D:$D,"SPO",'caseload data'!$C:$C,'custody caseload'!$T$64,'caseload data'!$B:$B,"custody")</f>
        <v>0</v>
      </c>
      <c r="AC69" s="104">
        <f>SUMIFS('caseload data'!M:M,'caseload data'!$D:$D,"SPO",'caseload data'!$C:$C,'custody caseload'!$T$64,'caseload data'!$B:$B,"custody")</f>
        <v>0</v>
      </c>
      <c r="AD69" s="104">
        <f>SUMIFS('caseload data'!N:N,'caseload data'!$D:$D,"SPO",'caseload data'!$C:$C,'custody caseload'!$T$64,'caseload data'!$B:$B,"custody")</f>
        <v>0</v>
      </c>
      <c r="AE69" s="104">
        <f>SUMIFS('caseload data'!O:O,'caseload data'!$D:$D,"SPO",'caseload data'!$C:$C,'custody caseload'!$T$64,'caseload data'!$B:$B,"custody")</f>
        <v>0</v>
      </c>
      <c r="AF69" s="104">
        <f>SUMIFS('caseload data'!P:P,'caseload data'!$D:$D,"SPO",'caseload data'!$C:$C,'custody caseload'!$T$64,'caseload data'!$B:$B,"custody")</f>
        <v>0</v>
      </c>
      <c r="AG69" s="104">
        <f>SUMIFS('caseload data'!Q:Q,'caseload data'!$D:$D,"SPO",'caseload data'!$C:$C,'custody caseload'!$T$64,'caseload data'!$B:$B,"custody")</f>
        <v>0</v>
      </c>
      <c r="AH69" s="104">
        <f>SUMIFS('caseload data'!R:R,'caseload data'!$D:$D,"SPO",'caseload data'!$C:$C,'custody caseload'!$T$64,'caseload data'!$B:$B,"custody")</f>
        <v>0</v>
      </c>
      <c r="AI69" s="104">
        <f>SUMIFS('caseload data'!S:S,'caseload data'!$D:$D,"SPO",'caseload data'!$C:$C,'custody caseload'!$T$64,'caseload data'!$B:$B,"custody")</f>
        <v>0</v>
      </c>
      <c r="AJ69" s="104">
        <f>SUMIFS('caseload data'!T:T,'caseload data'!$D:$D,"SPO",'caseload data'!$C:$C,'custody caseload'!$T$64,'caseload data'!$B:$B,"custody")</f>
        <v>0</v>
      </c>
    </row>
    <row r="71" spans="2:36" x14ac:dyDescent="0.15">
      <c r="B71" s="156" t="str">
        <f>HLOOKUP($B$5,Region_Table,20,0)</f>
        <v>Redbridge and Waltham Forest</v>
      </c>
      <c r="C71" s="367" t="s">
        <v>1163</v>
      </c>
      <c r="D71" s="368"/>
      <c r="E71" s="368"/>
      <c r="F71" s="368"/>
      <c r="G71" s="368"/>
      <c r="H71" s="368"/>
      <c r="I71" s="368"/>
      <c r="J71" s="368"/>
      <c r="K71" s="368"/>
      <c r="L71" s="368"/>
      <c r="M71" s="377"/>
      <c r="N71" s="377"/>
      <c r="O71" s="378"/>
      <c r="P71" s="371">
        <f>SUMIFS('caseload data'!V:V,'caseload data'!B:B,"custody",'caseload data'!$C:$C,'custody caseload'!B71)</f>
        <v>0</v>
      </c>
      <c r="Q71" s="379"/>
      <c r="R71" s="380"/>
      <c r="T71" s="156" t="str">
        <f>HLOOKUP($B$5,Region_Table,21,0)</f>
        <v>Southwark - N07</v>
      </c>
      <c r="U71" s="367" t="s">
        <v>1163</v>
      </c>
      <c r="V71" s="368"/>
      <c r="W71" s="368"/>
      <c r="X71" s="368"/>
      <c r="Y71" s="368"/>
      <c r="Z71" s="368"/>
      <c r="AA71" s="368"/>
      <c r="AB71" s="368"/>
      <c r="AC71" s="368"/>
      <c r="AD71" s="368"/>
      <c r="AE71" s="377"/>
      <c r="AF71" s="377"/>
      <c r="AG71" s="378"/>
      <c r="AH71" s="371">
        <f>SUMIFS('caseload data'!V:V,'caseload data'!B:B,"custody",'caseload data'!$C:$C,'custody caseload'!T71)</f>
        <v>0</v>
      </c>
      <c r="AI71" s="379"/>
      <c r="AJ71" s="380"/>
    </row>
    <row r="72" spans="2:36" x14ac:dyDescent="0.15">
      <c r="B72" s="105" t="s">
        <v>1065</v>
      </c>
      <c r="C72" s="41" t="s">
        <v>922</v>
      </c>
      <c r="D72" s="41" t="s">
        <v>923</v>
      </c>
      <c r="E72" s="41" t="s">
        <v>924</v>
      </c>
      <c r="F72" s="41" t="s">
        <v>925</v>
      </c>
      <c r="G72" s="41" t="s">
        <v>926</v>
      </c>
      <c r="H72" s="41" t="s">
        <v>927</v>
      </c>
      <c r="I72" s="41" t="s">
        <v>928</v>
      </c>
      <c r="J72" s="41" t="s">
        <v>929</v>
      </c>
      <c r="K72" s="41" t="s">
        <v>930</v>
      </c>
      <c r="L72" s="41" t="s">
        <v>931</v>
      </c>
      <c r="M72" s="41" t="s">
        <v>932</v>
      </c>
      <c r="N72" s="41" t="s">
        <v>933</v>
      </c>
      <c r="O72" s="41" t="s">
        <v>934</v>
      </c>
      <c r="P72" s="41" t="s">
        <v>935</v>
      </c>
      <c r="Q72" s="41" t="s">
        <v>936</v>
      </c>
      <c r="R72" s="41" t="s">
        <v>937</v>
      </c>
      <c r="T72" s="105" t="s">
        <v>1065</v>
      </c>
      <c r="U72" s="41" t="s">
        <v>922</v>
      </c>
      <c r="V72" s="41" t="s">
        <v>923</v>
      </c>
      <c r="W72" s="41" t="s">
        <v>924</v>
      </c>
      <c r="X72" s="41" t="s">
        <v>925</v>
      </c>
      <c r="Y72" s="41" t="s">
        <v>926</v>
      </c>
      <c r="Z72" s="41" t="s">
        <v>927</v>
      </c>
      <c r="AA72" s="41" t="s">
        <v>928</v>
      </c>
      <c r="AB72" s="41" t="s">
        <v>929</v>
      </c>
      <c r="AC72" s="41" t="s">
        <v>930</v>
      </c>
      <c r="AD72" s="41" t="s">
        <v>931</v>
      </c>
      <c r="AE72" s="41" t="s">
        <v>932</v>
      </c>
      <c r="AF72" s="41" t="s">
        <v>933</v>
      </c>
      <c r="AG72" s="41" t="s">
        <v>934</v>
      </c>
      <c r="AH72" s="41" t="s">
        <v>935</v>
      </c>
      <c r="AI72" s="41" t="s">
        <v>936</v>
      </c>
      <c r="AJ72" s="41" t="s">
        <v>937</v>
      </c>
    </row>
    <row r="73" spans="2:36" x14ac:dyDescent="0.15">
      <c r="B73" s="106" t="s">
        <v>911</v>
      </c>
      <c r="C73" s="104">
        <f>SUMIFS('caseload data'!E:E,'caseload data'!$D:$D,"PO",'caseload data'!$C:$C,'custody caseload'!$B$71,'caseload data'!$B:$B,"custody")</f>
        <v>0</v>
      </c>
      <c r="D73" s="104">
        <f>SUMIFS('caseload data'!F:F,'caseload data'!$D:$D,"PO",'caseload data'!$C:$C,'custody caseload'!$B$71,'caseload data'!$B:$B,"custody")</f>
        <v>0</v>
      </c>
      <c r="E73" s="104">
        <f>SUMIFS('caseload data'!G:G,'caseload data'!$D:$D,"PO",'caseload data'!$C:$C,'custody caseload'!$B$71,'caseload data'!$B:$B,"custody")</f>
        <v>0</v>
      </c>
      <c r="F73" s="104">
        <f>SUMIFS('caseload data'!H:H,'caseload data'!$D:$D,"PO",'caseload data'!$C:$C,'custody caseload'!$B$71,'caseload data'!$B:$B,"custody")</f>
        <v>0</v>
      </c>
      <c r="G73" s="104">
        <f>SUMIFS('caseload data'!I:I,'caseload data'!$D:$D,"PO",'caseload data'!$C:$C,'custody caseload'!$B$71,'caseload data'!$B:$B,"custody")</f>
        <v>0</v>
      </c>
      <c r="H73" s="104">
        <f>SUMIFS('caseload data'!J:J,'caseload data'!$D:$D,"PO",'caseload data'!$C:$C,'custody caseload'!$B$71,'caseload data'!$B:$B,"custody")</f>
        <v>0</v>
      </c>
      <c r="I73" s="104">
        <f>SUMIFS('caseload data'!K:K,'caseload data'!$D:$D,"PO",'caseload data'!$C:$C,'custody caseload'!$B$71,'caseload data'!$B:$B,"custody")</f>
        <v>0</v>
      </c>
      <c r="J73" s="104">
        <f>SUMIFS('caseload data'!L:L,'caseload data'!$D:$D,"PO",'caseload data'!$C:$C,'custody caseload'!$B$71,'caseload data'!$B:$B,"custody")</f>
        <v>0</v>
      </c>
      <c r="K73" s="104">
        <f>SUMIFS('caseload data'!M:M,'caseload data'!$D:$D,"PO",'caseload data'!$C:$C,'custody caseload'!$B$71,'caseload data'!$B:$B,"custody")</f>
        <v>0</v>
      </c>
      <c r="L73" s="104">
        <f>SUMIFS('caseload data'!N:N,'caseload data'!$D:$D,"PO",'caseload data'!$C:$C,'custody caseload'!$B$71,'caseload data'!$B:$B,"custody")</f>
        <v>0</v>
      </c>
      <c r="M73" s="104">
        <f>SUMIFS('caseload data'!O:O,'caseload data'!$D:$D,"PO",'caseload data'!$C:$C,'custody caseload'!$B$71,'caseload data'!$B:$B,"custody")</f>
        <v>0</v>
      </c>
      <c r="N73" s="104">
        <f>SUMIFS('caseload data'!P:P,'caseload data'!$D:$D,"PO",'caseload data'!$C:$C,'custody caseload'!$B$71,'caseload data'!$B:$B,"custody")</f>
        <v>0</v>
      </c>
      <c r="O73" s="104">
        <f>SUMIFS('caseload data'!Q:Q,'caseload data'!$D:$D,"PO",'caseload data'!$C:$C,'custody caseload'!$B$71,'caseload data'!$B:$B,"custody")</f>
        <v>0</v>
      </c>
      <c r="P73" s="104">
        <f>SUMIFS('caseload data'!R:R,'caseload data'!$D:$D,"PO",'caseload data'!$C:$C,'custody caseload'!$B$71,'caseload data'!$B:$B,"custody")</f>
        <v>0</v>
      </c>
      <c r="Q73" s="104">
        <f>SUMIFS('caseload data'!S:S,'caseload data'!$D:$D,"PO",'caseload data'!$C:$C,'custody caseload'!$B$71,'caseload data'!$B:$B,"custody")</f>
        <v>0</v>
      </c>
      <c r="R73" s="104">
        <f>SUMIFS('caseload data'!T:T,'caseload data'!$D:$D,"PO",'caseload data'!$C:$C,'custody caseload'!$B$71,'caseload data'!$B:$B,"custody")</f>
        <v>0</v>
      </c>
      <c r="T73" s="106" t="s">
        <v>911</v>
      </c>
      <c r="U73" s="104">
        <f>SUMIFS('caseload data'!E:E,'caseload data'!$D:$D,"PO",'caseload data'!$C:$C,'custody caseload'!$T$71,'caseload data'!$B:$B,"custody")</f>
        <v>0</v>
      </c>
      <c r="V73" s="104">
        <f>SUMIFS('caseload data'!F:F,'caseload data'!$D:$D,"PO",'caseload data'!$C:$C,'custody caseload'!$T$71,'caseload data'!$B:$B,"custody")</f>
        <v>0</v>
      </c>
      <c r="W73" s="104">
        <f>SUMIFS('caseload data'!G:G,'caseload data'!$D:$D,"PO",'caseload data'!$C:$C,'custody caseload'!$T$71,'caseload data'!$B:$B,"custody")</f>
        <v>0</v>
      </c>
      <c r="X73" s="104">
        <f>SUMIFS('caseload data'!H:H,'caseload data'!$D:$D,"PO",'caseload data'!$C:$C,'custody caseload'!$T$71,'caseload data'!$B:$B,"custody")</f>
        <v>0</v>
      </c>
      <c r="Y73" s="104">
        <f>SUMIFS('caseload data'!I:I,'caseload data'!$D:$D,"PO",'caseload data'!$C:$C,'custody caseload'!$T$71,'caseload data'!$B:$B,"custody")</f>
        <v>0</v>
      </c>
      <c r="Z73" s="104">
        <f>SUMIFS('caseload data'!J:J,'caseload data'!$D:$D,"PO",'caseload data'!$C:$C,'custody caseload'!$T$71,'caseload data'!$B:$B,"custody")</f>
        <v>0</v>
      </c>
      <c r="AA73" s="104">
        <f>SUMIFS('caseload data'!K:K,'caseload data'!$D:$D,"PO",'caseload data'!$C:$C,'custody caseload'!$T$71,'caseload data'!$B:$B,"custody")</f>
        <v>0</v>
      </c>
      <c r="AB73" s="104">
        <f>SUMIFS('caseload data'!L:L,'caseload data'!$D:$D,"PO",'caseload data'!$C:$C,'custody caseload'!$T$71,'caseload data'!$B:$B,"custody")</f>
        <v>0</v>
      </c>
      <c r="AC73" s="104">
        <f>SUMIFS('caseload data'!M:M,'caseload data'!$D:$D,"PO",'caseload data'!$C:$C,'custody caseload'!$T$71,'caseload data'!$B:$B,"custody")</f>
        <v>0</v>
      </c>
      <c r="AD73" s="104">
        <f>SUMIFS('caseload data'!N:N,'caseload data'!$D:$D,"PO",'caseload data'!$C:$C,'custody caseload'!$T$71,'caseload data'!$B:$B,"custody")</f>
        <v>0</v>
      </c>
      <c r="AE73" s="104">
        <f>SUMIFS('caseload data'!O:O,'caseload data'!$D:$D,"PO",'caseload data'!$C:$C,'custody caseload'!$T$71,'caseload data'!$B:$B,"custody")</f>
        <v>0</v>
      </c>
      <c r="AF73" s="104">
        <f>SUMIFS('caseload data'!P:P,'caseload data'!$D:$D,"PO",'caseload data'!$C:$C,'custody caseload'!$T$71,'caseload data'!$B:$B,"custody")</f>
        <v>0</v>
      </c>
      <c r="AG73" s="104">
        <f>SUMIFS('caseload data'!Q:Q,'caseload data'!$D:$D,"PO",'caseload data'!$C:$C,'custody caseload'!$T$71,'caseload data'!$B:$B,"custody")</f>
        <v>0</v>
      </c>
      <c r="AH73" s="104">
        <f>SUMIFS('caseload data'!R:R,'caseload data'!$D:$D,"PO",'caseload data'!$C:$C,'custody caseload'!$T$71,'caseload data'!$B:$B,"custody")</f>
        <v>0</v>
      </c>
      <c r="AI73" s="104">
        <f>SUMIFS('caseload data'!S:S,'caseload data'!$D:$D,"PO",'caseload data'!$C:$C,'custody caseload'!$T$71,'caseload data'!$B:$B,"custody")</f>
        <v>0</v>
      </c>
      <c r="AJ73" s="104">
        <f>SUMIFS('caseload data'!T:T,'caseload data'!$D:$D,"PO",'caseload data'!$C:$C,'custody caseload'!$T$71,'caseload data'!$B:$B,"custody")</f>
        <v>0</v>
      </c>
    </row>
    <row r="74" spans="2:36" ht="15" x14ac:dyDescent="0.2">
      <c r="B74" s="107" t="s">
        <v>912</v>
      </c>
      <c r="C74" s="159">
        <f>SUMIFS('caseload data'!E:E,'caseload data'!$D:$D,"PSO",'caseload data'!$C:$C,'custody caseload'!$B$71,'caseload data'!$B:$B,"custody")</f>
        <v>0</v>
      </c>
      <c r="D74" s="159">
        <f>SUMIFS('caseload data'!F:F,'caseload data'!$D:$D,"PSO",'caseload data'!$C:$C,'custody caseload'!$B$71,'caseload data'!$B:$B,"custody")</f>
        <v>0</v>
      </c>
      <c r="E74" s="159">
        <f>SUMIFS('caseload data'!G:G,'caseload data'!$D:$D,"PSO",'caseload data'!$C:$C,'custody caseload'!$B$71,'caseload data'!$B:$B,"custody")</f>
        <v>0</v>
      </c>
      <c r="F74" s="159">
        <f>SUMIFS('caseload data'!H:H,'caseload data'!$D:$D,"PSO",'caseload data'!$C:$C,'custody caseload'!$B$71,'caseload data'!$B:$B,"custody")</f>
        <v>0</v>
      </c>
      <c r="G74" s="159">
        <f>SUMIFS('caseload data'!I:I,'caseload data'!$D:$D,"PSO",'caseload data'!$C:$C,'custody caseload'!$B$71,'caseload data'!$B:$B,"custody")</f>
        <v>0</v>
      </c>
      <c r="H74" s="159">
        <f>SUMIFS('caseload data'!J:J,'caseload data'!$D:$D,"PSO",'caseload data'!$C:$C,'custody caseload'!$B$71,'caseload data'!$B:$B,"custody")</f>
        <v>0</v>
      </c>
      <c r="I74" s="159">
        <f>SUMIFS('caseload data'!K:K,'caseload data'!$D:$D,"PSO",'caseload data'!$C:$C,'custody caseload'!$B$71,'caseload data'!$B:$B,"custody")</f>
        <v>0</v>
      </c>
      <c r="J74" s="159">
        <f>SUMIFS('caseload data'!L:L,'caseload data'!$D:$D,"PSO",'caseload data'!$C:$C,'custody caseload'!$B$71,'caseload data'!$B:$B,"custody")</f>
        <v>0</v>
      </c>
      <c r="K74" s="104">
        <f>SUMIFS('caseload data'!M:M,'caseload data'!$D:$D,"PSO",'caseload data'!$C:$C,'custody caseload'!$B$71,'caseload data'!$B:$B,"custody")</f>
        <v>0</v>
      </c>
      <c r="L74" s="104">
        <f>SUMIFS('caseload data'!N:N,'caseload data'!$D:$D,"PSO",'caseload data'!$C:$C,'custody caseload'!$B$71,'caseload data'!$B:$B,"custody")</f>
        <v>0</v>
      </c>
      <c r="M74" s="104">
        <f>SUMIFS('caseload data'!O:O,'caseload data'!$D:$D,"PSO",'caseload data'!$C:$C,'custody caseload'!$B$71,'caseload data'!$B:$B,"custody")</f>
        <v>0</v>
      </c>
      <c r="N74" s="104">
        <f>SUMIFS('caseload data'!P:P,'caseload data'!$D:$D,"PSO",'caseload data'!$C:$C,'custody caseload'!$B$71,'caseload data'!$B:$B,"custody")</f>
        <v>0</v>
      </c>
      <c r="O74" s="104">
        <f>SUMIFS('caseload data'!Q:Q,'caseload data'!$D:$D,"PSO",'caseload data'!$C:$C,'custody caseload'!$B$71,'caseload data'!$B:$B,"custody")</f>
        <v>0</v>
      </c>
      <c r="P74" s="104">
        <f>SUMIFS('caseload data'!R:R,'caseload data'!$D:$D,"PSO",'caseload data'!$C:$C,'custody caseload'!$B$71,'caseload data'!$B:$B,"custody")</f>
        <v>0</v>
      </c>
      <c r="Q74" s="104">
        <f>SUMIFS('caseload data'!S:S,'caseload data'!$D:$D,"PSO",'caseload data'!$C:$C,'custody caseload'!$B$71,'caseload data'!$B:$B,"custody")</f>
        <v>0</v>
      </c>
      <c r="R74" s="104">
        <f>SUMIFS('caseload data'!T:T,'caseload data'!$D:$D,"PSO",'caseload data'!$C:$C,'custody caseload'!$B$71,'caseload data'!$B:$B,"custody")</f>
        <v>0</v>
      </c>
      <c r="T74" s="107" t="s">
        <v>912</v>
      </c>
      <c r="U74" s="159">
        <f>SUMIFS('caseload data'!E:E,'caseload data'!$D:$D,"PSO",'caseload data'!$C:$C,'custody caseload'!$T$71,'caseload data'!$B:$B,"custody")</f>
        <v>0</v>
      </c>
      <c r="V74" s="159">
        <f>SUMIFS('caseload data'!F:F,'caseload data'!$D:$D,"PSO",'caseload data'!$C:$C,'custody caseload'!$T$71,'caseload data'!$B:$B,"custody")</f>
        <v>0</v>
      </c>
      <c r="W74" s="159">
        <f>SUMIFS('caseload data'!G:G,'caseload data'!$D:$D,"PSO",'caseload data'!$C:$C,'custody caseload'!$T$71,'caseload data'!$B:$B,"custody")</f>
        <v>0</v>
      </c>
      <c r="X74" s="159">
        <f>SUMIFS('caseload data'!H:H,'caseload data'!$D:$D,"PSO",'caseload data'!$C:$C,'custody caseload'!$T$71,'caseload data'!$B:$B,"custody")</f>
        <v>0</v>
      </c>
      <c r="Y74" s="159">
        <f>SUMIFS('caseload data'!I:I,'caseload data'!$D:$D,"PSO",'caseload data'!$C:$C,'custody caseload'!$T$71,'caseload data'!$B:$B,"custody")</f>
        <v>0</v>
      </c>
      <c r="Z74" s="159">
        <f>SUMIFS('caseload data'!J:J,'caseload data'!$D:$D,"PSO",'caseload data'!$C:$C,'custody caseload'!$T$71,'caseload data'!$B:$B,"custody")</f>
        <v>0</v>
      </c>
      <c r="AA74" s="159">
        <f>SUMIFS('caseload data'!K:K,'caseload data'!$D:$D,"PSO",'caseload data'!$C:$C,'custody caseload'!$T$71,'caseload data'!$B:$B,"custody")</f>
        <v>0</v>
      </c>
      <c r="AB74" s="159">
        <f>SUMIFS('caseload data'!L:L,'caseload data'!$D:$D,"PSO",'caseload data'!$C:$C,'custody caseload'!$T$71,'caseload data'!$B:$B,"custody")</f>
        <v>0</v>
      </c>
      <c r="AC74" s="104">
        <f>SUMIFS('caseload data'!M:M,'caseload data'!$D:$D,"PSO",'caseload data'!$C:$C,'custody caseload'!$T$71,'caseload data'!$B:$B,"custody")</f>
        <v>0</v>
      </c>
      <c r="AD74" s="104">
        <f>SUMIFS('caseload data'!N:N,'caseload data'!$D:$D,"PSO",'caseload data'!$C:$C,'custody caseload'!$T$71,'caseload data'!$B:$B,"custody")</f>
        <v>0</v>
      </c>
      <c r="AE74" s="104">
        <f>SUMIFS('caseload data'!O:O,'caseload data'!$D:$D,"PSO",'caseload data'!$C:$C,'custody caseload'!$T$71,'caseload data'!$B:$B,"custody")</f>
        <v>0</v>
      </c>
      <c r="AF74" s="104">
        <f>SUMIFS('caseload data'!P:P,'caseload data'!$D:$D,"PSO",'caseload data'!$C:$C,'custody caseload'!$T$71,'caseload data'!$B:$B,"custody")</f>
        <v>0</v>
      </c>
      <c r="AG74" s="104">
        <f>SUMIFS('caseload data'!Q:Q,'caseload data'!$D:$D,"PSO",'caseload data'!$C:$C,'custody caseload'!$T$71,'caseload data'!$B:$B,"custody")</f>
        <v>0</v>
      </c>
      <c r="AH74" s="104">
        <f>SUMIFS('caseload data'!R:R,'caseload data'!$D:$D,"PSO",'caseload data'!$C:$C,'custody caseload'!$T$71,'caseload data'!$B:$B,"custody")</f>
        <v>0</v>
      </c>
      <c r="AI74" s="104">
        <f>SUMIFS('caseload data'!S:S,'caseload data'!$D:$D,"PSO",'caseload data'!$C:$C,'custody caseload'!$T$71,'caseload data'!$B:$B,"custody")</f>
        <v>0</v>
      </c>
      <c r="AJ74" s="104">
        <f>SUMIFS('caseload data'!T:T,'caseload data'!$D:$D,"PSO",'caseload data'!$C:$C,'custody caseload'!$T$71,'caseload data'!$B:$B,"custody")</f>
        <v>0</v>
      </c>
    </row>
    <row r="75" spans="2:36" ht="15" x14ac:dyDescent="0.2">
      <c r="B75" s="107" t="s">
        <v>913</v>
      </c>
      <c r="C75" s="159">
        <f>SUMIFS('caseload data'!E:E,'caseload data'!$D:$D,"TPO",'caseload data'!$C:$C,'custody caseload'!$B$71,'caseload data'!$B:$B,"custody")</f>
        <v>0</v>
      </c>
      <c r="D75" s="159">
        <f>SUMIFS('caseload data'!F:F,'caseload data'!$D:$D,"TPO",'caseload data'!$C:$C,'custody caseload'!$B$71,'caseload data'!$B:$B,"custody")</f>
        <v>0</v>
      </c>
      <c r="E75" s="159">
        <f>SUMIFS('caseload data'!G:G,'caseload data'!$D:$D,"TPO",'caseload data'!$C:$C,'custody caseload'!$B$71,'caseload data'!$B:$B,"custody")</f>
        <v>0</v>
      </c>
      <c r="F75" s="159">
        <f>SUMIFS('caseload data'!H:H,'caseload data'!$D:$D,"TPO",'caseload data'!$C:$C,'custody caseload'!$B$71,'caseload data'!$B:$B,"custody")</f>
        <v>0</v>
      </c>
      <c r="G75" s="159">
        <f>SUMIFS('caseload data'!I:I,'caseload data'!$D:$D,"TPO",'caseload data'!$C:$C,'custody caseload'!$B$71,'caseload data'!$B:$B,"custody")</f>
        <v>0</v>
      </c>
      <c r="H75" s="159">
        <f>SUMIFS('caseload data'!J:J,'caseload data'!$D:$D,"TPO",'caseload data'!$C:$C,'custody caseload'!$B$71,'caseload data'!$B:$B,"custody")</f>
        <v>0</v>
      </c>
      <c r="I75" s="159">
        <f>SUMIFS('caseload data'!K:K,'caseload data'!$D:$D,"TPO",'caseload data'!$C:$C,'custody caseload'!$B$71,'caseload data'!$B:$B,"custody")</f>
        <v>0</v>
      </c>
      <c r="J75" s="159">
        <f>SUMIFS('caseload data'!L:L,'caseload data'!$D:$D,"TPO",'caseload data'!$C:$C,'custody caseload'!$B$71,'caseload data'!$B:$B,"custody")</f>
        <v>0</v>
      </c>
      <c r="K75" s="104">
        <f>SUMIFS('caseload data'!M:M,'caseload data'!$D:$D,"TPO",'caseload data'!$C:$C,'custody caseload'!$B$71,'caseload data'!$B:$B,"custody")</f>
        <v>0</v>
      </c>
      <c r="L75" s="104">
        <f>SUMIFS('caseload data'!N:N,'caseload data'!$D:$D,"TPO",'caseload data'!$C:$C,'custody caseload'!$B$71,'caseload data'!$B:$B,"custody")</f>
        <v>0</v>
      </c>
      <c r="M75" s="104">
        <f>SUMIFS('caseload data'!O:O,'caseload data'!$D:$D,"TPO",'caseload data'!$C:$C,'custody caseload'!$B$71,'caseload data'!$B:$B,"custody")</f>
        <v>0</v>
      </c>
      <c r="N75" s="104">
        <f>SUMIFS('caseload data'!P:P,'caseload data'!$D:$D,"TPO",'caseload data'!$C:$C,'custody caseload'!$B$71,'caseload data'!$B:$B,"custody")</f>
        <v>0</v>
      </c>
      <c r="O75" s="104">
        <f>SUMIFS('caseload data'!Q:Q,'caseload data'!$D:$D,"TPO",'caseload data'!$C:$C,'custody caseload'!$B$71,'caseload data'!$B:$B,"custody")</f>
        <v>0</v>
      </c>
      <c r="P75" s="104">
        <f>SUMIFS('caseload data'!R:R,'caseload data'!$D:$D,"TPO",'caseload data'!$C:$C,'custody caseload'!$B$71,'caseload data'!$B:$B,"custody")</f>
        <v>0</v>
      </c>
      <c r="Q75" s="104">
        <f>SUMIFS('caseload data'!S:S,'caseload data'!$D:$D,"TPO",'caseload data'!$C:$C,'custody caseload'!$B$71,'caseload data'!$B:$B,"custody")</f>
        <v>0</v>
      </c>
      <c r="R75" s="104">
        <f>SUMIFS('caseload data'!T:T,'caseload data'!$D:$D,"TPO",'caseload data'!$C:$C,'custody caseload'!$B$71,'caseload data'!$B:$B,"custody")</f>
        <v>0</v>
      </c>
      <c r="T75" s="107" t="s">
        <v>913</v>
      </c>
      <c r="U75" s="159">
        <f>SUMIFS('caseload data'!E:E,'caseload data'!$D:$D,"TPO",'caseload data'!$C:$C,'custody caseload'!$T$71,'caseload data'!$B:$B,"custody")</f>
        <v>0</v>
      </c>
      <c r="V75" s="159">
        <f>SUMIFS('caseload data'!F:F,'caseload data'!$D:$D,"TPO",'caseload data'!$C:$C,'custody caseload'!$T$71,'caseload data'!$B:$B,"custody")</f>
        <v>0</v>
      </c>
      <c r="W75" s="159">
        <f>SUMIFS('caseload data'!G:G,'caseload data'!$D:$D,"TPO",'caseload data'!$C:$C,'custody caseload'!$T$71,'caseload data'!$B:$B,"custody")</f>
        <v>0</v>
      </c>
      <c r="X75" s="159">
        <f>SUMIFS('caseload data'!H:H,'caseload data'!$D:$D,"TPO",'caseload data'!$C:$C,'custody caseload'!$T$71,'caseload data'!$B:$B,"custody")</f>
        <v>0</v>
      </c>
      <c r="Y75" s="159">
        <f>SUMIFS('caseload data'!I:I,'caseload data'!$D:$D,"TPO",'caseload data'!$C:$C,'custody caseload'!$T$71,'caseload data'!$B:$B,"custody")</f>
        <v>0</v>
      </c>
      <c r="Z75" s="159">
        <f>SUMIFS('caseload data'!J:J,'caseload data'!$D:$D,"TPO",'caseload data'!$C:$C,'custody caseload'!$T$71,'caseload data'!$B:$B,"custody")</f>
        <v>0</v>
      </c>
      <c r="AA75" s="159">
        <f>SUMIFS('caseload data'!K:K,'caseload data'!$D:$D,"TPO",'caseload data'!$C:$C,'custody caseload'!$T$71,'caseload data'!$B:$B,"custody")</f>
        <v>0</v>
      </c>
      <c r="AB75" s="159">
        <f>SUMIFS('caseload data'!L:L,'caseload data'!$D:$D,"TPO",'caseload data'!$C:$C,'custody caseload'!$T$71,'caseload data'!$B:$B,"custody")</f>
        <v>0</v>
      </c>
      <c r="AC75" s="104">
        <f>SUMIFS('caseload data'!M:M,'caseload data'!$D:$D,"TPO",'caseload data'!$C:$C,'custody caseload'!$T$71,'caseload data'!$B:$B,"custody")</f>
        <v>0</v>
      </c>
      <c r="AD75" s="104">
        <f>SUMIFS('caseload data'!N:N,'caseload data'!$D:$D,"TPO",'caseload data'!$C:$C,'custody caseload'!$T$71,'caseload data'!$B:$B,"custody")</f>
        <v>0</v>
      </c>
      <c r="AE75" s="104">
        <f>SUMIFS('caseload data'!O:O,'caseload data'!$D:$D,"TPO",'caseload data'!$C:$C,'custody caseload'!$T$71,'caseload data'!$B:$B,"custody")</f>
        <v>0</v>
      </c>
      <c r="AF75" s="104">
        <f>SUMIFS('caseload data'!P:P,'caseload data'!$D:$D,"TPO",'caseload data'!$C:$C,'custody caseload'!$T$71,'caseload data'!$B:$B,"custody")</f>
        <v>0</v>
      </c>
      <c r="AG75" s="104">
        <f>SUMIFS('caseload data'!Q:Q,'caseload data'!$D:$D,"TPO",'caseload data'!$C:$C,'custody caseload'!$T$71,'caseload data'!$B:$B,"custody")</f>
        <v>0</v>
      </c>
      <c r="AH75" s="104">
        <f>SUMIFS('caseload data'!R:R,'caseload data'!$D:$D,"TPO",'caseload data'!$C:$C,'custody caseload'!$T$71,'caseload data'!$B:$B,"custody")</f>
        <v>0</v>
      </c>
      <c r="AI75" s="104">
        <f>SUMIFS('caseload data'!S:S,'caseload data'!$D:$D,"TPO",'caseload data'!$C:$C,'custody caseload'!$T$71,'caseload data'!$B:$B,"custody")</f>
        <v>0</v>
      </c>
      <c r="AJ75" s="104">
        <f>SUMIFS('caseload data'!T:T,'caseload data'!$D:$D,"TPO",'caseload data'!$C:$C,'custody caseload'!$T$71,'caseload data'!$B:$B,"custody")</f>
        <v>0</v>
      </c>
    </row>
    <row r="76" spans="2:36" x14ac:dyDescent="0.15">
      <c r="B76" s="108" t="s">
        <v>914</v>
      </c>
      <c r="C76" s="104">
        <f>SUMIFS('caseload data'!E:E,'caseload data'!$D:$D,"SPO",'caseload data'!$C:$C,'custody caseload'!$B$71,'caseload data'!$B:$B,"custody")</f>
        <v>0</v>
      </c>
      <c r="D76" s="104">
        <f>SUMIFS('caseload data'!F:F,'caseload data'!$D:$D,"SPO",'caseload data'!$C:$C,'custody caseload'!$B$71,'caseload data'!$B:$B,"custody")</f>
        <v>0</v>
      </c>
      <c r="E76" s="104">
        <f>SUMIFS('caseload data'!G:G,'caseload data'!$D:$D,"SPO",'caseload data'!$C:$C,'custody caseload'!$B$71,'caseload data'!$B:$B,"custody")</f>
        <v>0</v>
      </c>
      <c r="F76" s="104">
        <f>SUMIFS('caseload data'!H:H,'caseload data'!$D:$D,"SPO",'caseload data'!$C:$C,'custody caseload'!$B$71,'caseload data'!$B:$B,"custody")</f>
        <v>0</v>
      </c>
      <c r="G76" s="104">
        <f>SUMIFS('caseload data'!I:I,'caseload data'!$D:$D,"SPO",'caseload data'!$C:$C,'custody caseload'!$B$71,'caseload data'!$B:$B,"custody")</f>
        <v>0</v>
      </c>
      <c r="H76" s="104">
        <f>SUMIFS('caseload data'!J:J,'caseload data'!$D:$D,"SPO",'caseload data'!$C:$C,'custody caseload'!$B$71,'caseload data'!$B:$B,"custody")</f>
        <v>0</v>
      </c>
      <c r="I76" s="104">
        <f>SUMIFS('caseload data'!K:K,'caseload data'!$D:$D,"SPO",'caseload data'!$C:$C,'custody caseload'!$B$71,'caseload data'!$B:$B,"custody")</f>
        <v>0</v>
      </c>
      <c r="J76" s="104">
        <f>SUMIFS('caseload data'!L:L,'caseload data'!$D:$D,"SPO",'caseload data'!$C:$C,'custody caseload'!$B$71,'caseload data'!$B:$B,"custody")</f>
        <v>0</v>
      </c>
      <c r="K76" s="104">
        <f>SUMIFS('caseload data'!M:M,'caseload data'!$D:$D,"SPO",'caseload data'!$C:$C,'custody caseload'!$B$71,'caseload data'!$B:$B,"custody")</f>
        <v>0</v>
      </c>
      <c r="L76" s="104">
        <f>SUMIFS('caseload data'!N:N,'caseload data'!$D:$D,"SPO",'caseload data'!$C:$C,'custody caseload'!$B$71,'caseload data'!$B:$B,"custody")</f>
        <v>0</v>
      </c>
      <c r="M76" s="104">
        <f>SUMIFS('caseload data'!O:O,'caseload data'!$D:$D,"SPO",'caseload data'!$C:$C,'custody caseload'!$B$71,'caseload data'!$B:$B,"custody")</f>
        <v>0</v>
      </c>
      <c r="N76" s="104">
        <f>SUMIFS('caseload data'!P:P,'caseload data'!$D:$D,"SPO",'caseload data'!$C:$C,'custody caseload'!$B$71,'caseload data'!$B:$B,"custody")</f>
        <v>0</v>
      </c>
      <c r="O76" s="104">
        <f>SUMIFS('caseload data'!Q:Q,'caseload data'!$D:$D,"SPO",'caseload data'!$C:$C,'custody caseload'!$B$71,'caseload data'!$B:$B,"custody")</f>
        <v>0</v>
      </c>
      <c r="P76" s="104">
        <f>SUMIFS('caseload data'!R:R,'caseload data'!$D:$D,"SPO",'caseload data'!$C:$C,'custody caseload'!$B$71,'caseload data'!$B:$B,"custody")</f>
        <v>0</v>
      </c>
      <c r="Q76" s="104">
        <f>SUMIFS('caseload data'!S:S,'caseload data'!$D:$D,"SPO",'caseload data'!$C:$C,'custody caseload'!$B$71,'caseload data'!$B:$B,"custody")</f>
        <v>0</v>
      </c>
      <c r="R76" s="104">
        <f>SUMIFS('caseload data'!T:T,'caseload data'!$D:$D,"SPO",'caseload data'!$C:$C,'custody caseload'!$B$71,'caseload data'!$B:$B,"custody")</f>
        <v>0</v>
      </c>
      <c r="T76" s="108" t="s">
        <v>914</v>
      </c>
      <c r="U76" s="104">
        <f>SUMIFS('caseload data'!E:E,'caseload data'!$D:$D,"SPO",'caseload data'!$C:$C,'custody caseload'!$T$71,'caseload data'!$B:$B,"custody")</f>
        <v>0</v>
      </c>
      <c r="V76" s="104">
        <f>SUMIFS('caseload data'!F:F,'caseload data'!$D:$D,"SPO",'caseload data'!$C:$C,'custody caseload'!$T$71,'caseload data'!$B:$B,"custody")</f>
        <v>0</v>
      </c>
      <c r="W76" s="104">
        <f>SUMIFS('caseload data'!G:G,'caseload data'!$D:$D,"SPO",'caseload data'!$C:$C,'custody caseload'!$T$71,'caseload data'!$B:$B,"custody")</f>
        <v>0</v>
      </c>
      <c r="X76" s="104">
        <f>SUMIFS('caseload data'!H:H,'caseload data'!$D:$D,"SPO",'caseload data'!$C:$C,'custody caseload'!$T$71,'caseload data'!$B:$B,"custody")</f>
        <v>0</v>
      </c>
      <c r="Y76" s="104">
        <f>SUMIFS('caseload data'!I:I,'caseload data'!$D:$D,"SPO",'caseload data'!$C:$C,'custody caseload'!$T$71,'caseload data'!$B:$B,"custody")</f>
        <v>0</v>
      </c>
      <c r="Z76" s="104">
        <f>SUMIFS('caseload data'!J:J,'caseload data'!$D:$D,"SPO",'caseload data'!$C:$C,'custody caseload'!$T$71,'caseload data'!$B:$B,"custody")</f>
        <v>0</v>
      </c>
      <c r="AA76" s="104">
        <f>SUMIFS('caseload data'!K:K,'caseload data'!$D:$D,"SPO",'caseload data'!$C:$C,'custody caseload'!$T$71,'caseload data'!$B:$B,"custody")</f>
        <v>0</v>
      </c>
      <c r="AB76" s="104">
        <f>SUMIFS('caseload data'!L:L,'caseload data'!$D:$D,"SPO",'caseload data'!$C:$C,'custody caseload'!$T$71,'caseload data'!$B:$B,"custody")</f>
        <v>0</v>
      </c>
      <c r="AC76" s="104">
        <f>SUMIFS('caseload data'!M:M,'caseload data'!$D:$D,"SPO",'caseload data'!$C:$C,'custody caseload'!$T$71,'caseload data'!$B:$B,"custody")</f>
        <v>0</v>
      </c>
      <c r="AD76" s="104">
        <f>SUMIFS('caseload data'!N:N,'caseload data'!$D:$D,"SPO",'caseload data'!$C:$C,'custody caseload'!$T$71,'caseload data'!$B:$B,"custody")</f>
        <v>0</v>
      </c>
      <c r="AE76" s="104">
        <f>SUMIFS('caseload data'!O:O,'caseload data'!$D:$D,"SPO",'caseload data'!$C:$C,'custody caseload'!$T$71,'caseload data'!$B:$B,"custody")</f>
        <v>0</v>
      </c>
      <c r="AF76" s="104">
        <f>SUMIFS('caseload data'!P:P,'caseload data'!$D:$D,"SPO",'caseload data'!$C:$C,'custody caseload'!$T$71,'caseload data'!$B:$B,"custody")</f>
        <v>0</v>
      </c>
      <c r="AG76" s="104">
        <f>SUMIFS('caseload data'!Q:Q,'caseload data'!$D:$D,"SPO",'caseload data'!$C:$C,'custody caseload'!$T$71,'caseload data'!$B:$B,"custody")</f>
        <v>0</v>
      </c>
      <c r="AH76" s="104">
        <f>SUMIFS('caseload data'!R:R,'caseload data'!$D:$D,"SPO",'caseload data'!$C:$C,'custody caseload'!$T$71,'caseload data'!$B:$B,"custody")</f>
        <v>0</v>
      </c>
      <c r="AI76" s="104">
        <f>SUMIFS('caseload data'!S:S,'caseload data'!$D:$D,"SPO",'caseload data'!$C:$C,'custody caseload'!$T$71,'caseload data'!$B:$B,"custody")</f>
        <v>0</v>
      </c>
      <c r="AJ76" s="104">
        <f>SUMIFS('caseload data'!T:T,'caseload data'!$D:$D,"SPO",'caseload data'!$C:$C,'custody caseload'!$T$71,'caseload data'!$B:$B,"custody")</f>
        <v>0</v>
      </c>
    </row>
    <row r="78" spans="2:36" x14ac:dyDescent="0.15">
      <c r="B78" s="156" t="str">
        <f>HLOOKUP($B$5,Region_Table,22,0)</f>
        <v>Tower Hamlets</v>
      </c>
      <c r="C78" s="367" t="s">
        <v>1163</v>
      </c>
      <c r="D78" s="368"/>
      <c r="E78" s="368"/>
      <c r="F78" s="368"/>
      <c r="G78" s="368"/>
      <c r="H78" s="368"/>
      <c r="I78" s="368"/>
      <c r="J78" s="368"/>
      <c r="K78" s="368"/>
      <c r="L78" s="368"/>
      <c r="M78" s="377"/>
      <c r="N78" s="377"/>
      <c r="O78" s="378"/>
      <c r="P78" s="371">
        <f>SUMIFS('caseload data'!V:V,'caseload data'!B:B,"custody",'caseload data'!$C:$C,'custody caseload'!B78)</f>
        <v>0</v>
      </c>
      <c r="Q78" s="379"/>
      <c r="R78" s="380"/>
      <c r="T78" s="156" t="str">
        <f>HLOOKUP($B$5,Region_Table,23,0)</f>
        <v>Unallocated Level 2(N07)</v>
      </c>
      <c r="U78" s="367" t="s">
        <v>1163</v>
      </c>
      <c r="V78" s="368"/>
      <c r="W78" s="368"/>
      <c r="X78" s="368"/>
      <c r="Y78" s="368"/>
      <c r="Z78" s="368"/>
      <c r="AA78" s="368"/>
      <c r="AB78" s="368"/>
      <c r="AC78" s="368"/>
      <c r="AD78" s="368"/>
      <c r="AE78" s="377"/>
      <c r="AF78" s="377"/>
      <c r="AG78" s="378"/>
      <c r="AH78" s="371">
        <f>SUMIFS('caseload data'!V:V,'caseload data'!B:B,"custody",'caseload data'!$C:$C,'custody caseload'!T78)</f>
        <v>0</v>
      </c>
      <c r="AI78" s="379"/>
      <c r="AJ78" s="380"/>
    </row>
    <row r="79" spans="2:36" x14ac:dyDescent="0.15">
      <c r="B79" s="105" t="s">
        <v>1065</v>
      </c>
      <c r="C79" s="41" t="s">
        <v>922</v>
      </c>
      <c r="D79" s="41" t="s">
        <v>923</v>
      </c>
      <c r="E79" s="41" t="s">
        <v>924</v>
      </c>
      <c r="F79" s="41" t="s">
        <v>925</v>
      </c>
      <c r="G79" s="41" t="s">
        <v>926</v>
      </c>
      <c r="H79" s="41" t="s">
        <v>927</v>
      </c>
      <c r="I79" s="41" t="s">
        <v>928</v>
      </c>
      <c r="J79" s="41" t="s">
        <v>929</v>
      </c>
      <c r="K79" s="41" t="s">
        <v>930</v>
      </c>
      <c r="L79" s="41" t="s">
        <v>931</v>
      </c>
      <c r="M79" s="41" t="s">
        <v>932</v>
      </c>
      <c r="N79" s="41" t="s">
        <v>933</v>
      </c>
      <c r="O79" s="41" t="s">
        <v>934</v>
      </c>
      <c r="P79" s="41" t="s">
        <v>935</v>
      </c>
      <c r="Q79" s="41" t="s">
        <v>936</v>
      </c>
      <c r="R79" s="41" t="s">
        <v>937</v>
      </c>
      <c r="T79" s="105" t="s">
        <v>1065</v>
      </c>
      <c r="U79" s="41" t="s">
        <v>922</v>
      </c>
      <c r="V79" s="41" t="s">
        <v>923</v>
      </c>
      <c r="W79" s="41" t="s">
        <v>924</v>
      </c>
      <c r="X79" s="41" t="s">
        <v>925</v>
      </c>
      <c r="Y79" s="41" t="s">
        <v>926</v>
      </c>
      <c r="Z79" s="41" t="s">
        <v>927</v>
      </c>
      <c r="AA79" s="41" t="s">
        <v>928</v>
      </c>
      <c r="AB79" s="41" t="s">
        <v>929</v>
      </c>
      <c r="AC79" s="41" t="s">
        <v>930</v>
      </c>
      <c r="AD79" s="41" t="s">
        <v>931</v>
      </c>
      <c r="AE79" s="41" t="s">
        <v>932</v>
      </c>
      <c r="AF79" s="41" t="s">
        <v>933</v>
      </c>
      <c r="AG79" s="41" t="s">
        <v>934</v>
      </c>
      <c r="AH79" s="41" t="s">
        <v>935</v>
      </c>
      <c r="AI79" s="41" t="s">
        <v>936</v>
      </c>
      <c r="AJ79" s="41" t="s">
        <v>937</v>
      </c>
    </row>
    <row r="80" spans="2:36" x14ac:dyDescent="0.15">
      <c r="B80" s="106" t="s">
        <v>911</v>
      </c>
      <c r="C80" s="104">
        <f>SUMIFS('caseload data'!E:E,'caseload data'!$D:$D,"PO",'caseload data'!$C:$C,'custody caseload'!$B$78,'caseload data'!$B:$B,"custody")</f>
        <v>0</v>
      </c>
      <c r="D80" s="104">
        <f>SUMIFS('caseload data'!F:F,'caseload data'!$D:$D,"PO",'caseload data'!$C:$C,'custody caseload'!$B$78,'caseload data'!$B:$B,"custody")</f>
        <v>0</v>
      </c>
      <c r="E80" s="104">
        <f>SUMIFS('caseload data'!G:G,'caseload data'!$D:$D,"PO",'caseload data'!$C:$C,'custody caseload'!$B$78,'caseload data'!$B:$B,"custody")</f>
        <v>0</v>
      </c>
      <c r="F80" s="104">
        <f>SUMIFS('caseload data'!H:H,'caseload data'!$D:$D,"PO",'caseload data'!$C:$C,'custody caseload'!$B$78,'caseload data'!$B:$B,"custody")</f>
        <v>0</v>
      </c>
      <c r="G80" s="104">
        <f>SUMIFS('caseload data'!I:I,'caseload data'!$D:$D,"PO",'caseload data'!$C:$C,'custody caseload'!$B$78,'caseload data'!$B:$B,"custody")</f>
        <v>0</v>
      </c>
      <c r="H80" s="104">
        <f>SUMIFS('caseload data'!J:J,'caseload data'!$D:$D,"PO",'caseload data'!$C:$C,'custody caseload'!$B$78,'caseload data'!$B:$B,"custody")</f>
        <v>0</v>
      </c>
      <c r="I80" s="104">
        <f>SUMIFS('caseload data'!K:K,'caseload data'!$D:$D,"PO",'caseload data'!$C:$C,'custody caseload'!$B$78,'caseload data'!$B:$B,"custody")</f>
        <v>0</v>
      </c>
      <c r="J80" s="104">
        <f>SUMIFS('caseload data'!L:L,'caseload data'!$D:$D,"PO",'caseload data'!$C:$C,'custody caseload'!$B$78,'caseload data'!$B:$B,"custody")</f>
        <v>0</v>
      </c>
      <c r="K80" s="104">
        <f>SUMIFS('caseload data'!M:M,'caseload data'!$D:$D,"PO",'caseload data'!$C:$C,'custody caseload'!$B$78,'caseload data'!$B:$B,"custody")</f>
        <v>0</v>
      </c>
      <c r="L80" s="104">
        <f>SUMIFS('caseload data'!N:N,'caseload data'!$D:$D,"PO",'caseload data'!$C:$C,'custody caseload'!$B$78,'caseload data'!$B:$B,"custody")</f>
        <v>0</v>
      </c>
      <c r="M80" s="104">
        <f>SUMIFS('caseload data'!O:O,'caseload data'!$D:$D,"PO",'caseload data'!$C:$C,'custody caseload'!$B$78,'caseload data'!$B:$B,"custody")</f>
        <v>0</v>
      </c>
      <c r="N80" s="104">
        <f>SUMIFS('caseload data'!P:P,'caseload data'!$D:$D,"PO",'caseload data'!$C:$C,'custody caseload'!$B$78,'caseload data'!$B:$B,"custody")</f>
        <v>0</v>
      </c>
      <c r="O80" s="104">
        <f>SUMIFS('caseload data'!Q:Q,'caseload data'!$D:$D,"PO",'caseload data'!$C:$C,'custody caseload'!$B$78,'caseload data'!$B:$B,"custody")</f>
        <v>0</v>
      </c>
      <c r="P80" s="104">
        <f>SUMIFS('caseload data'!R:R,'caseload data'!$D:$D,"PO",'caseload data'!$C:$C,'custody caseload'!$B$78,'caseload data'!$B:$B,"custody")</f>
        <v>0</v>
      </c>
      <c r="Q80" s="104">
        <f>SUMIFS('caseload data'!S:S,'caseload data'!$D:$D,"PO",'caseload data'!$C:$C,'custody caseload'!$B$78,'caseload data'!$B:$B,"custody")</f>
        <v>0</v>
      </c>
      <c r="R80" s="104">
        <f>SUMIFS('caseload data'!T:T,'caseload data'!$D:$D,"PO",'caseload data'!$C:$C,'custody caseload'!$B$78,'caseload data'!$B:$B,"custody")</f>
        <v>0</v>
      </c>
      <c r="T80" s="106" t="s">
        <v>911</v>
      </c>
      <c r="U80" s="104">
        <f>SUMIFS('caseload data'!E:E,'caseload data'!$D:$D,"PO",'caseload data'!$C:$C,'custody caseload'!$T$78,'caseload data'!$B:$B,"custody")</f>
        <v>0</v>
      </c>
      <c r="V80" s="104">
        <f>SUMIFS('caseload data'!F:F,'caseload data'!$D:$D,"PO",'caseload data'!$C:$C,'custody caseload'!$T$78,'caseload data'!$B:$B,"custody")</f>
        <v>0</v>
      </c>
      <c r="W80" s="104">
        <f>SUMIFS('caseload data'!G:G,'caseload data'!$D:$D,"PO",'caseload data'!$C:$C,'custody caseload'!$T$78,'caseload data'!$B:$B,"custody")</f>
        <v>0</v>
      </c>
      <c r="X80" s="104">
        <f>SUMIFS('caseload data'!H:H,'caseload data'!$D:$D,"PO",'caseload data'!$C:$C,'custody caseload'!$T$78,'caseload data'!$B:$B,"custody")</f>
        <v>0</v>
      </c>
      <c r="Y80" s="104">
        <f>SUMIFS('caseload data'!I:I,'caseload data'!$D:$D,"PO",'caseload data'!$C:$C,'custody caseload'!$T$78,'caseload data'!$B:$B,"custody")</f>
        <v>0</v>
      </c>
      <c r="Z80" s="104">
        <f>SUMIFS('caseload data'!J:J,'caseload data'!$D:$D,"PO",'caseload data'!$C:$C,'custody caseload'!$T$78,'caseload data'!$B:$B,"custody")</f>
        <v>0</v>
      </c>
      <c r="AA80" s="104">
        <f>SUMIFS('caseload data'!K:K,'caseload data'!$D:$D,"PO",'caseload data'!$C:$C,'custody caseload'!$T$78,'caseload data'!$B:$B,"custody")</f>
        <v>0</v>
      </c>
      <c r="AB80" s="104">
        <f>SUMIFS('caseload data'!L:L,'caseload data'!$D:$D,"PO",'caseload data'!$C:$C,'custody caseload'!$T$78,'caseload data'!$B:$B,"custody")</f>
        <v>0</v>
      </c>
      <c r="AC80" s="104">
        <f>SUMIFS('caseload data'!M:M,'caseload data'!$D:$D,"PO",'caseload data'!$C:$C,'custody caseload'!$T$78,'caseload data'!$B:$B,"custody")</f>
        <v>0</v>
      </c>
      <c r="AD80" s="104">
        <f>SUMIFS('caseload data'!N:N,'caseload data'!$D:$D,"PO",'caseload data'!$C:$C,'custody caseload'!$T$78,'caseload data'!$B:$B,"custody")</f>
        <v>0</v>
      </c>
      <c r="AE80" s="104">
        <f>SUMIFS('caseload data'!O:O,'caseload data'!$D:$D,"PO",'caseload data'!$C:$C,'custody caseload'!$T$78,'caseload data'!$B:$B,"custody")</f>
        <v>0</v>
      </c>
      <c r="AF80" s="104">
        <f>SUMIFS('caseload data'!P:P,'caseload data'!$D:$D,"PO",'caseload data'!$C:$C,'custody caseload'!$T$78,'caseload data'!$B:$B,"custody")</f>
        <v>0</v>
      </c>
      <c r="AG80" s="104">
        <f>SUMIFS('caseload data'!Q:Q,'caseload data'!$D:$D,"PO",'caseload data'!$C:$C,'custody caseload'!$T$78,'caseload data'!$B:$B,"custody")</f>
        <v>0</v>
      </c>
      <c r="AH80" s="104">
        <f>SUMIFS('caseload data'!R:R,'caseload data'!$D:$D,"PO",'caseload data'!$C:$C,'custody caseload'!$T$78,'caseload data'!$B:$B,"custody")</f>
        <v>0</v>
      </c>
      <c r="AI80" s="104">
        <f>SUMIFS('caseload data'!S:S,'caseload data'!$D:$D,"PO",'caseload data'!$C:$C,'custody caseload'!$T$78,'caseload data'!$B:$B,"custody")</f>
        <v>0</v>
      </c>
      <c r="AJ80" s="104">
        <f>SUMIFS('caseload data'!T:T,'caseload data'!$D:$D,"PO",'caseload data'!$C:$C,'custody caseload'!$T$78,'caseload data'!$B:$B,"custody")</f>
        <v>0</v>
      </c>
    </row>
    <row r="81" spans="2:36" ht="15" x14ac:dyDescent="0.2">
      <c r="B81" s="107" t="s">
        <v>912</v>
      </c>
      <c r="C81" s="159">
        <f>SUMIFS('caseload data'!E:E,'caseload data'!$D:$D,"PSO",'caseload data'!$C:$C,'custody caseload'!$B$78,'caseload data'!$B:$B,"custody")</f>
        <v>0</v>
      </c>
      <c r="D81" s="159">
        <f>SUMIFS('caseload data'!F:F,'caseload data'!$D:$D,"PSO",'caseload data'!$C:$C,'custody caseload'!$B$78,'caseload data'!$B:$B,"custody")</f>
        <v>0</v>
      </c>
      <c r="E81" s="159">
        <f>SUMIFS('caseload data'!G:G,'caseload data'!$D:$D,"PSO",'caseload data'!$C:$C,'custody caseload'!$B$78,'caseload data'!$B:$B,"custody")</f>
        <v>0</v>
      </c>
      <c r="F81" s="159">
        <f>SUMIFS('caseload data'!H:H,'caseload data'!$D:$D,"PSO",'caseload data'!$C:$C,'custody caseload'!$B$78,'caseload data'!$B:$B,"custody")</f>
        <v>0</v>
      </c>
      <c r="G81" s="159">
        <f>SUMIFS('caseload data'!I:I,'caseload data'!$D:$D,"PSO",'caseload data'!$C:$C,'custody caseload'!$B$78,'caseload data'!$B:$B,"custody")</f>
        <v>0</v>
      </c>
      <c r="H81" s="159">
        <f>SUMIFS('caseload data'!J:J,'caseload data'!$D:$D,"PSO",'caseload data'!$C:$C,'custody caseload'!$B$78,'caseload data'!$B:$B,"custody")</f>
        <v>0</v>
      </c>
      <c r="I81" s="159">
        <f>SUMIFS('caseload data'!K:K,'caseload data'!$D:$D,"PSO",'caseload data'!$C:$C,'custody caseload'!$B$78,'caseload data'!$B:$B,"custody")</f>
        <v>0</v>
      </c>
      <c r="J81" s="159">
        <f>SUMIFS('caseload data'!L:L,'caseload data'!$D:$D,"PSO",'caseload data'!$C:$C,'custody caseload'!$B$78,'caseload data'!$B:$B,"custody")</f>
        <v>0</v>
      </c>
      <c r="K81" s="104">
        <f>SUMIFS('caseload data'!M:M,'caseload data'!$D:$D,"PSO",'caseload data'!$C:$C,'custody caseload'!$B$78,'caseload data'!$B:$B,"custody")</f>
        <v>0</v>
      </c>
      <c r="L81" s="104">
        <f>SUMIFS('caseload data'!N:N,'caseload data'!$D:$D,"PSO",'caseload data'!$C:$C,'custody caseload'!$B$78,'caseload data'!$B:$B,"custody")</f>
        <v>0</v>
      </c>
      <c r="M81" s="104">
        <f>SUMIFS('caseload data'!O:O,'caseload data'!$D:$D,"PSO",'caseload data'!$C:$C,'custody caseload'!$B$78,'caseload data'!$B:$B,"custody")</f>
        <v>0</v>
      </c>
      <c r="N81" s="104">
        <f>SUMIFS('caseload data'!P:P,'caseload data'!$D:$D,"PSO",'caseload data'!$C:$C,'custody caseload'!$B$78,'caseload data'!$B:$B,"custody")</f>
        <v>0</v>
      </c>
      <c r="O81" s="104">
        <f>SUMIFS('caseload data'!Q:Q,'caseload data'!$D:$D,"PSO",'caseload data'!$C:$C,'custody caseload'!$B$78,'caseload data'!$B:$B,"custody")</f>
        <v>0</v>
      </c>
      <c r="P81" s="104">
        <f>SUMIFS('caseload data'!R:R,'caseload data'!$D:$D,"PSO",'caseload data'!$C:$C,'custody caseload'!$B$78,'caseload data'!$B:$B,"custody")</f>
        <v>0</v>
      </c>
      <c r="Q81" s="104">
        <f>SUMIFS('caseload data'!S:S,'caseload data'!$D:$D,"PSO",'caseload data'!$C:$C,'custody caseload'!$B$78,'caseload data'!$B:$B,"custody")</f>
        <v>0</v>
      </c>
      <c r="R81" s="104">
        <f>SUMIFS('caseload data'!T:T,'caseload data'!$D:$D,"PSO",'caseload data'!$C:$C,'custody caseload'!$B$78,'caseload data'!$B:$B,"custody")</f>
        <v>0</v>
      </c>
      <c r="T81" s="107" t="s">
        <v>912</v>
      </c>
      <c r="U81" s="159">
        <f>SUMIFS('caseload data'!E:E,'caseload data'!$D:$D,"PSO",'caseload data'!$C:$C,'custody caseload'!$T$78,'caseload data'!$B:$B,"custody")</f>
        <v>0</v>
      </c>
      <c r="V81" s="159">
        <f>SUMIFS('caseload data'!F:F,'caseload data'!$D:$D,"PSO",'caseload data'!$C:$C,'custody caseload'!$T$78,'caseload data'!$B:$B,"custody")</f>
        <v>0</v>
      </c>
      <c r="W81" s="159">
        <f>SUMIFS('caseload data'!G:G,'caseload data'!$D:$D,"PSO",'caseload data'!$C:$C,'custody caseload'!$T$78,'caseload data'!$B:$B,"custody")</f>
        <v>0</v>
      </c>
      <c r="X81" s="159">
        <f>SUMIFS('caseload data'!H:H,'caseload data'!$D:$D,"PSO",'caseload data'!$C:$C,'custody caseload'!$T$78,'caseload data'!$B:$B,"custody")</f>
        <v>0</v>
      </c>
      <c r="Y81" s="159">
        <f>SUMIFS('caseload data'!I:I,'caseload data'!$D:$D,"PSO",'caseload data'!$C:$C,'custody caseload'!$T$78,'caseload data'!$B:$B,"custody")</f>
        <v>0</v>
      </c>
      <c r="Z81" s="159">
        <f>SUMIFS('caseload data'!J:J,'caseload data'!$D:$D,"PSO",'caseload data'!$C:$C,'custody caseload'!$T$78,'caseload data'!$B:$B,"custody")</f>
        <v>0</v>
      </c>
      <c r="AA81" s="159">
        <f>SUMIFS('caseload data'!K:K,'caseload data'!$D:$D,"PSO",'caseload data'!$C:$C,'custody caseload'!$T$78,'caseload data'!$B:$B,"custody")</f>
        <v>0</v>
      </c>
      <c r="AB81" s="159">
        <f>SUMIFS('caseload data'!L:L,'caseload data'!$D:$D,"PSO",'caseload data'!$C:$C,'custody caseload'!$T$78,'caseload data'!$B:$B,"custody")</f>
        <v>0</v>
      </c>
      <c r="AC81" s="104">
        <f>SUMIFS('caseload data'!M:M,'caseload data'!$D:$D,"PSO",'caseload data'!$C:$C,'custody caseload'!$T$78,'caseload data'!$B:$B,"custody")</f>
        <v>0</v>
      </c>
      <c r="AD81" s="104">
        <f>SUMIFS('caseload data'!N:N,'caseload data'!$D:$D,"PSO",'caseload data'!$C:$C,'custody caseload'!$T$78,'caseload data'!$B:$B,"custody")</f>
        <v>0</v>
      </c>
      <c r="AE81" s="104">
        <f>SUMIFS('caseload data'!O:O,'caseload data'!$D:$D,"PSO",'caseload data'!$C:$C,'custody caseload'!$T$78,'caseload data'!$B:$B,"custody")</f>
        <v>0</v>
      </c>
      <c r="AF81" s="104">
        <f>SUMIFS('caseload data'!P:P,'caseload data'!$D:$D,"PSO",'caseload data'!$C:$C,'custody caseload'!$T$78,'caseload data'!$B:$B,"custody")</f>
        <v>0</v>
      </c>
      <c r="AG81" s="104">
        <f>SUMIFS('caseload data'!Q:Q,'caseload data'!$D:$D,"PSO",'caseload data'!$C:$C,'custody caseload'!$T$78,'caseload data'!$B:$B,"custody")</f>
        <v>0</v>
      </c>
      <c r="AH81" s="104">
        <f>SUMIFS('caseload data'!R:R,'caseload data'!$D:$D,"PSO",'caseload data'!$C:$C,'custody caseload'!$T$78,'caseload data'!$B:$B,"custody")</f>
        <v>0</v>
      </c>
      <c r="AI81" s="104">
        <f>SUMIFS('caseload data'!S:S,'caseload data'!$D:$D,"PSO",'caseload data'!$C:$C,'custody caseload'!$T$78,'caseload data'!$B:$B,"custody")</f>
        <v>0</v>
      </c>
      <c r="AJ81" s="104">
        <f>SUMIFS('caseload data'!T:T,'caseload data'!$D:$D,"PSO",'caseload data'!$C:$C,'custody caseload'!$T$78,'caseload data'!$B:$B,"custody")</f>
        <v>0</v>
      </c>
    </row>
    <row r="82" spans="2:36" ht="15" x14ac:dyDescent="0.2">
      <c r="B82" s="107" t="s">
        <v>913</v>
      </c>
      <c r="C82" s="159">
        <f>SUMIFS('caseload data'!E:E,'caseload data'!$D:$D,"TPO",'caseload data'!$C:$C,'custody caseload'!$B$78,'caseload data'!$B:$B,"custody")</f>
        <v>0</v>
      </c>
      <c r="D82" s="159">
        <f>SUMIFS('caseload data'!F:F,'caseload data'!$D:$D,"TPO",'caseload data'!$C:$C,'custody caseload'!$B$78,'caseload data'!$B:$B,"custody")</f>
        <v>0</v>
      </c>
      <c r="E82" s="159">
        <f>SUMIFS('caseload data'!G:G,'caseload data'!$D:$D,"TPO",'caseload data'!$C:$C,'custody caseload'!$B$78,'caseload data'!$B:$B,"custody")</f>
        <v>0</v>
      </c>
      <c r="F82" s="159">
        <f>SUMIFS('caseload data'!H:H,'caseload data'!$D:$D,"TPO",'caseload data'!$C:$C,'custody caseload'!$B$78,'caseload data'!$B:$B,"custody")</f>
        <v>0</v>
      </c>
      <c r="G82" s="159">
        <f>SUMIFS('caseload data'!I:I,'caseload data'!$D:$D,"TPO",'caseload data'!$C:$C,'custody caseload'!$B$78,'caseload data'!$B:$B,"custody")</f>
        <v>0</v>
      </c>
      <c r="H82" s="159">
        <f>SUMIFS('caseload data'!J:J,'caseload data'!$D:$D,"TPO",'caseload data'!$C:$C,'custody caseload'!$B$78,'caseload data'!$B:$B,"custody")</f>
        <v>0</v>
      </c>
      <c r="I82" s="159">
        <f>SUMIFS('caseload data'!K:K,'caseload data'!$D:$D,"TPO",'caseload data'!$C:$C,'custody caseload'!$B$78,'caseload data'!$B:$B,"custody")</f>
        <v>0</v>
      </c>
      <c r="J82" s="159">
        <f>SUMIFS('caseload data'!L:L,'caseload data'!$D:$D,"TPO",'caseload data'!$C:$C,'custody caseload'!$B$78,'caseload data'!$B:$B,"custody")</f>
        <v>0</v>
      </c>
      <c r="K82" s="104">
        <f>SUMIFS('caseload data'!M:M,'caseload data'!$D:$D,"TPO",'caseload data'!$C:$C,'custody caseload'!$B$78,'caseload data'!$B:$B,"custody")</f>
        <v>0</v>
      </c>
      <c r="L82" s="104">
        <f>SUMIFS('caseload data'!N:N,'caseload data'!$D:$D,"TPO",'caseload data'!$C:$C,'custody caseload'!$B$78,'caseload data'!$B:$B,"custody")</f>
        <v>0</v>
      </c>
      <c r="M82" s="104">
        <f>SUMIFS('caseload data'!O:O,'caseload data'!$D:$D,"TPO",'caseload data'!$C:$C,'custody caseload'!$B$78,'caseload data'!$B:$B,"custody")</f>
        <v>0</v>
      </c>
      <c r="N82" s="104">
        <f>SUMIFS('caseload data'!P:P,'caseload data'!$D:$D,"TPO",'caseload data'!$C:$C,'custody caseload'!$B$78,'caseload data'!$B:$B,"custody")</f>
        <v>0</v>
      </c>
      <c r="O82" s="104">
        <f>SUMIFS('caseload data'!Q:Q,'caseload data'!$D:$D,"TPO",'caseload data'!$C:$C,'custody caseload'!$B$78,'caseload data'!$B:$B,"custody")</f>
        <v>0</v>
      </c>
      <c r="P82" s="104">
        <f>SUMIFS('caseload data'!R:R,'caseload data'!$D:$D,"TPO",'caseload data'!$C:$C,'custody caseload'!$B$78,'caseload data'!$B:$B,"custody")</f>
        <v>0</v>
      </c>
      <c r="Q82" s="104">
        <f>SUMIFS('caseload data'!S:S,'caseload data'!$D:$D,"TPO",'caseload data'!$C:$C,'custody caseload'!$B$78,'caseload data'!$B:$B,"custody")</f>
        <v>0</v>
      </c>
      <c r="R82" s="104">
        <f>SUMIFS('caseload data'!T:T,'caseload data'!$D:$D,"TPO",'caseload data'!$C:$C,'custody caseload'!$B$78,'caseload data'!$B:$B,"custody")</f>
        <v>0</v>
      </c>
      <c r="T82" s="107" t="s">
        <v>913</v>
      </c>
      <c r="U82" s="159">
        <f>SUMIFS('caseload data'!E:E,'caseload data'!$D:$D,"TPO",'caseload data'!$C:$C,'custody caseload'!$T$78,'caseload data'!$B:$B,"custody")</f>
        <v>0</v>
      </c>
      <c r="V82" s="159">
        <f>SUMIFS('caseload data'!F:F,'caseload data'!$D:$D,"TPO",'caseload data'!$C:$C,'custody caseload'!$T$78,'caseload data'!$B:$B,"custody")</f>
        <v>0</v>
      </c>
      <c r="W82" s="159">
        <f>SUMIFS('caseload data'!G:G,'caseload data'!$D:$D,"TPO",'caseload data'!$C:$C,'custody caseload'!$T$78,'caseload data'!$B:$B,"custody")</f>
        <v>0</v>
      </c>
      <c r="X82" s="159">
        <f>SUMIFS('caseload data'!H:H,'caseload data'!$D:$D,"TPO",'caseload data'!$C:$C,'custody caseload'!$T$78,'caseload data'!$B:$B,"custody")</f>
        <v>0</v>
      </c>
      <c r="Y82" s="159">
        <f>SUMIFS('caseload data'!I:I,'caseload data'!$D:$D,"TPO",'caseload data'!$C:$C,'custody caseload'!$T$78,'caseload data'!$B:$B,"custody")</f>
        <v>0</v>
      </c>
      <c r="Z82" s="159">
        <f>SUMIFS('caseload data'!J:J,'caseload data'!$D:$D,"TPO",'caseload data'!$C:$C,'custody caseload'!$T$78,'caseload data'!$B:$B,"custody")</f>
        <v>0</v>
      </c>
      <c r="AA82" s="159">
        <f>SUMIFS('caseload data'!K:K,'caseload data'!$D:$D,"TPO",'caseload data'!$C:$C,'custody caseload'!$T$78,'caseload data'!$B:$B,"custody")</f>
        <v>0</v>
      </c>
      <c r="AB82" s="159">
        <f>SUMIFS('caseload data'!L:L,'caseload data'!$D:$D,"TPO",'caseload data'!$C:$C,'custody caseload'!$T$78,'caseload data'!$B:$B,"custody")</f>
        <v>0</v>
      </c>
      <c r="AC82" s="104">
        <f>SUMIFS('caseload data'!M:M,'caseload data'!$D:$D,"TPO",'caseload data'!$C:$C,'custody caseload'!$T$78,'caseload data'!$B:$B,"custody")</f>
        <v>0</v>
      </c>
      <c r="AD82" s="104">
        <f>SUMIFS('caseload data'!N:N,'caseload data'!$D:$D,"TPO",'caseload data'!$C:$C,'custody caseload'!$T$78,'caseload data'!$B:$B,"custody")</f>
        <v>0</v>
      </c>
      <c r="AE82" s="104">
        <f>SUMIFS('caseload data'!O:O,'caseload data'!$D:$D,"TPO",'caseload data'!$C:$C,'custody caseload'!$T$78,'caseload data'!$B:$B,"custody")</f>
        <v>0</v>
      </c>
      <c r="AF82" s="104">
        <f>SUMIFS('caseload data'!P:P,'caseload data'!$D:$D,"TPO",'caseload data'!$C:$C,'custody caseload'!$T$78,'caseload data'!$B:$B,"custody")</f>
        <v>0</v>
      </c>
      <c r="AG82" s="104">
        <f>SUMIFS('caseload data'!Q:Q,'caseload data'!$D:$D,"TPO",'caseload data'!$C:$C,'custody caseload'!$T$78,'caseload data'!$B:$B,"custody")</f>
        <v>0</v>
      </c>
      <c r="AH82" s="104">
        <f>SUMIFS('caseload data'!R:R,'caseload data'!$D:$D,"TPO",'caseload data'!$C:$C,'custody caseload'!$T$78,'caseload data'!$B:$B,"custody")</f>
        <v>0</v>
      </c>
      <c r="AI82" s="104">
        <f>SUMIFS('caseload data'!S:S,'caseload data'!$D:$D,"TPO",'caseload data'!$C:$C,'custody caseload'!$T$78,'caseload data'!$B:$B,"custody")</f>
        <v>0</v>
      </c>
      <c r="AJ82" s="104">
        <f>SUMIFS('caseload data'!T:T,'caseload data'!$D:$D,"TPO",'caseload data'!$C:$C,'custody caseload'!$T$78,'caseload data'!$B:$B,"custody")</f>
        <v>0</v>
      </c>
    </row>
    <row r="83" spans="2:36" x14ac:dyDescent="0.15">
      <c r="B83" s="108" t="s">
        <v>914</v>
      </c>
      <c r="C83" s="104">
        <f>SUMIFS('caseload data'!E:E,'caseload data'!$D:$D,"SPO",'caseload data'!$C:$C,'custody caseload'!$B$78,'caseload data'!$B:$B,"custody")</f>
        <v>0</v>
      </c>
      <c r="D83" s="104">
        <f>SUMIFS('caseload data'!F:F,'caseload data'!$D:$D,"SPO",'caseload data'!$C:$C,'custody caseload'!$B$78,'caseload data'!$B:$B,"custody")</f>
        <v>0</v>
      </c>
      <c r="E83" s="104">
        <f>SUMIFS('caseload data'!G:G,'caseload data'!$D:$D,"SPO",'caseload data'!$C:$C,'custody caseload'!$B$78,'caseload data'!$B:$B,"custody")</f>
        <v>0</v>
      </c>
      <c r="F83" s="104">
        <f>SUMIFS('caseload data'!H:H,'caseload data'!$D:$D,"SPO",'caseload data'!$C:$C,'custody caseload'!$B$78,'caseload data'!$B:$B,"custody")</f>
        <v>0</v>
      </c>
      <c r="G83" s="104">
        <f>SUMIFS('caseload data'!I:I,'caseload data'!$D:$D,"SPO",'caseload data'!$C:$C,'custody caseload'!$B$78,'caseload data'!$B:$B,"custody")</f>
        <v>0</v>
      </c>
      <c r="H83" s="104">
        <f>SUMIFS('caseload data'!J:J,'caseload data'!$D:$D,"SPO",'caseload data'!$C:$C,'custody caseload'!$B$78,'caseload data'!$B:$B,"custody")</f>
        <v>0</v>
      </c>
      <c r="I83" s="104">
        <f>SUMIFS('caseload data'!K:K,'caseload data'!$D:$D,"SPO",'caseload data'!$C:$C,'custody caseload'!$B$78,'caseload data'!$B:$B,"custody")</f>
        <v>0</v>
      </c>
      <c r="J83" s="104">
        <f>SUMIFS('caseload data'!L:L,'caseload data'!$D:$D,"SPO",'caseload data'!$C:$C,'custody caseload'!$B$78,'caseload data'!$B:$B,"custody")</f>
        <v>0</v>
      </c>
      <c r="K83" s="104">
        <f>SUMIFS('caseload data'!M:M,'caseload data'!$D:$D,"SPO",'caseload data'!$C:$C,'custody caseload'!$B$78,'caseload data'!$B:$B,"custody")</f>
        <v>0</v>
      </c>
      <c r="L83" s="104">
        <f>SUMIFS('caseload data'!N:N,'caseload data'!$D:$D,"SPO",'caseload data'!$C:$C,'custody caseload'!$B$78,'caseload data'!$B:$B,"custody")</f>
        <v>0</v>
      </c>
      <c r="M83" s="104">
        <f>SUMIFS('caseload data'!O:O,'caseload data'!$D:$D,"SPO",'caseload data'!$C:$C,'custody caseload'!$B$78,'caseload data'!$B:$B,"custody")</f>
        <v>0</v>
      </c>
      <c r="N83" s="104">
        <f>SUMIFS('caseload data'!P:P,'caseload data'!$D:$D,"SPO",'caseload data'!$C:$C,'custody caseload'!$B$78,'caseload data'!$B:$B,"custody")</f>
        <v>0</v>
      </c>
      <c r="O83" s="104">
        <f>SUMIFS('caseload data'!Q:Q,'caseload data'!$D:$D,"SPO",'caseload data'!$C:$C,'custody caseload'!$B$78,'caseload data'!$B:$B,"custody")</f>
        <v>0</v>
      </c>
      <c r="P83" s="104">
        <f>SUMIFS('caseload data'!R:R,'caseload data'!$D:$D,"SPO",'caseload data'!$C:$C,'custody caseload'!$B$78,'caseload data'!$B:$B,"custody")</f>
        <v>0</v>
      </c>
      <c r="Q83" s="104">
        <f>SUMIFS('caseload data'!S:S,'caseload data'!$D:$D,"SPO",'caseload data'!$C:$C,'custody caseload'!$B$78,'caseload data'!$B:$B,"custody")</f>
        <v>0</v>
      </c>
      <c r="R83" s="104">
        <f>SUMIFS('caseload data'!T:T,'caseload data'!$D:$D,"SPO",'caseload data'!$C:$C,'custody caseload'!$B$78,'caseload data'!$B:$B,"custody")</f>
        <v>0</v>
      </c>
      <c r="T83" s="108" t="s">
        <v>914</v>
      </c>
      <c r="U83" s="104">
        <f>SUMIFS('caseload data'!E:E,'caseload data'!$D:$D,"SPO",'caseload data'!$C:$C,'custody caseload'!$T$78,'caseload data'!$B:$B,"custody")</f>
        <v>0</v>
      </c>
      <c r="V83" s="104">
        <f>SUMIFS('caseload data'!F:F,'caseload data'!$D:$D,"SPO",'caseload data'!$C:$C,'custody caseload'!$T$78,'caseload data'!$B:$B,"custody")</f>
        <v>0</v>
      </c>
      <c r="W83" s="104">
        <f>SUMIFS('caseload data'!G:G,'caseload data'!$D:$D,"SPO",'caseload data'!$C:$C,'custody caseload'!$T$78,'caseload data'!$B:$B,"custody")</f>
        <v>0</v>
      </c>
      <c r="X83" s="104">
        <f>SUMIFS('caseload data'!H:H,'caseload data'!$D:$D,"SPO",'caseload data'!$C:$C,'custody caseload'!$T$78,'caseload data'!$B:$B,"custody")</f>
        <v>0</v>
      </c>
      <c r="Y83" s="104">
        <f>SUMIFS('caseload data'!I:I,'caseload data'!$D:$D,"SPO",'caseload data'!$C:$C,'custody caseload'!$T$78,'caseload data'!$B:$B,"custody")</f>
        <v>0</v>
      </c>
      <c r="Z83" s="104">
        <f>SUMIFS('caseload data'!J:J,'caseload data'!$D:$D,"SPO",'caseload data'!$C:$C,'custody caseload'!$T$78,'caseload data'!$B:$B,"custody")</f>
        <v>0</v>
      </c>
      <c r="AA83" s="104">
        <f>SUMIFS('caseload data'!K:K,'caseload data'!$D:$D,"SPO",'caseload data'!$C:$C,'custody caseload'!$T$78,'caseload data'!$B:$B,"custody")</f>
        <v>0</v>
      </c>
      <c r="AB83" s="104">
        <f>SUMIFS('caseload data'!L:L,'caseload data'!$D:$D,"SPO",'caseload data'!$C:$C,'custody caseload'!$T$78,'caseload data'!$B:$B,"custody")</f>
        <v>0</v>
      </c>
      <c r="AC83" s="104">
        <f>SUMIFS('caseload data'!M:M,'caseload data'!$D:$D,"SPO",'caseload data'!$C:$C,'custody caseload'!$T$78,'caseload data'!$B:$B,"custody")</f>
        <v>0</v>
      </c>
      <c r="AD83" s="104">
        <f>SUMIFS('caseload data'!N:N,'caseload data'!$D:$D,"SPO",'caseload data'!$C:$C,'custody caseload'!$T$78,'caseload data'!$B:$B,"custody")</f>
        <v>0</v>
      </c>
      <c r="AE83" s="104">
        <f>SUMIFS('caseload data'!O:O,'caseload data'!$D:$D,"SPO",'caseload data'!$C:$C,'custody caseload'!$T$78,'caseload data'!$B:$B,"custody")</f>
        <v>0</v>
      </c>
      <c r="AF83" s="104">
        <f>SUMIFS('caseload data'!P:P,'caseload data'!$D:$D,"SPO",'caseload data'!$C:$C,'custody caseload'!$T$78,'caseload data'!$B:$B,"custody")</f>
        <v>0</v>
      </c>
      <c r="AG83" s="104">
        <f>SUMIFS('caseload data'!Q:Q,'caseload data'!$D:$D,"SPO",'caseload data'!$C:$C,'custody caseload'!$T$78,'caseload data'!$B:$B,"custody")</f>
        <v>0</v>
      </c>
      <c r="AH83" s="104">
        <f>SUMIFS('caseload data'!R:R,'caseload data'!$D:$D,"SPO",'caseload data'!$C:$C,'custody caseload'!$T$78,'caseload data'!$B:$B,"custody")</f>
        <v>0</v>
      </c>
      <c r="AI83" s="104">
        <f>SUMIFS('caseload data'!S:S,'caseload data'!$D:$D,"SPO",'caseload data'!$C:$C,'custody caseload'!$T$78,'caseload data'!$B:$B,"custody")</f>
        <v>0</v>
      </c>
      <c r="AJ83" s="104">
        <f>SUMIFS('caseload data'!T:T,'caseload data'!$D:$D,"SPO",'caseload data'!$C:$C,'custody caseload'!$T$78,'caseload data'!$B:$B,"custody")</f>
        <v>0</v>
      </c>
    </row>
    <row r="85" spans="2:36" x14ac:dyDescent="0.15">
      <c r="B85" s="156" t="str">
        <f>HLOOKUP($B$5,Region_Table,24,0)</f>
        <v>Unpaid Work and Attendance Centres - N07</v>
      </c>
      <c r="C85" s="367" t="s">
        <v>1163</v>
      </c>
      <c r="D85" s="368"/>
      <c r="E85" s="368"/>
      <c r="F85" s="368"/>
      <c r="G85" s="368"/>
      <c r="H85" s="368"/>
      <c r="I85" s="368"/>
      <c r="J85" s="368"/>
      <c r="K85" s="368"/>
      <c r="L85" s="368"/>
      <c r="M85" s="377"/>
      <c r="N85" s="377"/>
      <c r="O85" s="378"/>
      <c r="P85" s="371">
        <f>SUMIFS('caseload data'!V:V,'caseload data'!B:B,"custody",'caseload data'!$C:$C,'custody caseload'!B85)</f>
        <v>0</v>
      </c>
      <c r="Q85" s="379"/>
      <c r="R85" s="380"/>
      <c r="T85" s="156" t="str">
        <f>HLOOKUP($B$5,Region_Table,25,0)</f>
        <v>Wandsworth, Merton and Sutton</v>
      </c>
      <c r="U85" s="367" t="s">
        <v>1163</v>
      </c>
      <c r="V85" s="368"/>
      <c r="W85" s="368"/>
      <c r="X85" s="368"/>
      <c r="Y85" s="368"/>
      <c r="Z85" s="368"/>
      <c r="AA85" s="368"/>
      <c r="AB85" s="368"/>
      <c r="AC85" s="368"/>
      <c r="AD85" s="368"/>
      <c r="AE85" s="377"/>
      <c r="AF85" s="377"/>
      <c r="AG85" s="378"/>
      <c r="AH85" s="371">
        <f>SUMIFS('caseload data'!V:V,'caseload data'!B:B,"custody",'caseload data'!$C:$C,'custody caseload'!T85)</f>
        <v>0</v>
      </c>
      <c r="AI85" s="379"/>
      <c r="AJ85" s="380"/>
    </row>
    <row r="86" spans="2:36" x14ac:dyDescent="0.15">
      <c r="B86" s="105" t="s">
        <v>1065</v>
      </c>
      <c r="C86" s="41" t="s">
        <v>922</v>
      </c>
      <c r="D86" s="41" t="s">
        <v>923</v>
      </c>
      <c r="E86" s="41" t="s">
        <v>924</v>
      </c>
      <c r="F86" s="41" t="s">
        <v>925</v>
      </c>
      <c r="G86" s="41" t="s">
        <v>926</v>
      </c>
      <c r="H86" s="41" t="s">
        <v>927</v>
      </c>
      <c r="I86" s="41" t="s">
        <v>928</v>
      </c>
      <c r="J86" s="41" t="s">
        <v>929</v>
      </c>
      <c r="K86" s="41" t="s">
        <v>930</v>
      </c>
      <c r="L86" s="41" t="s">
        <v>931</v>
      </c>
      <c r="M86" s="41" t="s">
        <v>932</v>
      </c>
      <c r="N86" s="41" t="s">
        <v>933</v>
      </c>
      <c r="O86" s="41" t="s">
        <v>934</v>
      </c>
      <c r="P86" s="41" t="s">
        <v>935</v>
      </c>
      <c r="Q86" s="41" t="s">
        <v>936</v>
      </c>
      <c r="R86" s="41" t="s">
        <v>937</v>
      </c>
      <c r="T86" s="105" t="s">
        <v>1065</v>
      </c>
      <c r="U86" s="41" t="s">
        <v>922</v>
      </c>
      <c r="V86" s="41" t="s">
        <v>923</v>
      </c>
      <c r="W86" s="41" t="s">
        <v>924</v>
      </c>
      <c r="X86" s="41" t="s">
        <v>925</v>
      </c>
      <c r="Y86" s="41" t="s">
        <v>926</v>
      </c>
      <c r="Z86" s="41" t="s">
        <v>927</v>
      </c>
      <c r="AA86" s="41" t="s">
        <v>928</v>
      </c>
      <c r="AB86" s="41" t="s">
        <v>929</v>
      </c>
      <c r="AC86" s="41" t="s">
        <v>930</v>
      </c>
      <c r="AD86" s="41" t="s">
        <v>931</v>
      </c>
      <c r="AE86" s="41" t="s">
        <v>932</v>
      </c>
      <c r="AF86" s="41" t="s">
        <v>933</v>
      </c>
      <c r="AG86" s="41" t="s">
        <v>934</v>
      </c>
      <c r="AH86" s="41" t="s">
        <v>935</v>
      </c>
      <c r="AI86" s="41" t="s">
        <v>936</v>
      </c>
      <c r="AJ86" s="41" t="s">
        <v>937</v>
      </c>
    </row>
    <row r="87" spans="2:36" x14ac:dyDescent="0.15">
      <c r="B87" s="106" t="s">
        <v>911</v>
      </c>
      <c r="C87" s="104">
        <f>SUMIFS('caseload data'!E:E,'caseload data'!$D:$D,"PO",'caseload data'!$C:$C,'custody caseload'!$B$85,'caseload data'!$B:$B,"custody")</f>
        <v>0</v>
      </c>
      <c r="D87" s="104">
        <f>SUMIFS('caseload data'!F:F,'caseload data'!$D:$D,"PO",'caseload data'!$C:$C,'custody caseload'!$B$85,'caseload data'!$B:$B,"custody")</f>
        <v>0</v>
      </c>
      <c r="E87" s="104">
        <f>SUMIFS('caseload data'!G:G,'caseload data'!$D:$D,"PO",'caseload data'!$C:$C,'custody caseload'!$B$85,'caseload data'!$B:$B,"custody")</f>
        <v>0</v>
      </c>
      <c r="F87" s="104">
        <f>SUMIFS('caseload data'!H:H,'caseload data'!$D:$D,"PO",'caseload data'!$C:$C,'custody caseload'!$B$85,'caseload data'!$B:$B,"custody")</f>
        <v>0</v>
      </c>
      <c r="G87" s="104">
        <f>SUMIFS('caseload data'!I:I,'caseload data'!$D:$D,"PO",'caseload data'!$C:$C,'custody caseload'!$B$85,'caseload data'!$B:$B,"custody")</f>
        <v>0</v>
      </c>
      <c r="H87" s="104">
        <f>SUMIFS('caseload data'!J:J,'caseload data'!$D:$D,"PO",'caseload data'!$C:$C,'custody caseload'!$B$85,'caseload data'!$B:$B,"custody")</f>
        <v>0</v>
      </c>
      <c r="I87" s="104">
        <f>SUMIFS('caseload data'!K:K,'caseload data'!$D:$D,"PO",'caseload data'!$C:$C,'custody caseload'!$B$85,'caseload data'!$B:$B,"custody")</f>
        <v>0</v>
      </c>
      <c r="J87" s="104">
        <f>SUMIFS('caseload data'!L:L,'caseload data'!$D:$D,"PO",'caseload data'!$C:$C,'custody caseload'!$B$85,'caseload data'!$B:$B,"custody")</f>
        <v>0</v>
      </c>
      <c r="K87" s="104">
        <f>SUMIFS('caseload data'!M:M,'caseload data'!$D:$D,"PO",'caseload data'!$C:$C,'custody caseload'!$B$85,'caseload data'!$B:$B,"custody")</f>
        <v>0</v>
      </c>
      <c r="L87" s="104">
        <f>SUMIFS('caseload data'!N:N,'caseload data'!$D:$D,"PO",'caseload data'!$C:$C,'custody caseload'!$B$85,'caseload data'!$B:$B,"custody")</f>
        <v>0</v>
      </c>
      <c r="M87" s="104">
        <f>SUMIFS('caseload data'!O:O,'caseload data'!$D:$D,"PO",'caseload data'!$C:$C,'custody caseload'!$B$85,'caseload data'!$B:$B,"custody")</f>
        <v>0</v>
      </c>
      <c r="N87" s="104">
        <f>SUMIFS('caseload data'!P:P,'caseload data'!$D:$D,"PO",'caseload data'!$C:$C,'custody caseload'!$B$85,'caseload data'!$B:$B,"custody")</f>
        <v>0</v>
      </c>
      <c r="O87" s="104">
        <f>SUMIFS('caseload data'!Q:Q,'caseload data'!$D:$D,"PO",'caseload data'!$C:$C,'custody caseload'!$B$85,'caseload data'!$B:$B,"custody")</f>
        <v>0</v>
      </c>
      <c r="P87" s="104">
        <f>SUMIFS('caseload data'!R:R,'caseload data'!$D:$D,"PO",'caseload data'!$C:$C,'custody caseload'!$B$85,'caseload data'!$B:$B,"custody")</f>
        <v>0</v>
      </c>
      <c r="Q87" s="104">
        <f>SUMIFS('caseload data'!S:S,'caseload data'!$D:$D,"PO",'caseload data'!$C:$C,'custody caseload'!$B$85,'caseload data'!$B:$B,"custody")</f>
        <v>0</v>
      </c>
      <c r="R87" s="104">
        <f>SUMIFS('caseload data'!T:T,'caseload data'!$D:$D,"PO",'caseload data'!$C:$C,'custody caseload'!$B$85,'caseload data'!$B:$B,"custody")</f>
        <v>0</v>
      </c>
      <c r="T87" s="106" t="s">
        <v>911</v>
      </c>
      <c r="U87" s="104">
        <f>SUMIFS('caseload data'!E:E,'caseload data'!$D:$D,"PO",'caseload data'!$C:$C,'custody caseload'!$T$85,'caseload data'!$B:$B,"custody")</f>
        <v>0</v>
      </c>
      <c r="V87" s="104">
        <f>SUMIFS('caseload data'!F:F,'caseload data'!$D:$D,"PO",'caseload data'!$C:$C,'custody caseload'!$T$85,'caseload data'!$B:$B,"custody")</f>
        <v>0</v>
      </c>
      <c r="W87" s="104">
        <f>SUMIFS('caseload data'!G:G,'caseload data'!$D:$D,"PO",'caseload data'!$C:$C,'custody caseload'!$T$85,'caseload data'!$B:$B,"custody")</f>
        <v>0</v>
      </c>
      <c r="X87" s="104">
        <f>SUMIFS('caseload data'!H:H,'caseload data'!$D:$D,"PO",'caseload data'!$C:$C,'custody caseload'!$T$85,'caseload data'!$B:$B,"custody")</f>
        <v>0</v>
      </c>
      <c r="Y87" s="104">
        <f>SUMIFS('caseload data'!I:I,'caseload data'!$D:$D,"PO",'caseload data'!$C:$C,'custody caseload'!$T$85,'caseload data'!$B:$B,"custody")</f>
        <v>0</v>
      </c>
      <c r="Z87" s="104">
        <f>SUMIFS('caseload data'!J:J,'caseload data'!$D:$D,"PO",'caseload data'!$C:$C,'custody caseload'!$T$85,'caseload data'!$B:$B,"custody")</f>
        <v>0</v>
      </c>
      <c r="AA87" s="104">
        <f>SUMIFS('caseload data'!K:K,'caseload data'!$D:$D,"PO",'caseload data'!$C:$C,'custody caseload'!$T$85,'caseload data'!$B:$B,"custody")</f>
        <v>0</v>
      </c>
      <c r="AB87" s="104">
        <f>SUMIFS('caseload data'!L:L,'caseload data'!$D:$D,"PO",'caseload data'!$C:$C,'custody caseload'!$T$85,'caseload data'!$B:$B,"custody")</f>
        <v>0</v>
      </c>
      <c r="AC87" s="104">
        <f>SUMIFS('caseload data'!M:M,'caseload data'!$D:$D,"PO",'caseload data'!$C:$C,'custody caseload'!$T$85,'caseload data'!$B:$B,"custody")</f>
        <v>0</v>
      </c>
      <c r="AD87" s="104">
        <f>SUMIFS('caseload data'!N:N,'caseload data'!$D:$D,"PO",'caseload data'!$C:$C,'custody caseload'!$T$85,'caseload data'!$B:$B,"custody")</f>
        <v>0</v>
      </c>
      <c r="AE87" s="104">
        <f>SUMIFS('caseload data'!O:O,'caseload data'!$D:$D,"PO",'caseload data'!$C:$C,'custody caseload'!$T$85,'caseload data'!$B:$B,"custody")</f>
        <v>0</v>
      </c>
      <c r="AF87" s="104">
        <f>SUMIFS('caseload data'!P:P,'caseload data'!$D:$D,"PO",'caseload data'!$C:$C,'custody caseload'!$T$85,'caseload data'!$B:$B,"custody")</f>
        <v>0</v>
      </c>
      <c r="AG87" s="104">
        <f>SUMIFS('caseload data'!Q:Q,'caseload data'!$D:$D,"PO",'caseload data'!$C:$C,'custody caseload'!$T$85,'caseload data'!$B:$B,"custody")</f>
        <v>0</v>
      </c>
      <c r="AH87" s="104">
        <f>SUMIFS('caseload data'!R:R,'caseload data'!$D:$D,"PO",'caseload data'!$C:$C,'custody caseload'!$T$85,'caseload data'!$B:$B,"custody")</f>
        <v>0</v>
      </c>
      <c r="AI87" s="104">
        <f>SUMIFS('caseload data'!S:S,'caseload data'!$D:$D,"PO",'caseload data'!$C:$C,'custody caseload'!$T$85,'caseload data'!$B:$B,"custody")</f>
        <v>0</v>
      </c>
      <c r="AJ87" s="104">
        <f>SUMIFS('caseload data'!T:T,'caseload data'!$D:$D,"PO",'caseload data'!$C:$C,'custody caseload'!$T$85,'caseload data'!$B:$B,"custody")</f>
        <v>0</v>
      </c>
    </row>
    <row r="88" spans="2:36" ht="15" x14ac:dyDescent="0.2">
      <c r="B88" s="107" t="s">
        <v>912</v>
      </c>
      <c r="C88" s="159">
        <f>SUMIFS('caseload data'!E:E,'caseload data'!$D:$D,"PSO",'caseload data'!$C:$C,'custody caseload'!$B$85,'caseload data'!$B:$B,"custody")</f>
        <v>0</v>
      </c>
      <c r="D88" s="159">
        <f>SUMIFS('caseload data'!F:F,'caseload data'!$D:$D,"PSO",'caseload data'!$C:$C,'custody caseload'!$B$85,'caseload data'!$B:$B,"custody")</f>
        <v>0</v>
      </c>
      <c r="E88" s="159">
        <f>SUMIFS('caseload data'!G:G,'caseload data'!$D:$D,"PSO",'caseload data'!$C:$C,'custody caseload'!$B$85,'caseload data'!$B:$B,"custody")</f>
        <v>0</v>
      </c>
      <c r="F88" s="159">
        <f>SUMIFS('caseload data'!H:H,'caseload data'!$D:$D,"PSO",'caseload data'!$C:$C,'custody caseload'!$B$85,'caseload data'!$B:$B,"custody")</f>
        <v>0</v>
      </c>
      <c r="G88" s="159">
        <f>SUMIFS('caseload data'!I:I,'caseload data'!$D:$D,"PSO",'caseload data'!$C:$C,'custody caseload'!$B$85,'caseload data'!$B:$B,"custody")</f>
        <v>0</v>
      </c>
      <c r="H88" s="159">
        <f>SUMIFS('caseload data'!J:J,'caseload data'!$D:$D,"PSO",'caseload data'!$C:$C,'custody caseload'!$B$85,'caseload data'!$B:$B,"custody")</f>
        <v>0</v>
      </c>
      <c r="I88" s="159">
        <f>SUMIFS('caseload data'!K:K,'caseload data'!$D:$D,"PSO",'caseload data'!$C:$C,'custody caseload'!$B$85,'caseload data'!$B:$B,"custody")</f>
        <v>0</v>
      </c>
      <c r="J88" s="159">
        <f>SUMIFS('caseload data'!L:L,'caseload data'!$D:$D,"PSO",'caseload data'!$C:$C,'custody caseload'!$B$85,'caseload data'!$B:$B,"custody")</f>
        <v>0</v>
      </c>
      <c r="K88" s="104">
        <f>SUMIFS('caseload data'!M:M,'caseload data'!$D:$D,"PSO",'caseload data'!$C:$C,'custody caseload'!$B$85,'caseload data'!$B:$B,"custody")</f>
        <v>0</v>
      </c>
      <c r="L88" s="104">
        <f>SUMIFS('caseload data'!N:N,'caseload data'!$D:$D,"PSO",'caseload data'!$C:$C,'custody caseload'!$B$85,'caseload data'!$B:$B,"custody")</f>
        <v>0</v>
      </c>
      <c r="M88" s="104">
        <f>SUMIFS('caseload data'!O:O,'caseload data'!$D:$D,"PSO",'caseload data'!$C:$C,'custody caseload'!$B$85,'caseload data'!$B:$B,"custody")</f>
        <v>0</v>
      </c>
      <c r="N88" s="104">
        <f>SUMIFS('caseload data'!P:P,'caseload data'!$D:$D,"PSO",'caseload data'!$C:$C,'custody caseload'!$B$85,'caseload data'!$B:$B,"custody")</f>
        <v>0</v>
      </c>
      <c r="O88" s="104">
        <f>SUMIFS('caseload data'!Q:Q,'caseload data'!$D:$D,"PSO",'caseload data'!$C:$C,'custody caseload'!$B$85,'caseload data'!$B:$B,"custody")</f>
        <v>0</v>
      </c>
      <c r="P88" s="104">
        <f>SUMIFS('caseload data'!R:R,'caseload data'!$D:$D,"PSO",'caseload data'!$C:$C,'custody caseload'!$B$85,'caseload data'!$B:$B,"custody")</f>
        <v>0</v>
      </c>
      <c r="Q88" s="104">
        <f>SUMIFS('caseload data'!S:S,'caseload data'!$D:$D,"PSO",'caseload data'!$C:$C,'custody caseload'!$B$85,'caseload data'!$B:$B,"custody")</f>
        <v>0</v>
      </c>
      <c r="R88" s="104">
        <f>SUMIFS('caseload data'!T:T,'caseload data'!$D:$D,"PSO",'caseload data'!$C:$C,'custody caseload'!$B$85,'caseload data'!$B:$B,"custody")</f>
        <v>0</v>
      </c>
      <c r="T88" s="107" t="s">
        <v>912</v>
      </c>
      <c r="U88" s="159">
        <f>SUMIFS('caseload data'!E:E,'caseload data'!$D:$D,"PSO",'caseload data'!$C:$C,'custody caseload'!$T$85,'caseload data'!$B:$B,"custody")</f>
        <v>0</v>
      </c>
      <c r="V88" s="159">
        <f>SUMIFS('caseload data'!F:F,'caseload data'!$D:$D,"PSO",'caseload data'!$C:$C,'custody caseload'!$T$85,'caseload data'!$B:$B,"custody")</f>
        <v>0</v>
      </c>
      <c r="W88" s="159">
        <f>SUMIFS('caseload data'!G:G,'caseload data'!$D:$D,"PSO",'caseload data'!$C:$C,'custody caseload'!$T$85,'caseload data'!$B:$B,"custody")</f>
        <v>0</v>
      </c>
      <c r="X88" s="159">
        <f>SUMIFS('caseload data'!H:H,'caseload data'!$D:$D,"PSO",'caseload data'!$C:$C,'custody caseload'!$T$85,'caseload data'!$B:$B,"custody")</f>
        <v>0</v>
      </c>
      <c r="Y88" s="159">
        <f>SUMIFS('caseload data'!I:I,'caseload data'!$D:$D,"PSO",'caseload data'!$C:$C,'custody caseload'!$T$85,'caseload data'!$B:$B,"custody")</f>
        <v>0</v>
      </c>
      <c r="Z88" s="159">
        <f>SUMIFS('caseload data'!J:J,'caseload data'!$D:$D,"PSO",'caseload data'!$C:$C,'custody caseload'!$T$85,'caseload data'!$B:$B,"custody")</f>
        <v>0</v>
      </c>
      <c r="AA88" s="159">
        <f>SUMIFS('caseload data'!K:K,'caseload data'!$D:$D,"PSO",'caseload data'!$C:$C,'custody caseload'!$T$85,'caseload data'!$B:$B,"custody")</f>
        <v>0</v>
      </c>
      <c r="AB88" s="159">
        <f>SUMIFS('caseload data'!L:L,'caseload data'!$D:$D,"PSO",'caseload data'!$C:$C,'custody caseload'!$T$85,'caseload data'!$B:$B,"custody")</f>
        <v>0</v>
      </c>
      <c r="AC88" s="104">
        <f>SUMIFS('caseload data'!M:M,'caseload data'!$D:$D,"PSO",'caseload data'!$C:$C,'custody caseload'!$T$85,'caseload data'!$B:$B,"custody")</f>
        <v>0</v>
      </c>
      <c r="AD88" s="104">
        <f>SUMIFS('caseload data'!N:N,'caseload data'!$D:$D,"PSO",'caseload data'!$C:$C,'custody caseload'!$T$85,'caseload data'!$B:$B,"custody")</f>
        <v>0</v>
      </c>
      <c r="AE88" s="104">
        <f>SUMIFS('caseload data'!O:O,'caseload data'!$D:$D,"PSO",'caseload data'!$C:$C,'custody caseload'!$T$85,'caseload data'!$B:$B,"custody")</f>
        <v>0</v>
      </c>
      <c r="AF88" s="104">
        <f>SUMIFS('caseload data'!P:P,'caseload data'!$D:$D,"PSO",'caseload data'!$C:$C,'custody caseload'!$T$85,'caseload data'!$B:$B,"custody")</f>
        <v>0</v>
      </c>
      <c r="AG88" s="104">
        <f>SUMIFS('caseload data'!Q:Q,'caseload data'!$D:$D,"PSO",'caseload data'!$C:$C,'custody caseload'!$T$85,'caseload data'!$B:$B,"custody")</f>
        <v>0</v>
      </c>
      <c r="AH88" s="104">
        <f>SUMIFS('caseload data'!R:R,'caseload data'!$D:$D,"PSO",'caseload data'!$C:$C,'custody caseload'!$T$85,'caseload data'!$B:$B,"custody")</f>
        <v>0</v>
      </c>
      <c r="AI88" s="104">
        <f>SUMIFS('caseload data'!S:S,'caseload data'!$D:$D,"PSO",'caseload data'!$C:$C,'custody caseload'!$T$85,'caseload data'!$B:$B,"custody")</f>
        <v>0</v>
      </c>
      <c r="AJ88" s="104">
        <f>SUMIFS('caseload data'!T:T,'caseload data'!$D:$D,"PSO",'caseload data'!$C:$C,'custody caseload'!$T$85,'caseload data'!$B:$B,"custody")</f>
        <v>0</v>
      </c>
    </row>
    <row r="89" spans="2:36" ht="15" x14ac:dyDescent="0.2">
      <c r="B89" s="107" t="s">
        <v>913</v>
      </c>
      <c r="C89" s="159">
        <f>SUMIFS('caseload data'!E:E,'caseload data'!$D:$D,"TPO",'caseload data'!$C:$C,'custody caseload'!$B$85,'caseload data'!$B:$B,"custody")</f>
        <v>0</v>
      </c>
      <c r="D89" s="159">
        <f>SUMIFS('caseload data'!F:F,'caseload data'!$D:$D,"TPO",'caseload data'!$C:$C,'custody caseload'!$B$85,'caseload data'!$B:$B,"custody")</f>
        <v>0</v>
      </c>
      <c r="E89" s="159">
        <f>SUMIFS('caseload data'!G:G,'caseload data'!$D:$D,"TPO",'caseload data'!$C:$C,'custody caseload'!$B$85,'caseload data'!$B:$B,"custody")</f>
        <v>0</v>
      </c>
      <c r="F89" s="159">
        <f>SUMIFS('caseload data'!H:H,'caseload data'!$D:$D,"TPO",'caseload data'!$C:$C,'custody caseload'!$B$85,'caseload data'!$B:$B,"custody")</f>
        <v>0</v>
      </c>
      <c r="G89" s="159">
        <f>SUMIFS('caseload data'!I:I,'caseload data'!$D:$D,"TPO",'caseload data'!$C:$C,'custody caseload'!$B$85,'caseload data'!$B:$B,"custody")</f>
        <v>0</v>
      </c>
      <c r="H89" s="159">
        <f>SUMIFS('caseload data'!J:J,'caseload data'!$D:$D,"TPO",'caseload data'!$C:$C,'custody caseload'!$B$85,'caseload data'!$B:$B,"custody")</f>
        <v>0</v>
      </c>
      <c r="I89" s="159">
        <f>SUMIFS('caseload data'!K:K,'caseload data'!$D:$D,"TPO",'caseload data'!$C:$C,'custody caseload'!$B$85,'caseload data'!$B:$B,"custody")</f>
        <v>0</v>
      </c>
      <c r="J89" s="159">
        <f>SUMIFS('caseload data'!L:L,'caseload data'!$D:$D,"TPO",'caseload data'!$C:$C,'custody caseload'!$B$85,'caseload data'!$B:$B,"custody")</f>
        <v>0</v>
      </c>
      <c r="K89" s="104">
        <f>SUMIFS('caseload data'!M:M,'caseload data'!$D:$D,"TPO",'caseload data'!$C:$C,'custody caseload'!$B$85,'caseload data'!$B:$B,"custody")</f>
        <v>0</v>
      </c>
      <c r="L89" s="104">
        <f>SUMIFS('caseload data'!N:N,'caseload data'!$D:$D,"TPO",'caseload data'!$C:$C,'custody caseload'!$B$85,'caseload data'!$B:$B,"custody")</f>
        <v>0</v>
      </c>
      <c r="M89" s="104">
        <f>SUMIFS('caseload data'!O:O,'caseload data'!$D:$D,"TPO",'caseload data'!$C:$C,'custody caseload'!$B$85,'caseload data'!$B:$B,"custody")</f>
        <v>0</v>
      </c>
      <c r="N89" s="104">
        <f>SUMIFS('caseload data'!P:P,'caseload data'!$D:$D,"TPO",'caseload data'!$C:$C,'custody caseload'!$B$85,'caseload data'!$B:$B,"custody")</f>
        <v>0</v>
      </c>
      <c r="O89" s="104">
        <f>SUMIFS('caseload data'!Q:Q,'caseload data'!$D:$D,"TPO",'caseload data'!$C:$C,'custody caseload'!$B$85,'caseload data'!$B:$B,"custody")</f>
        <v>0</v>
      </c>
      <c r="P89" s="104">
        <f>SUMIFS('caseload data'!R:R,'caseload data'!$D:$D,"TPO",'caseload data'!$C:$C,'custody caseload'!$B$85,'caseload data'!$B:$B,"custody")</f>
        <v>0</v>
      </c>
      <c r="Q89" s="104">
        <f>SUMIFS('caseload data'!S:S,'caseload data'!$D:$D,"TPO",'caseload data'!$C:$C,'custody caseload'!$B$85,'caseload data'!$B:$B,"custody")</f>
        <v>0</v>
      </c>
      <c r="R89" s="104">
        <f>SUMIFS('caseload data'!T:T,'caseload data'!$D:$D,"TPO",'caseload data'!$C:$C,'custody caseload'!$B$85,'caseload data'!$B:$B,"custody")</f>
        <v>0</v>
      </c>
      <c r="T89" s="107" t="s">
        <v>913</v>
      </c>
      <c r="U89" s="159">
        <f>SUMIFS('caseload data'!E:E,'caseload data'!$D:$D,"TPO",'caseload data'!$C:$C,'custody caseload'!$T$85,'caseload data'!$B:$B,"custody")</f>
        <v>0</v>
      </c>
      <c r="V89" s="159">
        <f>SUMIFS('caseload data'!F:F,'caseload data'!$D:$D,"TPO",'caseload data'!$C:$C,'custody caseload'!$T$85,'caseload data'!$B:$B,"custody")</f>
        <v>0</v>
      </c>
      <c r="W89" s="159">
        <f>SUMIFS('caseload data'!G:G,'caseload data'!$D:$D,"TPO",'caseload data'!$C:$C,'custody caseload'!$T$85,'caseload data'!$B:$B,"custody")</f>
        <v>0</v>
      </c>
      <c r="X89" s="159">
        <f>SUMIFS('caseload data'!H:H,'caseload data'!$D:$D,"TPO",'caseload data'!$C:$C,'custody caseload'!$T$85,'caseload data'!$B:$B,"custody")</f>
        <v>0</v>
      </c>
      <c r="Y89" s="159">
        <f>SUMIFS('caseload data'!I:I,'caseload data'!$D:$D,"TPO",'caseload data'!$C:$C,'custody caseload'!$T$85,'caseload data'!$B:$B,"custody")</f>
        <v>0</v>
      </c>
      <c r="Z89" s="159">
        <f>SUMIFS('caseload data'!J:J,'caseload data'!$D:$D,"TPO",'caseload data'!$C:$C,'custody caseload'!$T$85,'caseload data'!$B:$B,"custody")</f>
        <v>0</v>
      </c>
      <c r="AA89" s="159">
        <f>SUMIFS('caseload data'!K:K,'caseload data'!$D:$D,"TPO",'caseload data'!$C:$C,'custody caseload'!$T$85,'caseload data'!$B:$B,"custody")</f>
        <v>0</v>
      </c>
      <c r="AB89" s="159">
        <f>SUMIFS('caseload data'!L:L,'caseload data'!$D:$D,"TPO",'caseload data'!$C:$C,'custody caseload'!$T$85,'caseload data'!$B:$B,"custody")</f>
        <v>0</v>
      </c>
      <c r="AC89" s="104">
        <f>SUMIFS('caseload data'!M:M,'caseload data'!$D:$D,"TPO",'caseload data'!$C:$C,'custody caseload'!$T$85,'caseload data'!$B:$B,"custody")</f>
        <v>0</v>
      </c>
      <c r="AD89" s="104">
        <f>SUMIFS('caseload data'!N:N,'caseload data'!$D:$D,"TPO",'caseload data'!$C:$C,'custody caseload'!$T$85,'caseload data'!$B:$B,"custody")</f>
        <v>0</v>
      </c>
      <c r="AE89" s="104">
        <f>SUMIFS('caseload data'!O:O,'caseload data'!$D:$D,"TPO",'caseload data'!$C:$C,'custody caseload'!$T$85,'caseload data'!$B:$B,"custody")</f>
        <v>0</v>
      </c>
      <c r="AF89" s="104">
        <f>SUMIFS('caseload data'!P:P,'caseload data'!$D:$D,"TPO",'caseload data'!$C:$C,'custody caseload'!$T$85,'caseload data'!$B:$B,"custody")</f>
        <v>0</v>
      </c>
      <c r="AG89" s="104">
        <f>SUMIFS('caseload data'!Q:Q,'caseload data'!$D:$D,"TPO",'caseload data'!$C:$C,'custody caseload'!$T$85,'caseload data'!$B:$B,"custody")</f>
        <v>0</v>
      </c>
      <c r="AH89" s="104">
        <f>SUMIFS('caseload data'!R:R,'caseload data'!$D:$D,"TPO",'caseload data'!$C:$C,'custody caseload'!$T$85,'caseload data'!$B:$B,"custody")</f>
        <v>0</v>
      </c>
      <c r="AI89" s="104">
        <f>SUMIFS('caseload data'!S:S,'caseload data'!$D:$D,"TPO",'caseload data'!$C:$C,'custody caseload'!$T$85,'caseload data'!$B:$B,"custody")</f>
        <v>0</v>
      </c>
      <c r="AJ89" s="104">
        <f>SUMIFS('caseload data'!T:T,'caseload data'!$D:$D,"TPO",'caseload data'!$C:$C,'custody caseload'!$T$85,'caseload data'!$B:$B,"custody")</f>
        <v>0</v>
      </c>
    </row>
    <row r="90" spans="2:36" x14ac:dyDescent="0.15">
      <c r="B90" s="108" t="s">
        <v>914</v>
      </c>
      <c r="C90" s="104">
        <f>SUMIFS('caseload data'!E:E,'caseload data'!$D:$D,"SPO",'caseload data'!$C:$C,'custody caseload'!$B$85,'caseload data'!$B:$B,"custody")</f>
        <v>0</v>
      </c>
      <c r="D90" s="104">
        <f>SUMIFS('caseload data'!F:F,'caseload data'!$D:$D,"SPO",'caseload data'!$C:$C,'custody caseload'!$B$85,'caseload data'!$B:$B,"custody")</f>
        <v>0</v>
      </c>
      <c r="E90" s="104">
        <f>SUMIFS('caseload data'!G:G,'caseload data'!$D:$D,"SPO",'caseload data'!$C:$C,'custody caseload'!$B$85,'caseload data'!$B:$B,"custody")</f>
        <v>0</v>
      </c>
      <c r="F90" s="104">
        <f>SUMIFS('caseload data'!H:H,'caseload data'!$D:$D,"SPO",'caseload data'!$C:$C,'custody caseload'!$B$85,'caseload data'!$B:$B,"custody")</f>
        <v>0</v>
      </c>
      <c r="G90" s="104">
        <f>SUMIFS('caseload data'!I:I,'caseload data'!$D:$D,"SPO",'caseload data'!$C:$C,'custody caseload'!$B$85,'caseload data'!$B:$B,"custody")</f>
        <v>0</v>
      </c>
      <c r="H90" s="104">
        <f>SUMIFS('caseload data'!J:J,'caseload data'!$D:$D,"SPO",'caseload data'!$C:$C,'custody caseload'!$B$85,'caseload data'!$B:$B,"custody")</f>
        <v>0</v>
      </c>
      <c r="I90" s="104">
        <f>SUMIFS('caseload data'!K:K,'caseload data'!$D:$D,"SPO",'caseload data'!$C:$C,'custody caseload'!$B$85,'caseload data'!$B:$B,"custody")</f>
        <v>0</v>
      </c>
      <c r="J90" s="104">
        <f>SUMIFS('caseload data'!L:L,'caseload data'!$D:$D,"SPO",'caseload data'!$C:$C,'custody caseload'!$B$85,'caseload data'!$B:$B,"custody")</f>
        <v>0</v>
      </c>
      <c r="K90" s="104">
        <f>SUMIFS('caseload data'!M:M,'caseload data'!$D:$D,"SPO",'caseload data'!$C:$C,'custody caseload'!$B$85,'caseload data'!$B:$B,"custody")</f>
        <v>0</v>
      </c>
      <c r="L90" s="104">
        <f>SUMIFS('caseload data'!N:N,'caseload data'!$D:$D,"SPO",'caseload data'!$C:$C,'custody caseload'!$B$85,'caseload data'!$B:$B,"custody")</f>
        <v>0</v>
      </c>
      <c r="M90" s="104">
        <f>SUMIFS('caseload data'!O:O,'caseload data'!$D:$D,"SPO",'caseload data'!$C:$C,'custody caseload'!$B$85,'caseload data'!$B:$B,"custody")</f>
        <v>0</v>
      </c>
      <c r="N90" s="104">
        <f>SUMIFS('caseload data'!P:P,'caseload data'!$D:$D,"SPO",'caseload data'!$C:$C,'custody caseload'!$B$85,'caseload data'!$B:$B,"custody")</f>
        <v>0</v>
      </c>
      <c r="O90" s="104">
        <f>SUMIFS('caseload data'!Q:Q,'caseload data'!$D:$D,"SPO",'caseload data'!$C:$C,'custody caseload'!$B$85,'caseload data'!$B:$B,"custody")</f>
        <v>0</v>
      </c>
      <c r="P90" s="104">
        <f>SUMIFS('caseload data'!R:R,'caseload data'!$D:$D,"SPO",'caseload data'!$C:$C,'custody caseload'!$B$85,'caseload data'!$B:$B,"custody")</f>
        <v>0</v>
      </c>
      <c r="Q90" s="104">
        <f>SUMIFS('caseload data'!S:S,'caseload data'!$D:$D,"SPO",'caseload data'!$C:$C,'custody caseload'!$B$85,'caseload data'!$B:$B,"custody")</f>
        <v>0</v>
      </c>
      <c r="R90" s="104">
        <f>SUMIFS('caseload data'!T:T,'caseload data'!$D:$D,"SPO",'caseload data'!$C:$C,'custody caseload'!$B$85,'caseload data'!$B:$B,"custody")</f>
        <v>0</v>
      </c>
      <c r="T90" s="108" t="s">
        <v>914</v>
      </c>
      <c r="U90" s="104">
        <f>SUMIFS('caseload data'!E:E,'caseload data'!$D:$D,"SPO",'caseload data'!$C:$C,'custody caseload'!$T$85,'caseload data'!$B:$B,"custody")</f>
        <v>0</v>
      </c>
      <c r="V90" s="104">
        <f>SUMIFS('caseload data'!F:F,'caseload data'!$D:$D,"SPO",'caseload data'!$C:$C,'custody caseload'!$T$85,'caseload data'!$B:$B,"custody")</f>
        <v>0</v>
      </c>
      <c r="W90" s="104">
        <f>SUMIFS('caseload data'!G:G,'caseload data'!$D:$D,"SPO",'caseload data'!$C:$C,'custody caseload'!$T$85,'caseload data'!$B:$B,"custody")</f>
        <v>0</v>
      </c>
      <c r="X90" s="104">
        <f>SUMIFS('caseload data'!H:H,'caseload data'!$D:$D,"SPO",'caseload data'!$C:$C,'custody caseload'!$T$85,'caseload data'!$B:$B,"custody")</f>
        <v>0</v>
      </c>
      <c r="Y90" s="104">
        <f>SUMIFS('caseload data'!I:I,'caseload data'!$D:$D,"SPO",'caseload data'!$C:$C,'custody caseload'!$T$85,'caseload data'!$B:$B,"custody")</f>
        <v>0</v>
      </c>
      <c r="Z90" s="104">
        <f>SUMIFS('caseload data'!J:J,'caseload data'!$D:$D,"SPO",'caseload data'!$C:$C,'custody caseload'!$T$85,'caseload data'!$B:$B,"custody")</f>
        <v>0</v>
      </c>
      <c r="AA90" s="104">
        <f>SUMIFS('caseload data'!K:K,'caseload data'!$D:$D,"SPO",'caseload data'!$C:$C,'custody caseload'!$T$85,'caseload data'!$B:$B,"custody")</f>
        <v>0</v>
      </c>
      <c r="AB90" s="104">
        <f>SUMIFS('caseload data'!L:L,'caseload data'!$D:$D,"SPO",'caseload data'!$C:$C,'custody caseload'!$T$85,'caseload data'!$B:$B,"custody")</f>
        <v>0</v>
      </c>
      <c r="AC90" s="104">
        <f>SUMIFS('caseload data'!M:M,'caseload data'!$D:$D,"SPO",'caseload data'!$C:$C,'custody caseload'!$T$85,'caseload data'!$B:$B,"custody")</f>
        <v>0</v>
      </c>
      <c r="AD90" s="104">
        <f>SUMIFS('caseload data'!N:N,'caseload data'!$D:$D,"SPO",'caseload data'!$C:$C,'custody caseload'!$T$85,'caseload data'!$B:$B,"custody")</f>
        <v>0</v>
      </c>
      <c r="AE90" s="104">
        <f>SUMIFS('caseload data'!O:O,'caseload data'!$D:$D,"SPO",'caseload data'!$C:$C,'custody caseload'!$T$85,'caseload data'!$B:$B,"custody")</f>
        <v>0</v>
      </c>
      <c r="AF90" s="104">
        <f>SUMIFS('caseload data'!P:P,'caseload data'!$D:$D,"SPO",'caseload data'!$C:$C,'custody caseload'!$T$85,'caseload data'!$B:$B,"custody")</f>
        <v>0</v>
      </c>
      <c r="AG90" s="104">
        <f>SUMIFS('caseload data'!Q:Q,'caseload data'!$D:$D,"SPO",'caseload data'!$C:$C,'custody caseload'!$T$85,'caseload data'!$B:$B,"custody")</f>
        <v>0</v>
      </c>
      <c r="AH90" s="104">
        <f>SUMIFS('caseload data'!R:R,'caseload data'!$D:$D,"SPO",'caseload data'!$C:$C,'custody caseload'!$T$85,'caseload data'!$B:$B,"custody")</f>
        <v>0</v>
      </c>
      <c r="AI90" s="104">
        <f>SUMIFS('caseload data'!S:S,'caseload data'!$D:$D,"SPO",'caseload data'!$C:$C,'custody caseload'!$T$85,'caseload data'!$B:$B,"custody")</f>
        <v>0</v>
      </c>
      <c r="AJ90" s="104">
        <f>SUMIFS('caseload data'!T:T,'caseload data'!$D:$D,"SPO",'caseload data'!$C:$C,'custody caseload'!$T$85,'caseload data'!$B:$B,"custody")</f>
        <v>0</v>
      </c>
    </row>
    <row r="92" spans="2:36" x14ac:dyDescent="0.15">
      <c r="B92" s="156">
        <f>HLOOKUP($B$5,Region_Table,26,0)</f>
        <v>0</v>
      </c>
      <c r="C92" s="367" t="s">
        <v>1163</v>
      </c>
      <c r="D92" s="368"/>
      <c r="E92" s="368"/>
      <c r="F92" s="368"/>
      <c r="G92" s="368"/>
      <c r="H92" s="368"/>
      <c r="I92" s="368"/>
      <c r="J92" s="368"/>
      <c r="K92" s="368"/>
      <c r="L92" s="368"/>
      <c r="M92" s="377"/>
      <c r="N92" s="377"/>
      <c r="O92" s="378"/>
      <c r="P92" s="371">
        <f>SUMIFS('caseload data'!V:V,'caseload data'!B:B,"custody",'caseload data'!$C:$C,'custody caseload'!B92)</f>
        <v>0</v>
      </c>
      <c r="Q92" s="379"/>
      <c r="R92" s="380"/>
      <c r="T92" s="156">
        <f>HLOOKUP($B$5,Region_Table,27,0)</f>
        <v>0</v>
      </c>
      <c r="U92" s="367" t="s">
        <v>1163</v>
      </c>
      <c r="V92" s="368"/>
      <c r="W92" s="368"/>
      <c r="X92" s="368"/>
      <c r="Y92" s="368"/>
      <c r="Z92" s="368"/>
      <c r="AA92" s="368"/>
      <c r="AB92" s="368"/>
      <c r="AC92" s="368"/>
      <c r="AD92" s="368"/>
      <c r="AE92" s="377"/>
      <c r="AF92" s="377"/>
      <c r="AG92" s="378"/>
      <c r="AH92" s="371">
        <f>SUMIFS('caseload data'!V:V,'caseload data'!B:B,"custody",'caseload data'!$C:$C,'custody caseload'!T92)</f>
        <v>0</v>
      </c>
      <c r="AI92" s="379"/>
      <c r="AJ92" s="380"/>
    </row>
    <row r="93" spans="2:36" x14ac:dyDescent="0.15">
      <c r="B93" s="105" t="s">
        <v>1065</v>
      </c>
      <c r="C93" s="41" t="s">
        <v>922</v>
      </c>
      <c r="D93" s="41" t="s">
        <v>923</v>
      </c>
      <c r="E93" s="41" t="s">
        <v>924</v>
      </c>
      <c r="F93" s="41" t="s">
        <v>925</v>
      </c>
      <c r="G93" s="41" t="s">
        <v>926</v>
      </c>
      <c r="H93" s="41" t="s">
        <v>927</v>
      </c>
      <c r="I93" s="41" t="s">
        <v>928</v>
      </c>
      <c r="J93" s="41" t="s">
        <v>929</v>
      </c>
      <c r="K93" s="41" t="s">
        <v>930</v>
      </c>
      <c r="L93" s="41" t="s">
        <v>931</v>
      </c>
      <c r="M93" s="41" t="s">
        <v>932</v>
      </c>
      <c r="N93" s="41" t="s">
        <v>933</v>
      </c>
      <c r="O93" s="41" t="s">
        <v>934</v>
      </c>
      <c r="P93" s="41" t="s">
        <v>935</v>
      </c>
      <c r="Q93" s="41" t="s">
        <v>936</v>
      </c>
      <c r="R93" s="41" t="s">
        <v>937</v>
      </c>
      <c r="T93" s="105" t="s">
        <v>1065</v>
      </c>
      <c r="U93" s="41" t="s">
        <v>922</v>
      </c>
      <c r="V93" s="41" t="s">
        <v>923</v>
      </c>
      <c r="W93" s="41" t="s">
        <v>924</v>
      </c>
      <c r="X93" s="41" t="s">
        <v>925</v>
      </c>
      <c r="Y93" s="41" t="s">
        <v>926</v>
      </c>
      <c r="Z93" s="41" t="s">
        <v>927</v>
      </c>
      <c r="AA93" s="41" t="s">
        <v>928</v>
      </c>
      <c r="AB93" s="41" t="s">
        <v>929</v>
      </c>
      <c r="AC93" s="41" t="s">
        <v>930</v>
      </c>
      <c r="AD93" s="41" t="s">
        <v>931</v>
      </c>
      <c r="AE93" s="41" t="s">
        <v>932</v>
      </c>
      <c r="AF93" s="41" t="s">
        <v>933</v>
      </c>
      <c r="AG93" s="41" t="s">
        <v>934</v>
      </c>
      <c r="AH93" s="41" t="s">
        <v>935</v>
      </c>
      <c r="AI93" s="41" t="s">
        <v>936</v>
      </c>
      <c r="AJ93" s="41" t="s">
        <v>937</v>
      </c>
    </row>
    <row r="94" spans="2:36" x14ac:dyDescent="0.15">
      <c r="B94" s="106" t="s">
        <v>911</v>
      </c>
      <c r="C94" s="104">
        <f>SUMIFS('caseload data'!E:E,'caseload data'!$D:$D,"PO",'caseload data'!$C:$C,'custody caseload'!$B$92,'caseload data'!$B:$B,"custody")</f>
        <v>0</v>
      </c>
      <c r="D94" s="104">
        <f>SUMIFS('caseload data'!F:F,'caseload data'!$D:$D,"PO",'caseload data'!$C:$C,'custody caseload'!$B$92,'caseload data'!$B:$B,"custody")</f>
        <v>0</v>
      </c>
      <c r="E94" s="104">
        <f>SUMIFS('caseload data'!G:G,'caseload data'!$D:$D,"PO",'caseload data'!$C:$C,'custody caseload'!$B$92,'caseload data'!$B:$B,"custody")</f>
        <v>0</v>
      </c>
      <c r="F94" s="104">
        <f>SUMIFS('caseload data'!H:H,'caseload data'!$D:$D,"PO",'caseload data'!$C:$C,'custody caseload'!$B$92,'caseload data'!$B:$B,"custody")</f>
        <v>0</v>
      </c>
      <c r="G94" s="104">
        <f>SUMIFS('caseload data'!I:I,'caseload data'!$D:$D,"PO",'caseload data'!$C:$C,'custody caseload'!$B$92,'caseload data'!$B:$B,"custody")</f>
        <v>0</v>
      </c>
      <c r="H94" s="104">
        <f>SUMIFS('caseload data'!J:J,'caseload data'!$D:$D,"PO",'caseload data'!$C:$C,'custody caseload'!$B$92,'caseload data'!$B:$B,"custody")</f>
        <v>0</v>
      </c>
      <c r="I94" s="104">
        <f>SUMIFS('caseload data'!K:K,'caseload data'!$D:$D,"PO",'caseload data'!$C:$C,'custody caseload'!$B$92,'caseload data'!$B:$B,"custody")</f>
        <v>0</v>
      </c>
      <c r="J94" s="104">
        <f>SUMIFS('caseload data'!L:L,'caseload data'!$D:$D,"PO",'caseload data'!$C:$C,'custody caseload'!$B$92,'caseload data'!$B:$B,"custody")</f>
        <v>0</v>
      </c>
      <c r="K94" s="104">
        <f>SUMIFS('caseload data'!M:M,'caseload data'!$D:$D,"PO",'caseload data'!$C:$C,'custody caseload'!$B$92,'caseload data'!$B:$B,"custody")</f>
        <v>0</v>
      </c>
      <c r="L94" s="104">
        <f>SUMIFS('caseload data'!N:N,'caseload data'!$D:$D,"PO",'caseload data'!$C:$C,'custody caseload'!$B$92,'caseload data'!$B:$B,"custody")</f>
        <v>0</v>
      </c>
      <c r="M94" s="104">
        <f>SUMIFS('caseload data'!O:O,'caseload data'!$D:$D,"PO",'caseload data'!$C:$C,'custody caseload'!$B$92,'caseload data'!$B:$B,"custody")</f>
        <v>0</v>
      </c>
      <c r="N94" s="104">
        <f>SUMIFS('caseload data'!P:P,'caseload data'!$D:$D,"PO",'caseload data'!$C:$C,'custody caseload'!$B$92,'caseload data'!$B:$B,"custody")</f>
        <v>0</v>
      </c>
      <c r="O94" s="104">
        <f>SUMIFS('caseload data'!Q:Q,'caseload data'!$D:$D,"PO",'caseload data'!$C:$C,'custody caseload'!$B$92,'caseload data'!$B:$B,"custody")</f>
        <v>0</v>
      </c>
      <c r="P94" s="104">
        <f>SUMIFS('caseload data'!R:R,'caseload data'!$D:$D,"PO",'caseload data'!$C:$C,'custody caseload'!$B$92,'caseload data'!$B:$B,"custody")</f>
        <v>0</v>
      </c>
      <c r="Q94" s="104">
        <f>SUMIFS('caseload data'!S:S,'caseload data'!$D:$D,"PO",'caseload data'!$C:$C,'custody caseload'!$B$92,'caseload data'!$B:$B,"custody")</f>
        <v>0</v>
      </c>
      <c r="R94" s="104">
        <f>SUMIFS('caseload data'!T:T,'caseload data'!$D:$D,"PO",'caseload data'!$C:$C,'custody caseload'!$B$92,'caseload data'!$B:$B,"custody")</f>
        <v>0</v>
      </c>
      <c r="T94" s="106" t="s">
        <v>911</v>
      </c>
      <c r="U94" s="104">
        <f>SUMIFS('caseload data'!E:E,'caseload data'!$D:$D,"PO",'caseload data'!$C:$C,'custody caseload'!$T$92,'caseload data'!$B:$B,"custody")</f>
        <v>0</v>
      </c>
      <c r="V94" s="104">
        <f>SUMIFS('caseload data'!F:F,'caseload data'!$D:$D,"PO",'caseload data'!$C:$C,'custody caseload'!$T$92,'caseload data'!$B:$B,"custody")</f>
        <v>0</v>
      </c>
      <c r="W94" s="104">
        <f>SUMIFS('caseload data'!G:G,'caseload data'!$D:$D,"PO",'caseload data'!$C:$C,'custody caseload'!$T$92,'caseload data'!$B:$B,"custody")</f>
        <v>0</v>
      </c>
      <c r="X94" s="104">
        <f>SUMIFS('caseload data'!H:H,'caseload data'!$D:$D,"PO",'caseload data'!$C:$C,'custody caseload'!$T$92,'caseload data'!$B:$B,"custody")</f>
        <v>0</v>
      </c>
      <c r="Y94" s="104">
        <f>SUMIFS('caseload data'!I:I,'caseload data'!$D:$D,"PO",'caseload data'!$C:$C,'custody caseload'!$T$92,'caseload data'!$B:$B,"custody")</f>
        <v>0</v>
      </c>
      <c r="Z94" s="104">
        <f>SUMIFS('caseload data'!J:J,'caseload data'!$D:$D,"PO",'caseload data'!$C:$C,'custody caseload'!$T$92,'caseload data'!$B:$B,"custody")</f>
        <v>0</v>
      </c>
      <c r="AA94" s="104">
        <f>SUMIFS('caseload data'!K:K,'caseload data'!$D:$D,"PO",'caseload data'!$C:$C,'custody caseload'!$T$92,'caseload data'!$B:$B,"custody")</f>
        <v>0</v>
      </c>
      <c r="AB94" s="104">
        <f>SUMIFS('caseload data'!L:L,'caseload data'!$D:$D,"PO",'caseload data'!$C:$C,'custody caseload'!$T$92,'caseload data'!$B:$B,"custody")</f>
        <v>0</v>
      </c>
      <c r="AC94" s="104">
        <f>SUMIFS('caseload data'!M:M,'caseload data'!$D:$D,"PO",'caseload data'!$C:$C,'custody caseload'!$T$92,'caseload data'!$B:$B,"custody")</f>
        <v>0</v>
      </c>
      <c r="AD94" s="104">
        <f>SUMIFS('caseload data'!N:N,'caseload data'!$D:$D,"PO",'caseload data'!$C:$C,'custody caseload'!$T$92,'caseload data'!$B:$B,"custody")</f>
        <v>0</v>
      </c>
      <c r="AE94" s="104">
        <f>SUMIFS('caseload data'!O:O,'caseload data'!$D:$D,"PO",'caseload data'!$C:$C,'custody caseload'!$T$92,'caseload data'!$B:$B,"custody")</f>
        <v>0</v>
      </c>
      <c r="AF94" s="104">
        <f>SUMIFS('caseload data'!P:P,'caseload data'!$D:$D,"PO",'caseload data'!$C:$C,'custody caseload'!$T$92,'caseload data'!$B:$B,"custody")</f>
        <v>0</v>
      </c>
      <c r="AG94" s="104">
        <f>SUMIFS('caseload data'!Q:Q,'caseload data'!$D:$D,"PO",'caseload data'!$C:$C,'custody caseload'!$T$92,'caseload data'!$B:$B,"custody")</f>
        <v>0</v>
      </c>
      <c r="AH94" s="104">
        <f>SUMIFS('caseload data'!R:R,'caseload data'!$D:$D,"PO",'caseload data'!$C:$C,'custody caseload'!$T$92,'caseload data'!$B:$B,"custody")</f>
        <v>0</v>
      </c>
      <c r="AI94" s="104">
        <f>SUMIFS('caseload data'!S:S,'caseload data'!$D:$D,"PO",'caseload data'!$C:$C,'custody caseload'!$T$92,'caseload data'!$B:$B,"custody")</f>
        <v>0</v>
      </c>
      <c r="AJ94" s="104">
        <f>SUMIFS('caseload data'!T:T,'caseload data'!$D:$D,"PO",'caseload data'!$C:$C,'custody caseload'!$T$92,'caseload data'!$B:$B,"custody")</f>
        <v>0</v>
      </c>
    </row>
    <row r="95" spans="2:36" ht="15" x14ac:dyDescent="0.2">
      <c r="B95" s="107" t="s">
        <v>912</v>
      </c>
      <c r="C95" s="159">
        <f>SUMIFS('caseload data'!E:E,'caseload data'!$D:$D,"PSO",'caseload data'!$C:$C,'custody caseload'!$B$92,'caseload data'!$B:$B,"custody")</f>
        <v>0</v>
      </c>
      <c r="D95" s="159">
        <f>SUMIFS('caseload data'!F:F,'caseload data'!$D:$D,"PSO",'caseload data'!$C:$C,'custody caseload'!$B$92,'caseload data'!$B:$B,"custody")</f>
        <v>0</v>
      </c>
      <c r="E95" s="159">
        <f>SUMIFS('caseload data'!G:G,'caseload data'!$D:$D,"PSO",'caseload data'!$C:$C,'custody caseload'!$B$92,'caseload data'!$B:$B,"custody")</f>
        <v>0</v>
      </c>
      <c r="F95" s="159">
        <f>SUMIFS('caseload data'!H:H,'caseload data'!$D:$D,"PSO",'caseload data'!$C:$C,'custody caseload'!$B$92,'caseload data'!$B:$B,"custody")</f>
        <v>0</v>
      </c>
      <c r="G95" s="159">
        <f>SUMIFS('caseload data'!I:I,'caseload data'!$D:$D,"PSO",'caseload data'!$C:$C,'custody caseload'!$B$92,'caseload data'!$B:$B,"custody")</f>
        <v>0</v>
      </c>
      <c r="H95" s="159">
        <f>SUMIFS('caseload data'!J:J,'caseload data'!$D:$D,"PSO",'caseload data'!$C:$C,'custody caseload'!$B$92,'caseload data'!$B:$B,"custody")</f>
        <v>0</v>
      </c>
      <c r="I95" s="159">
        <f>SUMIFS('caseload data'!K:K,'caseload data'!$D:$D,"PSO",'caseload data'!$C:$C,'custody caseload'!$B$92,'caseload data'!$B:$B,"custody")</f>
        <v>0</v>
      </c>
      <c r="J95" s="159">
        <f>SUMIFS('caseload data'!L:L,'caseload data'!$D:$D,"PSO",'caseload data'!$C:$C,'custody caseload'!$B$92,'caseload data'!$B:$B,"custody")</f>
        <v>0</v>
      </c>
      <c r="K95" s="104">
        <f>SUMIFS('caseload data'!M:M,'caseload data'!$D:$D,"PSO",'caseload data'!$C:$C,'custody caseload'!$B$92,'caseload data'!$B:$B,"custody")</f>
        <v>0</v>
      </c>
      <c r="L95" s="104">
        <f>SUMIFS('caseload data'!N:N,'caseload data'!$D:$D,"PSO",'caseload data'!$C:$C,'custody caseload'!$B$92,'caseload data'!$B:$B,"custody")</f>
        <v>0</v>
      </c>
      <c r="M95" s="104">
        <f>SUMIFS('caseload data'!O:O,'caseload data'!$D:$D,"PSO",'caseload data'!$C:$C,'custody caseload'!$B$92,'caseload data'!$B:$B,"custody")</f>
        <v>0</v>
      </c>
      <c r="N95" s="104">
        <f>SUMIFS('caseload data'!P:P,'caseload data'!$D:$D,"PSO",'caseload data'!$C:$C,'custody caseload'!$B$92,'caseload data'!$B:$B,"custody")</f>
        <v>0</v>
      </c>
      <c r="O95" s="104">
        <f>SUMIFS('caseload data'!Q:Q,'caseload data'!$D:$D,"PSO",'caseload data'!$C:$C,'custody caseload'!$B$92,'caseload data'!$B:$B,"custody")</f>
        <v>0</v>
      </c>
      <c r="P95" s="104">
        <f>SUMIFS('caseload data'!R:R,'caseload data'!$D:$D,"PSO",'caseload data'!$C:$C,'custody caseload'!$B$92,'caseload data'!$B:$B,"custody")</f>
        <v>0</v>
      </c>
      <c r="Q95" s="104">
        <f>SUMIFS('caseload data'!S:S,'caseload data'!$D:$D,"PSO",'caseload data'!$C:$C,'custody caseload'!$B$92,'caseload data'!$B:$B,"custody")</f>
        <v>0</v>
      </c>
      <c r="R95" s="104">
        <f>SUMIFS('caseload data'!T:T,'caseload data'!$D:$D,"PSO",'caseload data'!$C:$C,'custody caseload'!$B$92,'caseload data'!$B:$B,"custody")</f>
        <v>0</v>
      </c>
      <c r="T95" s="107" t="s">
        <v>912</v>
      </c>
      <c r="U95" s="159">
        <f>SUMIFS('caseload data'!E:E,'caseload data'!$D:$D,"PSO",'caseload data'!$C:$C,'custody caseload'!$T$92,'caseload data'!$B:$B,"custody")</f>
        <v>0</v>
      </c>
      <c r="V95" s="159">
        <f>SUMIFS('caseload data'!F:F,'caseload data'!$D:$D,"PSO",'caseload data'!$C:$C,'custody caseload'!$T$92,'caseload data'!$B:$B,"custody")</f>
        <v>0</v>
      </c>
      <c r="W95" s="159">
        <f>SUMIFS('caseload data'!G:G,'caseload data'!$D:$D,"PSO",'caseload data'!$C:$C,'custody caseload'!$T$92,'caseload data'!$B:$B,"custody")</f>
        <v>0</v>
      </c>
      <c r="X95" s="159">
        <f>SUMIFS('caseload data'!H:H,'caseload data'!$D:$D,"PSO",'caseload data'!$C:$C,'custody caseload'!$T$92,'caseload data'!$B:$B,"custody")</f>
        <v>0</v>
      </c>
      <c r="Y95" s="159">
        <f>SUMIFS('caseload data'!I:I,'caseload data'!$D:$D,"PSO",'caseload data'!$C:$C,'custody caseload'!$T$92,'caseload data'!$B:$B,"custody")</f>
        <v>0</v>
      </c>
      <c r="Z95" s="159">
        <f>SUMIFS('caseload data'!J:J,'caseload data'!$D:$D,"PSO",'caseload data'!$C:$C,'custody caseload'!$T$92,'caseload data'!$B:$B,"custody")</f>
        <v>0</v>
      </c>
      <c r="AA95" s="159">
        <f>SUMIFS('caseload data'!K:K,'caseload data'!$D:$D,"PSO",'caseload data'!$C:$C,'custody caseload'!$T$92,'caseload data'!$B:$B,"custody")</f>
        <v>0</v>
      </c>
      <c r="AB95" s="159">
        <f>SUMIFS('caseload data'!L:L,'caseload data'!$D:$D,"PSO",'caseload data'!$C:$C,'custody caseload'!$T$92,'caseload data'!$B:$B,"custody")</f>
        <v>0</v>
      </c>
      <c r="AC95" s="104">
        <f>SUMIFS('caseload data'!M:M,'caseload data'!$D:$D,"PSO",'caseload data'!$C:$C,'custody caseload'!$T$92,'caseload data'!$B:$B,"custody")</f>
        <v>0</v>
      </c>
      <c r="AD95" s="104">
        <f>SUMIFS('caseload data'!N:N,'caseload data'!$D:$D,"PSO",'caseload data'!$C:$C,'custody caseload'!$T$92,'caseload data'!$B:$B,"custody")</f>
        <v>0</v>
      </c>
      <c r="AE95" s="104">
        <f>SUMIFS('caseload data'!O:O,'caseload data'!$D:$D,"PSO",'caseload data'!$C:$C,'custody caseload'!$T$92,'caseload data'!$B:$B,"custody")</f>
        <v>0</v>
      </c>
      <c r="AF95" s="104">
        <f>SUMIFS('caseload data'!P:P,'caseload data'!$D:$D,"PSO",'caseload data'!$C:$C,'custody caseload'!$T$92,'caseload data'!$B:$B,"custody")</f>
        <v>0</v>
      </c>
      <c r="AG95" s="104">
        <f>SUMIFS('caseload data'!Q:Q,'caseload data'!$D:$D,"PSO",'caseload data'!$C:$C,'custody caseload'!$T$92,'caseload data'!$B:$B,"custody")</f>
        <v>0</v>
      </c>
      <c r="AH95" s="104">
        <f>SUMIFS('caseload data'!R:R,'caseload data'!$D:$D,"PSO",'caseload data'!$C:$C,'custody caseload'!$T$92,'caseload data'!$B:$B,"custody")</f>
        <v>0</v>
      </c>
      <c r="AI95" s="104">
        <f>SUMIFS('caseload data'!S:S,'caseload data'!$D:$D,"PSO",'caseload data'!$C:$C,'custody caseload'!$T$92,'caseload data'!$B:$B,"custody")</f>
        <v>0</v>
      </c>
      <c r="AJ95" s="104">
        <f>SUMIFS('caseload data'!T:T,'caseload data'!$D:$D,"PSO",'caseload data'!$C:$C,'custody caseload'!$T$92,'caseload data'!$B:$B,"custody")</f>
        <v>0</v>
      </c>
    </row>
    <row r="96" spans="2:36" ht="15" x14ac:dyDescent="0.2">
      <c r="B96" s="107" t="s">
        <v>913</v>
      </c>
      <c r="C96" s="159">
        <f>SUMIFS('caseload data'!E:E,'caseload data'!$D:$D,"TPO",'caseload data'!$C:$C,'custody caseload'!$B$92,'caseload data'!$B:$B,"custody")</f>
        <v>0</v>
      </c>
      <c r="D96" s="159">
        <f>SUMIFS('caseload data'!F:F,'caseload data'!$D:$D,"TPO",'caseload data'!$C:$C,'custody caseload'!$B$92,'caseload data'!$B:$B,"custody")</f>
        <v>0</v>
      </c>
      <c r="E96" s="159">
        <f>SUMIFS('caseload data'!G:G,'caseload data'!$D:$D,"TPO",'caseload data'!$C:$C,'custody caseload'!$B$92,'caseload data'!$B:$B,"custody")</f>
        <v>0</v>
      </c>
      <c r="F96" s="159">
        <f>SUMIFS('caseload data'!H:H,'caseload data'!$D:$D,"TPO",'caseload data'!$C:$C,'custody caseload'!$B$92,'caseload data'!$B:$B,"custody")</f>
        <v>0</v>
      </c>
      <c r="G96" s="159">
        <f>SUMIFS('caseload data'!I:I,'caseload data'!$D:$D,"TPO",'caseload data'!$C:$C,'custody caseload'!$B$92,'caseload data'!$B:$B,"custody")</f>
        <v>0</v>
      </c>
      <c r="H96" s="159">
        <f>SUMIFS('caseload data'!J:J,'caseload data'!$D:$D,"TPO",'caseload data'!$C:$C,'custody caseload'!$B$92,'caseload data'!$B:$B,"custody")</f>
        <v>0</v>
      </c>
      <c r="I96" s="159">
        <f>SUMIFS('caseload data'!K:K,'caseload data'!$D:$D,"TPO",'caseload data'!$C:$C,'custody caseload'!$B$92,'caseload data'!$B:$B,"custody")</f>
        <v>0</v>
      </c>
      <c r="J96" s="159">
        <f>SUMIFS('caseload data'!L:L,'caseload data'!$D:$D,"TPO",'caseload data'!$C:$C,'custody caseload'!$B$92,'caseload data'!$B:$B,"custody")</f>
        <v>0</v>
      </c>
      <c r="K96" s="104">
        <f>SUMIFS('caseload data'!M:M,'caseload data'!$D:$D,"TPO",'caseload data'!$C:$C,'custody caseload'!$B$92,'caseload data'!$B:$B,"custody")</f>
        <v>0</v>
      </c>
      <c r="L96" s="104">
        <f>SUMIFS('caseload data'!N:N,'caseload data'!$D:$D,"TPO",'caseload data'!$C:$C,'custody caseload'!$B$92,'caseload data'!$B:$B,"custody")</f>
        <v>0</v>
      </c>
      <c r="M96" s="104">
        <f>SUMIFS('caseload data'!O:O,'caseload data'!$D:$D,"TPO",'caseload data'!$C:$C,'custody caseload'!$B$92,'caseload data'!$B:$B,"custody")</f>
        <v>0</v>
      </c>
      <c r="N96" s="104">
        <f>SUMIFS('caseload data'!P:P,'caseload data'!$D:$D,"TPO",'caseload data'!$C:$C,'custody caseload'!$B$92,'caseload data'!$B:$B,"custody")</f>
        <v>0</v>
      </c>
      <c r="O96" s="104">
        <f>SUMIFS('caseload data'!Q:Q,'caseload data'!$D:$D,"TPO",'caseload data'!$C:$C,'custody caseload'!$B$92,'caseload data'!$B:$B,"custody")</f>
        <v>0</v>
      </c>
      <c r="P96" s="104">
        <f>SUMIFS('caseload data'!R:R,'caseload data'!$D:$D,"TPO",'caseload data'!$C:$C,'custody caseload'!$B$92,'caseload data'!$B:$B,"custody")</f>
        <v>0</v>
      </c>
      <c r="Q96" s="104">
        <f>SUMIFS('caseload data'!S:S,'caseload data'!$D:$D,"TPO",'caseload data'!$C:$C,'custody caseload'!$B$92,'caseload data'!$B:$B,"custody")</f>
        <v>0</v>
      </c>
      <c r="R96" s="104">
        <f>SUMIFS('caseload data'!T:T,'caseload data'!$D:$D,"TPO",'caseload data'!$C:$C,'custody caseload'!$B$92,'caseload data'!$B:$B,"custody")</f>
        <v>0</v>
      </c>
      <c r="T96" s="107" t="s">
        <v>913</v>
      </c>
      <c r="U96" s="159">
        <f>SUMIFS('caseload data'!E:E,'caseload data'!$D:$D,"TPO",'caseload data'!$C:$C,'custody caseload'!$T$92,'caseload data'!$B:$B,"custody")</f>
        <v>0</v>
      </c>
      <c r="V96" s="159">
        <f>SUMIFS('caseload data'!F:F,'caseload data'!$D:$D,"TPO",'caseload data'!$C:$C,'custody caseload'!$T$92,'caseload data'!$B:$B,"custody")</f>
        <v>0</v>
      </c>
      <c r="W96" s="159">
        <f>SUMIFS('caseload data'!G:G,'caseload data'!$D:$D,"TPO",'caseload data'!$C:$C,'custody caseload'!$T$92,'caseload data'!$B:$B,"custody")</f>
        <v>0</v>
      </c>
      <c r="X96" s="159">
        <f>SUMIFS('caseload data'!H:H,'caseload data'!$D:$D,"TPO",'caseload data'!$C:$C,'custody caseload'!$T$92,'caseload data'!$B:$B,"custody")</f>
        <v>0</v>
      </c>
      <c r="Y96" s="159">
        <f>SUMIFS('caseload data'!I:I,'caseload data'!$D:$D,"TPO",'caseload data'!$C:$C,'custody caseload'!$T$92,'caseload data'!$B:$B,"custody")</f>
        <v>0</v>
      </c>
      <c r="Z96" s="159">
        <f>SUMIFS('caseload data'!J:J,'caseload data'!$D:$D,"TPO",'caseload data'!$C:$C,'custody caseload'!$T$92,'caseload data'!$B:$B,"custody")</f>
        <v>0</v>
      </c>
      <c r="AA96" s="159">
        <f>SUMIFS('caseload data'!K:K,'caseload data'!$D:$D,"TPO",'caseload data'!$C:$C,'custody caseload'!$T$92,'caseload data'!$B:$B,"custody")</f>
        <v>0</v>
      </c>
      <c r="AB96" s="159">
        <f>SUMIFS('caseload data'!L:L,'caseload data'!$D:$D,"TPO",'caseload data'!$C:$C,'custody caseload'!$T$92,'caseload data'!$B:$B,"custody")</f>
        <v>0</v>
      </c>
      <c r="AC96" s="104">
        <f>SUMIFS('caseload data'!M:M,'caseload data'!$D:$D,"TPO",'caseload data'!$C:$C,'custody caseload'!$T$92,'caseload data'!$B:$B,"custody")</f>
        <v>0</v>
      </c>
      <c r="AD96" s="104">
        <f>SUMIFS('caseload data'!N:N,'caseload data'!$D:$D,"TPO",'caseload data'!$C:$C,'custody caseload'!$T$92,'caseload data'!$B:$B,"custody")</f>
        <v>0</v>
      </c>
      <c r="AE96" s="104">
        <f>SUMIFS('caseload data'!O:O,'caseload data'!$D:$D,"TPO",'caseload data'!$C:$C,'custody caseload'!$T$92,'caseload data'!$B:$B,"custody")</f>
        <v>0</v>
      </c>
      <c r="AF96" s="104">
        <f>SUMIFS('caseload data'!P:P,'caseload data'!$D:$D,"TPO",'caseload data'!$C:$C,'custody caseload'!$T$92,'caseload data'!$B:$B,"custody")</f>
        <v>0</v>
      </c>
      <c r="AG96" s="104">
        <f>SUMIFS('caseload data'!Q:Q,'caseload data'!$D:$D,"TPO",'caseload data'!$C:$C,'custody caseload'!$T$92,'caseload data'!$B:$B,"custody")</f>
        <v>0</v>
      </c>
      <c r="AH96" s="104">
        <f>SUMIFS('caseload data'!R:R,'caseload data'!$D:$D,"TPO",'caseload data'!$C:$C,'custody caseload'!$T$92,'caseload data'!$B:$B,"custody")</f>
        <v>0</v>
      </c>
      <c r="AI96" s="104">
        <f>SUMIFS('caseload data'!S:S,'caseload data'!$D:$D,"TPO",'caseload data'!$C:$C,'custody caseload'!$T$92,'caseload data'!$B:$B,"custody")</f>
        <v>0</v>
      </c>
      <c r="AJ96" s="104">
        <f>SUMIFS('caseload data'!T:T,'caseload data'!$D:$D,"TPO",'caseload data'!$C:$C,'custody caseload'!$T$92,'caseload data'!$B:$B,"custody")</f>
        <v>0</v>
      </c>
    </row>
    <row r="97" spans="2:36" x14ac:dyDescent="0.15">
      <c r="B97" s="108" t="s">
        <v>914</v>
      </c>
      <c r="C97" s="104">
        <f>SUMIFS('caseload data'!E:E,'caseload data'!$D:$D,"SPO",'caseload data'!$C:$C,'custody caseload'!$B$92,'caseload data'!$B:$B,"custody")</f>
        <v>0</v>
      </c>
      <c r="D97" s="104">
        <f>SUMIFS('caseload data'!F:F,'caseload data'!$D:$D,"SPO",'caseload data'!$C:$C,'custody caseload'!$B$92,'caseload data'!$B:$B,"custody")</f>
        <v>0</v>
      </c>
      <c r="E97" s="104">
        <f>SUMIFS('caseload data'!G:G,'caseload data'!$D:$D,"SPO",'caseload data'!$C:$C,'custody caseload'!$B$92,'caseload data'!$B:$B,"custody")</f>
        <v>0</v>
      </c>
      <c r="F97" s="104">
        <f>SUMIFS('caseload data'!H:H,'caseload data'!$D:$D,"SPO",'caseload data'!$C:$C,'custody caseload'!$B$92,'caseload data'!$B:$B,"custody")</f>
        <v>0</v>
      </c>
      <c r="G97" s="104">
        <f>SUMIFS('caseload data'!I:I,'caseload data'!$D:$D,"SPO",'caseload data'!$C:$C,'custody caseload'!$B$92,'caseload data'!$B:$B,"custody")</f>
        <v>0</v>
      </c>
      <c r="H97" s="104">
        <f>SUMIFS('caseload data'!J:J,'caseload data'!$D:$D,"SPO",'caseload data'!$C:$C,'custody caseload'!$B$92,'caseload data'!$B:$B,"custody")</f>
        <v>0</v>
      </c>
      <c r="I97" s="104">
        <f>SUMIFS('caseload data'!K:K,'caseload data'!$D:$D,"SPO",'caseload data'!$C:$C,'custody caseload'!$B$92,'caseload data'!$B:$B,"custody")</f>
        <v>0</v>
      </c>
      <c r="J97" s="104">
        <f>SUMIFS('caseload data'!L:L,'caseload data'!$D:$D,"SPO",'caseload data'!$C:$C,'custody caseload'!$B$92,'caseload data'!$B:$B,"custody")</f>
        <v>0</v>
      </c>
      <c r="K97" s="104">
        <f>SUMIFS('caseload data'!M:M,'caseload data'!$D:$D,"SPO",'caseload data'!$C:$C,'custody caseload'!$B$92,'caseload data'!$B:$B,"custody")</f>
        <v>0</v>
      </c>
      <c r="L97" s="104">
        <f>SUMIFS('caseload data'!N:N,'caseload data'!$D:$D,"SPO",'caseload data'!$C:$C,'custody caseload'!$B$92,'caseload data'!$B:$B,"custody")</f>
        <v>0</v>
      </c>
      <c r="M97" s="104">
        <f>SUMIFS('caseload data'!O:O,'caseload data'!$D:$D,"SPO",'caseload data'!$C:$C,'custody caseload'!$B$92,'caseload data'!$B:$B,"custody")</f>
        <v>0</v>
      </c>
      <c r="N97" s="104">
        <f>SUMIFS('caseload data'!P:P,'caseload data'!$D:$D,"SPO",'caseload data'!$C:$C,'custody caseload'!$B$92,'caseload data'!$B:$B,"custody")</f>
        <v>0</v>
      </c>
      <c r="O97" s="104">
        <f>SUMIFS('caseload data'!Q:Q,'caseload data'!$D:$D,"SPO",'caseload data'!$C:$C,'custody caseload'!$B$92,'caseload data'!$B:$B,"custody")</f>
        <v>0</v>
      </c>
      <c r="P97" s="104">
        <f>SUMIFS('caseload data'!R:R,'caseload data'!$D:$D,"SPO",'caseload data'!$C:$C,'custody caseload'!$B$92,'caseload data'!$B:$B,"custody")</f>
        <v>0</v>
      </c>
      <c r="Q97" s="104">
        <f>SUMIFS('caseload data'!S:S,'caseload data'!$D:$D,"SPO",'caseload data'!$C:$C,'custody caseload'!$B$92,'caseload data'!$B:$B,"custody")</f>
        <v>0</v>
      </c>
      <c r="R97" s="104">
        <f>SUMIFS('caseload data'!T:T,'caseload data'!$D:$D,"SPO",'caseload data'!$C:$C,'custody caseload'!$B$92,'caseload data'!$B:$B,"custody")</f>
        <v>0</v>
      </c>
      <c r="T97" s="108" t="s">
        <v>914</v>
      </c>
      <c r="U97" s="104">
        <f>SUMIFS('caseload data'!E:E,'caseload data'!$D:$D,"SPO",'caseload data'!$C:$C,'custody caseload'!$T$92,'caseload data'!$B:$B,"custody")</f>
        <v>0</v>
      </c>
      <c r="V97" s="104">
        <f>SUMIFS('caseload data'!F:F,'caseload data'!$D:$D,"SPO",'caseload data'!$C:$C,'custody caseload'!$T$92,'caseload data'!$B:$B,"custody")</f>
        <v>0</v>
      </c>
      <c r="W97" s="104">
        <f>SUMIFS('caseload data'!G:G,'caseload data'!$D:$D,"SPO",'caseload data'!$C:$C,'custody caseload'!$T$92,'caseload data'!$B:$B,"custody")</f>
        <v>0</v>
      </c>
      <c r="X97" s="104">
        <f>SUMIFS('caseload data'!H:H,'caseload data'!$D:$D,"SPO",'caseload data'!$C:$C,'custody caseload'!$T$92,'caseload data'!$B:$B,"custody")</f>
        <v>0</v>
      </c>
      <c r="Y97" s="104">
        <f>SUMIFS('caseload data'!I:I,'caseload data'!$D:$D,"SPO",'caseload data'!$C:$C,'custody caseload'!$T$92,'caseload data'!$B:$B,"custody")</f>
        <v>0</v>
      </c>
      <c r="Z97" s="104">
        <f>SUMIFS('caseload data'!J:J,'caseload data'!$D:$D,"SPO",'caseload data'!$C:$C,'custody caseload'!$T$92,'caseload data'!$B:$B,"custody")</f>
        <v>0</v>
      </c>
      <c r="AA97" s="104">
        <f>SUMIFS('caseload data'!K:K,'caseload data'!$D:$D,"SPO",'caseload data'!$C:$C,'custody caseload'!$T$92,'caseload data'!$B:$B,"custody")</f>
        <v>0</v>
      </c>
      <c r="AB97" s="104">
        <f>SUMIFS('caseload data'!L:L,'caseload data'!$D:$D,"SPO",'caseload data'!$C:$C,'custody caseload'!$T$92,'caseload data'!$B:$B,"custody")</f>
        <v>0</v>
      </c>
      <c r="AC97" s="104">
        <f>SUMIFS('caseload data'!M:M,'caseload data'!$D:$D,"SPO",'caseload data'!$C:$C,'custody caseload'!$T$92,'caseload data'!$B:$B,"custody")</f>
        <v>0</v>
      </c>
      <c r="AD97" s="104">
        <f>SUMIFS('caseload data'!N:N,'caseload data'!$D:$D,"SPO",'caseload data'!$C:$C,'custody caseload'!$T$92,'caseload data'!$B:$B,"custody")</f>
        <v>0</v>
      </c>
      <c r="AE97" s="104">
        <f>SUMIFS('caseload data'!O:O,'caseload data'!$D:$D,"SPO",'caseload data'!$C:$C,'custody caseload'!$T$92,'caseload data'!$B:$B,"custody")</f>
        <v>0</v>
      </c>
      <c r="AF97" s="104">
        <f>SUMIFS('caseload data'!P:P,'caseload data'!$D:$D,"SPO",'caseload data'!$C:$C,'custody caseload'!$T$92,'caseload data'!$B:$B,"custody")</f>
        <v>0</v>
      </c>
      <c r="AG97" s="104">
        <f>SUMIFS('caseload data'!Q:Q,'caseload data'!$D:$D,"SPO",'caseload data'!$C:$C,'custody caseload'!$T$92,'caseload data'!$B:$B,"custody")</f>
        <v>0</v>
      </c>
      <c r="AH97" s="104">
        <f>SUMIFS('caseload data'!R:R,'caseload data'!$D:$D,"SPO",'caseload data'!$C:$C,'custody caseload'!$T$92,'caseload data'!$B:$B,"custody")</f>
        <v>0</v>
      </c>
      <c r="AI97" s="104">
        <f>SUMIFS('caseload data'!S:S,'caseload data'!$D:$D,"SPO",'caseload data'!$C:$C,'custody caseload'!$T$92,'caseload data'!$B:$B,"custody")</f>
        <v>0</v>
      </c>
      <c r="AJ97" s="104">
        <f>SUMIFS('caseload data'!T:T,'caseload data'!$D:$D,"SPO",'caseload data'!$C:$C,'custody caseload'!$T$92,'caseload data'!$B:$B,"custody")</f>
        <v>0</v>
      </c>
    </row>
    <row r="99" spans="2:36" x14ac:dyDescent="0.15">
      <c r="B99" s="156">
        <f>HLOOKUP($B$5,Region_Table,28,0)</f>
        <v>0</v>
      </c>
      <c r="C99" s="367" t="s">
        <v>1163</v>
      </c>
      <c r="D99" s="368"/>
      <c r="E99" s="368"/>
      <c r="F99" s="368"/>
      <c r="G99" s="368"/>
      <c r="H99" s="368"/>
      <c r="I99" s="368"/>
      <c r="J99" s="368"/>
      <c r="K99" s="368"/>
      <c r="L99" s="368"/>
      <c r="M99" s="377"/>
      <c r="N99" s="377"/>
      <c r="O99" s="378"/>
      <c r="P99" s="371">
        <f>SUMIFS('caseload data'!V:V,'caseload data'!B:B,"custody",'caseload data'!$C:$C,'custody caseload'!B99)</f>
        <v>0</v>
      </c>
      <c r="Q99" s="379"/>
      <c r="R99" s="380"/>
      <c r="T99" s="156">
        <f>HLOOKUP($B$5,Region_Table,29,0)</f>
        <v>0</v>
      </c>
      <c r="U99" s="367" t="s">
        <v>1163</v>
      </c>
      <c r="V99" s="368"/>
      <c r="W99" s="368"/>
      <c r="X99" s="368"/>
      <c r="Y99" s="368"/>
      <c r="Z99" s="368"/>
      <c r="AA99" s="368"/>
      <c r="AB99" s="368"/>
      <c r="AC99" s="368"/>
      <c r="AD99" s="368"/>
      <c r="AE99" s="377"/>
      <c r="AF99" s="377"/>
      <c r="AG99" s="378"/>
      <c r="AH99" s="371">
        <f>SUMIFS('caseload data'!V:V,'caseload data'!B:B,"custody",'caseload data'!$C:$C,'custody caseload'!T99)</f>
        <v>0</v>
      </c>
      <c r="AI99" s="379"/>
      <c r="AJ99" s="380"/>
    </row>
    <row r="100" spans="2:36" x14ac:dyDescent="0.15">
      <c r="B100" s="105" t="s">
        <v>1065</v>
      </c>
      <c r="C100" s="41" t="s">
        <v>922</v>
      </c>
      <c r="D100" s="41" t="s">
        <v>923</v>
      </c>
      <c r="E100" s="41" t="s">
        <v>924</v>
      </c>
      <c r="F100" s="41" t="s">
        <v>925</v>
      </c>
      <c r="G100" s="41" t="s">
        <v>926</v>
      </c>
      <c r="H100" s="41" t="s">
        <v>927</v>
      </c>
      <c r="I100" s="41" t="s">
        <v>928</v>
      </c>
      <c r="J100" s="41" t="s">
        <v>929</v>
      </c>
      <c r="K100" s="41" t="s">
        <v>930</v>
      </c>
      <c r="L100" s="41" t="s">
        <v>931</v>
      </c>
      <c r="M100" s="41" t="s">
        <v>932</v>
      </c>
      <c r="N100" s="41" t="s">
        <v>933</v>
      </c>
      <c r="O100" s="41" t="s">
        <v>934</v>
      </c>
      <c r="P100" s="41" t="s">
        <v>935</v>
      </c>
      <c r="Q100" s="41" t="s">
        <v>936</v>
      </c>
      <c r="R100" s="41" t="s">
        <v>937</v>
      </c>
      <c r="T100" s="105" t="s">
        <v>1065</v>
      </c>
      <c r="U100" s="41" t="s">
        <v>922</v>
      </c>
      <c r="V100" s="41" t="s">
        <v>923</v>
      </c>
      <c r="W100" s="41" t="s">
        <v>924</v>
      </c>
      <c r="X100" s="41" t="s">
        <v>925</v>
      </c>
      <c r="Y100" s="41" t="s">
        <v>926</v>
      </c>
      <c r="Z100" s="41" t="s">
        <v>927</v>
      </c>
      <c r="AA100" s="41" t="s">
        <v>928</v>
      </c>
      <c r="AB100" s="41" t="s">
        <v>929</v>
      </c>
      <c r="AC100" s="41" t="s">
        <v>930</v>
      </c>
      <c r="AD100" s="41" t="s">
        <v>931</v>
      </c>
      <c r="AE100" s="41" t="s">
        <v>932</v>
      </c>
      <c r="AF100" s="41" t="s">
        <v>933</v>
      </c>
      <c r="AG100" s="41" t="s">
        <v>934</v>
      </c>
      <c r="AH100" s="41" t="s">
        <v>935</v>
      </c>
      <c r="AI100" s="41" t="s">
        <v>936</v>
      </c>
      <c r="AJ100" s="41" t="s">
        <v>937</v>
      </c>
    </row>
    <row r="101" spans="2:36" x14ac:dyDescent="0.15">
      <c r="B101" s="106" t="s">
        <v>911</v>
      </c>
      <c r="C101" s="104">
        <f>SUMIFS('caseload data'!E:E,'caseload data'!$D:$D,"PO",'caseload data'!$C:$C,'custody caseload'!$B$99,'caseload data'!$B:$B,"custody")</f>
        <v>0</v>
      </c>
      <c r="D101" s="104">
        <f>SUMIFS('caseload data'!F:F,'caseload data'!$D:$D,"PO",'caseload data'!$C:$C,'custody caseload'!$B$99,'caseload data'!$B:$B,"custody")</f>
        <v>0</v>
      </c>
      <c r="E101" s="104">
        <f>SUMIFS('caseload data'!G:G,'caseload data'!$D:$D,"PO",'caseload data'!$C:$C,'custody caseload'!$B$99,'caseload data'!$B:$B,"custody")</f>
        <v>0</v>
      </c>
      <c r="F101" s="104">
        <f>SUMIFS('caseload data'!H:H,'caseload data'!$D:$D,"PO",'caseload data'!$C:$C,'custody caseload'!$B$99,'caseload data'!$B:$B,"custody")</f>
        <v>0</v>
      </c>
      <c r="G101" s="104">
        <f>SUMIFS('caseload data'!I:I,'caseload data'!$D:$D,"PO",'caseload data'!$C:$C,'custody caseload'!$B$99,'caseload data'!$B:$B,"custody")</f>
        <v>0</v>
      </c>
      <c r="H101" s="104">
        <f>SUMIFS('caseload data'!J:J,'caseload data'!$D:$D,"PO",'caseload data'!$C:$C,'custody caseload'!$B$99,'caseload data'!$B:$B,"custody")</f>
        <v>0</v>
      </c>
      <c r="I101" s="104">
        <f>SUMIFS('caseload data'!K:K,'caseload data'!$D:$D,"PO",'caseload data'!$C:$C,'custody caseload'!$B$99,'caseload data'!$B:$B,"custody")</f>
        <v>0</v>
      </c>
      <c r="J101" s="104">
        <f>SUMIFS('caseload data'!L:L,'caseload data'!$D:$D,"PO",'caseload data'!$C:$C,'custody caseload'!$B$99,'caseload data'!$B:$B,"custody")</f>
        <v>0</v>
      </c>
      <c r="K101" s="104">
        <f>SUMIFS('caseload data'!M:M,'caseload data'!$D:$D,"PO",'caseload data'!$C:$C,'custody caseload'!$B$99,'caseload data'!$B:$B,"custody")</f>
        <v>0</v>
      </c>
      <c r="L101" s="104">
        <f>SUMIFS('caseload data'!N:N,'caseload data'!$D:$D,"PO",'caseload data'!$C:$C,'custody caseload'!$B$99,'caseload data'!$B:$B,"custody")</f>
        <v>0</v>
      </c>
      <c r="M101" s="104">
        <f>SUMIFS('caseload data'!O:O,'caseload data'!$D:$D,"PO",'caseload data'!$C:$C,'custody caseload'!$B$99,'caseload data'!$B:$B,"custody")</f>
        <v>0</v>
      </c>
      <c r="N101" s="104">
        <f>SUMIFS('caseload data'!P:P,'caseload data'!$D:$D,"PO",'caseload data'!$C:$C,'custody caseload'!$B$99,'caseload data'!$B:$B,"custody")</f>
        <v>0</v>
      </c>
      <c r="O101" s="104">
        <f>SUMIFS('caseload data'!Q:Q,'caseload data'!$D:$D,"PO",'caseload data'!$C:$C,'custody caseload'!$B$99,'caseload data'!$B:$B,"custody")</f>
        <v>0</v>
      </c>
      <c r="P101" s="104">
        <f>SUMIFS('caseload data'!R:R,'caseload data'!$D:$D,"PO",'caseload data'!$C:$C,'custody caseload'!$B$99,'caseload data'!$B:$B,"custody")</f>
        <v>0</v>
      </c>
      <c r="Q101" s="104">
        <f>SUMIFS('caseload data'!S:S,'caseload data'!$D:$D,"PO",'caseload data'!$C:$C,'custody caseload'!$B$99,'caseload data'!$B:$B,"custody")</f>
        <v>0</v>
      </c>
      <c r="R101" s="104">
        <f>SUMIFS('caseload data'!T:T,'caseload data'!$D:$D,"PO",'caseload data'!$C:$C,'custody caseload'!$B$99,'caseload data'!$B:$B,"custody")</f>
        <v>0</v>
      </c>
      <c r="T101" s="106" t="s">
        <v>911</v>
      </c>
      <c r="U101" s="104">
        <f>SUMIFS('caseload data'!E:E,'caseload data'!$D:$D,"PO",'caseload data'!$C:$C,'custody caseload'!$T$99,'caseload data'!$B:$B,"custody")</f>
        <v>0</v>
      </c>
      <c r="V101" s="104">
        <f>SUMIFS('caseload data'!F:F,'caseload data'!$D:$D,"PO",'caseload data'!$C:$C,'custody caseload'!$T$99,'caseload data'!$B:$B,"custody")</f>
        <v>0</v>
      </c>
      <c r="W101" s="104">
        <f>SUMIFS('caseload data'!G:G,'caseload data'!$D:$D,"PO",'caseload data'!$C:$C,'custody caseload'!$T$99,'caseload data'!$B:$B,"custody")</f>
        <v>0</v>
      </c>
      <c r="X101" s="104">
        <f>SUMIFS('caseload data'!H:H,'caseload data'!$D:$D,"PO",'caseload data'!$C:$C,'custody caseload'!$T$99,'caseload data'!$B:$B,"custody")</f>
        <v>0</v>
      </c>
      <c r="Y101" s="104">
        <f>SUMIFS('caseload data'!I:I,'caseload data'!$D:$D,"PO",'caseload data'!$C:$C,'custody caseload'!$T$99,'caseload data'!$B:$B,"custody")</f>
        <v>0</v>
      </c>
      <c r="Z101" s="104">
        <f>SUMIFS('caseload data'!J:J,'caseload data'!$D:$D,"PO",'caseload data'!$C:$C,'custody caseload'!$T$99,'caseload data'!$B:$B,"custody")</f>
        <v>0</v>
      </c>
      <c r="AA101" s="104">
        <f>SUMIFS('caseload data'!K:K,'caseload data'!$D:$D,"PO",'caseload data'!$C:$C,'custody caseload'!$T$99,'caseload data'!$B:$B,"custody")</f>
        <v>0</v>
      </c>
      <c r="AB101" s="104">
        <f>SUMIFS('caseload data'!L:L,'caseload data'!$D:$D,"PO",'caseload data'!$C:$C,'custody caseload'!$T$99,'caseload data'!$B:$B,"custody")</f>
        <v>0</v>
      </c>
      <c r="AC101" s="104">
        <f>SUMIFS('caseload data'!M:M,'caseload data'!$D:$D,"PO",'caseload data'!$C:$C,'custody caseload'!$T$99,'caseload data'!$B:$B,"custody")</f>
        <v>0</v>
      </c>
      <c r="AD101" s="104">
        <f>SUMIFS('caseload data'!N:N,'caseload data'!$D:$D,"PO",'caseload data'!$C:$C,'custody caseload'!$T$99,'caseload data'!$B:$B,"custody")</f>
        <v>0</v>
      </c>
      <c r="AE101" s="104">
        <f>SUMIFS('caseload data'!O:O,'caseload data'!$D:$D,"PO",'caseload data'!$C:$C,'custody caseload'!$T$99,'caseload data'!$B:$B,"custody")</f>
        <v>0</v>
      </c>
      <c r="AF101" s="104">
        <f>SUMIFS('caseload data'!P:P,'caseload data'!$D:$D,"PO",'caseload data'!$C:$C,'custody caseload'!$T$99,'caseload data'!$B:$B,"custody")</f>
        <v>0</v>
      </c>
      <c r="AG101" s="104">
        <f>SUMIFS('caseload data'!Q:Q,'caseload data'!$D:$D,"PO",'caseload data'!$C:$C,'custody caseload'!$T$99,'caseload data'!$B:$B,"custody")</f>
        <v>0</v>
      </c>
      <c r="AH101" s="104">
        <f>SUMIFS('caseload data'!R:R,'caseload data'!$D:$D,"PO",'caseload data'!$C:$C,'custody caseload'!$T$99,'caseload data'!$B:$B,"custody")</f>
        <v>0</v>
      </c>
      <c r="AI101" s="104">
        <f>SUMIFS('caseload data'!S:S,'caseload data'!$D:$D,"PO",'caseload data'!$C:$C,'custody caseload'!$T$99,'caseload data'!$B:$B,"custody")</f>
        <v>0</v>
      </c>
      <c r="AJ101" s="104">
        <f>SUMIFS('caseload data'!T:T,'caseload data'!$D:$D,"PO",'caseload data'!$C:$C,'custody caseload'!$T$99,'caseload data'!$B:$B,"custody")</f>
        <v>0</v>
      </c>
    </row>
    <row r="102" spans="2:36" ht="15" x14ac:dyDescent="0.2">
      <c r="B102" s="107" t="s">
        <v>912</v>
      </c>
      <c r="C102" s="159">
        <f>SUMIFS('caseload data'!E:E,'caseload data'!$D:$D,"PSO",'caseload data'!$C:$C,'custody caseload'!$B$99,'caseload data'!$B:$B,"custody")</f>
        <v>0</v>
      </c>
      <c r="D102" s="159">
        <f>SUMIFS('caseload data'!F:F,'caseload data'!$D:$D,"PSO",'caseload data'!$C:$C,'custody caseload'!$B$99,'caseload data'!$B:$B,"custody")</f>
        <v>0</v>
      </c>
      <c r="E102" s="159">
        <f>SUMIFS('caseload data'!G:G,'caseload data'!$D:$D,"PSO",'caseload data'!$C:$C,'custody caseload'!$B$99,'caseload data'!$B:$B,"custody")</f>
        <v>0</v>
      </c>
      <c r="F102" s="159">
        <f>SUMIFS('caseload data'!H:H,'caseload data'!$D:$D,"PSO",'caseload data'!$C:$C,'custody caseload'!$B$99,'caseload data'!$B:$B,"custody")</f>
        <v>0</v>
      </c>
      <c r="G102" s="159">
        <f>SUMIFS('caseload data'!I:I,'caseload data'!$D:$D,"PSO",'caseload data'!$C:$C,'custody caseload'!$B$99,'caseload data'!$B:$B,"custody")</f>
        <v>0</v>
      </c>
      <c r="H102" s="159">
        <f>SUMIFS('caseload data'!J:J,'caseload data'!$D:$D,"PSO",'caseload data'!$C:$C,'custody caseload'!$B$99,'caseload data'!$B:$B,"custody")</f>
        <v>0</v>
      </c>
      <c r="I102" s="159">
        <f>SUMIFS('caseload data'!K:K,'caseload data'!$D:$D,"PSO",'caseload data'!$C:$C,'custody caseload'!$B$99,'caseload data'!$B:$B,"custody")</f>
        <v>0</v>
      </c>
      <c r="J102" s="159">
        <f>SUMIFS('caseload data'!L:L,'caseload data'!$D:$D,"PSO",'caseload data'!$C:$C,'custody caseload'!$B$99,'caseload data'!$B:$B,"custody")</f>
        <v>0</v>
      </c>
      <c r="K102" s="104">
        <f>SUMIFS('caseload data'!M:M,'caseload data'!$D:$D,"PSO",'caseload data'!$C:$C,'custody caseload'!$B$99,'caseload data'!$B:$B,"custody")</f>
        <v>0</v>
      </c>
      <c r="L102" s="104">
        <f>SUMIFS('caseload data'!N:N,'caseload data'!$D:$D,"PSO",'caseload data'!$C:$C,'custody caseload'!$B$99,'caseload data'!$B:$B,"custody")</f>
        <v>0</v>
      </c>
      <c r="M102" s="104">
        <f>SUMIFS('caseload data'!O:O,'caseload data'!$D:$D,"PSO",'caseload data'!$C:$C,'custody caseload'!$B$99,'caseload data'!$B:$B,"custody")</f>
        <v>0</v>
      </c>
      <c r="N102" s="104">
        <f>SUMIFS('caseload data'!P:P,'caseload data'!$D:$D,"PSO",'caseload data'!$C:$C,'custody caseload'!$B$99,'caseload data'!$B:$B,"custody")</f>
        <v>0</v>
      </c>
      <c r="O102" s="104">
        <f>SUMIFS('caseload data'!Q:Q,'caseload data'!$D:$D,"PSO",'caseload data'!$C:$C,'custody caseload'!$B$99,'caseload data'!$B:$B,"custody")</f>
        <v>0</v>
      </c>
      <c r="P102" s="104">
        <f>SUMIFS('caseload data'!R:R,'caseload data'!$D:$D,"PSO",'caseload data'!$C:$C,'custody caseload'!$B$99,'caseload data'!$B:$B,"custody")</f>
        <v>0</v>
      </c>
      <c r="Q102" s="104">
        <f>SUMIFS('caseload data'!S:S,'caseload data'!$D:$D,"PSO",'caseload data'!$C:$C,'custody caseload'!$B$99,'caseload data'!$B:$B,"custody")</f>
        <v>0</v>
      </c>
      <c r="R102" s="104">
        <f>SUMIFS('caseload data'!T:T,'caseload data'!$D:$D,"PSO",'caseload data'!$C:$C,'custody caseload'!$B$99,'caseload data'!$B:$B,"custody")</f>
        <v>0</v>
      </c>
      <c r="T102" s="107" t="s">
        <v>912</v>
      </c>
      <c r="U102" s="159">
        <f>SUMIFS('caseload data'!E:E,'caseload data'!$D:$D,"PSO",'caseload data'!$C:$C,'custody caseload'!$T$99,'caseload data'!$B:$B,"custody")</f>
        <v>0</v>
      </c>
      <c r="V102" s="159">
        <f>SUMIFS('caseload data'!F:F,'caseload data'!$D:$D,"PSO",'caseload data'!$C:$C,'custody caseload'!$T$99,'caseload data'!$B:$B,"custody")</f>
        <v>0</v>
      </c>
      <c r="W102" s="159">
        <f>SUMIFS('caseload data'!G:G,'caseload data'!$D:$D,"PSO",'caseload data'!$C:$C,'custody caseload'!$T$99,'caseload data'!$B:$B,"custody")</f>
        <v>0</v>
      </c>
      <c r="X102" s="159">
        <f>SUMIFS('caseload data'!H:H,'caseload data'!$D:$D,"PSO",'caseload data'!$C:$C,'custody caseload'!$T$99,'caseload data'!$B:$B,"custody")</f>
        <v>0</v>
      </c>
      <c r="Y102" s="159">
        <f>SUMIFS('caseload data'!I:I,'caseload data'!$D:$D,"PSO",'caseload data'!$C:$C,'custody caseload'!$T$99,'caseload data'!$B:$B,"custody")</f>
        <v>0</v>
      </c>
      <c r="Z102" s="159">
        <f>SUMIFS('caseload data'!J:J,'caseload data'!$D:$D,"PSO",'caseload data'!$C:$C,'custody caseload'!$T$99,'caseload data'!$B:$B,"custody")</f>
        <v>0</v>
      </c>
      <c r="AA102" s="159">
        <f>SUMIFS('caseload data'!K:K,'caseload data'!$D:$D,"PSO",'caseload data'!$C:$C,'custody caseload'!$T$99,'caseload data'!$B:$B,"custody")</f>
        <v>0</v>
      </c>
      <c r="AB102" s="159">
        <f>SUMIFS('caseload data'!L:L,'caseload data'!$D:$D,"PSO",'caseload data'!$C:$C,'custody caseload'!$T$99,'caseload data'!$B:$B,"custody")</f>
        <v>0</v>
      </c>
      <c r="AC102" s="104">
        <f>SUMIFS('caseload data'!M:M,'caseload data'!$D:$D,"PSO",'caseload data'!$C:$C,'custody caseload'!$T$99,'caseload data'!$B:$B,"custody")</f>
        <v>0</v>
      </c>
      <c r="AD102" s="104">
        <f>SUMIFS('caseload data'!N:N,'caseload data'!$D:$D,"PSO",'caseload data'!$C:$C,'custody caseload'!$T$99,'caseload data'!$B:$B,"custody")</f>
        <v>0</v>
      </c>
      <c r="AE102" s="104">
        <f>SUMIFS('caseload data'!O:O,'caseload data'!$D:$D,"PSO",'caseload data'!$C:$C,'custody caseload'!$T$99,'caseload data'!$B:$B,"custody")</f>
        <v>0</v>
      </c>
      <c r="AF102" s="104">
        <f>SUMIFS('caseload data'!P:P,'caseload data'!$D:$D,"PSO",'caseload data'!$C:$C,'custody caseload'!$T$99,'caseload data'!$B:$B,"custody")</f>
        <v>0</v>
      </c>
      <c r="AG102" s="104">
        <f>SUMIFS('caseload data'!Q:Q,'caseload data'!$D:$D,"PSO",'caseload data'!$C:$C,'custody caseload'!$T$99,'caseload data'!$B:$B,"custody")</f>
        <v>0</v>
      </c>
      <c r="AH102" s="104">
        <f>SUMIFS('caseload data'!R:R,'caseload data'!$D:$D,"PSO",'caseload data'!$C:$C,'custody caseload'!$T$99,'caseload data'!$B:$B,"custody")</f>
        <v>0</v>
      </c>
      <c r="AI102" s="104">
        <f>SUMIFS('caseload data'!S:S,'caseload data'!$D:$D,"PSO",'caseload data'!$C:$C,'custody caseload'!$T$99,'caseload data'!$B:$B,"custody")</f>
        <v>0</v>
      </c>
      <c r="AJ102" s="104">
        <f>SUMIFS('caseload data'!T:T,'caseload data'!$D:$D,"PSO",'caseload data'!$C:$C,'custody caseload'!$T$99,'caseload data'!$B:$B,"custody")</f>
        <v>0</v>
      </c>
    </row>
    <row r="103" spans="2:36" ht="15" x14ac:dyDescent="0.2">
      <c r="B103" s="107" t="s">
        <v>913</v>
      </c>
      <c r="C103" s="159">
        <f>SUMIFS('caseload data'!E:E,'caseload data'!$D:$D,"TPO",'caseload data'!$C:$C,'custody caseload'!$B$99,'caseload data'!$B:$B,"custody")</f>
        <v>0</v>
      </c>
      <c r="D103" s="159">
        <f>SUMIFS('caseload data'!F:F,'caseload data'!$D:$D,"TPO",'caseload data'!$C:$C,'custody caseload'!$B$99,'caseload data'!$B:$B,"custody")</f>
        <v>0</v>
      </c>
      <c r="E103" s="159">
        <f>SUMIFS('caseload data'!G:G,'caseload data'!$D:$D,"TPO",'caseload data'!$C:$C,'custody caseload'!$B$99,'caseload data'!$B:$B,"custody")</f>
        <v>0</v>
      </c>
      <c r="F103" s="159">
        <f>SUMIFS('caseload data'!H:H,'caseload data'!$D:$D,"TPO",'caseload data'!$C:$C,'custody caseload'!$B$99,'caseload data'!$B:$B,"custody")</f>
        <v>0</v>
      </c>
      <c r="G103" s="159">
        <f>SUMIFS('caseload data'!I:I,'caseload data'!$D:$D,"TPO",'caseload data'!$C:$C,'custody caseload'!$B$99,'caseload data'!$B:$B,"custody")</f>
        <v>0</v>
      </c>
      <c r="H103" s="159">
        <f>SUMIFS('caseload data'!J:J,'caseload data'!$D:$D,"TPO",'caseload data'!$C:$C,'custody caseload'!$B$99,'caseload data'!$B:$B,"custody")</f>
        <v>0</v>
      </c>
      <c r="I103" s="159">
        <f>SUMIFS('caseload data'!K:K,'caseload data'!$D:$D,"TPO",'caseload data'!$C:$C,'custody caseload'!$B$99,'caseload data'!$B:$B,"custody")</f>
        <v>0</v>
      </c>
      <c r="J103" s="159">
        <f>SUMIFS('caseload data'!L:L,'caseload data'!$D:$D,"TPO",'caseload data'!$C:$C,'custody caseload'!$B$99,'caseload data'!$B:$B,"custody")</f>
        <v>0</v>
      </c>
      <c r="K103" s="104">
        <f>SUMIFS('caseload data'!M:M,'caseload data'!$D:$D,"TPO",'caseload data'!$C:$C,'custody caseload'!$B$99,'caseload data'!$B:$B,"custody")</f>
        <v>0</v>
      </c>
      <c r="L103" s="104">
        <f>SUMIFS('caseload data'!N:N,'caseload data'!$D:$D,"TPO",'caseload data'!$C:$C,'custody caseload'!$B$99,'caseload data'!$B:$B,"custody")</f>
        <v>0</v>
      </c>
      <c r="M103" s="104">
        <f>SUMIFS('caseload data'!O:O,'caseload data'!$D:$D,"TPO",'caseload data'!$C:$C,'custody caseload'!$B$99,'caseload data'!$B:$B,"custody")</f>
        <v>0</v>
      </c>
      <c r="N103" s="104">
        <f>SUMIFS('caseload data'!P:P,'caseload data'!$D:$D,"TPO",'caseload data'!$C:$C,'custody caseload'!$B$99,'caseload data'!$B:$B,"custody")</f>
        <v>0</v>
      </c>
      <c r="O103" s="104">
        <f>SUMIFS('caseload data'!Q:Q,'caseload data'!$D:$D,"TPO",'caseload data'!$C:$C,'custody caseload'!$B$99,'caseload data'!$B:$B,"custody")</f>
        <v>0</v>
      </c>
      <c r="P103" s="104">
        <f>SUMIFS('caseload data'!R:R,'caseload data'!$D:$D,"TPO",'caseload data'!$C:$C,'custody caseload'!$B$99,'caseload data'!$B:$B,"custody")</f>
        <v>0</v>
      </c>
      <c r="Q103" s="104">
        <f>SUMIFS('caseload data'!S:S,'caseload data'!$D:$D,"TPO",'caseload data'!$C:$C,'custody caseload'!$B$99,'caseload data'!$B:$B,"custody")</f>
        <v>0</v>
      </c>
      <c r="R103" s="104">
        <f>SUMIFS('caseload data'!T:T,'caseload data'!$D:$D,"TPO",'caseload data'!$C:$C,'custody caseload'!$B$99,'caseload data'!$B:$B,"custody")</f>
        <v>0</v>
      </c>
      <c r="T103" s="107" t="s">
        <v>913</v>
      </c>
      <c r="U103" s="159">
        <f>SUMIFS('caseload data'!E:E,'caseload data'!$D:$D,"TPO",'caseload data'!$C:$C,'custody caseload'!$T$99,'caseload data'!$B:$B,"custody")</f>
        <v>0</v>
      </c>
      <c r="V103" s="159">
        <f>SUMIFS('caseload data'!F:F,'caseload data'!$D:$D,"TPO",'caseload data'!$C:$C,'custody caseload'!$T$99,'caseload data'!$B:$B,"custody")</f>
        <v>0</v>
      </c>
      <c r="W103" s="159">
        <f>SUMIFS('caseload data'!G:G,'caseload data'!$D:$D,"TPO",'caseload data'!$C:$C,'custody caseload'!$T$99,'caseload data'!$B:$B,"custody")</f>
        <v>0</v>
      </c>
      <c r="X103" s="159">
        <f>SUMIFS('caseload data'!H:H,'caseload data'!$D:$D,"TPO",'caseload data'!$C:$C,'custody caseload'!$T$99,'caseload data'!$B:$B,"custody")</f>
        <v>0</v>
      </c>
      <c r="Y103" s="159">
        <f>SUMIFS('caseload data'!I:I,'caseload data'!$D:$D,"TPO",'caseload data'!$C:$C,'custody caseload'!$T$99,'caseload data'!$B:$B,"custody")</f>
        <v>0</v>
      </c>
      <c r="Z103" s="159">
        <f>SUMIFS('caseload data'!J:J,'caseload data'!$D:$D,"TPO",'caseload data'!$C:$C,'custody caseload'!$T$99,'caseload data'!$B:$B,"custody")</f>
        <v>0</v>
      </c>
      <c r="AA103" s="159">
        <f>SUMIFS('caseload data'!K:K,'caseload data'!$D:$D,"TPO",'caseload data'!$C:$C,'custody caseload'!$T$99,'caseload data'!$B:$B,"custody")</f>
        <v>0</v>
      </c>
      <c r="AB103" s="159">
        <f>SUMIFS('caseload data'!L:L,'caseload data'!$D:$D,"TPO",'caseload data'!$C:$C,'custody caseload'!$T$99,'caseload data'!$B:$B,"custody")</f>
        <v>0</v>
      </c>
      <c r="AC103" s="104">
        <f>SUMIFS('caseload data'!M:M,'caseload data'!$D:$D,"TPO",'caseload data'!$C:$C,'custody caseload'!$T$99,'caseload data'!$B:$B,"custody")</f>
        <v>0</v>
      </c>
      <c r="AD103" s="104">
        <f>SUMIFS('caseload data'!N:N,'caseload data'!$D:$D,"TPO",'caseload data'!$C:$C,'custody caseload'!$T$99,'caseload data'!$B:$B,"custody")</f>
        <v>0</v>
      </c>
      <c r="AE103" s="104">
        <f>SUMIFS('caseload data'!O:O,'caseload data'!$D:$D,"TPO",'caseload data'!$C:$C,'custody caseload'!$T$99,'caseload data'!$B:$B,"custody")</f>
        <v>0</v>
      </c>
      <c r="AF103" s="104">
        <f>SUMIFS('caseload data'!P:P,'caseload data'!$D:$D,"TPO",'caseload data'!$C:$C,'custody caseload'!$T$99,'caseload data'!$B:$B,"custody")</f>
        <v>0</v>
      </c>
      <c r="AG103" s="104">
        <f>SUMIFS('caseload data'!Q:Q,'caseload data'!$D:$D,"TPO",'caseload data'!$C:$C,'custody caseload'!$T$99,'caseload data'!$B:$B,"custody")</f>
        <v>0</v>
      </c>
      <c r="AH103" s="104">
        <f>SUMIFS('caseload data'!R:R,'caseload data'!$D:$D,"TPO",'caseload data'!$C:$C,'custody caseload'!$T$99,'caseload data'!$B:$B,"custody")</f>
        <v>0</v>
      </c>
      <c r="AI103" s="104">
        <f>SUMIFS('caseload data'!S:S,'caseload data'!$D:$D,"TPO",'caseload data'!$C:$C,'custody caseload'!$T$99,'caseload data'!$B:$B,"custody")</f>
        <v>0</v>
      </c>
      <c r="AJ103" s="104">
        <f>SUMIFS('caseload data'!T:T,'caseload data'!$D:$D,"TPO",'caseload data'!$C:$C,'custody caseload'!$T$99,'caseload data'!$B:$B,"custody")</f>
        <v>0</v>
      </c>
    </row>
    <row r="104" spans="2:36" x14ac:dyDescent="0.15">
      <c r="B104" s="108" t="s">
        <v>914</v>
      </c>
      <c r="C104" s="104">
        <f>SUMIFS('caseload data'!E:E,'caseload data'!$D:$D,"SPO",'caseload data'!$C:$C,'custody caseload'!$B$99,'caseload data'!$B:$B,"custody")</f>
        <v>0</v>
      </c>
      <c r="D104" s="104">
        <f>SUMIFS('caseload data'!F:F,'caseload data'!$D:$D,"SPO",'caseload data'!$C:$C,'custody caseload'!$B$99,'caseload data'!$B:$B,"custody")</f>
        <v>0</v>
      </c>
      <c r="E104" s="104">
        <f>SUMIFS('caseload data'!G:G,'caseload data'!$D:$D,"SPO",'caseload data'!$C:$C,'custody caseload'!$B$99,'caseload data'!$B:$B,"custody")</f>
        <v>0</v>
      </c>
      <c r="F104" s="104">
        <f>SUMIFS('caseload data'!H:H,'caseload data'!$D:$D,"SPO",'caseload data'!$C:$C,'custody caseload'!$B$99,'caseload data'!$B:$B,"custody")</f>
        <v>0</v>
      </c>
      <c r="G104" s="104">
        <f>SUMIFS('caseload data'!I:I,'caseload data'!$D:$D,"SPO",'caseload data'!$C:$C,'custody caseload'!$B$99,'caseload data'!$B:$B,"custody")</f>
        <v>0</v>
      </c>
      <c r="H104" s="104">
        <f>SUMIFS('caseload data'!J:J,'caseload data'!$D:$D,"SPO",'caseload data'!$C:$C,'custody caseload'!$B$99,'caseload data'!$B:$B,"custody")</f>
        <v>0</v>
      </c>
      <c r="I104" s="104">
        <f>SUMIFS('caseload data'!K:K,'caseload data'!$D:$D,"SPO",'caseload data'!$C:$C,'custody caseload'!$B$99,'caseload data'!$B:$B,"custody")</f>
        <v>0</v>
      </c>
      <c r="J104" s="104">
        <f>SUMIFS('caseload data'!L:L,'caseload data'!$D:$D,"SPO",'caseload data'!$C:$C,'custody caseload'!$B$99,'caseload data'!$B:$B,"custody")</f>
        <v>0</v>
      </c>
      <c r="K104" s="104">
        <f>SUMIFS('caseload data'!M:M,'caseload data'!$D:$D,"SPO",'caseload data'!$C:$C,'custody caseload'!$B$99,'caseload data'!$B:$B,"custody")</f>
        <v>0</v>
      </c>
      <c r="L104" s="104">
        <f>SUMIFS('caseload data'!N:N,'caseload data'!$D:$D,"SPO",'caseload data'!$C:$C,'custody caseload'!$B$99,'caseload data'!$B:$B,"custody")</f>
        <v>0</v>
      </c>
      <c r="M104" s="104">
        <f>SUMIFS('caseload data'!O:O,'caseload data'!$D:$D,"SPO",'caseload data'!$C:$C,'custody caseload'!$B$99,'caseload data'!$B:$B,"custody")</f>
        <v>0</v>
      </c>
      <c r="N104" s="104">
        <f>SUMIFS('caseload data'!P:P,'caseload data'!$D:$D,"SPO",'caseload data'!$C:$C,'custody caseload'!$B$99,'caseload data'!$B:$B,"custody")</f>
        <v>0</v>
      </c>
      <c r="O104" s="104">
        <f>SUMIFS('caseload data'!Q:Q,'caseload data'!$D:$D,"SPO",'caseload data'!$C:$C,'custody caseload'!$B$99,'caseload data'!$B:$B,"custody")</f>
        <v>0</v>
      </c>
      <c r="P104" s="104">
        <f>SUMIFS('caseload data'!R:R,'caseload data'!$D:$D,"SPO",'caseload data'!$C:$C,'custody caseload'!$B$99,'caseload data'!$B:$B,"custody")</f>
        <v>0</v>
      </c>
      <c r="Q104" s="104">
        <f>SUMIFS('caseload data'!S:S,'caseload data'!$D:$D,"SPO",'caseload data'!$C:$C,'custody caseload'!$B$99,'caseload data'!$B:$B,"custody")</f>
        <v>0</v>
      </c>
      <c r="R104" s="104">
        <f>SUMIFS('caseload data'!T:T,'caseload data'!$D:$D,"SPO",'caseload data'!$C:$C,'custody caseload'!$B$99,'caseload data'!$B:$B,"custody")</f>
        <v>0</v>
      </c>
      <c r="T104" s="108" t="s">
        <v>914</v>
      </c>
      <c r="U104" s="104">
        <f>SUMIFS('caseload data'!E:E,'caseload data'!$D:$D,"SPO",'caseload data'!$C:$C,'custody caseload'!$T$99,'caseload data'!$B:$B,"custody")</f>
        <v>0</v>
      </c>
      <c r="V104" s="104">
        <f>SUMIFS('caseload data'!F:F,'caseload data'!$D:$D,"SPO",'caseload data'!$C:$C,'custody caseload'!$T$99,'caseload data'!$B:$B,"custody")</f>
        <v>0</v>
      </c>
      <c r="W104" s="104">
        <f>SUMIFS('caseload data'!G:G,'caseload data'!$D:$D,"SPO",'caseload data'!$C:$C,'custody caseload'!$T$99,'caseload data'!$B:$B,"custody")</f>
        <v>0</v>
      </c>
      <c r="X104" s="104">
        <f>SUMIFS('caseload data'!H:H,'caseload data'!$D:$D,"SPO",'caseload data'!$C:$C,'custody caseload'!$T$99,'caseload data'!$B:$B,"custody")</f>
        <v>0</v>
      </c>
      <c r="Y104" s="104">
        <f>SUMIFS('caseload data'!I:I,'caseload data'!$D:$D,"SPO",'caseload data'!$C:$C,'custody caseload'!$T$99,'caseload data'!$B:$B,"custody")</f>
        <v>0</v>
      </c>
      <c r="Z104" s="104">
        <f>SUMIFS('caseload data'!J:J,'caseload data'!$D:$D,"SPO",'caseload data'!$C:$C,'custody caseload'!$T$99,'caseload data'!$B:$B,"custody")</f>
        <v>0</v>
      </c>
      <c r="AA104" s="104">
        <f>SUMIFS('caseload data'!K:K,'caseload data'!$D:$D,"SPO",'caseload data'!$C:$C,'custody caseload'!$T$99,'caseload data'!$B:$B,"custody")</f>
        <v>0</v>
      </c>
      <c r="AB104" s="104">
        <f>SUMIFS('caseload data'!L:L,'caseload data'!$D:$D,"SPO",'caseload data'!$C:$C,'custody caseload'!$T$99,'caseload data'!$B:$B,"custody")</f>
        <v>0</v>
      </c>
      <c r="AC104" s="104">
        <f>SUMIFS('caseload data'!M:M,'caseload data'!$D:$D,"SPO",'caseload data'!$C:$C,'custody caseload'!$T$99,'caseload data'!$B:$B,"custody")</f>
        <v>0</v>
      </c>
      <c r="AD104" s="104">
        <f>SUMIFS('caseload data'!N:N,'caseload data'!$D:$D,"SPO",'caseload data'!$C:$C,'custody caseload'!$T$99,'caseload data'!$B:$B,"custody")</f>
        <v>0</v>
      </c>
      <c r="AE104" s="104">
        <f>SUMIFS('caseload data'!O:O,'caseload data'!$D:$D,"SPO",'caseload data'!$C:$C,'custody caseload'!$T$99,'caseload data'!$B:$B,"custody")</f>
        <v>0</v>
      </c>
      <c r="AF104" s="104">
        <f>SUMIFS('caseload data'!P:P,'caseload data'!$D:$D,"SPO",'caseload data'!$C:$C,'custody caseload'!$T$99,'caseload data'!$B:$B,"custody")</f>
        <v>0</v>
      </c>
      <c r="AG104" s="104">
        <f>SUMIFS('caseload data'!Q:Q,'caseload data'!$D:$D,"SPO",'caseload data'!$C:$C,'custody caseload'!$T$99,'caseload data'!$B:$B,"custody")</f>
        <v>0</v>
      </c>
      <c r="AH104" s="104">
        <f>SUMIFS('caseload data'!R:R,'caseload data'!$D:$D,"SPO",'caseload data'!$C:$C,'custody caseload'!$T$99,'caseload data'!$B:$B,"custody")</f>
        <v>0</v>
      </c>
      <c r="AI104" s="104">
        <f>SUMIFS('caseload data'!S:S,'caseload data'!$D:$D,"SPO",'caseload data'!$C:$C,'custody caseload'!$T$99,'caseload data'!$B:$B,"custody")</f>
        <v>0</v>
      </c>
      <c r="AJ104" s="104">
        <f>SUMIFS('caseload data'!T:T,'caseload data'!$D:$D,"SPO",'caseload data'!$C:$C,'custody caseload'!$T$99,'caseload data'!$B:$B,"custody")</f>
        <v>0</v>
      </c>
    </row>
  </sheetData>
  <mergeCells count="58">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 ref="C92:O92"/>
    <mergeCell ref="P92:R92"/>
    <mergeCell ref="C71:O71"/>
    <mergeCell ref="P71:R71"/>
    <mergeCell ref="C64:O64"/>
    <mergeCell ref="P64:R64"/>
    <mergeCell ref="U64:AG64"/>
    <mergeCell ref="AH64:AJ64"/>
    <mergeCell ref="C57:O57"/>
    <mergeCell ref="P57:R57"/>
    <mergeCell ref="U57:AG57"/>
    <mergeCell ref="AH57:AJ57"/>
    <mergeCell ref="C43:O43"/>
    <mergeCell ref="P43:R43"/>
    <mergeCell ref="U43:AG43"/>
    <mergeCell ref="AH43:AJ43"/>
    <mergeCell ref="C50:O50"/>
    <mergeCell ref="P50:R50"/>
    <mergeCell ref="U50:AG50"/>
    <mergeCell ref="AH50:AJ50"/>
    <mergeCell ref="C29:O29"/>
    <mergeCell ref="P29:R29"/>
    <mergeCell ref="U29:AG29"/>
    <mergeCell ref="AH29:AJ29"/>
    <mergeCell ref="C36:O36"/>
    <mergeCell ref="P36:R36"/>
    <mergeCell ref="U36:AG36"/>
    <mergeCell ref="AH36:AJ36"/>
    <mergeCell ref="C15:O15"/>
    <mergeCell ref="P15:R15"/>
    <mergeCell ref="U15:AG15"/>
    <mergeCell ref="AH15:AJ15"/>
    <mergeCell ref="C22:O22"/>
    <mergeCell ref="P22:R22"/>
    <mergeCell ref="U22:AG22"/>
    <mergeCell ref="AH22:AJ22"/>
    <mergeCell ref="C8:O8"/>
    <mergeCell ref="P8:R8"/>
    <mergeCell ref="U8:AG8"/>
    <mergeCell ref="AH8:AJ8"/>
    <mergeCell ref="A1:AX1"/>
    <mergeCell ref="A2:AX2"/>
  </mergeCells>
  <conditionalFormatting sqref="C11:C12">
    <cfRule type="cellIs" dxfId="3081" priority="897" operator="equal">
      <formula>0</formula>
    </cfRule>
    <cfRule type="cellIs" dxfId="3080" priority="898" operator="notEqual">
      <formula>0</formula>
    </cfRule>
  </conditionalFormatting>
  <conditionalFormatting sqref="D11:D12">
    <cfRule type="cellIs" dxfId="3079" priority="895" operator="equal">
      <formula>0</formula>
    </cfRule>
    <cfRule type="cellIs" dxfId="3078" priority="896" operator="notEqual">
      <formula>0</formula>
    </cfRule>
  </conditionalFormatting>
  <conditionalFormatting sqref="E11:E12">
    <cfRule type="cellIs" dxfId="3077" priority="893" operator="equal">
      <formula>0</formula>
    </cfRule>
    <cfRule type="cellIs" dxfId="3076" priority="894" operator="notEqual">
      <formula>0</formula>
    </cfRule>
  </conditionalFormatting>
  <conditionalFormatting sqref="F11:F12">
    <cfRule type="cellIs" dxfId="3075" priority="891" operator="equal">
      <formula>0</formula>
    </cfRule>
    <cfRule type="cellIs" dxfId="3074" priority="892" operator="notEqual">
      <formula>0</formula>
    </cfRule>
  </conditionalFormatting>
  <conditionalFormatting sqref="G11:G12">
    <cfRule type="cellIs" dxfId="3073" priority="887" operator="equal">
      <formula>0</formula>
    </cfRule>
    <cfRule type="cellIs" dxfId="3072" priority="888" operator="notEqual">
      <formula>0</formula>
    </cfRule>
  </conditionalFormatting>
  <conditionalFormatting sqref="H11:H12">
    <cfRule type="cellIs" dxfId="3071" priority="885" operator="equal">
      <formula>0</formula>
    </cfRule>
    <cfRule type="cellIs" dxfId="3070" priority="886" operator="notEqual">
      <formula>0</formula>
    </cfRule>
  </conditionalFormatting>
  <conditionalFormatting sqref="I11:I12">
    <cfRule type="cellIs" dxfId="3069" priority="883" operator="equal">
      <formula>0</formula>
    </cfRule>
    <cfRule type="cellIs" dxfId="3068" priority="884" operator="notEqual">
      <formula>0</formula>
    </cfRule>
  </conditionalFormatting>
  <conditionalFormatting sqref="J11:J12">
    <cfRule type="cellIs" dxfId="3067" priority="881" operator="equal">
      <formula>0</formula>
    </cfRule>
    <cfRule type="cellIs" dxfId="3066" priority="882" operator="notEqual">
      <formula>0</formula>
    </cfRule>
  </conditionalFormatting>
  <conditionalFormatting sqref="O10">
    <cfRule type="cellIs" dxfId="3065" priority="879" operator="equal">
      <formula>0</formula>
    </cfRule>
    <cfRule type="cellIs" dxfId="3064" priority="880" operator="notEqual">
      <formula>0</formula>
    </cfRule>
  </conditionalFormatting>
  <conditionalFormatting sqref="O13">
    <cfRule type="cellIs" dxfId="3063" priority="877" operator="equal">
      <formula>0</formula>
    </cfRule>
    <cfRule type="cellIs" dxfId="3062" priority="878" operator="notEqual">
      <formula>0</formula>
    </cfRule>
  </conditionalFormatting>
  <conditionalFormatting sqref="P10">
    <cfRule type="cellIs" dxfId="3061" priority="875" operator="equal">
      <formula>0</formula>
    </cfRule>
    <cfRule type="cellIs" dxfId="3060" priority="876" operator="notEqual">
      <formula>0</formula>
    </cfRule>
  </conditionalFormatting>
  <conditionalFormatting sqref="P13">
    <cfRule type="cellIs" dxfId="3059" priority="873" operator="equal">
      <formula>0</formula>
    </cfRule>
    <cfRule type="cellIs" dxfId="3058" priority="874" operator="notEqual">
      <formula>0</formula>
    </cfRule>
  </conditionalFormatting>
  <conditionalFormatting sqref="Q10">
    <cfRule type="cellIs" dxfId="3057" priority="871" operator="equal">
      <formula>0</formula>
    </cfRule>
    <cfRule type="cellIs" dxfId="3056" priority="872" operator="notEqual">
      <formula>0</formula>
    </cfRule>
  </conditionalFormatting>
  <conditionalFormatting sqref="Q13">
    <cfRule type="cellIs" dxfId="3055" priority="869" operator="equal">
      <formula>0</formula>
    </cfRule>
    <cfRule type="cellIs" dxfId="3054" priority="870" operator="notEqual">
      <formula>0</formula>
    </cfRule>
  </conditionalFormatting>
  <conditionalFormatting sqref="R10">
    <cfRule type="cellIs" dxfId="3053" priority="867" operator="equal">
      <formula>0</formula>
    </cfRule>
    <cfRule type="cellIs" dxfId="3052" priority="868" operator="notEqual">
      <formula>0</formula>
    </cfRule>
  </conditionalFormatting>
  <conditionalFormatting sqref="R13">
    <cfRule type="cellIs" dxfId="3051" priority="865" operator="equal">
      <formula>0</formula>
    </cfRule>
    <cfRule type="cellIs" dxfId="3050" priority="866" operator="notEqual">
      <formula>0</formula>
    </cfRule>
  </conditionalFormatting>
  <conditionalFormatting sqref="C18:C19">
    <cfRule type="cellIs" dxfId="3049" priority="863" operator="equal">
      <formula>0</formula>
    </cfRule>
    <cfRule type="cellIs" dxfId="3048" priority="864" operator="notEqual">
      <formula>0</formula>
    </cfRule>
  </conditionalFormatting>
  <conditionalFormatting sqref="D18:D19">
    <cfRule type="cellIs" dxfId="3047" priority="861" operator="equal">
      <formula>0</formula>
    </cfRule>
    <cfRule type="cellIs" dxfId="3046" priority="862" operator="notEqual">
      <formula>0</formula>
    </cfRule>
  </conditionalFormatting>
  <conditionalFormatting sqref="E18:E19">
    <cfRule type="cellIs" dxfId="3045" priority="859" operator="equal">
      <formula>0</formula>
    </cfRule>
    <cfRule type="cellIs" dxfId="3044" priority="860" operator="notEqual">
      <formula>0</formula>
    </cfRule>
  </conditionalFormatting>
  <conditionalFormatting sqref="F18:F19">
    <cfRule type="cellIs" dxfId="3043" priority="857" operator="equal">
      <formula>0</formula>
    </cfRule>
    <cfRule type="cellIs" dxfId="3042" priority="858" operator="notEqual">
      <formula>0</formula>
    </cfRule>
  </conditionalFormatting>
  <conditionalFormatting sqref="G18:G19">
    <cfRule type="cellIs" dxfId="3041" priority="855" operator="equal">
      <formula>0</formula>
    </cfRule>
    <cfRule type="cellIs" dxfId="3040" priority="856" operator="notEqual">
      <formula>0</formula>
    </cfRule>
  </conditionalFormatting>
  <conditionalFormatting sqref="H18:H19">
    <cfRule type="cellIs" dxfId="3039" priority="853" operator="equal">
      <formula>0</formula>
    </cfRule>
    <cfRule type="cellIs" dxfId="3038" priority="854" operator="notEqual">
      <formula>0</formula>
    </cfRule>
  </conditionalFormatting>
  <conditionalFormatting sqref="I18:I19">
    <cfRule type="cellIs" dxfId="3037" priority="851" operator="equal">
      <formula>0</formula>
    </cfRule>
    <cfRule type="cellIs" dxfId="3036" priority="852" operator="notEqual">
      <formula>0</formula>
    </cfRule>
  </conditionalFormatting>
  <conditionalFormatting sqref="J18:J19">
    <cfRule type="cellIs" dxfId="3035" priority="849" operator="equal">
      <formula>0</formula>
    </cfRule>
    <cfRule type="cellIs" dxfId="3034" priority="850" operator="notEqual">
      <formula>0</formula>
    </cfRule>
  </conditionalFormatting>
  <conditionalFormatting sqref="O17">
    <cfRule type="cellIs" dxfId="3033" priority="847" operator="equal">
      <formula>0</formula>
    </cfRule>
    <cfRule type="cellIs" dxfId="3032" priority="848" operator="notEqual">
      <formula>0</formula>
    </cfRule>
  </conditionalFormatting>
  <conditionalFormatting sqref="O20">
    <cfRule type="cellIs" dxfId="3031" priority="845" operator="equal">
      <formula>0</formula>
    </cfRule>
    <cfRule type="cellIs" dxfId="3030" priority="846" operator="notEqual">
      <formula>0</formula>
    </cfRule>
  </conditionalFormatting>
  <conditionalFormatting sqref="P17">
    <cfRule type="cellIs" dxfId="3029" priority="843" operator="equal">
      <formula>0</formula>
    </cfRule>
    <cfRule type="cellIs" dxfId="3028" priority="844" operator="notEqual">
      <formula>0</formula>
    </cfRule>
  </conditionalFormatting>
  <conditionalFormatting sqref="P20">
    <cfRule type="cellIs" dxfId="3027" priority="841" operator="equal">
      <formula>0</formula>
    </cfRule>
    <cfRule type="cellIs" dxfId="3026" priority="842" operator="notEqual">
      <formula>0</formula>
    </cfRule>
  </conditionalFormatting>
  <conditionalFormatting sqref="Q17">
    <cfRule type="cellIs" dxfId="3025" priority="839" operator="equal">
      <formula>0</formula>
    </cfRule>
    <cfRule type="cellIs" dxfId="3024" priority="840" operator="notEqual">
      <formula>0</formula>
    </cfRule>
  </conditionalFormatting>
  <conditionalFormatting sqref="Q20">
    <cfRule type="cellIs" dxfId="3023" priority="837" operator="equal">
      <formula>0</formula>
    </cfRule>
    <cfRule type="cellIs" dxfId="3022" priority="838" operator="notEqual">
      <formula>0</formula>
    </cfRule>
  </conditionalFormatting>
  <conditionalFormatting sqref="R17">
    <cfRule type="cellIs" dxfId="3021" priority="835" operator="equal">
      <formula>0</formula>
    </cfRule>
    <cfRule type="cellIs" dxfId="3020" priority="836" operator="notEqual">
      <formula>0</formula>
    </cfRule>
  </conditionalFormatting>
  <conditionalFormatting sqref="R20">
    <cfRule type="cellIs" dxfId="3019" priority="833" operator="equal">
      <formula>0</formula>
    </cfRule>
    <cfRule type="cellIs" dxfId="3018" priority="834" operator="notEqual">
      <formula>0</formula>
    </cfRule>
  </conditionalFormatting>
  <conditionalFormatting sqref="C25:C26">
    <cfRule type="cellIs" dxfId="3017" priority="831" operator="equal">
      <formula>0</formula>
    </cfRule>
    <cfRule type="cellIs" dxfId="3016" priority="832" operator="notEqual">
      <formula>0</formula>
    </cfRule>
  </conditionalFormatting>
  <conditionalFormatting sqref="D25:D26">
    <cfRule type="cellIs" dxfId="3015" priority="829" operator="equal">
      <formula>0</formula>
    </cfRule>
    <cfRule type="cellIs" dxfId="3014" priority="830" operator="notEqual">
      <formula>0</formula>
    </cfRule>
  </conditionalFormatting>
  <conditionalFormatting sqref="E25:E26">
    <cfRule type="cellIs" dxfId="3013" priority="827" operator="equal">
      <formula>0</formula>
    </cfRule>
    <cfRule type="cellIs" dxfId="3012" priority="828" operator="notEqual">
      <formula>0</formula>
    </cfRule>
  </conditionalFormatting>
  <conditionalFormatting sqref="F25:F26">
    <cfRule type="cellIs" dxfId="3011" priority="825" operator="equal">
      <formula>0</formula>
    </cfRule>
    <cfRule type="cellIs" dxfId="3010" priority="826" operator="notEqual">
      <formula>0</formula>
    </cfRule>
  </conditionalFormatting>
  <conditionalFormatting sqref="G25:G26">
    <cfRule type="cellIs" dxfId="3009" priority="823" operator="equal">
      <formula>0</formula>
    </cfRule>
    <cfRule type="cellIs" dxfId="3008" priority="824" operator="notEqual">
      <formula>0</formula>
    </cfRule>
  </conditionalFormatting>
  <conditionalFormatting sqref="H25:H26">
    <cfRule type="cellIs" dxfId="3007" priority="821" operator="equal">
      <formula>0</formula>
    </cfRule>
    <cfRule type="cellIs" dxfId="3006" priority="822" operator="notEqual">
      <formula>0</formula>
    </cfRule>
  </conditionalFormatting>
  <conditionalFormatting sqref="I25:I26">
    <cfRule type="cellIs" dxfId="3005" priority="819" operator="equal">
      <formula>0</formula>
    </cfRule>
    <cfRule type="cellIs" dxfId="3004" priority="820" operator="notEqual">
      <formula>0</formula>
    </cfRule>
  </conditionalFormatting>
  <conditionalFormatting sqref="J25:J26">
    <cfRule type="cellIs" dxfId="3003" priority="817" operator="equal">
      <formula>0</formula>
    </cfRule>
    <cfRule type="cellIs" dxfId="3002" priority="818" operator="notEqual">
      <formula>0</formula>
    </cfRule>
  </conditionalFormatting>
  <conditionalFormatting sqref="O24">
    <cfRule type="cellIs" dxfId="3001" priority="815" operator="equal">
      <formula>0</formula>
    </cfRule>
    <cfRule type="cellIs" dxfId="3000" priority="816" operator="notEqual">
      <formula>0</formula>
    </cfRule>
  </conditionalFormatting>
  <conditionalFormatting sqref="O27">
    <cfRule type="cellIs" dxfId="2999" priority="813" operator="equal">
      <formula>0</formula>
    </cfRule>
    <cfRule type="cellIs" dxfId="2998" priority="814" operator="notEqual">
      <formula>0</formula>
    </cfRule>
  </conditionalFormatting>
  <conditionalFormatting sqref="P24">
    <cfRule type="cellIs" dxfId="2997" priority="811" operator="equal">
      <formula>0</formula>
    </cfRule>
    <cfRule type="cellIs" dxfId="2996" priority="812" operator="notEqual">
      <formula>0</formula>
    </cfRule>
  </conditionalFormatting>
  <conditionalFormatting sqref="P27">
    <cfRule type="cellIs" dxfId="2995" priority="809" operator="equal">
      <formula>0</formula>
    </cfRule>
    <cfRule type="cellIs" dxfId="2994" priority="810" operator="notEqual">
      <formula>0</formula>
    </cfRule>
  </conditionalFormatting>
  <conditionalFormatting sqref="Q24">
    <cfRule type="cellIs" dxfId="2993" priority="807" operator="equal">
      <formula>0</formula>
    </cfRule>
    <cfRule type="cellIs" dxfId="2992" priority="808" operator="notEqual">
      <formula>0</formula>
    </cfRule>
  </conditionalFormatting>
  <conditionalFormatting sqref="Q27">
    <cfRule type="cellIs" dxfId="2991" priority="805" operator="equal">
      <formula>0</formula>
    </cfRule>
    <cfRule type="cellIs" dxfId="2990" priority="806" operator="notEqual">
      <formula>0</formula>
    </cfRule>
  </conditionalFormatting>
  <conditionalFormatting sqref="R24">
    <cfRule type="cellIs" dxfId="2989" priority="803" operator="equal">
      <formula>0</formula>
    </cfRule>
    <cfRule type="cellIs" dxfId="2988" priority="804" operator="notEqual">
      <formula>0</formula>
    </cfRule>
  </conditionalFormatting>
  <conditionalFormatting sqref="R27">
    <cfRule type="cellIs" dxfId="2987" priority="801" operator="equal">
      <formula>0</formula>
    </cfRule>
    <cfRule type="cellIs" dxfId="2986" priority="802" operator="notEqual">
      <formula>0</formula>
    </cfRule>
  </conditionalFormatting>
  <conditionalFormatting sqref="C32:C33">
    <cfRule type="cellIs" dxfId="2985" priority="799" operator="equal">
      <formula>0</formula>
    </cfRule>
    <cfRule type="cellIs" dxfId="2984" priority="800" operator="notEqual">
      <formula>0</formula>
    </cfRule>
  </conditionalFormatting>
  <conditionalFormatting sqref="D32:D33">
    <cfRule type="cellIs" dxfId="2983" priority="797" operator="equal">
      <formula>0</formula>
    </cfRule>
    <cfRule type="cellIs" dxfId="2982" priority="798" operator="notEqual">
      <formula>0</formula>
    </cfRule>
  </conditionalFormatting>
  <conditionalFormatting sqref="E32:E33">
    <cfRule type="cellIs" dxfId="2981" priority="795" operator="equal">
      <formula>0</formula>
    </cfRule>
    <cfRule type="cellIs" dxfId="2980" priority="796" operator="notEqual">
      <formula>0</formula>
    </cfRule>
  </conditionalFormatting>
  <conditionalFormatting sqref="F32:F33">
    <cfRule type="cellIs" dxfId="2979" priority="793" operator="equal">
      <formula>0</formula>
    </cfRule>
    <cfRule type="cellIs" dxfId="2978" priority="794" operator="notEqual">
      <formula>0</formula>
    </cfRule>
  </conditionalFormatting>
  <conditionalFormatting sqref="G32:G33">
    <cfRule type="cellIs" dxfId="2977" priority="791" operator="equal">
      <formula>0</formula>
    </cfRule>
    <cfRule type="cellIs" dxfId="2976" priority="792" operator="notEqual">
      <formula>0</formula>
    </cfRule>
  </conditionalFormatting>
  <conditionalFormatting sqref="H32:H33">
    <cfRule type="cellIs" dxfId="2975" priority="789" operator="equal">
      <formula>0</formula>
    </cfRule>
    <cfRule type="cellIs" dxfId="2974" priority="790" operator="notEqual">
      <formula>0</formula>
    </cfRule>
  </conditionalFormatting>
  <conditionalFormatting sqref="I32:I33">
    <cfRule type="cellIs" dxfId="2973" priority="787" operator="equal">
      <formula>0</formula>
    </cfRule>
    <cfRule type="cellIs" dxfId="2972" priority="788" operator="notEqual">
      <formula>0</formula>
    </cfRule>
  </conditionalFormatting>
  <conditionalFormatting sqref="J32:J33">
    <cfRule type="cellIs" dxfId="2971" priority="785" operator="equal">
      <formula>0</formula>
    </cfRule>
    <cfRule type="cellIs" dxfId="2970" priority="786" operator="notEqual">
      <formula>0</formula>
    </cfRule>
  </conditionalFormatting>
  <conditionalFormatting sqref="O31">
    <cfRule type="cellIs" dxfId="2969" priority="783" operator="equal">
      <formula>0</formula>
    </cfRule>
    <cfRule type="cellIs" dxfId="2968" priority="784" operator="notEqual">
      <formula>0</formula>
    </cfRule>
  </conditionalFormatting>
  <conditionalFormatting sqref="O34">
    <cfRule type="cellIs" dxfId="2967" priority="781" operator="equal">
      <formula>0</formula>
    </cfRule>
    <cfRule type="cellIs" dxfId="2966" priority="782" operator="notEqual">
      <formula>0</formula>
    </cfRule>
  </conditionalFormatting>
  <conditionalFormatting sqref="P31">
    <cfRule type="cellIs" dxfId="2965" priority="779" operator="equal">
      <formula>0</formula>
    </cfRule>
    <cfRule type="cellIs" dxfId="2964" priority="780" operator="notEqual">
      <formula>0</formula>
    </cfRule>
  </conditionalFormatting>
  <conditionalFormatting sqref="P34">
    <cfRule type="cellIs" dxfId="2963" priority="777" operator="equal">
      <formula>0</formula>
    </cfRule>
    <cfRule type="cellIs" dxfId="2962" priority="778" operator="notEqual">
      <formula>0</formula>
    </cfRule>
  </conditionalFormatting>
  <conditionalFormatting sqref="Q31">
    <cfRule type="cellIs" dxfId="2961" priority="775" operator="equal">
      <formula>0</formula>
    </cfRule>
    <cfRule type="cellIs" dxfId="2960" priority="776" operator="notEqual">
      <formula>0</formula>
    </cfRule>
  </conditionalFormatting>
  <conditionalFormatting sqref="Q34">
    <cfRule type="cellIs" dxfId="2959" priority="773" operator="equal">
      <formula>0</formula>
    </cfRule>
    <cfRule type="cellIs" dxfId="2958" priority="774" operator="notEqual">
      <formula>0</formula>
    </cfRule>
  </conditionalFormatting>
  <conditionalFormatting sqref="R31">
    <cfRule type="cellIs" dxfId="2957" priority="771" operator="equal">
      <formula>0</formula>
    </cfRule>
    <cfRule type="cellIs" dxfId="2956" priority="772" operator="notEqual">
      <formula>0</formula>
    </cfRule>
  </conditionalFormatting>
  <conditionalFormatting sqref="R34">
    <cfRule type="cellIs" dxfId="2955" priority="769" operator="equal">
      <formula>0</formula>
    </cfRule>
    <cfRule type="cellIs" dxfId="2954" priority="770" operator="notEqual">
      <formula>0</formula>
    </cfRule>
  </conditionalFormatting>
  <conditionalFormatting sqref="C39:C40">
    <cfRule type="cellIs" dxfId="2953" priority="767" operator="equal">
      <formula>0</formula>
    </cfRule>
    <cfRule type="cellIs" dxfId="2952" priority="768" operator="notEqual">
      <formula>0</formula>
    </cfRule>
  </conditionalFormatting>
  <conditionalFormatting sqref="D39:D40">
    <cfRule type="cellIs" dxfId="2951" priority="765" operator="equal">
      <formula>0</formula>
    </cfRule>
    <cfRule type="cellIs" dxfId="2950" priority="766" operator="notEqual">
      <formula>0</formula>
    </cfRule>
  </conditionalFormatting>
  <conditionalFormatting sqref="E39:E40">
    <cfRule type="cellIs" dxfId="2949" priority="763" operator="equal">
      <formula>0</formula>
    </cfRule>
    <cfRule type="cellIs" dxfId="2948" priority="764" operator="notEqual">
      <formula>0</formula>
    </cfRule>
  </conditionalFormatting>
  <conditionalFormatting sqref="F39:F40">
    <cfRule type="cellIs" dxfId="2947" priority="761" operator="equal">
      <formula>0</formula>
    </cfRule>
    <cfRule type="cellIs" dxfId="2946" priority="762" operator="notEqual">
      <formula>0</formula>
    </cfRule>
  </conditionalFormatting>
  <conditionalFormatting sqref="G39:G40">
    <cfRule type="cellIs" dxfId="2945" priority="759" operator="equal">
      <formula>0</formula>
    </cfRule>
    <cfRule type="cellIs" dxfId="2944" priority="760" operator="notEqual">
      <formula>0</formula>
    </cfRule>
  </conditionalFormatting>
  <conditionalFormatting sqref="H39:H40">
    <cfRule type="cellIs" dxfId="2943" priority="757" operator="equal">
      <formula>0</formula>
    </cfRule>
    <cfRule type="cellIs" dxfId="2942" priority="758" operator="notEqual">
      <formula>0</formula>
    </cfRule>
  </conditionalFormatting>
  <conditionalFormatting sqref="I39:I40">
    <cfRule type="cellIs" dxfId="2941" priority="755" operator="equal">
      <formula>0</formula>
    </cfRule>
    <cfRule type="cellIs" dxfId="2940" priority="756" operator="notEqual">
      <formula>0</formula>
    </cfRule>
  </conditionalFormatting>
  <conditionalFormatting sqref="J39:J40">
    <cfRule type="cellIs" dxfId="2939" priority="753" operator="equal">
      <formula>0</formula>
    </cfRule>
    <cfRule type="cellIs" dxfId="2938" priority="754" operator="notEqual">
      <formula>0</formula>
    </cfRule>
  </conditionalFormatting>
  <conditionalFormatting sqref="O38">
    <cfRule type="cellIs" dxfId="2937" priority="751" operator="equal">
      <formula>0</formula>
    </cfRule>
    <cfRule type="cellIs" dxfId="2936" priority="752" operator="notEqual">
      <formula>0</formula>
    </cfRule>
  </conditionalFormatting>
  <conditionalFormatting sqref="O41">
    <cfRule type="cellIs" dxfId="2935" priority="749" operator="equal">
      <formula>0</formula>
    </cfRule>
    <cfRule type="cellIs" dxfId="2934" priority="750" operator="notEqual">
      <formula>0</formula>
    </cfRule>
  </conditionalFormatting>
  <conditionalFormatting sqref="P38">
    <cfRule type="cellIs" dxfId="2933" priority="747" operator="equal">
      <formula>0</formula>
    </cfRule>
    <cfRule type="cellIs" dxfId="2932" priority="748" operator="notEqual">
      <formula>0</formula>
    </cfRule>
  </conditionalFormatting>
  <conditionalFormatting sqref="P41">
    <cfRule type="cellIs" dxfId="2931" priority="745" operator="equal">
      <formula>0</formula>
    </cfRule>
    <cfRule type="cellIs" dxfId="2930" priority="746" operator="notEqual">
      <formula>0</formula>
    </cfRule>
  </conditionalFormatting>
  <conditionalFormatting sqref="Q38">
    <cfRule type="cellIs" dxfId="2929" priority="743" operator="equal">
      <formula>0</formula>
    </cfRule>
    <cfRule type="cellIs" dxfId="2928" priority="744" operator="notEqual">
      <formula>0</formula>
    </cfRule>
  </conditionalFormatting>
  <conditionalFormatting sqref="Q41">
    <cfRule type="cellIs" dxfId="2927" priority="741" operator="equal">
      <formula>0</formula>
    </cfRule>
    <cfRule type="cellIs" dxfId="2926" priority="742" operator="notEqual">
      <formula>0</formula>
    </cfRule>
  </conditionalFormatting>
  <conditionalFormatting sqref="R38">
    <cfRule type="cellIs" dxfId="2925" priority="739" operator="equal">
      <formula>0</formula>
    </cfRule>
    <cfRule type="cellIs" dxfId="2924" priority="740" operator="notEqual">
      <formula>0</formula>
    </cfRule>
  </conditionalFormatting>
  <conditionalFormatting sqref="R41">
    <cfRule type="cellIs" dxfId="2923" priority="737" operator="equal">
      <formula>0</formula>
    </cfRule>
    <cfRule type="cellIs" dxfId="2922" priority="738" operator="notEqual">
      <formula>0</formula>
    </cfRule>
  </conditionalFormatting>
  <conditionalFormatting sqref="C46:C47">
    <cfRule type="cellIs" dxfId="2921" priority="735" operator="equal">
      <formula>0</formula>
    </cfRule>
    <cfRule type="cellIs" dxfId="2920" priority="736" operator="notEqual">
      <formula>0</formula>
    </cfRule>
  </conditionalFormatting>
  <conditionalFormatting sqref="D46:D47">
    <cfRule type="cellIs" dxfId="2919" priority="733" operator="equal">
      <formula>0</formula>
    </cfRule>
    <cfRule type="cellIs" dxfId="2918" priority="734" operator="notEqual">
      <formula>0</formula>
    </cfRule>
  </conditionalFormatting>
  <conditionalFormatting sqref="E46:E47">
    <cfRule type="cellIs" dxfId="2917" priority="731" operator="equal">
      <formula>0</formula>
    </cfRule>
    <cfRule type="cellIs" dxfId="2916" priority="732" operator="notEqual">
      <formula>0</formula>
    </cfRule>
  </conditionalFormatting>
  <conditionalFormatting sqref="F46:F47">
    <cfRule type="cellIs" dxfId="2915" priority="729" operator="equal">
      <formula>0</formula>
    </cfRule>
    <cfRule type="cellIs" dxfId="2914" priority="730" operator="notEqual">
      <formula>0</formula>
    </cfRule>
  </conditionalFormatting>
  <conditionalFormatting sqref="G46:G47">
    <cfRule type="cellIs" dxfId="2913" priority="727" operator="equal">
      <formula>0</formula>
    </cfRule>
    <cfRule type="cellIs" dxfId="2912" priority="728" operator="notEqual">
      <formula>0</formula>
    </cfRule>
  </conditionalFormatting>
  <conditionalFormatting sqref="H46:H47">
    <cfRule type="cellIs" dxfId="2911" priority="725" operator="equal">
      <formula>0</formula>
    </cfRule>
    <cfRule type="cellIs" dxfId="2910" priority="726" operator="notEqual">
      <formula>0</formula>
    </cfRule>
  </conditionalFormatting>
  <conditionalFormatting sqref="I46:I47">
    <cfRule type="cellIs" dxfId="2909" priority="723" operator="equal">
      <formula>0</formula>
    </cfRule>
    <cfRule type="cellIs" dxfId="2908" priority="724" operator="notEqual">
      <formula>0</formula>
    </cfRule>
  </conditionalFormatting>
  <conditionalFormatting sqref="J46:J47">
    <cfRule type="cellIs" dxfId="2907" priority="721" operator="equal">
      <formula>0</formula>
    </cfRule>
    <cfRule type="cellIs" dxfId="2906" priority="722" operator="notEqual">
      <formula>0</formula>
    </cfRule>
  </conditionalFormatting>
  <conditionalFormatting sqref="O45">
    <cfRule type="cellIs" dxfId="2905" priority="719" operator="equal">
      <formula>0</formula>
    </cfRule>
    <cfRule type="cellIs" dxfId="2904" priority="720" operator="notEqual">
      <formula>0</formula>
    </cfRule>
  </conditionalFormatting>
  <conditionalFormatting sqref="O48">
    <cfRule type="cellIs" dxfId="2903" priority="717" operator="equal">
      <formula>0</formula>
    </cfRule>
    <cfRule type="cellIs" dxfId="2902" priority="718" operator="notEqual">
      <formula>0</formula>
    </cfRule>
  </conditionalFormatting>
  <conditionalFormatting sqref="P45">
    <cfRule type="cellIs" dxfId="2901" priority="715" operator="equal">
      <formula>0</formula>
    </cfRule>
    <cfRule type="cellIs" dxfId="2900" priority="716" operator="notEqual">
      <formula>0</formula>
    </cfRule>
  </conditionalFormatting>
  <conditionalFormatting sqref="P48">
    <cfRule type="cellIs" dxfId="2899" priority="713" operator="equal">
      <formula>0</formula>
    </cfRule>
    <cfRule type="cellIs" dxfId="2898" priority="714" operator="notEqual">
      <formula>0</formula>
    </cfRule>
  </conditionalFormatting>
  <conditionalFormatting sqref="Q45">
    <cfRule type="cellIs" dxfId="2897" priority="711" operator="equal">
      <formula>0</formula>
    </cfRule>
    <cfRule type="cellIs" dxfId="2896" priority="712" operator="notEqual">
      <formula>0</formula>
    </cfRule>
  </conditionalFormatting>
  <conditionalFormatting sqref="Q48">
    <cfRule type="cellIs" dxfId="2895" priority="709" operator="equal">
      <formula>0</formula>
    </cfRule>
    <cfRule type="cellIs" dxfId="2894" priority="710" operator="notEqual">
      <formula>0</formula>
    </cfRule>
  </conditionalFormatting>
  <conditionalFormatting sqref="R45">
    <cfRule type="cellIs" dxfId="2893" priority="707" operator="equal">
      <formula>0</formula>
    </cfRule>
    <cfRule type="cellIs" dxfId="2892" priority="708" operator="notEqual">
      <formula>0</formula>
    </cfRule>
  </conditionalFormatting>
  <conditionalFormatting sqref="R48">
    <cfRule type="cellIs" dxfId="2891" priority="705" operator="equal">
      <formula>0</formula>
    </cfRule>
    <cfRule type="cellIs" dxfId="2890" priority="706" operator="notEqual">
      <formula>0</formula>
    </cfRule>
  </conditionalFormatting>
  <conditionalFormatting sqref="C53:C54">
    <cfRule type="cellIs" dxfId="2889" priority="703" operator="equal">
      <formula>0</formula>
    </cfRule>
    <cfRule type="cellIs" dxfId="2888" priority="704" operator="notEqual">
      <formula>0</formula>
    </cfRule>
  </conditionalFormatting>
  <conditionalFormatting sqref="D53:D54">
    <cfRule type="cellIs" dxfId="2887" priority="701" operator="equal">
      <formula>0</formula>
    </cfRule>
    <cfRule type="cellIs" dxfId="2886" priority="702" operator="notEqual">
      <formula>0</formula>
    </cfRule>
  </conditionalFormatting>
  <conditionalFormatting sqref="E53:E54">
    <cfRule type="cellIs" dxfId="2885" priority="699" operator="equal">
      <formula>0</formula>
    </cfRule>
    <cfRule type="cellIs" dxfId="2884" priority="700" operator="notEqual">
      <formula>0</formula>
    </cfRule>
  </conditionalFormatting>
  <conditionalFormatting sqref="F53:F54">
    <cfRule type="cellIs" dxfId="2883" priority="697" operator="equal">
      <formula>0</formula>
    </cfRule>
    <cfRule type="cellIs" dxfId="2882" priority="698" operator="notEqual">
      <formula>0</formula>
    </cfRule>
  </conditionalFormatting>
  <conditionalFormatting sqref="G53:G54">
    <cfRule type="cellIs" dxfId="2881" priority="695" operator="equal">
      <formula>0</formula>
    </cfRule>
    <cfRule type="cellIs" dxfId="2880" priority="696" operator="notEqual">
      <formula>0</formula>
    </cfRule>
  </conditionalFormatting>
  <conditionalFormatting sqref="H53:H54">
    <cfRule type="cellIs" dxfId="2879" priority="693" operator="equal">
      <formula>0</formula>
    </cfRule>
    <cfRule type="cellIs" dxfId="2878" priority="694" operator="notEqual">
      <formula>0</formula>
    </cfRule>
  </conditionalFormatting>
  <conditionalFormatting sqref="I53:I54">
    <cfRule type="cellIs" dxfId="2877" priority="691" operator="equal">
      <formula>0</formula>
    </cfRule>
    <cfRule type="cellIs" dxfId="2876" priority="692" operator="notEqual">
      <formula>0</formula>
    </cfRule>
  </conditionalFormatting>
  <conditionalFormatting sqref="J53:J54">
    <cfRule type="cellIs" dxfId="2875" priority="689" operator="equal">
      <formula>0</formula>
    </cfRule>
    <cfRule type="cellIs" dxfId="2874" priority="690" operator="notEqual">
      <formula>0</formula>
    </cfRule>
  </conditionalFormatting>
  <conditionalFormatting sqref="O52">
    <cfRule type="cellIs" dxfId="2873" priority="687" operator="equal">
      <formula>0</formula>
    </cfRule>
    <cfRule type="cellIs" dxfId="2872" priority="688" operator="notEqual">
      <formula>0</formula>
    </cfRule>
  </conditionalFormatting>
  <conditionalFormatting sqref="O55">
    <cfRule type="cellIs" dxfId="2871" priority="685" operator="equal">
      <formula>0</formula>
    </cfRule>
    <cfRule type="cellIs" dxfId="2870" priority="686" operator="notEqual">
      <formula>0</formula>
    </cfRule>
  </conditionalFormatting>
  <conditionalFormatting sqref="P52">
    <cfRule type="cellIs" dxfId="2869" priority="683" operator="equal">
      <formula>0</formula>
    </cfRule>
    <cfRule type="cellIs" dxfId="2868" priority="684" operator="notEqual">
      <formula>0</formula>
    </cfRule>
  </conditionalFormatting>
  <conditionalFormatting sqref="P55">
    <cfRule type="cellIs" dxfId="2867" priority="681" operator="equal">
      <formula>0</formula>
    </cfRule>
    <cfRule type="cellIs" dxfId="2866" priority="682" operator="notEqual">
      <formula>0</formula>
    </cfRule>
  </conditionalFormatting>
  <conditionalFormatting sqref="Q52">
    <cfRule type="cellIs" dxfId="2865" priority="679" operator="equal">
      <formula>0</formula>
    </cfRule>
    <cfRule type="cellIs" dxfId="2864" priority="680" operator="notEqual">
      <formula>0</formula>
    </cfRule>
  </conditionalFormatting>
  <conditionalFormatting sqref="Q55">
    <cfRule type="cellIs" dxfId="2863" priority="677" operator="equal">
      <formula>0</formula>
    </cfRule>
    <cfRule type="cellIs" dxfId="2862" priority="678" operator="notEqual">
      <formula>0</formula>
    </cfRule>
  </conditionalFormatting>
  <conditionalFormatting sqref="R52">
    <cfRule type="cellIs" dxfId="2861" priority="675" operator="equal">
      <formula>0</formula>
    </cfRule>
    <cfRule type="cellIs" dxfId="2860" priority="676" operator="notEqual">
      <formula>0</formula>
    </cfRule>
  </conditionalFormatting>
  <conditionalFormatting sqref="R55">
    <cfRule type="cellIs" dxfId="2859" priority="673" operator="equal">
      <formula>0</formula>
    </cfRule>
    <cfRule type="cellIs" dxfId="2858" priority="674" operator="notEqual">
      <formula>0</formula>
    </cfRule>
  </conditionalFormatting>
  <conditionalFormatting sqref="C60:C61">
    <cfRule type="cellIs" dxfId="2857" priority="671" operator="equal">
      <formula>0</formula>
    </cfRule>
    <cfRule type="cellIs" dxfId="2856" priority="672" operator="notEqual">
      <formula>0</formula>
    </cfRule>
  </conditionalFormatting>
  <conditionalFormatting sqref="D60:D61">
    <cfRule type="cellIs" dxfId="2855" priority="669" operator="equal">
      <formula>0</formula>
    </cfRule>
    <cfRule type="cellIs" dxfId="2854" priority="670" operator="notEqual">
      <formula>0</formula>
    </cfRule>
  </conditionalFormatting>
  <conditionalFormatting sqref="E60:E61">
    <cfRule type="cellIs" dxfId="2853" priority="667" operator="equal">
      <formula>0</formula>
    </cfRule>
    <cfRule type="cellIs" dxfId="2852" priority="668" operator="notEqual">
      <formula>0</formula>
    </cfRule>
  </conditionalFormatting>
  <conditionalFormatting sqref="F60:F61">
    <cfRule type="cellIs" dxfId="2851" priority="665" operator="equal">
      <formula>0</formula>
    </cfRule>
    <cfRule type="cellIs" dxfId="2850" priority="666" operator="notEqual">
      <formula>0</formula>
    </cfRule>
  </conditionalFormatting>
  <conditionalFormatting sqref="G60:G61">
    <cfRule type="cellIs" dxfId="2849" priority="663" operator="equal">
      <formula>0</formula>
    </cfRule>
    <cfRule type="cellIs" dxfId="2848" priority="664" operator="notEqual">
      <formula>0</formula>
    </cfRule>
  </conditionalFormatting>
  <conditionalFormatting sqref="H60:H61">
    <cfRule type="cellIs" dxfId="2847" priority="661" operator="equal">
      <formula>0</formula>
    </cfRule>
    <cfRule type="cellIs" dxfId="2846" priority="662" operator="notEqual">
      <formula>0</formula>
    </cfRule>
  </conditionalFormatting>
  <conditionalFormatting sqref="I60:I61">
    <cfRule type="cellIs" dxfId="2845" priority="659" operator="equal">
      <formula>0</formula>
    </cfRule>
    <cfRule type="cellIs" dxfId="2844" priority="660" operator="notEqual">
      <formula>0</formula>
    </cfRule>
  </conditionalFormatting>
  <conditionalFormatting sqref="J60:J61">
    <cfRule type="cellIs" dxfId="2843" priority="657" operator="equal">
      <formula>0</formula>
    </cfRule>
    <cfRule type="cellIs" dxfId="2842" priority="658" operator="notEqual">
      <formula>0</formula>
    </cfRule>
  </conditionalFormatting>
  <conditionalFormatting sqref="O59">
    <cfRule type="cellIs" dxfId="2841" priority="655" operator="equal">
      <formula>0</formula>
    </cfRule>
    <cfRule type="cellIs" dxfId="2840" priority="656" operator="notEqual">
      <formula>0</formula>
    </cfRule>
  </conditionalFormatting>
  <conditionalFormatting sqref="O62">
    <cfRule type="cellIs" dxfId="2839" priority="653" operator="equal">
      <formula>0</formula>
    </cfRule>
    <cfRule type="cellIs" dxfId="2838" priority="654" operator="notEqual">
      <formula>0</formula>
    </cfRule>
  </conditionalFormatting>
  <conditionalFormatting sqref="P59">
    <cfRule type="cellIs" dxfId="2837" priority="651" operator="equal">
      <formula>0</formula>
    </cfRule>
    <cfRule type="cellIs" dxfId="2836" priority="652" operator="notEqual">
      <formula>0</formula>
    </cfRule>
  </conditionalFormatting>
  <conditionalFormatting sqref="P62">
    <cfRule type="cellIs" dxfId="2835" priority="649" operator="equal">
      <formula>0</formula>
    </cfRule>
    <cfRule type="cellIs" dxfId="2834" priority="650" operator="notEqual">
      <formula>0</formula>
    </cfRule>
  </conditionalFormatting>
  <conditionalFormatting sqref="Q59">
    <cfRule type="cellIs" dxfId="2833" priority="647" operator="equal">
      <formula>0</formula>
    </cfRule>
    <cfRule type="cellIs" dxfId="2832" priority="648" operator="notEqual">
      <formula>0</formula>
    </cfRule>
  </conditionalFormatting>
  <conditionalFormatting sqref="Q62">
    <cfRule type="cellIs" dxfId="2831" priority="645" operator="equal">
      <formula>0</formula>
    </cfRule>
    <cfRule type="cellIs" dxfId="2830" priority="646" operator="notEqual">
      <formula>0</formula>
    </cfRule>
  </conditionalFormatting>
  <conditionalFormatting sqref="R59">
    <cfRule type="cellIs" dxfId="2829" priority="643" operator="equal">
      <formula>0</formula>
    </cfRule>
    <cfRule type="cellIs" dxfId="2828" priority="644" operator="notEqual">
      <formula>0</formula>
    </cfRule>
  </conditionalFormatting>
  <conditionalFormatting sqref="R62">
    <cfRule type="cellIs" dxfId="2827" priority="641" operator="equal">
      <formula>0</formula>
    </cfRule>
    <cfRule type="cellIs" dxfId="2826" priority="642" operator="notEqual">
      <formula>0</formula>
    </cfRule>
  </conditionalFormatting>
  <conditionalFormatting sqref="C67:C68">
    <cfRule type="cellIs" dxfId="2825" priority="639" operator="equal">
      <formula>0</formula>
    </cfRule>
    <cfRule type="cellIs" dxfId="2824" priority="640" operator="notEqual">
      <formula>0</formula>
    </cfRule>
  </conditionalFormatting>
  <conditionalFormatting sqref="D67:D68">
    <cfRule type="cellIs" dxfId="2823" priority="637" operator="equal">
      <formula>0</formula>
    </cfRule>
    <cfRule type="cellIs" dxfId="2822" priority="638" operator="notEqual">
      <formula>0</formula>
    </cfRule>
  </conditionalFormatting>
  <conditionalFormatting sqref="E67:E68">
    <cfRule type="cellIs" dxfId="2821" priority="635" operator="equal">
      <formula>0</formula>
    </cfRule>
    <cfRule type="cellIs" dxfId="2820" priority="636" operator="notEqual">
      <formula>0</formula>
    </cfRule>
  </conditionalFormatting>
  <conditionalFormatting sqref="F67:F68">
    <cfRule type="cellIs" dxfId="2819" priority="633" operator="equal">
      <formula>0</formula>
    </cfRule>
    <cfRule type="cellIs" dxfId="2818" priority="634" operator="notEqual">
      <formula>0</formula>
    </cfRule>
  </conditionalFormatting>
  <conditionalFormatting sqref="G67:G68">
    <cfRule type="cellIs" dxfId="2817" priority="631" operator="equal">
      <formula>0</formula>
    </cfRule>
    <cfRule type="cellIs" dxfId="2816" priority="632" operator="notEqual">
      <formula>0</formula>
    </cfRule>
  </conditionalFormatting>
  <conditionalFormatting sqref="H67:H68">
    <cfRule type="cellIs" dxfId="2815" priority="629" operator="equal">
      <formula>0</formula>
    </cfRule>
    <cfRule type="cellIs" dxfId="2814" priority="630" operator="notEqual">
      <formula>0</formula>
    </cfRule>
  </conditionalFormatting>
  <conditionalFormatting sqref="I67:I68">
    <cfRule type="cellIs" dxfId="2813" priority="627" operator="equal">
      <formula>0</formula>
    </cfRule>
    <cfRule type="cellIs" dxfId="2812" priority="628" operator="notEqual">
      <formula>0</formula>
    </cfRule>
  </conditionalFormatting>
  <conditionalFormatting sqref="J67:J68">
    <cfRule type="cellIs" dxfId="2811" priority="625" operator="equal">
      <formula>0</formula>
    </cfRule>
    <cfRule type="cellIs" dxfId="2810" priority="626" operator="notEqual">
      <formula>0</formula>
    </cfRule>
  </conditionalFormatting>
  <conditionalFormatting sqref="O66">
    <cfRule type="cellIs" dxfId="2809" priority="623" operator="equal">
      <formula>0</formula>
    </cfRule>
    <cfRule type="cellIs" dxfId="2808" priority="624" operator="notEqual">
      <formula>0</formula>
    </cfRule>
  </conditionalFormatting>
  <conditionalFormatting sqref="O69">
    <cfRule type="cellIs" dxfId="2807" priority="621" operator="equal">
      <formula>0</formula>
    </cfRule>
    <cfRule type="cellIs" dxfId="2806" priority="622" operator="notEqual">
      <formula>0</formula>
    </cfRule>
  </conditionalFormatting>
  <conditionalFormatting sqref="P66">
    <cfRule type="cellIs" dxfId="2805" priority="619" operator="equal">
      <formula>0</formula>
    </cfRule>
    <cfRule type="cellIs" dxfId="2804" priority="620" operator="notEqual">
      <formula>0</formula>
    </cfRule>
  </conditionalFormatting>
  <conditionalFormatting sqref="P69">
    <cfRule type="cellIs" dxfId="2803" priority="617" operator="equal">
      <formula>0</formula>
    </cfRule>
    <cfRule type="cellIs" dxfId="2802" priority="618" operator="notEqual">
      <formula>0</formula>
    </cfRule>
  </conditionalFormatting>
  <conditionalFormatting sqref="Q66">
    <cfRule type="cellIs" dxfId="2801" priority="615" operator="equal">
      <formula>0</formula>
    </cfRule>
    <cfRule type="cellIs" dxfId="2800" priority="616" operator="notEqual">
      <formula>0</formula>
    </cfRule>
  </conditionalFormatting>
  <conditionalFormatting sqref="Q69">
    <cfRule type="cellIs" dxfId="2799" priority="613" operator="equal">
      <formula>0</formula>
    </cfRule>
    <cfRule type="cellIs" dxfId="2798" priority="614" operator="notEqual">
      <formula>0</formula>
    </cfRule>
  </conditionalFormatting>
  <conditionalFormatting sqref="R66">
    <cfRule type="cellIs" dxfId="2797" priority="611" operator="equal">
      <formula>0</formula>
    </cfRule>
    <cfRule type="cellIs" dxfId="2796" priority="612" operator="notEqual">
      <formula>0</formula>
    </cfRule>
  </conditionalFormatting>
  <conditionalFormatting sqref="R69">
    <cfRule type="cellIs" dxfId="2795" priority="609" operator="equal">
      <formula>0</formula>
    </cfRule>
    <cfRule type="cellIs" dxfId="2794" priority="610" operator="notEqual">
      <formula>0</formula>
    </cfRule>
  </conditionalFormatting>
  <conditionalFormatting sqref="C74:C75">
    <cfRule type="cellIs" dxfId="2793" priority="607" operator="equal">
      <formula>0</formula>
    </cfRule>
    <cfRule type="cellIs" dxfId="2792" priority="608" operator="notEqual">
      <formula>0</formula>
    </cfRule>
  </conditionalFormatting>
  <conditionalFormatting sqref="D74:D75">
    <cfRule type="cellIs" dxfId="2791" priority="605" operator="equal">
      <formula>0</formula>
    </cfRule>
    <cfRule type="cellIs" dxfId="2790" priority="606" operator="notEqual">
      <formula>0</formula>
    </cfRule>
  </conditionalFormatting>
  <conditionalFormatting sqref="E74:E75">
    <cfRule type="cellIs" dxfId="2789" priority="603" operator="equal">
      <formula>0</formula>
    </cfRule>
    <cfRule type="cellIs" dxfId="2788" priority="604" operator="notEqual">
      <formula>0</formula>
    </cfRule>
  </conditionalFormatting>
  <conditionalFormatting sqref="F74:F75">
    <cfRule type="cellIs" dxfId="2787" priority="601" operator="equal">
      <formula>0</formula>
    </cfRule>
    <cfRule type="cellIs" dxfId="2786" priority="602" operator="notEqual">
      <formula>0</formula>
    </cfRule>
  </conditionalFormatting>
  <conditionalFormatting sqref="G74:G75">
    <cfRule type="cellIs" dxfId="2785" priority="599" operator="equal">
      <formula>0</formula>
    </cfRule>
    <cfRule type="cellIs" dxfId="2784" priority="600" operator="notEqual">
      <formula>0</formula>
    </cfRule>
  </conditionalFormatting>
  <conditionalFormatting sqref="H74:H75">
    <cfRule type="cellIs" dxfId="2783" priority="597" operator="equal">
      <formula>0</formula>
    </cfRule>
    <cfRule type="cellIs" dxfId="2782" priority="598" operator="notEqual">
      <formula>0</formula>
    </cfRule>
  </conditionalFormatting>
  <conditionalFormatting sqref="I74:I75">
    <cfRule type="cellIs" dxfId="2781" priority="595" operator="equal">
      <formula>0</formula>
    </cfRule>
    <cfRule type="cellIs" dxfId="2780" priority="596" operator="notEqual">
      <formula>0</formula>
    </cfRule>
  </conditionalFormatting>
  <conditionalFormatting sqref="J74:J75">
    <cfRule type="cellIs" dxfId="2779" priority="593" operator="equal">
      <formula>0</formula>
    </cfRule>
    <cfRule type="cellIs" dxfId="2778" priority="594" operator="notEqual">
      <formula>0</formula>
    </cfRule>
  </conditionalFormatting>
  <conditionalFormatting sqref="O73">
    <cfRule type="cellIs" dxfId="2777" priority="591" operator="equal">
      <formula>0</formula>
    </cfRule>
    <cfRule type="cellIs" dxfId="2776" priority="592" operator="notEqual">
      <formula>0</formula>
    </cfRule>
  </conditionalFormatting>
  <conditionalFormatting sqref="O76">
    <cfRule type="cellIs" dxfId="2775" priority="589" operator="equal">
      <formula>0</formula>
    </cfRule>
    <cfRule type="cellIs" dxfId="2774" priority="590" operator="notEqual">
      <formula>0</formula>
    </cfRule>
  </conditionalFormatting>
  <conditionalFormatting sqref="P73">
    <cfRule type="cellIs" dxfId="2773" priority="587" operator="equal">
      <formula>0</formula>
    </cfRule>
    <cfRule type="cellIs" dxfId="2772" priority="588" operator="notEqual">
      <formula>0</formula>
    </cfRule>
  </conditionalFormatting>
  <conditionalFormatting sqref="P76">
    <cfRule type="cellIs" dxfId="2771" priority="585" operator="equal">
      <formula>0</formula>
    </cfRule>
    <cfRule type="cellIs" dxfId="2770" priority="586" operator="notEqual">
      <formula>0</formula>
    </cfRule>
  </conditionalFormatting>
  <conditionalFormatting sqref="Q73">
    <cfRule type="cellIs" dxfId="2769" priority="583" operator="equal">
      <formula>0</formula>
    </cfRule>
    <cfRule type="cellIs" dxfId="2768" priority="584" operator="notEqual">
      <formula>0</formula>
    </cfRule>
  </conditionalFormatting>
  <conditionalFormatting sqref="Q76">
    <cfRule type="cellIs" dxfId="2767" priority="581" operator="equal">
      <formula>0</formula>
    </cfRule>
    <cfRule type="cellIs" dxfId="2766" priority="582" operator="notEqual">
      <formula>0</formula>
    </cfRule>
  </conditionalFormatting>
  <conditionalFormatting sqref="R73">
    <cfRule type="cellIs" dxfId="2765" priority="579" operator="equal">
      <formula>0</formula>
    </cfRule>
    <cfRule type="cellIs" dxfId="2764" priority="580" operator="notEqual">
      <formula>0</formula>
    </cfRule>
  </conditionalFormatting>
  <conditionalFormatting sqref="R76">
    <cfRule type="cellIs" dxfId="2763" priority="577" operator="equal">
      <formula>0</formula>
    </cfRule>
    <cfRule type="cellIs" dxfId="2762" priority="578" operator="notEqual">
      <formula>0</formula>
    </cfRule>
  </conditionalFormatting>
  <conditionalFormatting sqref="U67:U68">
    <cfRule type="cellIs" dxfId="2761" priority="575" operator="equal">
      <formula>0</formula>
    </cfRule>
    <cfRule type="cellIs" dxfId="2760" priority="576" operator="notEqual">
      <formula>0</formula>
    </cfRule>
  </conditionalFormatting>
  <conditionalFormatting sqref="V67:V68">
    <cfRule type="cellIs" dxfId="2759" priority="573" operator="equal">
      <formula>0</formula>
    </cfRule>
    <cfRule type="cellIs" dxfId="2758" priority="574" operator="notEqual">
      <formula>0</formula>
    </cfRule>
  </conditionalFormatting>
  <conditionalFormatting sqref="W67:W68">
    <cfRule type="cellIs" dxfId="2757" priority="571" operator="equal">
      <formula>0</formula>
    </cfRule>
    <cfRule type="cellIs" dxfId="2756" priority="572" operator="notEqual">
      <formula>0</formula>
    </cfRule>
  </conditionalFormatting>
  <conditionalFormatting sqref="X67:X68">
    <cfRule type="cellIs" dxfId="2755" priority="569" operator="equal">
      <formula>0</formula>
    </cfRule>
    <cfRule type="cellIs" dxfId="2754" priority="570" operator="notEqual">
      <formula>0</formula>
    </cfRule>
  </conditionalFormatting>
  <conditionalFormatting sqref="Y67:Y68">
    <cfRule type="cellIs" dxfId="2753" priority="567" operator="equal">
      <formula>0</formula>
    </cfRule>
    <cfRule type="cellIs" dxfId="2752" priority="568" operator="notEqual">
      <formula>0</formula>
    </cfRule>
  </conditionalFormatting>
  <conditionalFormatting sqref="Z67:Z68">
    <cfRule type="cellIs" dxfId="2751" priority="565" operator="equal">
      <formula>0</formula>
    </cfRule>
    <cfRule type="cellIs" dxfId="2750" priority="566" operator="notEqual">
      <formula>0</formula>
    </cfRule>
  </conditionalFormatting>
  <conditionalFormatting sqref="AA67:AA68">
    <cfRule type="cellIs" dxfId="2749" priority="563" operator="equal">
      <formula>0</formula>
    </cfRule>
    <cfRule type="cellIs" dxfId="2748" priority="564" operator="notEqual">
      <formula>0</formula>
    </cfRule>
  </conditionalFormatting>
  <conditionalFormatting sqref="AB67:AB68">
    <cfRule type="cellIs" dxfId="2747" priority="561" operator="equal">
      <formula>0</formula>
    </cfRule>
    <cfRule type="cellIs" dxfId="2746" priority="562" operator="notEqual">
      <formula>0</formula>
    </cfRule>
  </conditionalFormatting>
  <conditionalFormatting sqref="AG66">
    <cfRule type="cellIs" dxfId="2745" priority="559" operator="equal">
      <formula>0</formula>
    </cfRule>
    <cfRule type="cellIs" dxfId="2744" priority="560" operator="notEqual">
      <formula>0</formula>
    </cfRule>
  </conditionalFormatting>
  <conditionalFormatting sqref="AG69">
    <cfRule type="cellIs" dxfId="2743" priority="557" operator="equal">
      <formula>0</formula>
    </cfRule>
    <cfRule type="cellIs" dxfId="2742" priority="558" operator="notEqual">
      <formula>0</formula>
    </cfRule>
  </conditionalFormatting>
  <conditionalFormatting sqref="AH66">
    <cfRule type="cellIs" dxfId="2741" priority="555" operator="equal">
      <formula>0</formula>
    </cfRule>
    <cfRule type="cellIs" dxfId="2740" priority="556" operator="notEqual">
      <formula>0</formula>
    </cfRule>
  </conditionalFormatting>
  <conditionalFormatting sqref="AH69">
    <cfRule type="cellIs" dxfId="2739" priority="553" operator="equal">
      <formula>0</formula>
    </cfRule>
    <cfRule type="cellIs" dxfId="2738" priority="554" operator="notEqual">
      <formula>0</formula>
    </cfRule>
  </conditionalFormatting>
  <conditionalFormatting sqref="AI66">
    <cfRule type="cellIs" dxfId="2737" priority="551" operator="equal">
      <formula>0</formula>
    </cfRule>
    <cfRule type="cellIs" dxfId="2736" priority="552" operator="notEqual">
      <formula>0</formula>
    </cfRule>
  </conditionalFormatting>
  <conditionalFormatting sqref="AI69">
    <cfRule type="cellIs" dxfId="2735" priority="549" operator="equal">
      <formula>0</formula>
    </cfRule>
    <cfRule type="cellIs" dxfId="2734" priority="550" operator="notEqual">
      <formula>0</formula>
    </cfRule>
  </conditionalFormatting>
  <conditionalFormatting sqref="AJ66">
    <cfRule type="cellIs" dxfId="2733" priority="547" operator="equal">
      <formula>0</formula>
    </cfRule>
    <cfRule type="cellIs" dxfId="2732" priority="548" operator="notEqual">
      <formula>0</formula>
    </cfRule>
  </conditionalFormatting>
  <conditionalFormatting sqref="AJ69">
    <cfRule type="cellIs" dxfId="2731" priority="545" operator="equal">
      <formula>0</formula>
    </cfRule>
    <cfRule type="cellIs" dxfId="2730" priority="546" operator="notEqual">
      <formula>0</formula>
    </cfRule>
  </conditionalFormatting>
  <conditionalFormatting sqref="U60:U61">
    <cfRule type="cellIs" dxfId="2729" priority="543" operator="equal">
      <formula>0</formula>
    </cfRule>
    <cfRule type="cellIs" dxfId="2728" priority="544" operator="notEqual">
      <formula>0</formula>
    </cfRule>
  </conditionalFormatting>
  <conditionalFormatting sqref="V60:V61">
    <cfRule type="cellIs" dxfId="2727" priority="541" operator="equal">
      <formula>0</formula>
    </cfRule>
    <cfRule type="cellIs" dxfId="2726" priority="542" operator="notEqual">
      <formula>0</formula>
    </cfRule>
  </conditionalFormatting>
  <conditionalFormatting sqref="W60:W61">
    <cfRule type="cellIs" dxfId="2725" priority="539" operator="equal">
      <formula>0</formula>
    </cfRule>
    <cfRule type="cellIs" dxfId="2724" priority="540" operator="notEqual">
      <formula>0</formula>
    </cfRule>
  </conditionalFormatting>
  <conditionalFormatting sqref="X60:X61">
    <cfRule type="cellIs" dxfId="2723" priority="537" operator="equal">
      <formula>0</formula>
    </cfRule>
    <cfRule type="cellIs" dxfId="2722" priority="538" operator="notEqual">
      <formula>0</formula>
    </cfRule>
  </conditionalFormatting>
  <conditionalFormatting sqref="Y60:Y61">
    <cfRule type="cellIs" dxfId="2721" priority="535" operator="equal">
      <formula>0</formula>
    </cfRule>
    <cfRule type="cellIs" dxfId="2720" priority="536" operator="notEqual">
      <formula>0</formula>
    </cfRule>
  </conditionalFormatting>
  <conditionalFormatting sqref="Z60:Z61">
    <cfRule type="cellIs" dxfId="2719" priority="533" operator="equal">
      <formula>0</formula>
    </cfRule>
    <cfRule type="cellIs" dxfId="2718" priority="534" operator="notEqual">
      <formula>0</formula>
    </cfRule>
  </conditionalFormatting>
  <conditionalFormatting sqref="AA60:AA61">
    <cfRule type="cellIs" dxfId="2717" priority="531" operator="equal">
      <formula>0</formula>
    </cfRule>
    <cfRule type="cellIs" dxfId="2716" priority="532" operator="notEqual">
      <formula>0</formula>
    </cfRule>
  </conditionalFormatting>
  <conditionalFormatting sqref="AB60:AB61">
    <cfRule type="cellIs" dxfId="2715" priority="529" operator="equal">
      <formula>0</formula>
    </cfRule>
    <cfRule type="cellIs" dxfId="2714" priority="530" operator="notEqual">
      <formula>0</formula>
    </cfRule>
  </conditionalFormatting>
  <conditionalFormatting sqref="AG59">
    <cfRule type="cellIs" dxfId="2713" priority="527" operator="equal">
      <formula>0</formula>
    </cfRule>
    <cfRule type="cellIs" dxfId="2712" priority="528" operator="notEqual">
      <formula>0</formula>
    </cfRule>
  </conditionalFormatting>
  <conditionalFormatting sqref="AG62">
    <cfRule type="cellIs" dxfId="2711" priority="525" operator="equal">
      <formula>0</formula>
    </cfRule>
    <cfRule type="cellIs" dxfId="2710" priority="526" operator="notEqual">
      <formula>0</formula>
    </cfRule>
  </conditionalFormatting>
  <conditionalFormatting sqref="AH59">
    <cfRule type="cellIs" dxfId="2709" priority="523" operator="equal">
      <formula>0</formula>
    </cfRule>
    <cfRule type="cellIs" dxfId="2708" priority="524" operator="notEqual">
      <formula>0</formula>
    </cfRule>
  </conditionalFormatting>
  <conditionalFormatting sqref="AH62">
    <cfRule type="cellIs" dxfId="2707" priority="521" operator="equal">
      <formula>0</formula>
    </cfRule>
    <cfRule type="cellIs" dxfId="2706" priority="522" operator="notEqual">
      <formula>0</formula>
    </cfRule>
  </conditionalFormatting>
  <conditionalFormatting sqref="AI59">
    <cfRule type="cellIs" dxfId="2705" priority="519" operator="equal">
      <formula>0</formula>
    </cfRule>
    <cfRule type="cellIs" dxfId="2704" priority="520" operator="notEqual">
      <formula>0</formula>
    </cfRule>
  </conditionalFormatting>
  <conditionalFormatting sqref="AI62">
    <cfRule type="cellIs" dxfId="2703" priority="517" operator="equal">
      <formula>0</formula>
    </cfRule>
    <cfRule type="cellIs" dxfId="2702" priority="518" operator="notEqual">
      <formula>0</formula>
    </cfRule>
  </conditionalFormatting>
  <conditionalFormatting sqref="AJ59">
    <cfRule type="cellIs" dxfId="2701" priority="515" operator="equal">
      <formula>0</formula>
    </cfRule>
    <cfRule type="cellIs" dxfId="2700" priority="516" operator="notEqual">
      <formula>0</formula>
    </cfRule>
  </conditionalFormatting>
  <conditionalFormatting sqref="AJ62">
    <cfRule type="cellIs" dxfId="2699" priority="513" operator="equal">
      <formula>0</formula>
    </cfRule>
    <cfRule type="cellIs" dxfId="2698" priority="514" operator="notEqual">
      <formula>0</formula>
    </cfRule>
  </conditionalFormatting>
  <conditionalFormatting sqref="U53:U54">
    <cfRule type="cellIs" dxfId="2697" priority="511" operator="equal">
      <formula>0</formula>
    </cfRule>
    <cfRule type="cellIs" dxfId="2696" priority="512" operator="notEqual">
      <formula>0</formula>
    </cfRule>
  </conditionalFormatting>
  <conditionalFormatting sqref="V53:V54">
    <cfRule type="cellIs" dxfId="2695" priority="509" operator="equal">
      <formula>0</formula>
    </cfRule>
    <cfRule type="cellIs" dxfId="2694" priority="510" operator="notEqual">
      <formula>0</formula>
    </cfRule>
  </conditionalFormatting>
  <conditionalFormatting sqref="W53:W54">
    <cfRule type="cellIs" dxfId="2693" priority="507" operator="equal">
      <formula>0</formula>
    </cfRule>
    <cfRule type="cellIs" dxfId="2692" priority="508" operator="notEqual">
      <formula>0</formula>
    </cfRule>
  </conditionalFormatting>
  <conditionalFormatting sqref="X53:X54">
    <cfRule type="cellIs" dxfId="2691" priority="505" operator="equal">
      <formula>0</formula>
    </cfRule>
    <cfRule type="cellIs" dxfId="2690" priority="506" operator="notEqual">
      <formula>0</formula>
    </cfRule>
  </conditionalFormatting>
  <conditionalFormatting sqref="Y53:Y54">
    <cfRule type="cellIs" dxfId="2689" priority="503" operator="equal">
      <formula>0</formula>
    </cfRule>
    <cfRule type="cellIs" dxfId="2688" priority="504" operator="notEqual">
      <formula>0</formula>
    </cfRule>
  </conditionalFormatting>
  <conditionalFormatting sqref="Z53:Z54">
    <cfRule type="cellIs" dxfId="2687" priority="501" operator="equal">
      <formula>0</formula>
    </cfRule>
    <cfRule type="cellIs" dxfId="2686" priority="502" operator="notEqual">
      <formula>0</formula>
    </cfRule>
  </conditionalFormatting>
  <conditionalFormatting sqref="AA53:AA54">
    <cfRule type="cellIs" dxfId="2685" priority="499" operator="equal">
      <formula>0</formula>
    </cfRule>
    <cfRule type="cellIs" dxfId="2684" priority="500" operator="notEqual">
      <formula>0</formula>
    </cfRule>
  </conditionalFormatting>
  <conditionalFormatting sqref="AB53:AB54">
    <cfRule type="cellIs" dxfId="2683" priority="497" operator="equal">
      <formula>0</formula>
    </cfRule>
    <cfRule type="cellIs" dxfId="2682" priority="498" operator="notEqual">
      <formula>0</formula>
    </cfRule>
  </conditionalFormatting>
  <conditionalFormatting sqref="AG52">
    <cfRule type="cellIs" dxfId="2681" priority="495" operator="equal">
      <formula>0</formula>
    </cfRule>
    <cfRule type="cellIs" dxfId="2680" priority="496" operator="notEqual">
      <formula>0</formula>
    </cfRule>
  </conditionalFormatting>
  <conditionalFormatting sqref="AG55">
    <cfRule type="cellIs" dxfId="2679" priority="493" operator="equal">
      <formula>0</formula>
    </cfRule>
    <cfRule type="cellIs" dxfId="2678" priority="494" operator="notEqual">
      <formula>0</formula>
    </cfRule>
  </conditionalFormatting>
  <conditionalFormatting sqref="AH52">
    <cfRule type="cellIs" dxfId="2677" priority="491" operator="equal">
      <formula>0</formula>
    </cfRule>
    <cfRule type="cellIs" dxfId="2676" priority="492" operator="notEqual">
      <formula>0</formula>
    </cfRule>
  </conditionalFormatting>
  <conditionalFormatting sqref="AH55">
    <cfRule type="cellIs" dxfId="2675" priority="489" operator="equal">
      <formula>0</formula>
    </cfRule>
    <cfRule type="cellIs" dxfId="2674" priority="490" operator="notEqual">
      <formula>0</formula>
    </cfRule>
  </conditionalFormatting>
  <conditionalFormatting sqref="AI52">
    <cfRule type="cellIs" dxfId="2673" priority="487" operator="equal">
      <formula>0</formula>
    </cfRule>
    <cfRule type="cellIs" dxfId="2672" priority="488" operator="notEqual">
      <formula>0</formula>
    </cfRule>
  </conditionalFormatting>
  <conditionalFormatting sqref="AI55">
    <cfRule type="cellIs" dxfId="2671" priority="485" operator="equal">
      <formula>0</formula>
    </cfRule>
    <cfRule type="cellIs" dxfId="2670" priority="486" operator="notEqual">
      <formula>0</formula>
    </cfRule>
  </conditionalFormatting>
  <conditionalFormatting sqref="AJ52">
    <cfRule type="cellIs" dxfId="2669" priority="483" operator="equal">
      <formula>0</formula>
    </cfRule>
    <cfRule type="cellIs" dxfId="2668" priority="484" operator="notEqual">
      <formula>0</formula>
    </cfRule>
  </conditionalFormatting>
  <conditionalFormatting sqref="AJ55">
    <cfRule type="cellIs" dxfId="2667" priority="481" operator="equal">
      <formula>0</formula>
    </cfRule>
    <cfRule type="cellIs" dxfId="2666" priority="482" operator="notEqual">
      <formula>0</formula>
    </cfRule>
  </conditionalFormatting>
  <conditionalFormatting sqref="U46:U47">
    <cfRule type="cellIs" dxfId="2665" priority="479" operator="equal">
      <formula>0</formula>
    </cfRule>
    <cfRule type="cellIs" dxfId="2664" priority="480" operator="notEqual">
      <formula>0</formula>
    </cfRule>
  </conditionalFormatting>
  <conditionalFormatting sqref="V46:V47">
    <cfRule type="cellIs" dxfId="2663" priority="477" operator="equal">
      <formula>0</formula>
    </cfRule>
    <cfRule type="cellIs" dxfId="2662" priority="478" operator="notEqual">
      <formula>0</formula>
    </cfRule>
  </conditionalFormatting>
  <conditionalFormatting sqref="W46:W47">
    <cfRule type="cellIs" dxfId="2661" priority="475" operator="equal">
      <formula>0</formula>
    </cfRule>
    <cfRule type="cellIs" dxfId="2660" priority="476" operator="notEqual">
      <formula>0</formula>
    </cfRule>
  </conditionalFormatting>
  <conditionalFormatting sqref="X46:X47">
    <cfRule type="cellIs" dxfId="2659" priority="473" operator="equal">
      <formula>0</formula>
    </cfRule>
    <cfRule type="cellIs" dxfId="2658" priority="474" operator="notEqual">
      <formula>0</formula>
    </cfRule>
  </conditionalFormatting>
  <conditionalFormatting sqref="Y46:Y47">
    <cfRule type="cellIs" dxfId="2657" priority="471" operator="equal">
      <formula>0</formula>
    </cfRule>
    <cfRule type="cellIs" dxfId="2656" priority="472" operator="notEqual">
      <formula>0</formula>
    </cfRule>
  </conditionalFormatting>
  <conditionalFormatting sqref="Z46:Z47">
    <cfRule type="cellIs" dxfId="2655" priority="469" operator="equal">
      <formula>0</formula>
    </cfRule>
    <cfRule type="cellIs" dxfId="2654" priority="470" operator="notEqual">
      <formula>0</formula>
    </cfRule>
  </conditionalFormatting>
  <conditionalFormatting sqref="AA46:AA47">
    <cfRule type="cellIs" dxfId="2653" priority="467" operator="equal">
      <formula>0</formula>
    </cfRule>
    <cfRule type="cellIs" dxfId="2652" priority="468" operator="notEqual">
      <formula>0</formula>
    </cfRule>
  </conditionalFormatting>
  <conditionalFormatting sqref="AB46:AB47">
    <cfRule type="cellIs" dxfId="2651" priority="465" operator="equal">
      <formula>0</formula>
    </cfRule>
    <cfRule type="cellIs" dxfId="2650" priority="466" operator="notEqual">
      <formula>0</formula>
    </cfRule>
  </conditionalFormatting>
  <conditionalFormatting sqref="AG45">
    <cfRule type="cellIs" dxfId="2649" priority="463" operator="equal">
      <formula>0</formula>
    </cfRule>
    <cfRule type="cellIs" dxfId="2648" priority="464" operator="notEqual">
      <formula>0</formula>
    </cfRule>
  </conditionalFormatting>
  <conditionalFormatting sqref="AG48">
    <cfRule type="cellIs" dxfId="2647" priority="461" operator="equal">
      <formula>0</formula>
    </cfRule>
    <cfRule type="cellIs" dxfId="2646" priority="462" operator="notEqual">
      <formula>0</formula>
    </cfRule>
  </conditionalFormatting>
  <conditionalFormatting sqref="AH45">
    <cfRule type="cellIs" dxfId="2645" priority="459" operator="equal">
      <formula>0</formula>
    </cfRule>
    <cfRule type="cellIs" dxfId="2644" priority="460" operator="notEqual">
      <formula>0</formula>
    </cfRule>
  </conditionalFormatting>
  <conditionalFormatting sqref="AH48">
    <cfRule type="cellIs" dxfId="2643" priority="457" operator="equal">
      <formula>0</formula>
    </cfRule>
    <cfRule type="cellIs" dxfId="2642" priority="458" operator="notEqual">
      <formula>0</formula>
    </cfRule>
  </conditionalFormatting>
  <conditionalFormatting sqref="AI45">
    <cfRule type="cellIs" dxfId="2641" priority="455" operator="equal">
      <formula>0</formula>
    </cfRule>
    <cfRule type="cellIs" dxfId="2640" priority="456" operator="notEqual">
      <formula>0</formula>
    </cfRule>
  </conditionalFormatting>
  <conditionalFormatting sqref="AI48">
    <cfRule type="cellIs" dxfId="2639" priority="453" operator="equal">
      <formula>0</formula>
    </cfRule>
    <cfRule type="cellIs" dxfId="2638" priority="454" operator="notEqual">
      <formula>0</formula>
    </cfRule>
  </conditionalFormatting>
  <conditionalFormatting sqref="AJ45">
    <cfRule type="cellIs" dxfId="2637" priority="451" operator="equal">
      <formula>0</formula>
    </cfRule>
    <cfRule type="cellIs" dxfId="2636" priority="452" operator="notEqual">
      <formula>0</formula>
    </cfRule>
  </conditionalFormatting>
  <conditionalFormatting sqref="AJ48">
    <cfRule type="cellIs" dxfId="2635" priority="449" operator="equal">
      <formula>0</formula>
    </cfRule>
    <cfRule type="cellIs" dxfId="2634" priority="450" operator="notEqual">
      <formula>0</formula>
    </cfRule>
  </conditionalFormatting>
  <conditionalFormatting sqref="U39:U40">
    <cfRule type="cellIs" dxfId="2633" priority="447" operator="equal">
      <formula>0</formula>
    </cfRule>
    <cfRule type="cellIs" dxfId="2632" priority="448" operator="notEqual">
      <formula>0</formula>
    </cfRule>
  </conditionalFormatting>
  <conditionalFormatting sqref="V39:V40">
    <cfRule type="cellIs" dxfId="2631" priority="445" operator="equal">
      <formula>0</formula>
    </cfRule>
    <cfRule type="cellIs" dxfId="2630" priority="446" operator="notEqual">
      <formula>0</formula>
    </cfRule>
  </conditionalFormatting>
  <conditionalFormatting sqref="W39:W40">
    <cfRule type="cellIs" dxfId="2629" priority="443" operator="equal">
      <formula>0</formula>
    </cfRule>
    <cfRule type="cellIs" dxfId="2628" priority="444" operator="notEqual">
      <formula>0</formula>
    </cfRule>
  </conditionalFormatting>
  <conditionalFormatting sqref="X39:X40">
    <cfRule type="cellIs" dxfId="2627" priority="441" operator="equal">
      <formula>0</formula>
    </cfRule>
    <cfRule type="cellIs" dxfId="2626" priority="442" operator="notEqual">
      <formula>0</formula>
    </cfRule>
  </conditionalFormatting>
  <conditionalFormatting sqref="Y39:Y40">
    <cfRule type="cellIs" dxfId="2625" priority="439" operator="equal">
      <formula>0</formula>
    </cfRule>
    <cfRule type="cellIs" dxfId="2624" priority="440" operator="notEqual">
      <formula>0</formula>
    </cfRule>
  </conditionalFormatting>
  <conditionalFormatting sqref="Z39:Z40">
    <cfRule type="cellIs" dxfId="2623" priority="437" operator="equal">
      <formula>0</formula>
    </cfRule>
    <cfRule type="cellIs" dxfId="2622" priority="438" operator="notEqual">
      <formula>0</formula>
    </cfRule>
  </conditionalFormatting>
  <conditionalFormatting sqref="AA39:AA40">
    <cfRule type="cellIs" dxfId="2621" priority="435" operator="equal">
      <formula>0</formula>
    </cfRule>
    <cfRule type="cellIs" dxfId="2620" priority="436" operator="notEqual">
      <formula>0</formula>
    </cfRule>
  </conditionalFormatting>
  <conditionalFormatting sqref="AB39:AB40">
    <cfRule type="cellIs" dxfId="2619" priority="433" operator="equal">
      <formula>0</formula>
    </cfRule>
    <cfRule type="cellIs" dxfId="2618" priority="434" operator="notEqual">
      <formula>0</formula>
    </cfRule>
  </conditionalFormatting>
  <conditionalFormatting sqref="AG38">
    <cfRule type="cellIs" dxfId="2617" priority="431" operator="equal">
      <formula>0</formula>
    </cfRule>
    <cfRule type="cellIs" dxfId="2616" priority="432" operator="notEqual">
      <formula>0</formula>
    </cfRule>
  </conditionalFormatting>
  <conditionalFormatting sqref="AG41">
    <cfRule type="cellIs" dxfId="2615" priority="429" operator="equal">
      <formula>0</formula>
    </cfRule>
    <cfRule type="cellIs" dxfId="2614" priority="430" operator="notEqual">
      <formula>0</formula>
    </cfRule>
  </conditionalFormatting>
  <conditionalFormatting sqref="AH38">
    <cfRule type="cellIs" dxfId="2613" priority="427" operator="equal">
      <formula>0</formula>
    </cfRule>
    <cfRule type="cellIs" dxfId="2612" priority="428" operator="notEqual">
      <formula>0</formula>
    </cfRule>
  </conditionalFormatting>
  <conditionalFormatting sqref="AH41">
    <cfRule type="cellIs" dxfId="2611" priority="425" operator="equal">
      <formula>0</formula>
    </cfRule>
    <cfRule type="cellIs" dxfId="2610" priority="426" operator="notEqual">
      <formula>0</formula>
    </cfRule>
  </conditionalFormatting>
  <conditionalFormatting sqref="AI38">
    <cfRule type="cellIs" dxfId="2609" priority="423" operator="equal">
      <formula>0</formula>
    </cfRule>
    <cfRule type="cellIs" dxfId="2608" priority="424" operator="notEqual">
      <formula>0</formula>
    </cfRule>
  </conditionalFormatting>
  <conditionalFormatting sqref="AI41">
    <cfRule type="cellIs" dxfId="2607" priority="421" operator="equal">
      <formula>0</formula>
    </cfRule>
    <cfRule type="cellIs" dxfId="2606" priority="422" operator="notEqual">
      <formula>0</formula>
    </cfRule>
  </conditionalFormatting>
  <conditionalFormatting sqref="AJ38">
    <cfRule type="cellIs" dxfId="2605" priority="419" operator="equal">
      <formula>0</formula>
    </cfRule>
    <cfRule type="cellIs" dxfId="2604" priority="420" operator="notEqual">
      <formula>0</formula>
    </cfRule>
  </conditionalFormatting>
  <conditionalFormatting sqref="AJ41">
    <cfRule type="cellIs" dxfId="2603" priority="417" operator="equal">
      <formula>0</formula>
    </cfRule>
    <cfRule type="cellIs" dxfId="2602" priority="418" operator="notEqual">
      <formula>0</formula>
    </cfRule>
  </conditionalFormatting>
  <conditionalFormatting sqref="U32:U33">
    <cfRule type="cellIs" dxfId="2601" priority="415" operator="equal">
      <formula>0</formula>
    </cfRule>
    <cfRule type="cellIs" dxfId="2600" priority="416" operator="notEqual">
      <formula>0</formula>
    </cfRule>
  </conditionalFormatting>
  <conditionalFormatting sqref="V32:V33">
    <cfRule type="cellIs" dxfId="2599" priority="413" operator="equal">
      <formula>0</formula>
    </cfRule>
    <cfRule type="cellIs" dxfId="2598" priority="414" operator="notEqual">
      <formula>0</formula>
    </cfRule>
  </conditionalFormatting>
  <conditionalFormatting sqref="W32:W33">
    <cfRule type="cellIs" dxfId="2597" priority="411" operator="equal">
      <formula>0</formula>
    </cfRule>
    <cfRule type="cellIs" dxfId="2596" priority="412" operator="notEqual">
      <formula>0</formula>
    </cfRule>
  </conditionalFormatting>
  <conditionalFormatting sqref="X32:X33">
    <cfRule type="cellIs" dxfId="2595" priority="409" operator="equal">
      <formula>0</formula>
    </cfRule>
    <cfRule type="cellIs" dxfId="2594" priority="410" operator="notEqual">
      <formula>0</formula>
    </cfRule>
  </conditionalFormatting>
  <conditionalFormatting sqref="Y32:Y33">
    <cfRule type="cellIs" dxfId="2593" priority="407" operator="equal">
      <formula>0</formula>
    </cfRule>
    <cfRule type="cellIs" dxfId="2592" priority="408" operator="notEqual">
      <formula>0</formula>
    </cfRule>
  </conditionalFormatting>
  <conditionalFormatting sqref="Z32:Z33">
    <cfRule type="cellIs" dxfId="2591" priority="405" operator="equal">
      <formula>0</formula>
    </cfRule>
    <cfRule type="cellIs" dxfId="2590" priority="406" operator="notEqual">
      <formula>0</formula>
    </cfRule>
  </conditionalFormatting>
  <conditionalFormatting sqref="AA32:AA33">
    <cfRule type="cellIs" dxfId="2589" priority="403" operator="equal">
      <formula>0</formula>
    </cfRule>
    <cfRule type="cellIs" dxfId="2588" priority="404" operator="notEqual">
      <formula>0</formula>
    </cfRule>
  </conditionalFormatting>
  <conditionalFormatting sqref="AB32:AB33">
    <cfRule type="cellIs" dxfId="2587" priority="401" operator="equal">
      <formula>0</formula>
    </cfRule>
    <cfRule type="cellIs" dxfId="2586" priority="402" operator="notEqual">
      <formula>0</formula>
    </cfRule>
  </conditionalFormatting>
  <conditionalFormatting sqref="AG31">
    <cfRule type="cellIs" dxfId="2585" priority="399" operator="equal">
      <formula>0</formula>
    </cfRule>
    <cfRule type="cellIs" dxfId="2584" priority="400" operator="notEqual">
      <formula>0</formula>
    </cfRule>
  </conditionalFormatting>
  <conditionalFormatting sqref="AG34">
    <cfRule type="cellIs" dxfId="2583" priority="397" operator="equal">
      <formula>0</formula>
    </cfRule>
    <cfRule type="cellIs" dxfId="2582" priority="398" operator="notEqual">
      <formula>0</formula>
    </cfRule>
  </conditionalFormatting>
  <conditionalFormatting sqref="AH31">
    <cfRule type="cellIs" dxfId="2581" priority="395" operator="equal">
      <formula>0</formula>
    </cfRule>
    <cfRule type="cellIs" dxfId="2580" priority="396" operator="notEqual">
      <formula>0</formula>
    </cfRule>
  </conditionalFormatting>
  <conditionalFormatting sqref="AH34">
    <cfRule type="cellIs" dxfId="2579" priority="393" operator="equal">
      <formula>0</formula>
    </cfRule>
    <cfRule type="cellIs" dxfId="2578" priority="394" operator="notEqual">
      <formula>0</formula>
    </cfRule>
  </conditionalFormatting>
  <conditionalFormatting sqref="AI31">
    <cfRule type="cellIs" dxfId="2577" priority="391" operator="equal">
      <formula>0</formula>
    </cfRule>
    <cfRule type="cellIs" dxfId="2576" priority="392" operator="notEqual">
      <formula>0</formula>
    </cfRule>
  </conditionalFormatting>
  <conditionalFormatting sqref="AI34">
    <cfRule type="cellIs" dxfId="2575" priority="389" operator="equal">
      <formula>0</formula>
    </cfRule>
    <cfRule type="cellIs" dxfId="2574" priority="390" operator="notEqual">
      <formula>0</formula>
    </cfRule>
  </conditionalFormatting>
  <conditionalFormatting sqref="AJ31">
    <cfRule type="cellIs" dxfId="2573" priority="387" operator="equal">
      <formula>0</formula>
    </cfRule>
    <cfRule type="cellIs" dxfId="2572" priority="388" operator="notEqual">
      <formula>0</formula>
    </cfRule>
  </conditionalFormatting>
  <conditionalFormatting sqref="AJ34">
    <cfRule type="cellIs" dxfId="2571" priority="385" operator="equal">
      <formula>0</formula>
    </cfRule>
    <cfRule type="cellIs" dxfId="2570" priority="386" operator="notEqual">
      <formula>0</formula>
    </cfRule>
  </conditionalFormatting>
  <conditionalFormatting sqref="U25:U26">
    <cfRule type="cellIs" dxfId="2569" priority="383" operator="equal">
      <formula>0</formula>
    </cfRule>
    <cfRule type="cellIs" dxfId="2568" priority="384" operator="notEqual">
      <formula>0</formula>
    </cfRule>
  </conditionalFormatting>
  <conditionalFormatting sqref="V25:V26">
    <cfRule type="cellIs" dxfId="2567" priority="381" operator="equal">
      <formula>0</formula>
    </cfRule>
    <cfRule type="cellIs" dxfId="2566" priority="382" operator="notEqual">
      <formula>0</formula>
    </cfRule>
  </conditionalFormatting>
  <conditionalFormatting sqref="W25:W26">
    <cfRule type="cellIs" dxfId="2565" priority="379" operator="equal">
      <formula>0</formula>
    </cfRule>
    <cfRule type="cellIs" dxfId="2564" priority="380" operator="notEqual">
      <formula>0</formula>
    </cfRule>
  </conditionalFormatting>
  <conditionalFormatting sqref="X25:X26">
    <cfRule type="cellIs" dxfId="2563" priority="377" operator="equal">
      <formula>0</formula>
    </cfRule>
    <cfRule type="cellIs" dxfId="2562" priority="378" operator="notEqual">
      <formula>0</formula>
    </cfRule>
  </conditionalFormatting>
  <conditionalFormatting sqref="Y25:Y26">
    <cfRule type="cellIs" dxfId="2561" priority="375" operator="equal">
      <formula>0</formula>
    </cfRule>
    <cfRule type="cellIs" dxfId="2560" priority="376" operator="notEqual">
      <formula>0</formula>
    </cfRule>
  </conditionalFormatting>
  <conditionalFormatting sqref="Z25:Z26">
    <cfRule type="cellIs" dxfId="2559" priority="373" operator="equal">
      <formula>0</formula>
    </cfRule>
    <cfRule type="cellIs" dxfId="2558" priority="374" operator="notEqual">
      <formula>0</formula>
    </cfRule>
  </conditionalFormatting>
  <conditionalFormatting sqref="AA25:AA26">
    <cfRule type="cellIs" dxfId="2557" priority="371" operator="equal">
      <formula>0</formula>
    </cfRule>
    <cfRule type="cellIs" dxfId="2556" priority="372" operator="notEqual">
      <formula>0</formula>
    </cfRule>
  </conditionalFormatting>
  <conditionalFormatting sqref="AB25:AB26">
    <cfRule type="cellIs" dxfId="2555" priority="369" operator="equal">
      <formula>0</formula>
    </cfRule>
    <cfRule type="cellIs" dxfId="2554" priority="370" operator="notEqual">
      <formula>0</formula>
    </cfRule>
  </conditionalFormatting>
  <conditionalFormatting sqref="AG24">
    <cfRule type="cellIs" dxfId="2553" priority="367" operator="equal">
      <formula>0</formula>
    </cfRule>
    <cfRule type="cellIs" dxfId="2552" priority="368" operator="notEqual">
      <formula>0</formula>
    </cfRule>
  </conditionalFormatting>
  <conditionalFormatting sqref="AG27">
    <cfRule type="cellIs" dxfId="2551" priority="365" operator="equal">
      <formula>0</formula>
    </cfRule>
    <cfRule type="cellIs" dxfId="2550" priority="366" operator="notEqual">
      <formula>0</formula>
    </cfRule>
  </conditionalFormatting>
  <conditionalFormatting sqref="AH24">
    <cfRule type="cellIs" dxfId="2549" priority="363" operator="equal">
      <formula>0</formula>
    </cfRule>
    <cfRule type="cellIs" dxfId="2548" priority="364" operator="notEqual">
      <formula>0</formula>
    </cfRule>
  </conditionalFormatting>
  <conditionalFormatting sqref="AH27">
    <cfRule type="cellIs" dxfId="2547" priority="361" operator="equal">
      <formula>0</formula>
    </cfRule>
    <cfRule type="cellIs" dxfId="2546" priority="362" operator="notEqual">
      <formula>0</formula>
    </cfRule>
  </conditionalFormatting>
  <conditionalFormatting sqref="AI24">
    <cfRule type="cellIs" dxfId="2545" priority="359" operator="equal">
      <formula>0</formula>
    </cfRule>
    <cfRule type="cellIs" dxfId="2544" priority="360" operator="notEqual">
      <formula>0</formula>
    </cfRule>
  </conditionalFormatting>
  <conditionalFormatting sqref="AI27">
    <cfRule type="cellIs" dxfId="2543" priority="357" operator="equal">
      <formula>0</formula>
    </cfRule>
    <cfRule type="cellIs" dxfId="2542" priority="358" operator="notEqual">
      <formula>0</formula>
    </cfRule>
  </conditionalFormatting>
  <conditionalFormatting sqref="AJ24">
    <cfRule type="cellIs" dxfId="2541" priority="355" operator="equal">
      <formula>0</formula>
    </cfRule>
    <cfRule type="cellIs" dxfId="2540" priority="356" operator="notEqual">
      <formula>0</formula>
    </cfRule>
  </conditionalFormatting>
  <conditionalFormatting sqref="AJ27">
    <cfRule type="cellIs" dxfId="2539" priority="353" operator="equal">
      <formula>0</formula>
    </cfRule>
    <cfRule type="cellIs" dxfId="2538" priority="354" operator="notEqual">
      <formula>0</formula>
    </cfRule>
  </conditionalFormatting>
  <conditionalFormatting sqref="U18:U19">
    <cfRule type="cellIs" dxfId="2537" priority="351" operator="equal">
      <formula>0</formula>
    </cfRule>
    <cfRule type="cellIs" dxfId="2536" priority="352" operator="notEqual">
      <formula>0</formula>
    </cfRule>
  </conditionalFormatting>
  <conditionalFormatting sqref="V18:V19">
    <cfRule type="cellIs" dxfId="2535" priority="349" operator="equal">
      <formula>0</formula>
    </cfRule>
    <cfRule type="cellIs" dxfId="2534" priority="350" operator="notEqual">
      <formula>0</formula>
    </cfRule>
  </conditionalFormatting>
  <conditionalFormatting sqref="W18:W19">
    <cfRule type="cellIs" dxfId="2533" priority="347" operator="equal">
      <formula>0</formula>
    </cfRule>
    <cfRule type="cellIs" dxfId="2532" priority="348" operator="notEqual">
      <formula>0</formula>
    </cfRule>
  </conditionalFormatting>
  <conditionalFormatting sqref="X18:X19">
    <cfRule type="cellIs" dxfId="2531" priority="345" operator="equal">
      <formula>0</formula>
    </cfRule>
    <cfRule type="cellIs" dxfId="2530" priority="346" operator="notEqual">
      <formula>0</formula>
    </cfRule>
  </conditionalFormatting>
  <conditionalFormatting sqref="Y18:Y19">
    <cfRule type="cellIs" dxfId="2529" priority="343" operator="equal">
      <formula>0</formula>
    </cfRule>
    <cfRule type="cellIs" dxfId="2528" priority="344" operator="notEqual">
      <formula>0</formula>
    </cfRule>
  </conditionalFormatting>
  <conditionalFormatting sqref="Z18:Z19">
    <cfRule type="cellIs" dxfId="2527" priority="341" operator="equal">
      <formula>0</formula>
    </cfRule>
    <cfRule type="cellIs" dxfId="2526" priority="342" operator="notEqual">
      <formula>0</formula>
    </cfRule>
  </conditionalFormatting>
  <conditionalFormatting sqref="AA18:AA19">
    <cfRule type="cellIs" dxfId="2525" priority="339" operator="equal">
      <formula>0</formula>
    </cfRule>
    <cfRule type="cellIs" dxfId="2524" priority="340" operator="notEqual">
      <formula>0</formula>
    </cfRule>
  </conditionalFormatting>
  <conditionalFormatting sqref="AB18:AB19">
    <cfRule type="cellIs" dxfId="2523" priority="337" operator="equal">
      <formula>0</formula>
    </cfRule>
    <cfRule type="cellIs" dxfId="2522" priority="338" operator="notEqual">
      <formula>0</formula>
    </cfRule>
  </conditionalFormatting>
  <conditionalFormatting sqref="AG17">
    <cfRule type="cellIs" dxfId="2521" priority="335" operator="equal">
      <formula>0</formula>
    </cfRule>
    <cfRule type="cellIs" dxfId="2520" priority="336" operator="notEqual">
      <formula>0</formula>
    </cfRule>
  </conditionalFormatting>
  <conditionalFormatting sqref="AG20">
    <cfRule type="cellIs" dxfId="2519" priority="333" operator="equal">
      <formula>0</formula>
    </cfRule>
    <cfRule type="cellIs" dxfId="2518" priority="334" operator="notEqual">
      <formula>0</formula>
    </cfRule>
  </conditionalFormatting>
  <conditionalFormatting sqref="AH17">
    <cfRule type="cellIs" dxfId="2517" priority="331" operator="equal">
      <formula>0</formula>
    </cfRule>
    <cfRule type="cellIs" dxfId="2516" priority="332" operator="notEqual">
      <formula>0</formula>
    </cfRule>
  </conditionalFormatting>
  <conditionalFormatting sqref="AH20">
    <cfRule type="cellIs" dxfId="2515" priority="329" operator="equal">
      <formula>0</formula>
    </cfRule>
    <cfRule type="cellIs" dxfId="2514" priority="330" operator="notEqual">
      <formula>0</formula>
    </cfRule>
  </conditionalFormatting>
  <conditionalFormatting sqref="AI17">
    <cfRule type="cellIs" dxfId="2513" priority="327" operator="equal">
      <formula>0</formula>
    </cfRule>
    <cfRule type="cellIs" dxfId="2512" priority="328" operator="notEqual">
      <formula>0</formula>
    </cfRule>
  </conditionalFormatting>
  <conditionalFormatting sqref="AI20">
    <cfRule type="cellIs" dxfId="2511" priority="325" operator="equal">
      <formula>0</formula>
    </cfRule>
    <cfRule type="cellIs" dxfId="2510" priority="326" operator="notEqual">
      <formula>0</formula>
    </cfRule>
  </conditionalFormatting>
  <conditionalFormatting sqref="AJ17">
    <cfRule type="cellIs" dxfId="2509" priority="323" operator="equal">
      <formula>0</formula>
    </cfRule>
    <cfRule type="cellIs" dxfId="2508" priority="324" operator="notEqual">
      <formula>0</formula>
    </cfRule>
  </conditionalFormatting>
  <conditionalFormatting sqref="AJ20">
    <cfRule type="cellIs" dxfId="2507" priority="321" operator="equal">
      <formula>0</formula>
    </cfRule>
    <cfRule type="cellIs" dxfId="2506" priority="322" operator="notEqual">
      <formula>0</formula>
    </cfRule>
  </conditionalFormatting>
  <conditionalFormatting sqref="U11:U12">
    <cfRule type="cellIs" dxfId="2505" priority="319" operator="equal">
      <formula>0</formula>
    </cfRule>
    <cfRule type="cellIs" dxfId="2504" priority="320" operator="notEqual">
      <formula>0</formula>
    </cfRule>
  </conditionalFormatting>
  <conditionalFormatting sqref="V11:V12">
    <cfRule type="cellIs" dxfId="2503" priority="317" operator="equal">
      <formula>0</formula>
    </cfRule>
    <cfRule type="cellIs" dxfId="2502" priority="318" operator="notEqual">
      <formula>0</formula>
    </cfRule>
  </conditionalFormatting>
  <conditionalFormatting sqref="W11:W12">
    <cfRule type="cellIs" dxfId="2501" priority="315" operator="equal">
      <formula>0</formula>
    </cfRule>
    <cfRule type="cellIs" dxfId="2500" priority="316" operator="notEqual">
      <formula>0</formula>
    </cfRule>
  </conditionalFormatting>
  <conditionalFormatting sqref="X11:X12">
    <cfRule type="cellIs" dxfId="2499" priority="313" operator="equal">
      <formula>0</formula>
    </cfRule>
    <cfRule type="cellIs" dxfId="2498" priority="314" operator="notEqual">
      <formula>0</formula>
    </cfRule>
  </conditionalFormatting>
  <conditionalFormatting sqref="Y11:Y12">
    <cfRule type="cellIs" dxfId="2497" priority="311" operator="equal">
      <formula>0</formula>
    </cfRule>
    <cfRule type="cellIs" dxfId="2496" priority="312" operator="notEqual">
      <formula>0</formula>
    </cfRule>
  </conditionalFormatting>
  <conditionalFormatting sqref="Z11:Z12">
    <cfRule type="cellIs" dxfId="2495" priority="309" operator="equal">
      <formula>0</formula>
    </cfRule>
    <cfRule type="cellIs" dxfId="2494" priority="310" operator="notEqual">
      <formula>0</formula>
    </cfRule>
  </conditionalFormatting>
  <conditionalFormatting sqref="AA11:AA12">
    <cfRule type="cellIs" dxfId="2493" priority="307" operator="equal">
      <formula>0</formula>
    </cfRule>
    <cfRule type="cellIs" dxfId="2492" priority="308" operator="notEqual">
      <formula>0</formula>
    </cfRule>
  </conditionalFormatting>
  <conditionalFormatting sqref="AB11:AB12">
    <cfRule type="cellIs" dxfId="2491" priority="305" operator="equal">
      <formula>0</formula>
    </cfRule>
    <cfRule type="cellIs" dxfId="2490" priority="306" operator="notEqual">
      <formula>0</formula>
    </cfRule>
  </conditionalFormatting>
  <conditionalFormatting sqref="AG10">
    <cfRule type="cellIs" dxfId="2489" priority="303" operator="equal">
      <formula>0</formula>
    </cfRule>
    <cfRule type="cellIs" dxfId="2488" priority="304" operator="notEqual">
      <formula>0</formula>
    </cfRule>
  </conditionalFormatting>
  <conditionalFormatting sqref="AG13">
    <cfRule type="cellIs" dxfId="2487" priority="301" operator="equal">
      <formula>0</formula>
    </cfRule>
    <cfRule type="cellIs" dxfId="2486" priority="302" operator="notEqual">
      <formula>0</formula>
    </cfRule>
  </conditionalFormatting>
  <conditionalFormatting sqref="AH10">
    <cfRule type="cellIs" dxfId="2485" priority="299" operator="equal">
      <formula>0</formula>
    </cfRule>
    <cfRule type="cellIs" dxfId="2484" priority="300" operator="notEqual">
      <formula>0</formula>
    </cfRule>
  </conditionalFormatting>
  <conditionalFormatting sqref="AH13">
    <cfRule type="cellIs" dxfId="2483" priority="297" operator="equal">
      <formula>0</formula>
    </cfRule>
    <cfRule type="cellIs" dxfId="2482" priority="298" operator="notEqual">
      <formula>0</formula>
    </cfRule>
  </conditionalFormatting>
  <conditionalFormatting sqref="AI10">
    <cfRule type="cellIs" dxfId="2481" priority="295" operator="equal">
      <formula>0</formula>
    </cfRule>
    <cfRule type="cellIs" dxfId="2480" priority="296" operator="notEqual">
      <formula>0</formula>
    </cfRule>
  </conditionalFormatting>
  <conditionalFormatting sqref="AI13">
    <cfRule type="cellIs" dxfId="2479" priority="293" operator="equal">
      <formula>0</formula>
    </cfRule>
    <cfRule type="cellIs" dxfId="2478" priority="294" operator="notEqual">
      <formula>0</formula>
    </cfRule>
  </conditionalFormatting>
  <conditionalFormatting sqref="AJ10">
    <cfRule type="cellIs" dxfId="2477" priority="291" operator="equal">
      <formula>0</formula>
    </cfRule>
    <cfRule type="cellIs" dxfId="2476" priority="292" operator="notEqual">
      <formula>0</formula>
    </cfRule>
  </conditionalFormatting>
  <conditionalFormatting sqref="AJ13">
    <cfRule type="cellIs" dxfId="2475" priority="289" operator="equal">
      <formula>0</formula>
    </cfRule>
    <cfRule type="cellIs" dxfId="2474" priority="290" operator="notEqual">
      <formula>0</formula>
    </cfRule>
  </conditionalFormatting>
  <conditionalFormatting sqref="C81:C82">
    <cfRule type="cellIs" dxfId="2473" priority="287" operator="equal">
      <formula>0</formula>
    </cfRule>
    <cfRule type="cellIs" dxfId="2472" priority="288" operator="notEqual">
      <formula>0</formula>
    </cfRule>
  </conditionalFormatting>
  <conditionalFormatting sqref="D81:D82">
    <cfRule type="cellIs" dxfId="2471" priority="285" operator="equal">
      <formula>0</formula>
    </cfRule>
    <cfRule type="cellIs" dxfId="2470" priority="286" operator="notEqual">
      <formula>0</formula>
    </cfRule>
  </conditionalFormatting>
  <conditionalFormatting sqref="E81:E82">
    <cfRule type="cellIs" dxfId="2469" priority="283" operator="equal">
      <formula>0</formula>
    </cfRule>
    <cfRule type="cellIs" dxfId="2468" priority="284" operator="notEqual">
      <formula>0</formula>
    </cfRule>
  </conditionalFormatting>
  <conditionalFormatting sqref="F81:F82">
    <cfRule type="cellIs" dxfId="2467" priority="281" operator="equal">
      <formula>0</formula>
    </cfRule>
    <cfRule type="cellIs" dxfId="2466" priority="282" operator="notEqual">
      <formula>0</formula>
    </cfRule>
  </conditionalFormatting>
  <conditionalFormatting sqref="G81:G82">
    <cfRule type="cellIs" dxfId="2465" priority="279" operator="equal">
      <formula>0</formula>
    </cfRule>
    <cfRule type="cellIs" dxfId="2464" priority="280" operator="notEqual">
      <formula>0</formula>
    </cfRule>
  </conditionalFormatting>
  <conditionalFormatting sqref="H81:H82">
    <cfRule type="cellIs" dxfId="2463" priority="277" operator="equal">
      <formula>0</formula>
    </cfRule>
    <cfRule type="cellIs" dxfId="2462" priority="278" operator="notEqual">
      <formula>0</formula>
    </cfRule>
  </conditionalFormatting>
  <conditionalFormatting sqref="I81:I82">
    <cfRule type="cellIs" dxfId="2461" priority="275" operator="equal">
      <formula>0</formula>
    </cfRule>
    <cfRule type="cellIs" dxfId="2460" priority="276" operator="notEqual">
      <formula>0</formula>
    </cfRule>
  </conditionalFormatting>
  <conditionalFormatting sqref="J81:J82">
    <cfRule type="cellIs" dxfId="2459" priority="273" operator="equal">
      <formula>0</formula>
    </cfRule>
    <cfRule type="cellIs" dxfId="2458" priority="274" operator="notEqual">
      <formula>0</formula>
    </cfRule>
  </conditionalFormatting>
  <conditionalFormatting sqref="O80">
    <cfRule type="cellIs" dxfId="2457" priority="271" operator="equal">
      <formula>0</formula>
    </cfRule>
    <cfRule type="cellIs" dxfId="2456" priority="272" operator="notEqual">
      <formula>0</formula>
    </cfRule>
  </conditionalFormatting>
  <conditionalFormatting sqref="O83">
    <cfRule type="cellIs" dxfId="2455" priority="269" operator="equal">
      <formula>0</formula>
    </cfRule>
    <cfRule type="cellIs" dxfId="2454" priority="270" operator="notEqual">
      <formula>0</formula>
    </cfRule>
  </conditionalFormatting>
  <conditionalFormatting sqref="P80">
    <cfRule type="cellIs" dxfId="2453" priority="267" operator="equal">
      <formula>0</formula>
    </cfRule>
    <cfRule type="cellIs" dxfId="2452" priority="268" operator="notEqual">
      <formula>0</formula>
    </cfRule>
  </conditionalFormatting>
  <conditionalFormatting sqref="P83">
    <cfRule type="cellIs" dxfId="2451" priority="265" operator="equal">
      <formula>0</formula>
    </cfRule>
    <cfRule type="cellIs" dxfId="2450" priority="266" operator="notEqual">
      <formula>0</formula>
    </cfRule>
  </conditionalFormatting>
  <conditionalFormatting sqref="Q80">
    <cfRule type="cellIs" dxfId="2449" priority="263" operator="equal">
      <formula>0</formula>
    </cfRule>
    <cfRule type="cellIs" dxfId="2448" priority="264" operator="notEqual">
      <formula>0</formula>
    </cfRule>
  </conditionalFormatting>
  <conditionalFormatting sqref="Q83">
    <cfRule type="cellIs" dxfId="2447" priority="261" operator="equal">
      <formula>0</formula>
    </cfRule>
    <cfRule type="cellIs" dxfId="2446" priority="262" operator="notEqual">
      <formula>0</formula>
    </cfRule>
  </conditionalFormatting>
  <conditionalFormatting sqref="R80">
    <cfRule type="cellIs" dxfId="2445" priority="259" operator="equal">
      <formula>0</formula>
    </cfRule>
    <cfRule type="cellIs" dxfId="2444" priority="260" operator="notEqual">
      <formula>0</formula>
    </cfRule>
  </conditionalFormatting>
  <conditionalFormatting sqref="R83">
    <cfRule type="cellIs" dxfId="2443" priority="257" operator="equal">
      <formula>0</formula>
    </cfRule>
    <cfRule type="cellIs" dxfId="2442" priority="258" operator="notEqual">
      <formula>0</formula>
    </cfRule>
  </conditionalFormatting>
  <conditionalFormatting sqref="C88:C89">
    <cfRule type="cellIs" dxfId="2441" priority="255" operator="equal">
      <formula>0</formula>
    </cfRule>
    <cfRule type="cellIs" dxfId="2440" priority="256" operator="notEqual">
      <formula>0</formula>
    </cfRule>
  </conditionalFormatting>
  <conditionalFormatting sqref="D88:D89">
    <cfRule type="cellIs" dxfId="2439" priority="253" operator="equal">
      <formula>0</formula>
    </cfRule>
    <cfRule type="cellIs" dxfId="2438" priority="254" operator="notEqual">
      <formula>0</formula>
    </cfRule>
  </conditionalFormatting>
  <conditionalFormatting sqref="E88:E89">
    <cfRule type="cellIs" dxfId="2437" priority="251" operator="equal">
      <formula>0</formula>
    </cfRule>
    <cfRule type="cellIs" dxfId="2436" priority="252" operator="notEqual">
      <formula>0</formula>
    </cfRule>
  </conditionalFormatting>
  <conditionalFormatting sqref="F88:F89">
    <cfRule type="cellIs" dxfId="2435" priority="249" operator="equal">
      <formula>0</formula>
    </cfRule>
    <cfRule type="cellIs" dxfId="2434" priority="250" operator="notEqual">
      <formula>0</formula>
    </cfRule>
  </conditionalFormatting>
  <conditionalFormatting sqref="G88:G89">
    <cfRule type="cellIs" dxfId="2433" priority="247" operator="equal">
      <formula>0</formula>
    </cfRule>
    <cfRule type="cellIs" dxfId="2432" priority="248" operator="notEqual">
      <formula>0</formula>
    </cfRule>
  </conditionalFormatting>
  <conditionalFormatting sqref="H88:H89">
    <cfRule type="cellIs" dxfId="2431" priority="245" operator="equal">
      <formula>0</formula>
    </cfRule>
    <cfRule type="cellIs" dxfId="2430" priority="246" operator="notEqual">
      <formula>0</formula>
    </cfRule>
  </conditionalFormatting>
  <conditionalFormatting sqref="I88:I89">
    <cfRule type="cellIs" dxfId="2429" priority="243" operator="equal">
      <formula>0</formula>
    </cfRule>
    <cfRule type="cellIs" dxfId="2428" priority="244" operator="notEqual">
      <formula>0</formula>
    </cfRule>
  </conditionalFormatting>
  <conditionalFormatting sqref="J88:J89">
    <cfRule type="cellIs" dxfId="2427" priority="241" operator="equal">
      <formula>0</formula>
    </cfRule>
    <cfRule type="cellIs" dxfId="2426" priority="242" operator="notEqual">
      <formula>0</formula>
    </cfRule>
  </conditionalFormatting>
  <conditionalFormatting sqref="O87">
    <cfRule type="cellIs" dxfId="2425" priority="239" operator="equal">
      <formula>0</formula>
    </cfRule>
    <cfRule type="cellIs" dxfId="2424" priority="240" operator="notEqual">
      <formula>0</formula>
    </cfRule>
  </conditionalFormatting>
  <conditionalFormatting sqref="O90">
    <cfRule type="cellIs" dxfId="2423" priority="237" operator="equal">
      <formula>0</formula>
    </cfRule>
    <cfRule type="cellIs" dxfId="2422" priority="238" operator="notEqual">
      <formula>0</formula>
    </cfRule>
  </conditionalFormatting>
  <conditionalFormatting sqref="P87">
    <cfRule type="cellIs" dxfId="2421" priority="235" operator="equal">
      <formula>0</formula>
    </cfRule>
    <cfRule type="cellIs" dxfId="2420" priority="236" operator="notEqual">
      <formula>0</formula>
    </cfRule>
  </conditionalFormatting>
  <conditionalFormatting sqref="P90">
    <cfRule type="cellIs" dxfId="2419" priority="233" operator="equal">
      <formula>0</formula>
    </cfRule>
    <cfRule type="cellIs" dxfId="2418" priority="234" operator="notEqual">
      <formula>0</formula>
    </cfRule>
  </conditionalFormatting>
  <conditionalFormatting sqref="Q87">
    <cfRule type="cellIs" dxfId="2417" priority="231" operator="equal">
      <formula>0</formula>
    </cfRule>
    <cfRule type="cellIs" dxfId="2416" priority="232" operator="notEqual">
      <formula>0</formula>
    </cfRule>
  </conditionalFormatting>
  <conditionalFormatting sqref="Q90">
    <cfRule type="cellIs" dxfId="2415" priority="229" operator="equal">
      <formula>0</formula>
    </cfRule>
    <cfRule type="cellIs" dxfId="2414" priority="230" operator="notEqual">
      <formula>0</formula>
    </cfRule>
  </conditionalFormatting>
  <conditionalFormatting sqref="R87">
    <cfRule type="cellIs" dxfId="2413" priority="227" operator="equal">
      <formula>0</formula>
    </cfRule>
    <cfRule type="cellIs" dxfId="2412" priority="228" operator="notEqual">
      <formula>0</formula>
    </cfRule>
  </conditionalFormatting>
  <conditionalFormatting sqref="R90">
    <cfRule type="cellIs" dxfId="2411" priority="225" operator="equal">
      <formula>0</formula>
    </cfRule>
    <cfRule type="cellIs" dxfId="2410" priority="226" operator="notEqual">
      <formula>0</formula>
    </cfRule>
  </conditionalFormatting>
  <conditionalFormatting sqref="C95:C96">
    <cfRule type="cellIs" dxfId="2409" priority="223" operator="equal">
      <formula>0</formula>
    </cfRule>
    <cfRule type="cellIs" dxfId="2408" priority="224" operator="notEqual">
      <formula>0</formula>
    </cfRule>
  </conditionalFormatting>
  <conditionalFormatting sqref="D95:D96">
    <cfRule type="cellIs" dxfId="2407" priority="221" operator="equal">
      <formula>0</formula>
    </cfRule>
    <cfRule type="cellIs" dxfId="2406" priority="222" operator="notEqual">
      <formula>0</formula>
    </cfRule>
  </conditionalFormatting>
  <conditionalFormatting sqref="E95:E96">
    <cfRule type="cellIs" dxfId="2405" priority="219" operator="equal">
      <formula>0</formula>
    </cfRule>
    <cfRule type="cellIs" dxfId="2404" priority="220" operator="notEqual">
      <formula>0</formula>
    </cfRule>
  </conditionalFormatting>
  <conditionalFormatting sqref="F95:F96">
    <cfRule type="cellIs" dxfId="2403" priority="217" operator="equal">
      <formula>0</formula>
    </cfRule>
    <cfRule type="cellIs" dxfId="2402" priority="218" operator="notEqual">
      <formula>0</formula>
    </cfRule>
  </conditionalFormatting>
  <conditionalFormatting sqref="G95:G96">
    <cfRule type="cellIs" dxfId="2401" priority="215" operator="equal">
      <formula>0</formula>
    </cfRule>
    <cfRule type="cellIs" dxfId="2400" priority="216" operator="notEqual">
      <formula>0</formula>
    </cfRule>
  </conditionalFormatting>
  <conditionalFormatting sqref="H95:H96">
    <cfRule type="cellIs" dxfId="2399" priority="213" operator="equal">
      <formula>0</formula>
    </cfRule>
    <cfRule type="cellIs" dxfId="2398" priority="214" operator="notEqual">
      <formula>0</formula>
    </cfRule>
  </conditionalFormatting>
  <conditionalFormatting sqref="I95:I96">
    <cfRule type="cellIs" dxfId="2397" priority="211" operator="equal">
      <formula>0</formula>
    </cfRule>
    <cfRule type="cellIs" dxfId="2396" priority="212" operator="notEqual">
      <formula>0</formula>
    </cfRule>
  </conditionalFormatting>
  <conditionalFormatting sqref="J95:J96">
    <cfRule type="cellIs" dxfId="2395" priority="209" operator="equal">
      <formula>0</formula>
    </cfRule>
    <cfRule type="cellIs" dxfId="2394" priority="210" operator="notEqual">
      <formula>0</formula>
    </cfRule>
  </conditionalFormatting>
  <conditionalFormatting sqref="O94">
    <cfRule type="cellIs" dxfId="2393" priority="207" operator="equal">
      <formula>0</formula>
    </cfRule>
    <cfRule type="cellIs" dxfId="2392" priority="208" operator="notEqual">
      <formula>0</formula>
    </cfRule>
  </conditionalFormatting>
  <conditionalFormatting sqref="O97">
    <cfRule type="cellIs" dxfId="2391" priority="205" operator="equal">
      <formula>0</formula>
    </cfRule>
    <cfRule type="cellIs" dxfId="2390" priority="206" operator="notEqual">
      <formula>0</formula>
    </cfRule>
  </conditionalFormatting>
  <conditionalFormatting sqref="P94">
    <cfRule type="cellIs" dxfId="2389" priority="203" operator="equal">
      <formula>0</formula>
    </cfRule>
    <cfRule type="cellIs" dxfId="2388" priority="204" operator="notEqual">
      <formula>0</formula>
    </cfRule>
  </conditionalFormatting>
  <conditionalFormatting sqref="P97">
    <cfRule type="cellIs" dxfId="2387" priority="201" operator="equal">
      <formula>0</formula>
    </cfRule>
    <cfRule type="cellIs" dxfId="2386" priority="202" operator="notEqual">
      <formula>0</formula>
    </cfRule>
  </conditionalFormatting>
  <conditionalFormatting sqref="Q94">
    <cfRule type="cellIs" dxfId="2385" priority="199" operator="equal">
      <formula>0</formula>
    </cfRule>
    <cfRule type="cellIs" dxfId="2384" priority="200" operator="notEqual">
      <formula>0</formula>
    </cfRule>
  </conditionalFormatting>
  <conditionalFormatting sqref="Q97">
    <cfRule type="cellIs" dxfId="2383" priority="197" operator="equal">
      <formula>0</formula>
    </cfRule>
    <cfRule type="cellIs" dxfId="2382" priority="198" operator="notEqual">
      <formula>0</formula>
    </cfRule>
  </conditionalFormatting>
  <conditionalFormatting sqref="R94">
    <cfRule type="cellIs" dxfId="2381" priority="195" operator="equal">
      <formula>0</formula>
    </cfRule>
    <cfRule type="cellIs" dxfId="2380" priority="196" operator="notEqual">
      <formula>0</formula>
    </cfRule>
  </conditionalFormatting>
  <conditionalFormatting sqref="R97">
    <cfRule type="cellIs" dxfId="2379" priority="193" operator="equal">
      <formula>0</formula>
    </cfRule>
    <cfRule type="cellIs" dxfId="2378" priority="194" operator="notEqual">
      <formula>0</formula>
    </cfRule>
  </conditionalFormatting>
  <conditionalFormatting sqref="C102:C103">
    <cfRule type="cellIs" dxfId="2377" priority="191" operator="equal">
      <formula>0</formula>
    </cfRule>
    <cfRule type="cellIs" dxfId="2376" priority="192" operator="notEqual">
      <formula>0</formula>
    </cfRule>
  </conditionalFormatting>
  <conditionalFormatting sqref="D102:D103">
    <cfRule type="cellIs" dxfId="2375" priority="189" operator="equal">
      <formula>0</formula>
    </cfRule>
    <cfRule type="cellIs" dxfId="2374" priority="190" operator="notEqual">
      <formula>0</formula>
    </cfRule>
  </conditionalFormatting>
  <conditionalFormatting sqref="E102:E103">
    <cfRule type="cellIs" dxfId="2373" priority="187" operator="equal">
      <formula>0</formula>
    </cfRule>
    <cfRule type="cellIs" dxfId="2372" priority="188" operator="notEqual">
      <formula>0</formula>
    </cfRule>
  </conditionalFormatting>
  <conditionalFormatting sqref="F102:F103">
    <cfRule type="cellIs" dxfId="2371" priority="185" operator="equal">
      <formula>0</formula>
    </cfRule>
    <cfRule type="cellIs" dxfId="2370" priority="186" operator="notEqual">
      <formula>0</formula>
    </cfRule>
  </conditionalFormatting>
  <conditionalFormatting sqref="G102:G103">
    <cfRule type="cellIs" dxfId="2369" priority="183" operator="equal">
      <formula>0</formula>
    </cfRule>
    <cfRule type="cellIs" dxfId="2368" priority="184" operator="notEqual">
      <formula>0</formula>
    </cfRule>
  </conditionalFormatting>
  <conditionalFormatting sqref="H102:H103">
    <cfRule type="cellIs" dxfId="2367" priority="181" operator="equal">
      <formula>0</formula>
    </cfRule>
    <cfRule type="cellIs" dxfId="2366" priority="182" operator="notEqual">
      <formula>0</formula>
    </cfRule>
  </conditionalFormatting>
  <conditionalFormatting sqref="I102:I103">
    <cfRule type="cellIs" dxfId="2365" priority="179" operator="equal">
      <formula>0</formula>
    </cfRule>
    <cfRule type="cellIs" dxfId="2364" priority="180" operator="notEqual">
      <formula>0</formula>
    </cfRule>
  </conditionalFormatting>
  <conditionalFormatting sqref="J102:J103">
    <cfRule type="cellIs" dxfId="2363" priority="177" operator="equal">
      <formula>0</formula>
    </cfRule>
    <cfRule type="cellIs" dxfId="2362" priority="178" operator="notEqual">
      <formula>0</formula>
    </cfRule>
  </conditionalFormatting>
  <conditionalFormatting sqref="O101">
    <cfRule type="cellIs" dxfId="2361" priority="175" operator="equal">
      <formula>0</formula>
    </cfRule>
    <cfRule type="cellIs" dxfId="2360" priority="176" operator="notEqual">
      <formula>0</formula>
    </cfRule>
  </conditionalFormatting>
  <conditionalFormatting sqref="O104">
    <cfRule type="cellIs" dxfId="2359" priority="173" operator="equal">
      <formula>0</formula>
    </cfRule>
    <cfRule type="cellIs" dxfId="2358" priority="174" operator="notEqual">
      <formula>0</formula>
    </cfRule>
  </conditionalFormatting>
  <conditionalFormatting sqref="P101">
    <cfRule type="cellIs" dxfId="2357" priority="171" operator="equal">
      <formula>0</formula>
    </cfRule>
    <cfRule type="cellIs" dxfId="2356" priority="172" operator="notEqual">
      <formula>0</formula>
    </cfRule>
  </conditionalFormatting>
  <conditionalFormatting sqref="P104">
    <cfRule type="cellIs" dxfId="2355" priority="169" operator="equal">
      <formula>0</formula>
    </cfRule>
    <cfRule type="cellIs" dxfId="2354" priority="170" operator="notEqual">
      <formula>0</formula>
    </cfRule>
  </conditionalFormatting>
  <conditionalFormatting sqref="Q101">
    <cfRule type="cellIs" dxfId="2353" priority="167" operator="equal">
      <formula>0</formula>
    </cfRule>
    <cfRule type="cellIs" dxfId="2352" priority="168" operator="notEqual">
      <formula>0</formula>
    </cfRule>
  </conditionalFormatting>
  <conditionalFormatting sqref="Q104">
    <cfRule type="cellIs" dxfId="2351" priority="165" operator="equal">
      <formula>0</formula>
    </cfRule>
    <cfRule type="cellIs" dxfId="2350" priority="166" operator="notEqual">
      <formula>0</formula>
    </cfRule>
  </conditionalFormatting>
  <conditionalFormatting sqref="R101">
    <cfRule type="cellIs" dxfId="2349" priority="163" operator="equal">
      <formula>0</formula>
    </cfRule>
    <cfRule type="cellIs" dxfId="2348" priority="164" operator="notEqual">
      <formula>0</formula>
    </cfRule>
  </conditionalFormatting>
  <conditionalFormatting sqref="R104">
    <cfRule type="cellIs" dxfId="2347" priority="161" operator="equal">
      <formula>0</formula>
    </cfRule>
    <cfRule type="cellIs" dxfId="2346" priority="162" operator="notEqual">
      <formula>0</formula>
    </cfRule>
  </conditionalFormatting>
  <conditionalFormatting sqref="U74:U75">
    <cfRule type="cellIs" dxfId="2345" priority="159" operator="equal">
      <formula>0</formula>
    </cfRule>
    <cfRule type="cellIs" dxfId="2344" priority="160" operator="notEqual">
      <formula>0</formula>
    </cfRule>
  </conditionalFormatting>
  <conditionalFormatting sqref="V74:V75">
    <cfRule type="cellIs" dxfId="2343" priority="157" operator="equal">
      <formula>0</formula>
    </cfRule>
    <cfRule type="cellIs" dxfId="2342" priority="158" operator="notEqual">
      <formula>0</formula>
    </cfRule>
  </conditionalFormatting>
  <conditionalFormatting sqref="W74:W75">
    <cfRule type="cellIs" dxfId="2341" priority="155" operator="equal">
      <formula>0</formula>
    </cfRule>
    <cfRule type="cellIs" dxfId="2340" priority="156" operator="notEqual">
      <formula>0</formula>
    </cfRule>
  </conditionalFormatting>
  <conditionalFormatting sqref="X74:X75">
    <cfRule type="cellIs" dxfId="2339" priority="153" operator="equal">
      <formula>0</formula>
    </cfRule>
    <cfRule type="cellIs" dxfId="2338" priority="154" operator="notEqual">
      <formula>0</formula>
    </cfRule>
  </conditionalFormatting>
  <conditionalFormatting sqref="Y74:Y75">
    <cfRule type="cellIs" dxfId="2337" priority="151" operator="equal">
      <formula>0</formula>
    </cfRule>
    <cfRule type="cellIs" dxfId="2336" priority="152" operator="notEqual">
      <formula>0</formula>
    </cfRule>
  </conditionalFormatting>
  <conditionalFormatting sqref="Z74:Z75">
    <cfRule type="cellIs" dxfId="2335" priority="149" operator="equal">
      <formula>0</formula>
    </cfRule>
    <cfRule type="cellIs" dxfId="2334" priority="150" operator="notEqual">
      <formula>0</formula>
    </cfRule>
  </conditionalFormatting>
  <conditionalFormatting sqref="AA74:AA75">
    <cfRule type="cellIs" dxfId="2333" priority="147" operator="equal">
      <formula>0</formula>
    </cfRule>
    <cfRule type="cellIs" dxfId="2332" priority="148" operator="notEqual">
      <formula>0</formula>
    </cfRule>
  </conditionalFormatting>
  <conditionalFormatting sqref="AB74:AB75">
    <cfRule type="cellIs" dxfId="2331" priority="145" operator="equal">
      <formula>0</formula>
    </cfRule>
    <cfRule type="cellIs" dxfId="2330" priority="146" operator="notEqual">
      <formula>0</formula>
    </cfRule>
  </conditionalFormatting>
  <conditionalFormatting sqref="AG73">
    <cfRule type="cellIs" dxfId="2329" priority="143" operator="equal">
      <formula>0</formula>
    </cfRule>
    <cfRule type="cellIs" dxfId="2328" priority="144" operator="notEqual">
      <formula>0</formula>
    </cfRule>
  </conditionalFormatting>
  <conditionalFormatting sqref="AG76">
    <cfRule type="cellIs" dxfId="2327" priority="141" operator="equal">
      <formula>0</formula>
    </cfRule>
    <cfRule type="cellIs" dxfId="2326" priority="142" operator="notEqual">
      <formula>0</formula>
    </cfRule>
  </conditionalFormatting>
  <conditionalFormatting sqref="AH73">
    <cfRule type="cellIs" dxfId="2325" priority="139" operator="equal">
      <formula>0</formula>
    </cfRule>
    <cfRule type="cellIs" dxfId="2324" priority="140" operator="notEqual">
      <formula>0</formula>
    </cfRule>
  </conditionalFormatting>
  <conditionalFormatting sqref="AH76">
    <cfRule type="cellIs" dxfId="2323" priority="137" operator="equal">
      <formula>0</formula>
    </cfRule>
    <cfRule type="cellIs" dxfId="2322" priority="138" operator="notEqual">
      <formula>0</formula>
    </cfRule>
  </conditionalFormatting>
  <conditionalFormatting sqref="AI73">
    <cfRule type="cellIs" dxfId="2321" priority="135" operator="equal">
      <formula>0</formula>
    </cfRule>
    <cfRule type="cellIs" dxfId="2320" priority="136" operator="notEqual">
      <formula>0</formula>
    </cfRule>
  </conditionalFormatting>
  <conditionalFormatting sqref="AI76">
    <cfRule type="cellIs" dxfId="2319" priority="133" operator="equal">
      <formula>0</formula>
    </cfRule>
    <cfRule type="cellIs" dxfId="2318" priority="134" operator="notEqual">
      <formula>0</formula>
    </cfRule>
  </conditionalFormatting>
  <conditionalFormatting sqref="AJ73">
    <cfRule type="cellIs" dxfId="2317" priority="131" operator="equal">
      <formula>0</formula>
    </cfRule>
    <cfRule type="cellIs" dxfId="2316" priority="132" operator="notEqual">
      <formula>0</formula>
    </cfRule>
  </conditionalFormatting>
  <conditionalFormatting sqref="AJ76">
    <cfRule type="cellIs" dxfId="2315" priority="129" operator="equal">
      <formula>0</formula>
    </cfRule>
    <cfRule type="cellIs" dxfId="2314" priority="130" operator="notEqual">
      <formula>0</formula>
    </cfRule>
  </conditionalFormatting>
  <conditionalFormatting sqref="U81:U82">
    <cfRule type="cellIs" dxfId="2313" priority="127" operator="equal">
      <formula>0</formula>
    </cfRule>
    <cfRule type="cellIs" dxfId="2312" priority="128" operator="notEqual">
      <formula>0</formula>
    </cfRule>
  </conditionalFormatting>
  <conditionalFormatting sqref="V81:V82">
    <cfRule type="cellIs" dxfId="2311" priority="125" operator="equal">
      <formula>0</formula>
    </cfRule>
    <cfRule type="cellIs" dxfId="2310" priority="126" operator="notEqual">
      <formula>0</formula>
    </cfRule>
  </conditionalFormatting>
  <conditionalFormatting sqref="W81:W82">
    <cfRule type="cellIs" dxfId="2309" priority="123" operator="equal">
      <formula>0</formula>
    </cfRule>
    <cfRule type="cellIs" dxfId="2308" priority="124" operator="notEqual">
      <formula>0</formula>
    </cfRule>
  </conditionalFormatting>
  <conditionalFormatting sqref="X81:X82">
    <cfRule type="cellIs" dxfId="2307" priority="121" operator="equal">
      <formula>0</formula>
    </cfRule>
    <cfRule type="cellIs" dxfId="2306" priority="122" operator="notEqual">
      <formula>0</formula>
    </cfRule>
  </conditionalFormatting>
  <conditionalFormatting sqref="Y81:Y82">
    <cfRule type="cellIs" dxfId="2305" priority="119" operator="equal">
      <formula>0</formula>
    </cfRule>
    <cfRule type="cellIs" dxfId="2304" priority="120" operator="notEqual">
      <formula>0</formula>
    </cfRule>
  </conditionalFormatting>
  <conditionalFormatting sqref="Z81:Z82">
    <cfRule type="cellIs" dxfId="2303" priority="117" operator="equal">
      <formula>0</formula>
    </cfRule>
    <cfRule type="cellIs" dxfId="2302" priority="118" operator="notEqual">
      <formula>0</formula>
    </cfRule>
  </conditionalFormatting>
  <conditionalFormatting sqref="AA81:AA82">
    <cfRule type="cellIs" dxfId="2301" priority="115" operator="equal">
      <formula>0</formula>
    </cfRule>
    <cfRule type="cellIs" dxfId="2300" priority="116" operator="notEqual">
      <formula>0</formula>
    </cfRule>
  </conditionalFormatting>
  <conditionalFormatting sqref="AB81:AB82">
    <cfRule type="cellIs" dxfId="2299" priority="113" operator="equal">
      <formula>0</formula>
    </cfRule>
    <cfRule type="cellIs" dxfId="2298" priority="114" operator="notEqual">
      <formula>0</formula>
    </cfRule>
  </conditionalFormatting>
  <conditionalFormatting sqref="AG80">
    <cfRule type="cellIs" dxfId="2297" priority="111" operator="equal">
      <formula>0</formula>
    </cfRule>
    <cfRule type="cellIs" dxfId="2296" priority="112" operator="notEqual">
      <formula>0</formula>
    </cfRule>
  </conditionalFormatting>
  <conditionalFormatting sqref="AG83">
    <cfRule type="cellIs" dxfId="2295" priority="109" operator="equal">
      <formula>0</formula>
    </cfRule>
    <cfRule type="cellIs" dxfId="2294" priority="110" operator="notEqual">
      <formula>0</formula>
    </cfRule>
  </conditionalFormatting>
  <conditionalFormatting sqref="AH80">
    <cfRule type="cellIs" dxfId="2293" priority="107" operator="equal">
      <formula>0</formula>
    </cfRule>
    <cfRule type="cellIs" dxfId="2292" priority="108" operator="notEqual">
      <formula>0</formula>
    </cfRule>
  </conditionalFormatting>
  <conditionalFormatting sqref="AH83">
    <cfRule type="cellIs" dxfId="2291" priority="105" operator="equal">
      <formula>0</formula>
    </cfRule>
    <cfRule type="cellIs" dxfId="2290" priority="106" operator="notEqual">
      <formula>0</formula>
    </cfRule>
  </conditionalFormatting>
  <conditionalFormatting sqref="AI80">
    <cfRule type="cellIs" dxfId="2289" priority="103" operator="equal">
      <formula>0</formula>
    </cfRule>
    <cfRule type="cellIs" dxfId="2288" priority="104" operator="notEqual">
      <formula>0</formula>
    </cfRule>
  </conditionalFormatting>
  <conditionalFormatting sqref="AI83">
    <cfRule type="cellIs" dxfId="2287" priority="101" operator="equal">
      <formula>0</formula>
    </cfRule>
    <cfRule type="cellIs" dxfId="2286" priority="102" operator="notEqual">
      <formula>0</formula>
    </cfRule>
  </conditionalFormatting>
  <conditionalFormatting sqref="AJ80">
    <cfRule type="cellIs" dxfId="2285" priority="99" operator="equal">
      <formula>0</formula>
    </cfRule>
    <cfRule type="cellIs" dxfId="2284" priority="100" operator="notEqual">
      <formula>0</formula>
    </cfRule>
  </conditionalFormatting>
  <conditionalFormatting sqref="AJ83">
    <cfRule type="cellIs" dxfId="2283" priority="97" operator="equal">
      <formula>0</formula>
    </cfRule>
    <cfRule type="cellIs" dxfId="2282" priority="98" operator="notEqual">
      <formula>0</formula>
    </cfRule>
  </conditionalFormatting>
  <conditionalFormatting sqref="U88:U89">
    <cfRule type="cellIs" dxfId="2281" priority="95" operator="equal">
      <formula>0</formula>
    </cfRule>
    <cfRule type="cellIs" dxfId="2280" priority="96" operator="notEqual">
      <formula>0</formula>
    </cfRule>
  </conditionalFormatting>
  <conditionalFormatting sqref="V88:V89">
    <cfRule type="cellIs" dxfId="2279" priority="93" operator="equal">
      <formula>0</formula>
    </cfRule>
    <cfRule type="cellIs" dxfId="2278" priority="94" operator="notEqual">
      <formula>0</formula>
    </cfRule>
  </conditionalFormatting>
  <conditionalFormatting sqref="W88:W89">
    <cfRule type="cellIs" dxfId="2277" priority="91" operator="equal">
      <formula>0</formula>
    </cfRule>
    <cfRule type="cellIs" dxfId="2276" priority="92" operator="notEqual">
      <formula>0</formula>
    </cfRule>
  </conditionalFormatting>
  <conditionalFormatting sqref="X88:X89">
    <cfRule type="cellIs" dxfId="2275" priority="89" operator="equal">
      <formula>0</formula>
    </cfRule>
    <cfRule type="cellIs" dxfId="2274" priority="90" operator="notEqual">
      <formula>0</formula>
    </cfRule>
  </conditionalFormatting>
  <conditionalFormatting sqref="Y88:Y89">
    <cfRule type="cellIs" dxfId="2273" priority="87" operator="equal">
      <formula>0</formula>
    </cfRule>
    <cfRule type="cellIs" dxfId="2272" priority="88" operator="notEqual">
      <formula>0</formula>
    </cfRule>
  </conditionalFormatting>
  <conditionalFormatting sqref="Z88:Z89">
    <cfRule type="cellIs" dxfId="2271" priority="85" operator="equal">
      <formula>0</formula>
    </cfRule>
    <cfRule type="cellIs" dxfId="2270" priority="86" operator="notEqual">
      <formula>0</formula>
    </cfRule>
  </conditionalFormatting>
  <conditionalFormatting sqref="AA88:AA89">
    <cfRule type="cellIs" dxfId="2269" priority="83" operator="equal">
      <formula>0</formula>
    </cfRule>
    <cfRule type="cellIs" dxfId="2268" priority="84" operator="notEqual">
      <formula>0</formula>
    </cfRule>
  </conditionalFormatting>
  <conditionalFormatting sqref="AB88:AB89">
    <cfRule type="cellIs" dxfId="2267" priority="81" operator="equal">
      <formula>0</formula>
    </cfRule>
    <cfRule type="cellIs" dxfId="2266" priority="82" operator="notEqual">
      <formula>0</formula>
    </cfRule>
  </conditionalFormatting>
  <conditionalFormatting sqref="AG87">
    <cfRule type="cellIs" dxfId="2265" priority="79" operator="equal">
      <formula>0</formula>
    </cfRule>
    <cfRule type="cellIs" dxfId="2264" priority="80" operator="notEqual">
      <formula>0</formula>
    </cfRule>
  </conditionalFormatting>
  <conditionalFormatting sqref="AG90">
    <cfRule type="cellIs" dxfId="2263" priority="77" operator="equal">
      <formula>0</formula>
    </cfRule>
    <cfRule type="cellIs" dxfId="2262" priority="78" operator="notEqual">
      <formula>0</formula>
    </cfRule>
  </conditionalFormatting>
  <conditionalFormatting sqref="AH87">
    <cfRule type="cellIs" dxfId="2261" priority="75" operator="equal">
      <formula>0</formula>
    </cfRule>
    <cfRule type="cellIs" dxfId="2260" priority="76" operator="notEqual">
      <formula>0</formula>
    </cfRule>
  </conditionalFormatting>
  <conditionalFormatting sqref="AH90">
    <cfRule type="cellIs" dxfId="2259" priority="73" operator="equal">
      <formula>0</formula>
    </cfRule>
    <cfRule type="cellIs" dxfId="2258" priority="74" operator="notEqual">
      <formula>0</formula>
    </cfRule>
  </conditionalFormatting>
  <conditionalFormatting sqref="AI87">
    <cfRule type="cellIs" dxfId="2257" priority="71" operator="equal">
      <formula>0</formula>
    </cfRule>
    <cfRule type="cellIs" dxfId="2256" priority="72" operator="notEqual">
      <formula>0</formula>
    </cfRule>
  </conditionalFormatting>
  <conditionalFormatting sqref="AI90">
    <cfRule type="cellIs" dxfId="2255" priority="69" operator="equal">
      <formula>0</formula>
    </cfRule>
    <cfRule type="cellIs" dxfId="2254" priority="70" operator="notEqual">
      <formula>0</formula>
    </cfRule>
  </conditionalFormatting>
  <conditionalFormatting sqref="AJ87">
    <cfRule type="cellIs" dxfId="2253" priority="67" operator="equal">
      <formula>0</formula>
    </cfRule>
    <cfRule type="cellIs" dxfId="2252" priority="68" operator="notEqual">
      <formula>0</formula>
    </cfRule>
  </conditionalFormatting>
  <conditionalFormatting sqref="AJ90">
    <cfRule type="cellIs" dxfId="2251" priority="65" operator="equal">
      <formula>0</formula>
    </cfRule>
    <cfRule type="cellIs" dxfId="2250" priority="66" operator="notEqual">
      <formula>0</formula>
    </cfRule>
  </conditionalFormatting>
  <conditionalFormatting sqref="U95:U96">
    <cfRule type="cellIs" dxfId="2249" priority="63" operator="equal">
      <formula>0</formula>
    </cfRule>
    <cfRule type="cellIs" dxfId="2248" priority="64" operator="notEqual">
      <formula>0</formula>
    </cfRule>
  </conditionalFormatting>
  <conditionalFormatting sqref="V95:V96">
    <cfRule type="cellIs" dxfId="2247" priority="61" operator="equal">
      <formula>0</formula>
    </cfRule>
    <cfRule type="cellIs" dxfId="2246" priority="62" operator="notEqual">
      <formula>0</formula>
    </cfRule>
  </conditionalFormatting>
  <conditionalFormatting sqref="W95:W96">
    <cfRule type="cellIs" dxfId="2245" priority="59" operator="equal">
      <formula>0</formula>
    </cfRule>
    <cfRule type="cellIs" dxfId="2244" priority="60" operator="notEqual">
      <formula>0</formula>
    </cfRule>
  </conditionalFormatting>
  <conditionalFormatting sqref="X95:X96">
    <cfRule type="cellIs" dxfId="2243" priority="57" operator="equal">
      <formula>0</formula>
    </cfRule>
    <cfRule type="cellIs" dxfId="2242" priority="58" operator="notEqual">
      <formula>0</formula>
    </cfRule>
  </conditionalFormatting>
  <conditionalFormatting sqref="Y95:Y96">
    <cfRule type="cellIs" dxfId="2241" priority="55" operator="equal">
      <formula>0</formula>
    </cfRule>
    <cfRule type="cellIs" dxfId="2240" priority="56" operator="notEqual">
      <formula>0</formula>
    </cfRule>
  </conditionalFormatting>
  <conditionalFormatting sqref="Z95:Z96">
    <cfRule type="cellIs" dxfId="2239" priority="53" operator="equal">
      <formula>0</formula>
    </cfRule>
    <cfRule type="cellIs" dxfId="2238" priority="54" operator="notEqual">
      <formula>0</formula>
    </cfRule>
  </conditionalFormatting>
  <conditionalFormatting sqref="AA95:AA96">
    <cfRule type="cellIs" dxfId="2237" priority="51" operator="equal">
      <formula>0</formula>
    </cfRule>
    <cfRule type="cellIs" dxfId="2236" priority="52" operator="notEqual">
      <formula>0</formula>
    </cfRule>
  </conditionalFormatting>
  <conditionalFormatting sqref="AB95:AB96">
    <cfRule type="cellIs" dxfId="2235" priority="49" operator="equal">
      <formula>0</formula>
    </cfRule>
    <cfRule type="cellIs" dxfId="2234" priority="50" operator="notEqual">
      <formula>0</formula>
    </cfRule>
  </conditionalFormatting>
  <conditionalFormatting sqref="AG94">
    <cfRule type="cellIs" dxfId="2233" priority="47" operator="equal">
      <formula>0</formula>
    </cfRule>
    <cfRule type="cellIs" dxfId="2232" priority="48" operator="notEqual">
      <formula>0</formula>
    </cfRule>
  </conditionalFormatting>
  <conditionalFormatting sqref="AG97">
    <cfRule type="cellIs" dxfId="2231" priority="45" operator="equal">
      <formula>0</formula>
    </cfRule>
    <cfRule type="cellIs" dxfId="2230" priority="46" operator="notEqual">
      <formula>0</formula>
    </cfRule>
  </conditionalFormatting>
  <conditionalFormatting sqref="AH94">
    <cfRule type="cellIs" dxfId="2229" priority="43" operator="equal">
      <formula>0</formula>
    </cfRule>
    <cfRule type="cellIs" dxfId="2228" priority="44" operator="notEqual">
      <formula>0</formula>
    </cfRule>
  </conditionalFormatting>
  <conditionalFormatting sqref="AH97">
    <cfRule type="cellIs" dxfId="2227" priority="41" operator="equal">
      <formula>0</formula>
    </cfRule>
    <cfRule type="cellIs" dxfId="2226" priority="42" operator="notEqual">
      <formula>0</formula>
    </cfRule>
  </conditionalFormatting>
  <conditionalFormatting sqref="AI94">
    <cfRule type="cellIs" dxfId="2225" priority="39" operator="equal">
      <formula>0</formula>
    </cfRule>
    <cfRule type="cellIs" dxfId="2224" priority="40" operator="notEqual">
      <formula>0</formula>
    </cfRule>
  </conditionalFormatting>
  <conditionalFormatting sqref="AI97">
    <cfRule type="cellIs" dxfId="2223" priority="37" operator="equal">
      <formula>0</formula>
    </cfRule>
    <cfRule type="cellIs" dxfId="2222" priority="38" operator="notEqual">
      <formula>0</formula>
    </cfRule>
  </conditionalFormatting>
  <conditionalFormatting sqref="AJ94">
    <cfRule type="cellIs" dxfId="2221" priority="35" operator="equal">
      <formula>0</formula>
    </cfRule>
    <cfRule type="cellIs" dxfId="2220" priority="36" operator="notEqual">
      <formula>0</formula>
    </cfRule>
  </conditionalFormatting>
  <conditionalFormatting sqref="AJ97">
    <cfRule type="cellIs" dxfId="2219" priority="33" operator="equal">
      <formula>0</formula>
    </cfRule>
    <cfRule type="cellIs" dxfId="2218" priority="34" operator="notEqual">
      <formula>0</formula>
    </cfRule>
  </conditionalFormatting>
  <conditionalFormatting sqref="U102:U103">
    <cfRule type="cellIs" dxfId="2217" priority="31" operator="equal">
      <formula>0</formula>
    </cfRule>
    <cfRule type="cellIs" dxfId="2216" priority="32" operator="notEqual">
      <formula>0</formula>
    </cfRule>
  </conditionalFormatting>
  <conditionalFormatting sqref="V102:V103">
    <cfRule type="cellIs" dxfId="2215" priority="29" operator="equal">
      <formula>0</formula>
    </cfRule>
    <cfRule type="cellIs" dxfId="2214" priority="30" operator="notEqual">
      <formula>0</formula>
    </cfRule>
  </conditionalFormatting>
  <conditionalFormatting sqref="W102:W103">
    <cfRule type="cellIs" dxfId="2213" priority="27" operator="equal">
      <formula>0</formula>
    </cfRule>
    <cfRule type="cellIs" dxfId="2212" priority="28" operator="notEqual">
      <formula>0</formula>
    </cfRule>
  </conditionalFormatting>
  <conditionalFormatting sqref="X102:X103">
    <cfRule type="cellIs" dxfId="2211" priority="25" operator="equal">
      <formula>0</formula>
    </cfRule>
    <cfRule type="cellIs" dxfId="2210" priority="26" operator="notEqual">
      <formula>0</formula>
    </cfRule>
  </conditionalFormatting>
  <conditionalFormatting sqref="Y102:Y103">
    <cfRule type="cellIs" dxfId="2209" priority="23" operator="equal">
      <formula>0</formula>
    </cfRule>
    <cfRule type="cellIs" dxfId="2208" priority="24" operator="notEqual">
      <formula>0</formula>
    </cfRule>
  </conditionalFormatting>
  <conditionalFormatting sqref="Z102:Z103">
    <cfRule type="cellIs" dxfId="2207" priority="21" operator="equal">
      <formula>0</formula>
    </cfRule>
    <cfRule type="cellIs" dxfId="2206" priority="22" operator="notEqual">
      <formula>0</formula>
    </cfRule>
  </conditionalFormatting>
  <conditionalFormatting sqref="AA102:AA103">
    <cfRule type="cellIs" dxfId="2205" priority="19" operator="equal">
      <formula>0</formula>
    </cfRule>
    <cfRule type="cellIs" dxfId="2204" priority="20" operator="notEqual">
      <formula>0</formula>
    </cfRule>
  </conditionalFormatting>
  <conditionalFormatting sqref="AB102:AB103">
    <cfRule type="cellIs" dxfId="2203" priority="17" operator="equal">
      <formula>0</formula>
    </cfRule>
    <cfRule type="cellIs" dxfId="2202" priority="18" operator="notEqual">
      <formula>0</formula>
    </cfRule>
  </conditionalFormatting>
  <conditionalFormatting sqref="AG101">
    <cfRule type="cellIs" dxfId="2201" priority="15" operator="equal">
      <formula>0</formula>
    </cfRule>
    <cfRule type="cellIs" dxfId="2200" priority="16" operator="notEqual">
      <formula>0</formula>
    </cfRule>
  </conditionalFormatting>
  <conditionalFormatting sqref="AG104">
    <cfRule type="cellIs" dxfId="2199" priority="13" operator="equal">
      <formula>0</formula>
    </cfRule>
    <cfRule type="cellIs" dxfId="2198" priority="14" operator="notEqual">
      <formula>0</formula>
    </cfRule>
  </conditionalFormatting>
  <conditionalFormatting sqref="AH101">
    <cfRule type="cellIs" dxfId="2197" priority="11" operator="equal">
      <formula>0</formula>
    </cfRule>
    <cfRule type="cellIs" dxfId="2196" priority="12" operator="notEqual">
      <formula>0</formula>
    </cfRule>
  </conditionalFormatting>
  <conditionalFormatting sqref="AH104">
    <cfRule type="cellIs" dxfId="2195" priority="9" operator="equal">
      <formula>0</formula>
    </cfRule>
    <cfRule type="cellIs" dxfId="2194" priority="10" operator="notEqual">
      <formula>0</formula>
    </cfRule>
  </conditionalFormatting>
  <conditionalFormatting sqref="AI101">
    <cfRule type="cellIs" dxfId="2193" priority="7" operator="equal">
      <formula>0</formula>
    </cfRule>
    <cfRule type="cellIs" dxfId="2192" priority="8" operator="notEqual">
      <formula>0</formula>
    </cfRule>
  </conditionalFormatting>
  <conditionalFormatting sqref="AI104">
    <cfRule type="cellIs" dxfId="2191" priority="5" operator="equal">
      <formula>0</formula>
    </cfRule>
    <cfRule type="cellIs" dxfId="2190" priority="6" operator="notEqual">
      <formula>0</formula>
    </cfRule>
  </conditionalFormatting>
  <conditionalFormatting sqref="AJ101">
    <cfRule type="cellIs" dxfId="2189" priority="3" operator="equal">
      <formula>0</formula>
    </cfRule>
    <cfRule type="cellIs" dxfId="2188" priority="4" operator="notEqual">
      <formula>0</formula>
    </cfRule>
  </conditionalFormatting>
  <conditionalFormatting sqref="AJ104">
    <cfRule type="cellIs" dxfId="2187" priority="1" operator="equal">
      <formula>0</formula>
    </cfRule>
    <cfRule type="cellIs" dxfId="2186" priority="2" operator="notEqual">
      <formula>0</formula>
    </cfRule>
  </conditionalFormatting>
  <dataValidations count="1">
    <dataValidation type="list" allowBlank="1" showInputMessage="1" showErrorMessage="1" sqref="B5" xr:uid="{2689B128-89B0-40E9-A0F8-E0A360005201}">
      <formula1>Regions</formula1>
    </dataValidation>
  </dataValidations>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6"/>
  <dimension ref="A1:AW104"/>
  <sheetViews>
    <sheetView showGridLines="0" topLeftCell="A73" zoomScale="60" zoomScaleNormal="40" workbookViewId="0">
      <selection activeCell="B99" sqref="B99"/>
    </sheetView>
  </sheetViews>
  <sheetFormatPr baseColWidth="10" defaultColWidth="9.1640625" defaultRowHeight="14" x14ac:dyDescent="0.15"/>
  <cols>
    <col min="1" max="1" width="2.5" customWidth="1"/>
    <col min="2" max="2" width="36.1640625" customWidth="1"/>
    <col min="20" max="20" width="33" customWidth="1"/>
  </cols>
  <sheetData>
    <row r="1" spans="1:49" ht="75" customHeight="1" x14ac:dyDescent="0.15">
      <c r="A1" s="389" t="s">
        <v>1165</v>
      </c>
      <c r="B1" s="389"/>
      <c r="C1" s="389"/>
      <c r="D1" s="389"/>
      <c r="E1" s="389"/>
      <c r="F1" s="389"/>
      <c r="G1" s="389"/>
      <c r="H1" s="389"/>
      <c r="I1" s="389"/>
      <c r="J1" s="389"/>
      <c r="K1" s="389"/>
      <c r="L1" s="389"/>
      <c r="M1" s="389"/>
      <c r="N1" s="389"/>
      <c r="O1" s="389"/>
      <c r="P1" s="389"/>
      <c r="Q1" s="389"/>
      <c r="R1" s="389"/>
      <c r="S1" s="389"/>
      <c r="T1" s="389"/>
      <c r="U1" s="389"/>
      <c r="V1" s="389"/>
      <c r="W1" s="389"/>
      <c r="X1" s="389"/>
      <c r="Y1" s="389"/>
      <c r="Z1" s="389"/>
      <c r="AA1" s="389"/>
      <c r="AB1" s="389"/>
      <c r="AC1" s="389"/>
      <c r="AD1" s="389"/>
      <c r="AE1" s="389"/>
      <c r="AF1" s="389"/>
      <c r="AG1" s="389"/>
      <c r="AH1" s="389"/>
      <c r="AI1" s="389"/>
      <c r="AJ1" s="389"/>
      <c r="AK1" s="389"/>
      <c r="AL1" s="389"/>
      <c r="AM1" s="389"/>
      <c r="AN1" s="389"/>
      <c r="AO1" s="389"/>
      <c r="AP1" s="389"/>
      <c r="AQ1" s="389"/>
      <c r="AR1" s="389"/>
      <c r="AS1" s="389"/>
      <c r="AT1" s="389"/>
      <c r="AU1" s="389"/>
      <c r="AV1" s="389"/>
      <c r="AW1" s="389"/>
    </row>
    <row r="2" spans="1:49" ht="59.25" customHeight="1" x14ac:dyDescent="0.15">
      <c r="A2" s="390"/>
      <c r="B2" s="390"/>
      <c r="C2" s="390"/>
      <c r="D2" s="390"/>
      <c r="E2" s="390"/>
      <c r="F2" s="390"/>
      <c r="G2" s="390"/>
      <c r="H2" s="390"/>
      <c r="I2" s="390"/>
      <c r="J2" s="390"/>
      <c r="K2" s="390"/>
      <c r="L2" s="390"/>
      <c r="M2" s="390"/>
      <c r="N2" s="390"/>
      <c r="O2" s="390"/>
      <c r="P2" s="390"/>
      <c r="Q2" s="390"/>
      <c r="R2" s="390"/>
      <c r="S2" s="390"/>
      <c r="T2" s="390"/>
      <c r="U2" s="390"/>
      <c r="V2" s="390"/>
      <c r="W2" s="390"/>
      <c r="X2" s="390"/>
      <c r="Y2" s="390"/>
      <c r="Z2" s="390"/>
      <c r="AA2" s="390"/>
      <c r="AB2" s="390"/>
      <c r="AC2" s="390"/>
      <c r="AD2" s="390"/>
      <c r="AE2" s="390"/>
      <c r="AF2" s="390"/>
      <c r="AG2" s="390"/>
      <c r="AH2" s="390"/>
      <c r="AI2" s="390"/>
      <c r="AJ2" s="390"/>
      <c r="AK2" s="390"/>
      <c r="AL2" s="390"/>
      <c r="AM2" s="390"/>
      <c r="AN2" s="390"/>
      <c r="AO2" s="390"/>
      <c r="AP2" s="390"/>
      <c r="AQ2" s="390"/>
      <c r="AR2" s="390"/>
      <c r="AS2" s="390"/>
      <c r="AT2" s="390"/>
      <c r="AU2" s="390"/>
      <c r="AV2" s="390"/>
    </row>
    <row r="3" spans="1:49" s="54" customFormat="1" ht="16" x14ac:dyDescent="0.15">
      <c r="B3" s="53"/>
      <c r="C3" s="53"/>
      <c r="D3" s="53"/>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row>
    <row r="4" spans="1:49" ht="30" x14ac:dyDescent="0.15">
      <c r="B4" s="39" t="s">
        <v>999</v>
      </c>
    </row>
    <row r="5" spans="1:49" ht="15" x14ac:dyDescent="0.15">
      <c r="B5" s="60" t="s">
        <v>24</v>
      </c>
      <c r="P5" s="43"/>
    </row>
    <row r="6" spans="1:49" x14ac:dyDescent="0.15">
      <c r="B6" s="52"/>
    </row>
    <row r="8" spans="1:49" ht="28.5" customHeight="1" x14ac:dyDescent="0.15">
      <c r="B8" s="156" t="str">
        <f>HLOOKUP($B$5,Region_Table,2,0)</f>
        <v>Barking and Dagenham and Havering</v>
      </c>
      <c r="C8" s="367" t="s">
        <v>1163</v>
      </c>
      <c r="D8" s="368"/>
      <c r="E8" s="368"/>
      <c r="F8" s="368"/>
      <c r="G8" s="368"/>
      <c r="H8" s="368"/>
      <c r="I8" s="368"/>
      <c r="J8" s="368"/>
      <c r="K8" s="368"/>
      <c r="L8" s="368"/>
      <c r="M8" s="377"/>
      <c r="N8" s="377"/>
      <c r="O8" s="378"/>
      <c r="P8" s="371">
        <f>SUMIF('caseload data'!C:C,'custody %'!B8,'caseload data'!V:V)</f>
        <v>0</v>
      </c>
      <c r="Q8" s="379"/>
      <c r="R8" s="380"/>
      <c r="S8" s="73"/>
      <c r="T8" s="156" t="str">
        <f>HLOOKUP($B$5,Region_Table,3,0)</f>
        <v>Brent - N07</v>
      </c>
      <c r="U8" s="367" t="s">
        <v>1163</v>
      </c>
      <c r="V8" s="368"/>
      <c r="W8" s="368"/>
      <c r="X8" s="368"/>
      <c r="Y8" s="368"/>
      <c r="Z8" s="368"/>
      <c r="AA8" s="368"/>
      <c r="AB8" s="368"/>
      <c r="AC8" s="377"/>
      <c r="AD8" s="377"/>
      <c r="AE8" s="378"/>
      <c r="AF8" s="371">
        <f>SUMIF('caseload data'!C:C,'custody %'!T8,'caseload data'!V:V)</f>
        <v>0</v>
      </c>
      <c r="AG8" s="379"/>
      <c r="AH8" s="380"/>
    </row>
    <row r="9" spans="1:49" x14ac:dyDescent="0.15">
      <c r="B9" s="105" t="s">
        <v>1065</v>
      </c>
      <c r="C9" s="41" t="s">
        <v>922</v>
      </c>
      <c r="D9" s="41" t="s">
        <v>923</v>
      </c>
      <c r="E9" s="41" t="s">
        <v>924</v>
      </c>
      <c r="F9" s="41" t="s">
        <v>925</v>
      </c>
      <c r="G9" s="41" t="s">
        <v>926</v>
      </c>
      <c r="H9" s="41" t="s">
        <v>927</v>
      </c>
      <c r="I9" s="41" t="s">
        <v>928</v>
      </c>
      <c r="J9" s="41" t="s">
        <v>929</v>
      </c>
      <c r="K9" s="41" t="s">
        <v>930</v>
      </c>
      <c r="L9" s="41" t="s">
        <v>931</v>
      </c>
      <c r="M9" s="41" t="s">
        <v>932</v>
      </c>
      <c r="N9" s="41" t="s">
        <v>933</v>
      </c>
      <c r="O9" s="41" t="s">
        <v>934</v>
      </c>
      <c r="P9" s="41" t="s">
        <v>935</v>
      </c>
      <c r="Q9" s="41" t="s">
        <v>936</v>
      </c>
      <c r="R9" s="41" t="s">
        <v>937</v>
      </c>
      <c r="S9" s="73"/>
      <c r="T9" s="105" t="s">
        <v>1065</v>
      </c>
      <c r="U9" s="41" t="s">
        <v>922</v>
      </c>
      <c r="V9" s="41" t="s">
        <v>923</v>
      </c>
      <c r="W9" s="41" t="s">
        <v>924</v>
      </c>
      <c r="X9" s="41" t="s">
        <v>925</v>
      </c>
      <c r="Y9" s="41" t="s">
        <v>926</v>
      </c>
      <c r="Z9" s="41" t="s">
        <v>927</v>
      </c>
      <c r="AA9" s="41" t="s">
        <v>928</v>
      </c>
      <c r="AB9" s="41" t="s">
        <v>929</v>
      </c>
      <c r="AC9" s="41" t="s">
        <v>930</v>
      </c>
      <c r="AD9" s="41" t="s">
        <v>931</v>
      </c>
      <c r="AE9" s="41" t="s">
        <v>932</v>
      </c>
      <c r="AF9" s="41" t="s">
        <v>933</v>
      </c>
      <c r="AG9" s="41" t="s">
        <v>934</v>
      </c>
      <c r="AH9" s="41" t="s">
        <v>935</v>
      </c>
      <c r="AI9" s="41" t="s">
        <v>936</v>
      </c>
      <c r="AJ9" s="41" t="s">
        <v>937</v>
      </c>
    </row>
    <row r="10" spans="1:49" x14ac:dyDescent="0.15">
      <c r="B10" s="106" t="s">
        <v>911</v>
      </c>
      <c r="C10" s="181" t="str">
        <f>IFERROR(SUMIFS('caseload data'!E:E,'caseload data'!$C:$C,'custody %'!$B$8,'caseload data'!$D:$D,"PO",'caseload data'!$B:$B,"custody")/SUMIFS('caseload data'!E:E,'caseload data'!$B:$B,"custody",'caseload data'!$C:$C,'custody %'!$B$8),"")</f>
        <v/>
      </c>
      <c r="D10" s="181" t="str">
        <f>IFERROR(SUMIFS('caseload data'!F:F,'caseload data'!$C:$C,'custody %'!$B$8,'caseload data'!$D:$D,"PO",'caseload data'!$B:$B,"custody")/SUMIFS('caseload data'!F:F,'caseload data'!$B:$B,"custody",'caseload data'!$C:$C,'custody %'!$B$8),"")</f>
        <v/>
      </c>
      <c r="E10" s="181" t="str">
        <f>IFERROR(SUMIFS('caseload data'!G:G,'caseload data'!$C:$C,'custody %'!$B$8,'caseload data'!$D:$D,"PO",'caseload data'!$B:$B,"custody")/SUMIFS('caseload data'!G:G,'caseload data'!$B:$B,"custody",'caseload data'!$C:$C,'custody %'!$B$8),"")</f>
        <v/>
      </c>
      <c r="F10" s="181" t="str">
        <f>IFERROR(SUMIFS('caseload data'!H:H,'caseload data'!$C:$C,'custody %'!$B$8,'caseload data'!$D:$D,"PO",'caseload data'!$B:$B,"custody")/SUMIFS('caseload data'!H:H,'caseload data'!$B:$B,"custody",'caseload data'!$C:$C,'custody %'!$B$8),"")</f>
        <v/>
      </c>
      <c r="G10" s="181" t="str">
        <f>IFERROR(SUMIFS('caseload data'!I:I,'caseload data'!$C:$C,'custody %'!$B$8,'caseload data'!$D:$D,"PO",'caseload data'!$B:$B,"custody")/SUMIFS('caseload data'!I:I,'caseload data'!$B:$B,"custody",'caseload data'!$C:$C,'custody %'!$B$8),"")</f>
        <v/>
      </c>
      <c r="H10" s="181" t="str">
        <f>IFERROR(SUMIFS('caseload data'!J:J,'caseload data'!$C:$C,'custody %'!$B$8,'caseload data'!$D:$D,"PO",'caseload data'!$B:$B,"custody")/SUMIFS('caseload data'!J:J,'caseload data'!$B:$B,"custody",'caseload data'!$C:$C,'custody %'!$B$8),"")</f>
        <v/>
      </c>
      <c r="I10" s="181" t="str">
        <f>IFERROR(SUMIFS('caseload data'!K:K,'caseload data'!$C:$C,'custody %'!$B$8,'caseload data'!$D:$D,"PO",'caseload data'!$B:$B,"custody")/SUMIFS('caseload data'!K:K,'caseload data'!$B:$B,"custody",'caseload data'!$C:$C,'custody %'!$B$8),"")</f>
        <v/>
      </c>
      <c r="J10" s="181" t="str">
        <f>IFERROR(SUMIFS('caseload data'!L:L,'caseload data'!$C:$C,'custody %'!$B$8,'caseload data'!$D:$D,"PO",'caseload data'!$B:$B,"custody")/SUMIFS('caseload data'!L:L,'caseload data'!$B:$B,"custody",'caseload data'!$C:$C,'custody %'!$B$8),"")</f>
        <v/>
      </c>
      <c r="K10" s="181" t="str">
        <f>IFERROR(SUMIFS('caseload data'!M:M,'caseload data'!$C:$C,'custody %'!$B$8,'caseload data'!$D:$D,"PO",'caseload data'!$B:$B,"custody")/SUMIFS('caseload data'!M:M,'caseload data'!$B:$B,"custody",'caseload data'!$C:$C,'custody %'!$B$8),"")</f>
        <v/>
      </c>
      <c r="L10" s="181" t="str">
        <f>IFERROR(SUMIFS('caseload data'!N:N,'caseload data'!$C:$C,'custody %'!$B$8,'caseload data'!$D:$D,"PO",'caseload data'!$B:$B,"custody")/SUMIFS('caseload data'!N:N,'caseload data'!$B:$B,"custody",'caseload data'!$C:$C,'custody %'!$B$8),"")</f>
        <v/>
      </c>
      <c r="M10" s="181" t="str">
        <f>IFERROR(SUMIFS('caseload data'!O:O,'caseload data'!$C:$C,'custody %'!$B$8,'caseload data'!$D:$D,"PO",'caseload data'!$B:$B,"custody")/SUMIFS('caseload data'!O:O,'caseload data'!$B:$B,"custody",'caseload data'!$C:$C,'custody %'!$B$8),"")</f>
        <v/>
      </c>
      <c r="N10" s="181" t="str">
        <f>IFERROR(SUMIFS('caseload data'!P:P,'caseload data'!$C:$C,'custody %'!$B$8,'caseload data'!$D:$D,"PO",'caseload data'!$B:$B,"custody")/SUMIFS('caseload data'!P:P,'caseload data'!$B:$B,"custody",'caseload data'!$C:$C,'custody %'!$B$8),"")</f>
        <v/>
      </c>
      <c r="O10" s="181" t="str">
        <f>IFERROR(SUMIFS('caseload data'!Q:Q,'caseload data'!$C:$C,'custody %'!$B$8,'caseload data'!$D:$D,"PO",'caseload data'!$B:$B,"custody")/SUMIFS('caseload data'!Q:Q,'caseload data'!$B:$B,"custody",'caseload data'!$C:$C,'custody %'!$B$8),"")</f>
        <v/>
      </c>
      <c r="P10" s="181" t="str">
        <f>IFERROR(SUMIFS('caseload data'!R:R,'caseload data'!$C:$C,'custody %'!$B$8,'caseload data'!$D:$D,"PO",'caseload data'!$B:$B,"custody")/SUMIFS('caseload data'!R:R,'caseload data'!$B:$B,"custody",'caseload data'!$C:$C,'custody %'!$B$8),"")</f>
        <v/>
      </c>
      <c r="Q10" s="181" t="str">
        <f>IFERROR(SUMIFS('caseload data'!S:S,'caseload data'!$C:$C,'custody %'!$B$8,'caseload data'!$D:$D,"PO",'caseload data'!$B:$B,"custody")/SUMIFS('caseload data'!S:S,'caseload data'!$B:$B,"custody",'caseload data'!$C:$C,'custody %'!$B$8),"")</f>
        <v/>
      </c>
      <c r="R10" s="181" t="str">
        <f>IFERROR(SUMIFS('caseload data'!T:T,'caseload data'!$C:$C,'custody %'!$B$8,'caseload data'!$D:$D,"PO",'caseload data'!$B:$B,"custody")/SUMIFS('caseload data'!T:T,'caseload data'!$B:$B,"custody",'caseload data'!$C:$C,'custody %'!$B$8),"")</f>
        <v/>
      </c>
      <c r="S10" s="73"/>
      <c r="T10" s="106" t="s">
        <v>911</v>
      </c>
      <c r="U10" s="181" t="str">
        <f>IFERROR(SUMIFS('caseload data'!E:E,'caseload data'!$C:$C,'custody %'!$T$8,'caseload data'!$D:$D,"PO",'caseload data'!$B:$B,"custody")/SUMIFS('caseload data'!E:E,'caseload data'!$B:$B,"custody",'caseload data'!$C:$C,'custody %'!$T$8),"")</f>
        <v/>
      </c>
      <c r="V10" s="181" t="str">
        <f>IFERROR(SUMIFS('caseload data'!F:F,'caseload data'!$C:$C,'custody %'!$T$8,'caseload data'!$D:$D,"PO",'caseload data'!$B:$B,"custody")/SUMIFS('caseload data'!F:F,'caseload data'!$B:$B,"custody",'caseload data'!$C:$C,'custody %'!$T$8),"")</f>
        <v/>
      </c>
      <c r="W10" s="181" t="str">
        <f>IFERROR(SUMIFS('caseload data'!G:G,'caseload data'!$C:$C,'custody %'!$T$8,'caseload data'!$D:$D,"PO",'caseload data'!$B:$B,"custody")/SUMIFS('caseload data'!G:G,'caseload data'!$B:$B,"custody",'caseload data'!$C:$C,'custody %'!$T$8),"")</f>
        <v/>
      </c>
      <c r="X10" s="181" t="str">
        <f>IFERROR(SUMIFS('caseload data'!H:H,'caseload data'!$C:$C,'custody %'!$T$8,'caseload data'!$D:$D,"PO",'caseload data'!$B:$B,"custody")/SUMIFS('caseload data'!H:H,'caseload data'!$B:$B,"custody",'caseload data'!$C:$C,'custody %'!$T$8),"")</f>
        <v/>
      </c>
      <c r="Y10" s="181" t="str">
        <f>IFERROR(SUMIFS('caseload data'!I:I,'caseload data'!$C:$C,'custody %'!$T$8,'caseload data'!$D:$D,"PO",'caseload data'!$B:$B,"custody")/SUMIFS('caseload data'!I:I,'caseload data'!$B:$B,"custody",'caseload data'!$C:$C,'custody %'!$T$8),"")</f>
        <v/>
      </c>
      <c r="Z10" s="181" t="str">
        <f>IFERROR(SUMIFS('caseload data'!J:J,'caseload data'!$C:$C,'custody %'!$T$8,'caseload data'!$D:$D,"PO",'caseload data'!$B:$B,"custody")/SUMIFS('caseload data'!J:J,'caseload data'!$B:$B,"custody",'caseload data'!$C:$C,'custody %'!$T$8),"")</f>
        <v/>
      </c>
      <c r="AA10" s="181" t="str">
        <f>IFERROR(SUMIFS('caseload data'!K:K,'caseload data'!$C:$C,'custody %'!$T$8,'caseload data'!$D:$D,"PO",'caseload data'!$B:$B,"custody")/SUMIFS('caseload data'!K:K,'caseload data'!$B:$B,"custody",'caseload data'!$C:$C,'custody %'!$T$8),"")</f>
        <v/>
      </c>
      <c r="AB10" s="181" t="str">
        <f>IFERROR(SUMIFS('caseload data'!L:L,'caseload data'!$C:$C,'custody %'!$T$8,'caseload data'!$D:$D,"PO",'caseload data'!$B:$B,"custody")/SUMIFS('caseload data'!L:L,'caseload data'!$B:$B,"custody",'caseload data'!$C:$C,'custody %'!$T$8),"")</f>
        <v/>
      </c>
      <c r="AC10" s="181" t="str">
        <f>IFERROR(SUMIFS('caseload data'!M:M,'caseload data'!$C:$C,'custody %'!$T$8,'caseload data'!$D:$D,"PO",'caseload data'!$B:$B,"custody")/SUMIFS('caseload data'!M:M,'caseload data'!$B:$B,"custody",'caseload data'!$C:$C,'custody %'!$T$8),"")</f>
        <v/>
      </c>
      <c r="AD10" s="181" t="str">
        <f>IFERROR(SUMIFS('caseload data'!N:N,'caseload data'!$C:$C,'custody %'!$T$8,'caseload data'!$D:$D,"PO",'caseload data'!$B:$B,"custody")/SUMIFS('caseload data'!N:N,'caseload data'!$B:$B,"custody",'caseload data'!$C:$C,'custody %'!$T$8),"")</f>
        <v/>
      </c>
      <c r="AE10" s="181" t="str">
        <f>IFERROR(SUMIFS('caseload data'!O:O,'caseload data'!$C:$C,'custody %'!$T$8,'caseload data'!$D:$D,"PO",'caseload data'!$B:$B,"custody")/SUMIFS('caseload data'!O:O,'caseload data'!$B:$B,"custody",'caseload data'!$C:$C,'custody %'!$T$8),"")</f>
        <v/>
      </c>
      <c r="AF10" s="181" t="str">
        <f>IFERROR(SUMIFS('caseload data'!P:P,'caseload data'!$C:$C,'custody %'!$T$8,'caseload data'!$D:$D,"PO",'caseload data'!$B:$B,"custody")/SUMIFS('caseload data'!P:P,'caseload data'!$B:$B,"custody",'caseload data'!$C:$C,'custody %'!$T$8),"")</f>
        <v/>
      </c>
      <c r="AG10" s="181" t="str">
        <f>IFERROR(SUMIFS('caseload data'!Q:Q,'caseload data'!$C:$C,'custody %'!$T$8,'caseload data'!$D:$D,"PO",'caseload data'!$B:$B,"custody")/SUMIFS('caseload data'!Q:Q,'caseload data'!$B:$B,"custody",'caseload data'!$C:$C,'custody %'!$T$8),"")</f>
        <v/>
      </c>
      <c r="AH10" s="181" t="str">
        <f>IFERROR(SUMIFS('caseload data'!R:R,'caseload data'!$C:$C,'custody %'!$T$8,'caseload data'!$D:$D,"PO",'caseload data'!$B:$B,"custody")/SUMIFS('caseload data'!R:R,'caseload data'!$B:$B,"custody",'caseload data'!$C:$C,'custody %'!$T$8),"")</f>
        <v/>
      </c>
      <c r="AI10" s="181"/>
      <c r="AJ10" s="181"/>
    </row>
    <row r="11" spans="1:49" x14ac:dyDescent="0.15">
      <c r="B11" s="107" t="s">
        <v>912</v>
      </c>
      <c r="C11" s="181" t="str">
        <f>IFERROR(SUMIFS('caseload data'!E:E,'caseload data'!$C:$C,'custody %'!$B$8,'caseload data'!$D:$D,"PSO",'caseload data'!$B:$B,"custody")/SUMIFS('caseload data'!E:E,'caseload data'!$B:$B,"custody",'caseload data'!$C:$C,'custody %'!$B$8),"")</f>
        <v/>
      </c>
      <c r="D11" s="181" t="str">
        <f>IFERROR(SUMIFS('caseload data'!F:F,'caseload data'!$C:$C,'custody %'!$B$8,'caseload data'!$D:$D,"PSO",'caseload data'!$B:$B,"custody")/SUMIFS('caseload data'!F:F,'caseload data'!$B:$B,"custody",'caseload data'!$C:$C,'custody %'!$B$8),"")</f>
        <v/>
      </c>
      <c r="E11" s="181" t="str">
        <f>IFERROR(SUMIFS('caseload data'!G:G,'caseload data'!$C:$C,'custody %'!$B$8,'caseload data'!$D:$D,"PSO",'caseload data'!$B:$B,"custody")/SUMIFS('caseload data'!G:G,'caseload data'!$B:$B,"custody",'caseload data'!$C:$C,'custody %'!$B$8),"")</f>
        <v/>
      </c>
      <c r="F11" s="181" t="str">
        <f>IFERROR(SUMIFS('caseload data'!H:H,'caseload data'!$C:$C,'custody %'!$B$8,'caseload data'!$D:$D,"PSO",'caseload data'!$B:$B,"custody")/SUMIFS('caseload data'!H:H,'caseload data'!$B:$B,"custody",'caseload data'!$C:$C,'custody %'!$B$8),"")</f>
        <v/>
      </c>
      <c r="G11" s="181" t="str">
        <f>IFERROR(SUMIFS('caseload data'!I:I,'caseload data'!$C:$C,'custody %'!$B$8,'caseload data'!$D:$D,"PSO",'caseload data'!$B:$B,"custody")/SUMIFS('caseload data'!I:I,'caseload data'!$B:$B,"custody",'caseload data'!$C:$C,'custody %'!$B$8),"")</f>
        <v/>
      </c>
      <c r="H11" s="181" t="str">
        <f>IFERROR(SUMIFS('caseload data'!J:J,'caseload data'!$C:$C,'custody %'!$B$8,'caseload data'!$D:$D,"PSO",'caseload data'!$B:$B,"custody")/SUMIFS('caseload data'!J:J,'caseload data'!$B:$B,"custody",'caseload data'!$C:$C,'custody %'!$B$8),"")</f>
        <v/>
      </c>
      <c r="I11" s="181" t="str">
        <f>IFERROR(SUMIFS('caseload data'!K:K,'caseload data'!$C:$C,'custody %'!$B$8,'caseload data'!$D:$D,"PSO",'caseload data'!$B:$B,"custody")/SUMIFS('caseload data'!K:K,'caseload data'!$B:$B,"custody",'caseload data'!$C:$C,'custody %'!$B$8),"")</f>
        <v/>
      </c>
      <c r="J11" s="181" t="str">
        <f>IFERROR(SUMIFS('caseload data'!L:L,'caseload data'!$C:$C,'custody %'!$B$8,'caseload data'!$D:$D,"PSO",'caseload data'!$B:$B,"custody")/SUMIFS('caseload data'!L:L,'caseload data'!$B:$B,"custody",'caseload data'!$C:$C,'custody %'!$B$8),"")</f>
        <v/>
      </c>
      <c r="K11" s="181" t="str">
        <f>IFERROR(SUMIFS('caseload data'!M:M,'caseload data'!$C:$C,'custody %'!$B$8,'caseload data'!$D:$D,"PSO",'caseload data'!$B:$B,"custody")/SUMIFS('caseload data'!M:M,'caseload data'!$B:$B,"custody",'caseload data'!$C:$C,'custody %'!$B$8),"")</f>
        <v/>
      </c>
      <c r="L11" s="181" t="str">
        <f>IFERROR(SUMIFS('caseload data'!N:N,'caseload data'!$C:$C,'custody %'!$B$8,'caseload data'!$D:$D,"PSO",'caseload data'!$B:$B,"custody")/SUMIFS('caseload data'!N:N,'caseload data'!$B:$B,"custody",'caseload data'!$C:$C,'custody %'!$B$8),"")</f>
        <v/>
      </c>
      <c r="M11" s="181" t="str">
        <f>IFERROR(SUMIFS('caseload data'!O:O,'caseload data'!$C:$C,'custody %'!$B$8,'caseload data'!$D:$D,"PSO",'caseload data'!$B:$B,"custody")/SUMIFS('caseload data'!O:O,'caseload data'!$B:$B,"custody",'caseload data'!$C:$C,'custody %'!$B$8),"")</f>
        <v/>
      </c>
      <c r="N11" s="181" t="str">
        <f>IFERROR(SUMIFS('caseload data'!P:P,'caseload data'!$C:$C,'custody %'!$B$8,'caseload data'!$D:$D,"PSO",'caseload data'!$B:$B,"custody")/SUMIFS('caseload data'!P:P,'caseload data'!$B:$B,"custody",'caseload data'!$C:$C,'custody %'!$B$8),"")</f>
        <v/>
      </c>
      <c r="O11" s="181" t="str">
        <f>IFERROR(SUMIFS('caseload data'!Q:Q,'caseload data'!$C:$C,'custody %'!$B$8,'caseload data'!$D:$D,"PSO",'caseload data'!$B:$B,"custody")/SUMIFS('caseload data'!Q:Q,'caseload data'!$B:$B,"custody",'caseload data'!$C:$C,'custody %'!$B$8),"")</f>
        <v/>
      </c>
      <c r="P11" s="181" t="str">
        <f>IFERROR(SUMIFS('caseload data'!R:R,'caseload data'!$C:$C,'custody %'!$B$8,'caseload data'!$D:$D,"PSO",'caseload data'!$B:$B,"custody")/SUMIFS('caseload data'!R:R,'caseload data'!$B:$B,"custody",'caseload data'!$C:$C,'custody %'!$B$8),"")</f>
        <v/>
      </c>
      <c r="Q11" s="181" t="str">
        <f>IFERROR(SUMIFS('caseload data'!S:S,'caseload data'!$C:$C,'custody %'!$B$8,'caseload data'!$D:$D,"PSO",'caseload data'!$B:$B,"custody")/SUMIFS('caseload data'!S:S,'caseload data'!$B:$B,"custody",'caseload data'!$C:$C,'custody %'!$B$8),"")</f>
        <v/>
      </c>
      <c r="R11" s="181" t="str">
        <f>IFERROR(SUMIFS('caseload data'!T:T,'caseload data'!$C:$C,'custody %'!$B$8,'caseload data'!$D:$D,"PSO",'caseload data'!$B:$B,"custody")/SUMIFS('caseload data'!T:T,'caseload data'!$B:$B,"custody",'caseload data'!$C:$C,'custody %'!$B$8),"")</f>
        <v/>
      </c>
      <c r="S11" s="73"/>
      <c r="T11" s="107" t="s">
        <v>912</v>
      </c>
      <c r="U11" s="181" t="str">
        <f>IFERROR(SUMIFS('caseload data'!E:E,'caseload data'!$C:$C,'custody %'!$T$8,'caseload data'!$D:$D,"PSO",'caseload data'!$B:$B,"custody")/SUMIFS('caseload data'!E:E,'caseload data'!$B:$B,"custody",'caseload data'!$C:$C,'custody %'!$T$8),"")</f>
        <v/>
      </c>
      <c r="V11" s="181" t="str">
        <f>IFERROR(SUMIFS('caseload data'!F:F,'caseload data'!$C:$C,'custody %'!$T$8,'caseload data'!$D:$D,"PSO",'caseload data'!$B:$B,"custody")/SUMIFS('caseload data'!F:F,'caseload data'!$B:$B,"custody",'caseload data'!$C:$C,'custody %'!$T$8),"")</f>
        <v/>
      </c>
      <c r="W11" s="181" t="str">
        <f>IFERROR(SUMIFS('caseload data'!G:G,'caseload data'!$C:$C,'custody %'!$T$8,'caseload data'!$D:$D,"PSO",'caseload data'!$B:$B,"custody")/SUMIFS('caseload data'!G:G,'caseload data'!$B:$B,"custody",'caseload data'!$C:$C,'custody %'!$T$8),"")</f>
        <v/>
      </c>
      <c r="X11" s="181" t="str">
        <f>IFERROR(SUMIFS('caseload data'!H:H,'caseload data'!$C:$C,'custody %'!$T$8,'caseload data'!$D:$D,"PSO",'caseload data'!$B:$B,"custody")/SUMIFS('caseload data'!H:H,'caseload data'!$B:$B,"custody",'caseload data'!$C:$C,'custody %'!$T$8),"")</f>
        <v/>
      </c>
      <c r="Y11" s="181" t="str">
        <f>IFERROR(SUMIFS('caseload data'!I:I,'caseload data'!$C:$C,'custody %'!$T$8,'caseload data'!$D:$D,"PSO",'caseload data'!$B:$B,"custody")/SUMIFS('caseload data'!I:I,'caseload data'!$B:$B,"custody",'caseload data'!$C:$C,'custody %'!$T$8),"")</f>
        <v/>
      </c>
      <c r="Z11" s="181" t="str">
        <f>IFERROR(SUMIFS('caseload data'!J:J,'caseload data'!$C:$C,'custody %'!$T$8,'caseload data'!$D:$D,"PSO",'caseload data'!$B:$B,"custody")/SUMIFS('caseload data'!J:J,'caseload data'!$B:$B,"custody",'caseload data'!$C:$C,'custody %'!$T$8),"")</f>
        <v/>
      </c>
      <c r="AA11" s="181" t="str">
        <f>IFERROR(SUMIFS('caseload data'!K:K,'caseload data'!$C:$C,'custody %'!$T$8,'caseload data'!$D:$D,"PSO",'caseload data'!$B:$B,"custody")/SUMIFS('caseload data'!K:K,'caseload data'!$B:$B,"custody",'caseload data'!$C:$C,'custody %'!$T$8),"")</f>
        <v/>
      </c>
      <c r="AB11" s="181" t="str">
        <f>IFERROR(SUMIFS('caseload data'!L:L,'caseload data'!$C:$C,'custody %'!$T$8,'caseload data'!$D:$D,"PSO",'caseload data'!$B:$B,"custody")/SUMIFS('caseload data'!L:L,'caseload data'!$B:$B,"custody",'caseload data'!$C:$C,'custody %'!$T$8),"")</f>
        <v/>
      </c>
      <c r="AC11" s="181" t="str">
        <f>IFERROR(SUMIFS('caseload data'!M:M,'caseload data'!$C:$C,'custody %'!$T$8,'caseload data'!$D:$D,"PSO",'caseload data'!$B:$B,"custody")/SUMIFS('caseload data'!M:M,'caseload data'!$B:$B,"custody",'caseload data'!$C:$C,'custody %'!$T$8),"")</f>
        <v/>
      </c>
      <c r="AD11" s="181" t="str">
        <f>IFERROR(SUMIFS('caseload data'!N:N,'caseload data'!$C:$C,'custody %'!$T$8,'caseload data'!$D:$D,"PSO",'caseload data'!$B:$B,"custody")/SUMIFS('caseload data'!N:N,'caseload data'!$B:$B,"custody",'caseload data'!$C:$C,'custody %'!$T$8),"")</f>
        <v/>
      </c>
      <c r="AE11" s="181" t="str">
        <f>IFERROR(SUMIFS('caseload data'!O:O,'caseload data'!$C:$C,'custody %'!$T$8,'caseload data'!$D:$D,"PSO",'caseload data'!$B:$B,"custody")/SUMIFS('caseload data'!O:O,'caseload data'!$B:$B,"custody",'caseload data'!$C:$C,'custody %'!$T$8),"")</f>
        <v/>
      </c>
      <c r="AF11" s="181" t="str">
        <f>IFERROR(SUMIFS('caseload data'!P:P,'caseload data'!$C:$C,'custody %'!$T$8,'caseload data'!$D:$D,"PSO",'caseload data'!$B:$B,"custody")/SUMIFS('caseload data'!P:P,'caseload data'!$B:$B,"custody",'caseload data'!$C:$C,'custody %'!$T$8),"")</f>
        <v/>
      </c>
      <c r="AG11" s="181" t="str">
        <f>IFERROR(SUMIFS('caseload data'!Q:Q,'caseload data'!$C:$C,'custody %'!$T$8,'caseload data'!$D:$D,"PSO",'caseload data'!$B:$B,"custody")/SUMIFS('caseload data'!Q:Q,'caseload data'!$B:$B,"custody",'caseload data'!$C:$C,'custody %'!$T$8),"")</f>
        <v/>
      </c>
      <c r="AH11" s="181" t="str">
        <f>IFERROR(SUMIFS('caseload data'!R:R,'caseload data'!$C:$C,'custody %'!$T$8,'caseload data'!$D:$D,"PSO",'caseload data'!$B:$B,"custody")/SUMIFS('caseload data'!R:R,'caseload data'!$B:$B,"custody",'caseload data'!$C:$C,'custody %'!$T$8),"")</f>
        <v/>
      </c>
      <c r="AI11" s="181"/>
      <c r="AJ11" s="181"/>
    </row>
    <row r="12" spans="1:49" x14ac:dyDescent="0.15">
      <c r="B12" s="107" t="s">
        <v>913</v>
      </c>
      <c r="C12" s="181" t="str">
        <f>IFERROR(SUMIFS('caseload data'!E:E,'caseload data'!$C:$C,'custody %'!$B$8,'caseload data'!$D:$D,"TPO",'caseload data'!$B:$B,"custody")/SUMIFS('caseload data'!E:E,'caseload data'!$B:$B,"custody",'caseload data'!$C:$C,'custody %'!$B$8),"")</f>
        <v/>
      </c>
      <c r="D12" s="181" t="str">
        <f>IFERROR(SUMIFS('caseload data'!F:F,'caseload data'!$C:$C,'custody %'!$B$8,'caseload data'!$D:$D,"TPO",'caseload data'!$B:$B,"custody")/SUMIFS('caseload data'!F:F,'caseload data'!$B:$B,"custody",'caseload data'!$C:$C,'custody %'!$B$8),"")</f>
        <v/>
      </c>
      <c r="E12" s="181" t="str">
        <f>IFERROR(SUMIFS('caseload data'!G:G,'caseload data'!$C:$C,'custody %'!$B$8,'caseload data'!$D:$D,"TPO",'caseload data'!$B:$B,"custody")/SUMIFS('caseload data'!G:G,'caseload data'!$B:$B,"custody",'caseload data'!$C:$C,'custody %'!$B$8),"")</f>
        <v/>
      </c>
      <c r="F12" s="181" t="str">
        <f>IFERROR(SUMIFS('caseload data'!H:H,'caseload data'!$C:$C,'custody %'!$B$8,'caseload data'!$D:$D,"TPO",'caseload data'!$B:$B,"custody")/SUMIFS('caseload data'!H:H,'caseload data'!$B:$B,"custody",'caseload data'!$C:$C,'custody %'!$B$8),"")</f>
        <v/>
      </c>
      <c r="G12" s="181" t="str">
        <f>IFERROR(SUMIFS('caseload data'!I:I,'caseload data'!$C:$C,'custody %'!$B$8,'caseload data'!$D:$D,"TPO",'caseload data'!$B:$B,"custody")/SUMIFS('caseload data'!I:I,'caseload data'!$B:$B,"custody",'caseload data'!$C:$C,'custody %'!$B$8),"")</f>
        <v/>
      </c>
      <c r="H12" s="181" t="str">
        <f>IFERROR(SUMIFS('caseload data'!J:J,'caseload data'!$C:$C,'custody %'!$B$8,'caseload data'!$D:$D,"TPO",'caseload data'!$B:$B,"custody")/SUMIFS('caseload data'!J:J,'caseload data'!$B:$B,"custody",'caseload data'!$C:$C,'custody %'!$B$8),"")</f>
        <v/>
      </c>
      <c r="I12" s="181" t="str">
        <f>IFERROR(SUMIFS('caseload data'!K:K,'caseload data'!$C:$C,'custody %'!$B$8,'caseload data'!$D:$D,"TPO",'caseload data'!$B:$B,"custody")/SUMIFS('caseload data'!K:K,'caseload data'!$B:$B,"custody",'caseload data'!$C:$C,'custody %'!$B$8),"")</f>
        <v/>
      </c>
      <c r="J12" s="181" t="str">
        <f>IFERROR(SUMIFS('caseload data'!L:L,'caseload data'!$C:$C,'custody %'!$B$8,'caseload data'!$D:$D,"TPO",'caseload data'!$B:$B,"custody")/SUMIFS('caseload data'!L:L,'caseload data'!$B:$B,"custody",'caseload data'!$C:$C,'custody %'!$B$8),"")</f>
        <v/>
      </c>
      <c r="K12" s="181" t="str">
        <f>IFERROR(SUMIFS('caseload data'!M:M,'caseload data'!$C:$C,'custody %'!$B$8,'caseload data'!$D:$D,"TPO",'caseload data'!$B:$B,"custody")/SUMIFS('caseload data'!M:M,'caseload data'!$B:$B,"custody",'caseload data'!$C:$C,'custody %'!$B$8),"")</f>
        <v/>
      </c>
      <c r="L12" s="181" t="str">
        <f>IFERROR(SUMIFS('caseload data'!N:N,'caseload data'!$C:$C,'custody %'!$B$8,'caseload data'!$D:$D,"TPO",'caseload data'!$B:$B,"custody")/SUMIFS('caseload data'!N:N,'caseload data'!$B:$B,"custody",'caseload data'!$C:$C,'custody %'!$B$8),"")</f>
        <v/>
      </c>
      <c r="M12" s="181" t="str">
        <f>IFERROR(SUMIFS('caseload data'!O:O,'caseload data'!$C:$C,'custody %'!$B$8,'caseload data'!$D:$D,"TPO",'caseload data'!$B:$B,"custody")/SUMIFS('caseload data'!O:O,'caseload data'!$B:$B,"custody",'caseload data'!$C:$C,'custody %'!$B$8),"")</f>
        <v/>
      </c>
      <c r="N12" s="181" t="str">
        <f>IFERROR(SUMIFS('caseload data'!P:P,'caseload data'!$C:$C,'custody %'!$B$8,'caseload data'!$D:$D,"TPO",'caseload data'!$B:$B,"custody")/SUMIFS('caseload data'!P:P,'caseload data'!$B:$B,"custody",'caseload data'!$C:$C,'custody %'!$B$8),"")</f>
        <v/>
      </c>
      <c r="O12" s="181" t="str">
        <f>IFERROR(SUMIFS('caseload data'!Q:Q,'caseload data'!$C:$C,'custody %'!$B$8,'caseload data'!$D:$D,"TPO",'caseload data'!$B:$B,"custody")/SUMIFS('caseload data'!Q:Q,'caseload data'!$B:$B,"custody",'caseload data'!$C:$C,'custody %'!$B$8),"")</f>
        <v/>
      </c>
      <c r="P12" s="181" t="str">
        <f>IFERROR(SUMIFS('caseload data'!R:R,'caseload data'!$C:$C,'custody %'!$B$8,'caseload data'!$D:$D,"TPO",'caseload data'!$B:$B,"custody")/SUMIFS('caseload data'!R:R,'caseload data'!$B:$B,"custody",'caseload data'!$C:$C,'custody %'!$B$8),"")</f>
        <v/>
      </c>
      <c r="Q12" s="181" t="str">
        <f>IFERROR(SUMIFS('caseload data'!S:S,'caseload data'!$C:$C,'custody %'!$B$8,'caseload data'!$D:$D,"TPO",'caseload data'!$B:$B,"custody")/SUMIFS('caseload data'!S:S,'caseload data'!$B:$B,"custody",'caseload data'!$C:$C,'custody %'!$B$8),"")</f>
        <v/>
      </c>
      <c r="R12" s="181" t="str">
        <f>IFERROR(SUMIFS('caseload data'!T:T,'caseload data'!$C:$C,'custody %'!$B$8,'caseload data'!$D:$D,"TPO",'caseload data'!$B:$B,"custody")/SUMIFS('caseload data'!T:T,'caseload data'!$B:$B,"custody",'caseload data'!$C:$C,'custody %'!$B$8),"")</f>
        <v/>
      </c>
      <c r="S12" s="73"/>
      <c r="T12" s="107" t="s">
        <v>913</v>
      </c>
      <c r="U12" s="181" t="str">
        <f>IFERROR(SUMIFS('caseload data'!E:E,'caseload data'!$C:$C,'custody %'!$T$8,'caseload data'!$D:$D,"TPO",'caseload data'!$B:$B,"custody")/SUMIFS('caseload data'!E:E,'caseload data'!$B:$B,"custody",'caseload data'!$C:$C,'custody %'!$T$8),"")</f>
        <v/>
      </c>
      <c r="V12" s="181" t="str">
        <f>IFERROR(SUMIFS('caseload data'!F:F,'caseload data'!$C:$C,'custody %'!$T$8,'caseload data'!$D:$D,"TPO",'caseload data'!$B:$B,"custody")/SUMIFS('caseload data'!F:F,'caseload data'!$B:$B,"custody",'caseload data'!$C:$C,'custody %'!$T$8),"")</f>
        <v/>
      </c>
      <c r="W12" s="181" t="str">
        <f>IFERROR(SUMIFS('caseload data'!G:G,'caseload data'!$C:$C,'custody %'!$T$8,'caseload data'!$D:$D,"TPO",'caseload data'!$B:$B,"custody")/SUMIFS('caseload data'!G:G,'caseload data'!$B:$B,"custody",'caseload data'!$C:$C,'custody %'!$T$8),"")</f>
        <v/>
      </c>
      <c r="X12" s="181" t="str">
        <f>IFERROR(SUMIFS('caseload data'!H:H,'caseload data'!$C:$C,'custody %'!$T$8,'caseload data'!$D:$D,"TPO",'caseload data'!$B:$B,"custody")/SUMIFS('caseload data'!H:H,'caseload data'!$B:$B,"custody",'caseload data'!$C:$C,'custody %'!$T$8),"")</f>
        <v/>
      </c>
      <c r="Y12" s="181" t="str">
        <f>IFERROR(SUMIFS('caseload data'!I:I,'caseload data'!$C:$C,'custody %'!$T$8,'caseload data'!$D:$D,"TPO",'caseload data'!$B:$B,"custody")/SUMIFS('caseload data'!I:I,'caseload data'!$B:$B,"custody",'caseload data'!$C:$C,'custody %'!$T$8),"")</f>
        <v/>
      </c>
      <c r="Z12" s="181" t="str">
        <f>IFERROR(SUMIFS('caseload data'!J:J,'caseload data'!$C:$C,'custody %'!$T$8,'caseload data'!$D:$D,"TPO",'caseload data'!$B:$B,"custody")/SUMIFS('caseload data'!J:J,'caseload data'!$B:$B,"custody",'caseload data'!$C:$C,'custody %'!$T$8),"")</f>
        <v/>
      </c>
      <c r="AA12" s="181" t="str">
        <f>IFERROR(SUMIFS('caseload data'!K:K,'caseload data'!$C:$C,'custody %'!$T$8,'caseload data'!$D:$D,"TPO",'caseload data'!$B:$B,"custody")/SUMIFS('caseload data'!K:K,'caseload data'!$B:$B,"custody",'caseload data'!$C:$C,'custody %'!$T$8),"")</f>
        <v/>
      </c>
      <c r="AB12" s="181" t="str">
        <f>IFERROR(SUMIFS('caseload data'!L:L,'caseload data'!$C:$C,'custody %'!$T$8,'caseload data'!$D:$D,"TPO",'caseload data'!$B:$B,"custody")/SUMIFS('caseload data'!L:L,'caseload data'!$B:$B,"custody",'caseload data'!$C:$C,'custody %'!$T$8),"")</f>
        <v/>
      </c>
      <c r="AC12" s="181" t="str">
        <f>IFERROR(SUMIFS('caseload data'!M:M,'caseload data'!$C:$C,'custody %'!$T$8,'caseload data'!$D:$D,"TPO",'caseload data'!$B:$B,"custody")/SUMIFS('caseload data'!M:M,'caseload data'!$B:$B,"custody",'caseload data'!$C:$C,'custody %'!$T$8),"")</f>
        <v/>
      </c>
      <c r="AD12" s="181" t="str">
        <f>IFERROR(SUMIFS('caseload data'!N:N,'caseload data'!$C:$C,'custody %'!$T$8,'caseload data'!$D:$D,"TPO",'caseload data'!$B:$B,"custody")/SUMIFS('caseload data'!N:N,'caseload data'!$B:$B,"custody",'caseload data'!$C:$C,'custody %'!$T$8),"")</f>
        <v/>
      </c>
      <c r="AE12" s="181" t="str">
        <f>IFERROR(SUMIFS('caseload data'!O:O,'caseload data'!$C:$C,'custody %'!$T$8,'caseload data'!$D:$D,"TPO",'caseload data'!$B:$B,"custody")/SUMIFS('caseload data'!O:O,'caseload data'!$B:$B,"custody",'caseload data'!$C:$C,'custody %'!$T$8),"")</f>
        <v/>
      </c>
      <c r="AF12" s="181" t="str">
        <f>IFERROR(SUMIFS('caseload data'!P:P,'caseload data'!$C:$C,'custody %'!$T$8,'caseload data'!$D:$D,"TPO",'caseload data'!$B:$B,"custody")/SUMIFS('caseload data'!P:P,'caseload data'!$B:$B,"custody",'caseload data'!$C:$C,'custody %'!$T$8),"")</f>
        <v/>
      </c>
      <c r="AG12" s="181" t="str">
        <f>IFERROR(SUMIFS('caseload data'!Q:Q,'caseload data'!$C:$C,'custody %'!$T$8,'caseload data'!$D:$D,"TPO",'caseload data'!$B:$B,"custody")/SUMIFS('caseload data'!Q:Q,'caseload data'!$B:$B,"custody",'caseload data'!$C:$C,'custody %'!$T$8),"")</f>
        <v/>
      </c>
      <c r="AH12" s="181" t="str">
        <f>IFERROR(SUMIFS('caseload data'!R:R,'caseload data'!$C:$C,'custody %'!$T$8,'caseload data'!$D:$D,"TPO",'caseload data'!$B:$B,"custody")/SUMIFS('caseload data'!R:R,'caseload data'!$B:$B,"custody",'caseload data'!$C:$C,'custody %'!$T$8),"")</f>
        <v/>
      </c>
      <c r="AI12" s="181"/>
      <c r="AJ12" s="181"/>
    </row>
    <row r="13" spans="1:49" x14ac:dyDescent="0.15">
      <c r="B13" s="108" t="s">
        <v>914</v>
      </c>
      <c r="C13" s="181" t="str">
        <f>IFERROR(SUMIFS('caseload data'!E:E,'caseload data'!$C:$C,'custody %'!$B$8,'caseload data'!$D:$D,"SPO",'caseload data'!$B:$B,"custody")/SUMIFS('caseload data'!E:E,'caseload data'!$B:$B,"custody",'caseload data'!$C:$C,'custody %'!$B$8),"")</f>
        <v/>
      </c>
      <c r="D13" s="181" t="str">
        <f>IFERROR(SUMIFS('caseload data'!F:F,'caseload data'!$C:$C,'custody %'!$B$8,'caseload data'!$D:$D,"SPO",'caseload data'!$B:$B,"custody")/SUMIFS('caseload data'!F:F,'caseload data'!$B:$B,"custody",'caseload data'!$C:$C,'custody %'!$B$8),"")</f>
        <v/>
      </c>
      <c r="E13" s="181" t="str">
        <f>IFERROR(SUMIFS('caseload data'!G:G,'caseload data'!$C:$C,'custody %'!$B$8,'caseload data'!$D:$D,"SPO",'caseload data'!$B:$B,"custody")/SUMIFS('caseload data'!G:G,'caseload data'!$B:$B,"custody",'caseload data'!$C:$C,'custody %'!$B$8),"")</f>
        <v/>
      </c>
      <c r="F13" s="181" t="str">
        <f>IFERROR(SUMIFS('caseload data'!H:H,'caseload data'!$C:$C,'custody %'!$B$8,'caseload data'!$D:$D,"SPO",'caseload data'!$B:$B,"custody")/SUMIFS('caseload data'!H:H,'caseload data'!$B:$B,"custody",'caseload data'!$C:$C,'custody %'!$B$8),"")</f>
        <v/>
      </c>
      <c r="G13" s="181" t="str">
        <f>IFERROR(SUMIFS('caseload data'!I:I,'caseload data'!$C:$C,'custody %'!$B$8,'caseload data'!$D:$D,"SPO",'caseload data'!$B:$B,"custody")/SUMIFS('caseload data'!I:I,'caseload data'!$B:$B,"custody",'caseload data'!$C:$C,'custody %'!$B$8),"")</f>
        <v/>
      </c>
      <c r="H13" s="181" t="str">
        <f>IFERROR(SUMIFS('caseload data'!J:J,'caseload data'!$C:$C,'custody %'!$B$8,'caseload data'!$D:$D,"SPO",'caseload data'!$B:$B,"custody")/SUMIFS('caseload data'!J:J,'caseload data'!$B:$B,"custody",'caseload data'!$C:$C,'custody %'!$B$8),"")</f>
        <v/>
      </c>
      <c r="I13" s="181" t="str">
        <f>IFERROR(SUMIFS('caseload data'!K:K,'caseload data'!$C:$C,'custody %'!$B$8,'caseload data'!$D:$D,"SPO",'caseload data'!$B:$B,"custody")/SUMIFS('caseload data'!K:K,'caseload data'!$B:$B,"custody",'caseload data'!$C:$C,'custody %'!$B$8),"")</f>
        <v/>
      </c>
      <c r="J13" s="181" t="str">
        <f>IFERROR(SUMIFS('caseload data'!L:L,'caseload data'!$C:$C,'custody %'!$B$8,'caseload data'!$D:$D,"SPO",'caseload data'!$B:$B,"custody")/SUMIFS('caseload data'!L:L,'caseload data'!$B:$B,"custody",'caseload data'!$C:$C,'custody %'!$B$8),"")</f>
        <v/>
      </c>
      <c r="K13" s="181" t="str">
        <f>IFERROR(SUMIFS('caseload data'!M:M,'caseload data'!$C:$C,'custody %'!$B$8,'caseload data'!$D:$D,"SPO",'caseload data'!$B:$B,"custody")/SUMIFS('caseload data'!M:M,'caseload data'!$B:$B,"custody",'caseload data'!$C:$C,'custody %'!$B$8),"")</f>
        <v/>
      </c>
      <c r="L13" s="181" t="str">
        <f>IFERROR(SUMIFS('caseload data'!N:N,'caseload data'!$C:$C,'custody %'!$B$8,'caseload data'!$D:$D,"SPO",'caseload data'!$B:$B,"custody")/SUMIFS('caseload data'!N:N,'caseload data'!$B:$B,"custody",'caseload data'!$C:$C,'custody %'!$B$8),"")</f>
        <v/>
      </c>
      <c r="M13" s="181" t="str">
        <f>IFERROR(SUMIFS('caseload data'!O:O,'caseload data'!$C:$C,'custody %'!$B$8,'caseload data'!$D:$D,"SPO",'caseload data'!$B:$B,"custody")/SUMIFS('caseload data'!O:O,'caseload data'!$B:$B,"custody",'caseload data'!$C:$C,'custody %'!$B$8),"")</f>
        <v/>
      </c>
      <c r="N13" s="181" t="str">
        <f>IFERROR(SUMIFS('caseload data'!P:P,'caseload data'!$C:$C,'custody %'!$B$8,'caseload data'!$D:$D,"SPO",'caseload data'!$B:$B,"custody")/SUMIFS('caseload data'!P:P,'caseload data'!$B:$B,"custody",'caseload data'!$C:$C,'custody %'!$B$8),"")</f>
        <v/>
      </c>
      <c r="O13" s="181" t="str">
        <f>IFERROR(SUMIFS('caseload data'!Q:Q,'caseload data'!$C:$C,'custody %'!$B$8,'caseload data'!$D:$D,"SPO",'caseload data'!$B:$B,"custody")/SUMIFS('caseload data'!Q:Q,'caseload data'!$B:$B,"custody",'caseload data'!$C:$C,'custody %'!$B$8),"")</f>
        <v/>
      </c>
      <c r="P13" s="181" t="str">
        <f>IFERROR(SUMIFS('caseload data'!R:R,'caseload data'!$C:$C,'custody %'!$B$8,'caseload data'!$D:$D,"SPO",'caseload data'!$B:$B,"custody")/SUMIFS('caseload data'!R:R,'caseload data'!$B:$B,"custody",'caseload data'!$C:$C,'custody %'!$B$8),"")</f>
        <v/>
      </c>
      <c r="Q13" s="181" t="str">
        <f>IFERROR(SUMIFS('caseload data'!S:S,'caseload data'!$C:$C,'custody %'!$B$8,'caseload data'!$D:$D,"SPO",'caseload data'!$B:$B,"custody")/SUMIFS('caseload data'!S:S,'caseload data'!$B:$B,"custody",'caseload data'!$C:$C,'custody %'!$B$8),"")</f>
        <v/>
      </c>
      <c r="R13" s="181" t="str">
        <f>IFERROR(SUMIFS('caseload data'!T:T,'caseload data'!$C:$C,'custody %'!$B$8,'caseload data'!$D:$D,"SPO",'caseload data'!$B:$B,"custody")/SUMIFS('caseload data'!T:T,'caseload data'!$B:$B,"custody",'caseload data'!$C:$C,'custody %'!$B$8),"")</f>
        <v/>
      </c>
      <c r="S13" s="73"/>
      <c r="T13" s="108" t="s">
        <v>914</v>
      </c>
      <c r="U13" s="181" t="str">
        <f>IFERROR(SUMIFS('caseload data'!E:E,'caseload data'!$C:$C,'custody %'!$T$8,'caseload data'!$D:$D,"SPO",'caseload data'!$B:$B,"custody")/SUMIFS('caseload data'!E:E,'caseload data'!$B:$B,"custody",'caseload data'!$C:$C,'custody %'!$T$8),"")</f>
        <v/>
      </c>
      <c r="V13" s="181" t="str">
        <f>IFERROR(SUMIFS('caseload data'!F:F,'caseload data'!$C:$C,'custody %'!$T$8,'caseload data'!$D:$D,"SPO",'caseload data'!$B:$B,"custody")/SUMIFS('caseload data'!F:F,'caseload data'!$B:$B,"custody",'caseload data'!$C:$C,'custody %'!$T$8),"")</f>
        <v/>
      </c>
      <c r="W13" s="181" t="str">
        <f>IFERROR(SUMIFS('caseload data'!G:G,'caseload data'!$C:$C,'custody %'!$T$8,'caseload data'!$D:$D,"SPO",'caseload data'!$B:$B,"custody")/SUMIFS('caseload data'!G:G,'caseload data'!$B:$B,"custody",'caseload data'!$C:$C,'custody %'!$T$8),"")</f>
        <v/>
      </c>
      <c r="X13" s="181" t="str">
        <f>IFERROR(SUMIFS('caseload data'!H:H,'caseload data'!$C:$C,'custody %'!$T$8,'caseload data'!$D:$D,"SPO",'caseload data'!$B:$B,"custody")/SUMIFS('caseload data'!H:H,'caseload data'!$B:$B,"custody",'caseload data'!$C:$C,'custody %'!$T$8),"")</f>
        <v/>
      </c>
      <c r="Y13" s="181" t="str">
        <f>IFERROR(SUMIFS('caseload data'!I:I,'caseload data'!$C:$C,'custody %'!$T$8,'caseload data'!$D:$D,"SPO",'caseload data'!$B:$B,"custody")/SUMIFS('caseload data'!I:I,'caseload data'!$B:$B,"custody",'caseload data'!$C:$C,'custody %'!$T$8),"")</f>
        <v/>
      </c>
      <c r="Z13" s="181" t="str">
        <f>IFERROR(SUMIFS('caseload data'!J:J,'caseload data'!$C:$C,'custody %'!$T$8,'caseload data'!$D:$D,"SPO",'caseload data'!$B:$B,"custody")/SUMIFS('caseload data'!J:J,'caseload data'!$B:$B,"custody",'caseload data'!$C:$C,'custody %'!$T$8),"")</f>
        <v/>
      </c>
      <c r="AA13" s="181" t="str">
        <f>IFERROR(SUMIFS('caseload data'!K:K,'caseload data'!$C:$C,'custody %'!$T$8,'caseload data'!$D:$D,"SPO",'caseload data'!$B:$B,"custody")/SUMIFS('caseload data'!K:K,'caseload data'!$B:$B,"custody",'caseload data'!$C:$C,'custody %'!$T$8),"")</f>
        <v/>
      </c>
      <c r="AB13" s="181" t="str">
        <f>IFERROR(SUMIFS('caseload data'!L:L,'caseload data'!$C:$C,'custody %'!$T$8,'caseload data'!$D:$D,"SPO",'caseload data'!$B:$B,"custody")/SUMIFS('caseload data'!L:L,'caseload data'!$B:$B,"custody",'caseload data'!$C:$C,'custody %'!$T$8),"")</f>
        <v/>
      </c>
      <c r="AC13" s="181" t="str">
        <f>IFERROR(SUMIFS('caseload data'!M:M,'caseload data'!$C:$C,'custody %'!$T$8,'caseload data'!$D:$D,"SPO",'caseload data'!$B:$B,"custody")/SUMIFS('caseload data'!M:M,'caseload data'!$B:$B,"custody",'caseload data'!$C:$C,'custody %'!$T$8),"")</f>
        <v/>
      </c>
      <c r="AD13" s="181" t="str">
        <f>IFERROR(SUMIFS('caseload data'!N:N,'caseload data'!$C:$C,'custody %'!$T$8,'caseload data'!$D:$D,"SPO",'caseload data'!$B:$B,"custody")/SUMIFS('caseload data'!N:N,'caseload data'!$B:$B,"custody",'caseload data'!$C:$C,'custody %'!$T$8),"")</f>
        <v/>
      </c>
      <c r="AE13" s="181" t="str">
        <f>IFERROR(SUMIFS('caseload data'!O:O,'caseload data'!$C:$C,'custody %'!$T$8,'caseload data'!$D:$D,"SPO",'caseload data'!$B:$B,"custody")/SUMIFS('caseload data'!O:O,'caseload data'!$B:$B,"custody",'caseload data'!$C:$C,'custody %'!$T$8),"")</f>
        <v/>
      </c>
      <c r="AF13" s="181" t="str">
        <f>IFERROR(SUMIFS('caseload data'!P:P,'caseload data'!$C:$C,'custody %'!$T$8,'caseload data'!$D:$D,"SPO",'caseload data'!$B:$B,"custody")/SUMIFS('caseload data'!P:P,'caseload data'!$B:$B,"custody",'caseload data'!$C:$C,'custody %'!$T$8),"")</f>
        <v/>
      </c>
      <c r="AG13" s="181" t="str">
        <f>IFERROR(SUMIFS('caseload data'!Q:Q,'caseload data'!$C:$C,'custody %'!$T$8,'caseload data'!$D:$D,"SPO",'caseload data'!$B:$B,"custody")/SUMIFS('caseload data'!Q:Q,'caseload data'!$B:$B,"custody",'caseload data'!$C:$C,'custody %'!$T$8),"")</f>
        <v/>
      </c>
      <c r="AH13" s="181" t="str">
        <f>IFERROR(SUMIFS('caseload data'!R:R,'caseload data'!$C:$C,'custody %'!$T$8,'caseload data'!$D:$D,"SPO",'caseload data'!$B:$B,"custody")/SUMIFS('caseload data'!R:R,'caseload data'!$B:$B,"custody",'caseload data'!$C:$C,'custody %'!$T$8),"")</f>
        <v/>
      </c>
      <c r="AI13" s="181"/>
      <c r="AJ13" s="181"/>
    </row>
    <row r="14" spans="1:49" x14ac:dyDescent="0.15">
      <c r="B14" s="101"/>
      <c r="C14" s="73"/>
      <c r="D14" s="73"/>
      <c r="E14" s="73"/>
      <c r="F14" s="73"/>
      <c r="G14" s="73"/>
      <c r="H14" s="73"/>
      <c r="I14" s="73"/>
      <c r="J14" s="73"/>
      <c r="K14" s="73"/>
      <c r="L14" s="73"/>
      <c r="M14" s="73"/>
      <c r="N14" s="73"/>
      <c r="O14" s="73"/>
      <c r="P14" s="73"/>
      <c r="Q14" s="73"/>
      <c r="R14" s="73"/>
      <c r="S14" s="73"/>
      <c r="T14" s="101"/>
      <c r="U14" s="73"/>
      <c r="V14" s="73"/>
      <c r="W14" s="73"/>
      <c r="X14" s="73"/>
      <c r="Y14" s="73"/>
      <c r="Z14" s="73"/>
      <c r="AA14" s="73"/>
      <c r="AB14" s="73"/>
      <c r="AC14" s="73"/>
      <c r="AD14" s="73"/>
      <c r="AE14" s="73"/>
      <c r="AF14" s="73"/>
      <c r="AG14" s="73"/>
      <c r="AH14" s="73"/>
    </row>
    <row r="15" spans="1:49" ht="30" customHeight="1" x14ac:dyDescent="0.15">
      <c r="B15" s="156" t="str">
        <f>HLOOKUP($B$5,Region_Table,4,0)</f>
        <v>Camden, Islington</v>
      </c>
      <c r="C15" s="367" t="s">
        <v>1163</v>
      </c>
      <c r="D15" s="368"/>
      <c r="E15" s="368"/>
      <c r="F15" s="368"/>
      <c r="G15" s="368"/>
      <c r="H15" s="368"/>
      <c r="I15" s="368"/>
      <c r="J15" s="368"/>
      <c r="K15" s="368"/>
      <c r="L15" s="368"/>
      <c r="M15" s="377"/>
      <c r="N15" s="377"/>
      <c r="O15" s="378"/>
      <c r="P15" s="371">
        <f>SUMIF('caseload data'!$C:$C,'custody %'!B15,'caseload data'!V:V)</f>
        <v>0</v>
      </c>
      <c r="Q15" s="379"/>
      <c r="R15" s="380"/>
      <c r="S15" s="73"/>
      <c r="T15" s="156" t="str">
        <f>HLOOKUP($B$5,Region_Table,5,0)</f>
        <v>Community Integration</v>
      </c>
      <c r="U15" s="367" t="s">
        <v>1163</v>
      </c>
      <c r="V15" s="368"/>
      <c r="W15" s="368"/>
      <c r="X15" s="368"/>
      <c r="Y15" s="368"/>
      <c r="Z15" s="368"/>
      <c r="AA15" s="368"/>
      <c r="AB15" s="368"/>
      <c r="AC15" s="377"/>
      <c r="AD15" s="377"/>
      <c r="AE15" s="378"/>
      <c r="AF15" s="371">
        <f>SUMIF('caseload data'!$C:$C,'custody %'!T15,'caseload data'!V:V)</f>
        <v>0</v>
      </c>
      <c r="AG15" s="379"/>
      <c r="AH15" s="380"/>
    </row>
    <row r="16" spans="1:49" x14ac:dyDescent="0.15">
      <c r="B16" s="105" t="s">
        <v>1065</v>
      </c>
      <c r="C16" s="41" t="s">
        <v>922</v>
      </c>
      <c r="D16" s="41" t="s">
        <v>923</v>
      </c>
      <c r="E16" s="41" t="s">
        <v>924</v>
      </c>
      <c r="F16" s="41" t="s">
        <v>925</v>
      </c>
      <c r="G16" s="41" t="s">
        <v>926</v>
      </c>
      <c r="H16" s="41" t="s">
        <v>927</v>
      </c>
      <c r="I16" s="41" t="s">
        <v>928</v>
      </c>
      <c r="J16" s="41" t="s">
        <v>929</v>
      </c>
      <c r="K16" s="41" t="s">
        <v>930</v>
      </c>
      <c r="L16" s="41" t="s">
        <v>931</v>
      </c>
      <c r="M16" s="41" t="s">
        <v>932</v>
      </c>
      <c r="N16" s="41" t="s">
        <v>933</v>
      </c>
      <c r="O16" s="41" t="s">
        <v>934</v>
      </c>
      <c r="P16" s="41" t="s">
        <v>935</v>
      </c>
      <c r="Q16" s="41" t="s">
        <v>936</v>
      </c>
      <c r="R16" s="41" t="s">
        <v>937</v>
      </c>
      <c r="S16" s="73"/>
      <c r="T16" s="105" t="s">
        <v>1065</v>
      </c>
      <c r="U16" s="41" t="s">
        <v>922</v>
      </c>
      <c r="V16" s="41" t="s">
        <v>923</v>
      </c>
      <c r="W16" s="41" t="s">
        <v>924</v>
      </c>
      <c r="X16" s="41" t="s">
        <v>925</v>
      </c>
      <c r="Y16" s="41" t="s">
        <v>926</v>
      </c>
      <c r="Z16" s="41" t="s">
        <v>927</v>
      </c>
      <c r="AA16" s="41" t="s">
        <v>928</v>
      </c>
      <c r="AB16" s="41" t="s">
        <v>929</v>
      </c>
      <c r="AC16" s="41" t="s">
        <v>930</v>
      </c>
      <c r="AD16" s="41" t="s">
        <v>931</v>
      </c>
      <c r="AE16" s="41" t="s">
        <v>932</v>
      </c>
      <c r="AF16" s="41" t="s">
        <v>933</v>
      </c>
      <c r="AG16" s="41" t="s">
        <v>934</v>
      </c>
      <c r="AH16" s="41" t="s">
        <v>935</v>
      </c>
      <c r="AI16" s="41" t="s">
        <v>936</v>
      </c>
      <c r="AJ16" s="41" t="s">
        <v>937</v>
      </c>
    </row>
    <row r="17" spans="2:36" x14ac:dyDescent="0.15">
      <c r="B17" s="106" t="s">
        <v>911</v>
      </c>
      <c r="C17" s="181" t="str">
        <f>IFERROR(SUMIFS('caseload data'!E:E,'caseload data'!$C:$C,'custody %'!$B$15,'caseload data'!$D:$D,"PO",'caseload data'!$B:$B,"custody")/SUMIFS('caseload data'!E:E,'caseload data'!$B:$B,"custody",'caseload data'!$C:$C,'custody %'!$B$15),"")</f>
        <v/>
      </c>
      <c r="D17" s="181" t="str">
        <f>IFERROR(SUMIFS('caseload data'!F:F,'caseload data'!$C:$C,'custody %'!$B$15,'caseload data'!$D:$D,"PO",'caseload data'!$B:$B,"custody")/SUMIFS('caseload data'!F:F,'caseload data'!$B:$B,"custody",'caseload data'!$C:$C,'custody %'!$B$15),"")</f>
        <v/>
      </c>
      <c r="E17" s="181" t="str">
        <f>IFERROR(SUMIFS('caseload data'!G:G,'caseload data'!$C:$C,'custody %'!$B$15,'caseload data'!$D:$D,"PO",'caseload data'!$B:$B,"custody")/SUMIFS('caseload data'!G:G,'caseload data'!$B:$B,"custody",'caseload data'!$C:$C,'custody %'!$B$15),"")</f>
        <v/>
      </c>
      <c r="F17" s="181" t="str">
        <f>IFERROR(SUMIFS('caseload data'!H:H,'caseload data'!$C:$C,'custody %'!$B$15,'caseload data'!$D:$D,"PO",'caseload data'!$B:$B,"custody")/SUMIFS('caseload data'!H:H,'caseload data'!$B:$B,"custody",'caseload data'!$C:$C,'custody %'!$B$15),"")</f>
        <v/>
      </c>
      <c r="G17" s="181" t="str">
        <f>IFERROR(SUMIFS('caseload data'!I:I,'caseload data'!$C:$C,'custody %'!$B$15,'caseload data'!$D:$D,"PO",'caseload data'!$B:$B,"custody")/SUMIFS('caseload data'!I:I,'caseload data'!$B:$B,"custody",'caseload data'!$C:$C,'custody %'!$B$15),"")</f>
        <v/>
      </c>
      <c r="H17" s="181" t="str">
        <f>IFERROR(SUMIFS('caseload data'!J:J,'caseload data'!$C:$C,'custody %'!$B$15,'caseload data'!$D:$D,"PO",'caseload data'!$B:$B,"custody")/SUMIFS('caseload data'!J:J,'caseload data'!$B:$B,"custody",'caseload data'!$C:$C,'custody %'!$B$15),"")</f>
        <v/>
      </c>
      <c r="I17" s="181" t="str">
        <f>IFERROR(SUMIFS('caseload data'!K:K,'caseload data'!$C:$C,'custody %'!$B$15,'caseload data'!$D:$D,"PO",'caseload data'!$B:$B,"custody")/SUMIFS('caseload data'!K:K,'caseload data'!$B:$B,"custody",'caseload data'!$C:$C,'custody %'!$B$15),"")</f>
        <v/>
      </c>
      <c r="J17" s="181" t="str">
        <f>IFERROR(SUMIFS('caseload data'!L:L,'caseload data'!$C:$C,'custody %'!$B$15,'caseload data'!$D:$D,"PO",'caseload data'!$B:$B,"custody")/SUMIFS('caseload data'!L:L,'caseload data'!$B:$B,"custody",'caseload data'!$C:$C,'custody %'!$B$15),"")</f>
        <v/>
      </c>
      <c r="K17" s="181" t="str">
        <f>IFERROR(SUMIFS('caseload data'!M:M,'caseload data'!$C:$C,'custody %'!$B$15,'caseload data'!$D:$D,"PO",'caseload data'!$B:$B,"custody")/SUMIFS('caseload data'!M:M,'caseload data'!$B:$B,"custody",'caseload data'!$C:$C,'custody %'!$B$15),"")</f>
        <v/>
      </c>
      <c r="L17" s="181" t="str">
        <f>IFERROR(SUMIFS('caseload data'!N:N,'caseload data'!$C:$C,'custody %'!$B$15,'caseload data'!$D:$D,"PO",'caseload data'!$B:$B,"custody")/SUMIFS('caseload data'!N:N,'caseload data'!$B:$B,"custody",'caseload data'!$C:$C,'custody %'!$B$15),"")</f>
        <v/>
      </c>
      <c r="M17" s="181" t="str">
        <f>IFERROR(SUMIFS('caseload data'!O:O,'caseload data'!$C:$C,'custody %'!$B$15,'caseload data'!$D:$D,"PO",'caseload data'!$B:$B,"custody")/SUMIFS('caseload data'!O:O,'caseload data'!$B:$B,"custody",'caseload data'!$C:$C,'custody %'!$B$15),"")</f>
        <v/>
      </c>
      <c r="N17" s="181" t="str">
        <f>IFERROR(SUMIFS('caseload data'!P:P,'caseload data'!$C:$C,'custody %'!$B$15,'caseload data'!$D:$D,"PO",'caseload data'!$B:$B,"custody")/SUMIFS('caseload data'!P:P,'caseload data'!$B:$B,"custody",'caseload data'!$C:$C,'custody %'!$B$15),"")</f>
        <v/>
      </c>
      <c r="O17" s="181" t="str">
        <f>IFERROR(SUMIFS('caseload data'!Q:Q,'caseload data'!$C:$C,'custody %'!$B$15,'caseload data'!$D:$D,"PO",'caseload data'!$B:$B,"custody")/SUMIFS('caseload data'!Q:Q,'caseload data'!$B:$B,"custody",'caseload data'!$C:$C,'custody %'!$B$15),"")</f>
        <v/>
      </c>
      <c r="P17" s="181" t="str">
        <f>IFERROR(SUMIFS('caseload data'!R:R,'caseload data'!$C:$C,'custody %'!$B$15,'caseload data'!$D:$D,"PO",'caseload data'!$B:$B,"custody")/SUMIFS('caseload data'!R:R,'caseload data'!$B:$B,"custody",'caseload data'!$C:$C,'custody %'!$B$15),"")</f>
        <v/>
      </c>
      <c r="Q17" s="181" t="str">
        <f>IFERROR(SUMIFS('caseload data'!S:S,'caseload data'!$C:$C,'custody %'!$B$15,'caseload data'!$D:$D,"PO",'caseload data'!$B:$B,"custody")/SUMIFS('caseload data'!S:S,'caseload data'!$B:$B,"custody",'caseload data'!$C:$C,'custody %'!$B$15),"")</f>
        <v/>
      </c>
      <c r="R17" s="181" t="str">
        <f>IFERROR(SUMIFS('caseload data'!T:T,'caseload data'!$C:$C,'custody %'!$B$15,'caseload data'!$D:$D,"PO",'caseload data'!$B:$B,"custody")/SUMIFS('caseload data'!T:T,'caseload data'!$B:$B,"custody",'caseload data'!$C:$C,'custody %'!$B$15),"")</f>
        <v/>
      </c>
      <c r="S17" s="73"/>
      <c r="T17" s="106" t="s">
        <v>911</v>
      </c>
      <c r="U17" s="181" t="str">
        <f>IFERROR(SUMIFS('caseload data'!E:E,'caseload data'!$C:$C,'custody %'!$T$15,'caseload data'!$D:$D,"PO",'caseload data'!$B:$B,"custody")/SUMIFS('caseload data'!E:E,'caseload data'!$B:$B,"custody",'caseload data'!$C:$C,'custody %'!$T$15),"")</f>
        <v/>
      </c>
      <c r="V17" s="181" t="str">
        <f>IFERROR(SUMIFS('caseload data'!F:F,'caseload data'!$C:$C,'custody %'!$T$15,'caseload data'!$D:$D,"PO",'caseload data'!$B:$B,"custody")/SUMIFS('caseload data'!F:F,'caseload data'!$B:$B,"custody",'caseload data'!$C:$C,'custody %'!$T$15),"")</f>
        <v/>
      </c>
      <c r="W17" s="181" t="str">
        <f>IFERROR(SUMIFS('caseload data'!G:G,'caseload data'!$C:$C,'custody %'!$T$15,'caseload data'!$D:$D,"PO",'caseload data'!$B:$B,"custody")/SUMIFS('caseload data'!G:G,'caseload data'!$B:$B,"custody",'caseload data'!$C:$C,'custody %'!$T$15),"")</f>
        <v/>
      </c>
      <c r="X17" s="181" t="str">
        <f>IFERROR(SUMIFS('caseload data'!H:H,'caseload data'!$C:$C,'custody %'!$T$15,'caseload data'!$D:$D,"PO",'caseload data'!$B:$B,"custody")/SUMIFS('caseload data'!H:H,'caseload data'!$B:$B,"custody",'caseload data'!$C:$C,'custody %'!$T$15),"")</f>
        <v/>
      </c>
      <c r="Y17" s="181" t="str">
        <f>IFERROR(SUMIFS('caseload data'!I:I,'caseload data'!$C:$C,'custody %'!$T$15,'caseload data'!$D:$D,"PO",'caseload data'!$B:$B,"custody")/SUMIFS('caseload data'!I:I,'caseload data'!$B:$B,"custody",'caseload data'!$C:$C,'custody %'!$T$15),"")</f>
        <v/>
      </c>
      <c r="Z17" s="181" t="str">
        <f>IFERROR(SUMIFS('caseload data'!J:J,'caseload data'!$C:$C,'custody %'!$T$15,'caseload data'!$D:$D,"PO",'caseload data'!$B:$B,"custody")/SUMIFS('caseload data'!J:J,'caseload data'!$B:$B,"custody",'caseload data'!$C:$C,'custody %'!$T$15),"")</f>
        <v/>
      </c>
      <c r="AA17" s="181" t="str">
        <f>IFERROR(SUMIFS('caseload data'!K:K,'caseload data'!$C:$C,'custody %'!$T$15,'caseload data'!$D:$D,"PO",'caseload data'!$B:$B,"custody")/SUMIFS('caseload data'!K:K,'caseload data'!$B:$B,"custody",'caseload data'!$C:$C,'custody %'!$T$15),"")</f>
        <v/>
      </c>
      <c r="AB17" s="181" t="str">
        <f>IFERROR(SUMIFS('caseload data'!L:L,'caseload data'!$C:$C,'custody %'!$T$15,'caseload data'!$D:$D,"PO",'caseload data'!$B:$B,"custody")/SUMIFS('caseload data'!L:L,'caseload data'!$B:$B,"custody",'caseload data'!$C:$C,'custody %'!$T$15),"")</f>
        <v/>
      </c>
      <c r="AC17" s="181" t="str">
        <f>IFERROR(SUMIFS('caseload data'!M:M,'caseload data'!$C:$C,'custody %'!$T$15,'caseload data'!$D:$D,"PO",'caseload data'!$B:$B,"custody")/SUMIFS('caseload data'!M:M,'caseload data'!$B:$B,"custody",'caseload data'!$C:$C,'custody %'!$T$15),"")</f>
        <v/>
      </c>
      <c r="AD17" s="181" t="str">
        <f>IFERROR(SUMIFS('caseload data'!N:N,'caseload data'!$C:$C,'custody %'!$T$15,'caseload data'!$D:$D,"PO",'caseload data'!$B:$B,"custody")/SUMIFS('caseload data'!N:N,'caseload data'!$B:$B,"custody",'caseload data'!$C:$C,'custody %'!$T$15),"")</f>
        <v/>
      </c>
      <c r="AE17" s="181" t="str">
        <f>IFERROR(SUMIFS('caseload data'!O:O,'caseload data'!$C:$C,'custody %'!$T$15,'caseload data'!$D:$D,"PO",'caseload data'!$B:$B,"custody")/SUMIFS('caseload data'!O:O,'caseload data'!$B:$B,"custody",'caseload data'!$C:$C,'custody %'!$T$15),"")</f>
        <v/>
      </c>
      <c r="AF17" s="181" t="str">
        <f>IFERROR(SUMIFS('caseload data'!P:P,'caseload data'!$C:$C,'custody %'!$T$15,'caseload data'!$D:$D,"PO",'caseload data'!$B:$B,"custody")/SUMIFS('caseload data'!P:P,'caseload data'!$B:$B,"custody",'caseload data'!$C:$C,'custody %'!$T$15),"")</f>
        <v/>
      </c>
      <c r="AG17" s="181" t="str">
        <f>IFERROR(SUMIFS('caseload data'!Q:Q,'caseload data'!$C:$C,'custody %'!$T$15,'caseload data'!$D:$D,"PO",'caseload data'!$B:$B,"custody")/SUMIFS('caseload data'!Q:Q,'caseload data'!$B:$B,"custody",'caseload data'!$C:$C,'custody %'!$T$15),"")</f>
        <v/>
      </c>
      <c r="AH17" s="181" t="str">
        <f>IFERROR(SUMIFS('caseload data'!R:R,'caseload data'!$C:$C,'custody %'!$T$15,'caseload data'!$D:$D,"PO",'caseload data'!$B:$B,"custody")/SUMIFS('caseload data'!R:R,'caseload data'!$B:$B,"custody",'caseload data'!$C:$C,'custody %'!$T$15),"")</f>
        <v/>
      </c>
      <c r="AI17" s="181"/>
      <c r="AJ17" s="181"/>
    </row>
    <row r="18" spans="2:36" x14ac:dyDescent="0.15">
      <c r="B18" s="107" t="s">
        <v>912</v>
      </c>
      <c r="C18" s="181" t="str">
        <f>IFERROR(SUMIFS('caseload data'!E:E,'caseload data'!$C:$C,'custody %'!$B$15,'caseload data'!$D:$D,"PSO",'caseload data'!$B:$B,"custody")/SUMIFS('caseload data'!E:E,'caseload data'!$B:$B,"custody",'caseload data'!$C:$C,'custody %'!$B$15),"")</f>
        <v/>
      </c>
      <c r="D18" s="181" t="str">
        <f>IFERROR(SUMIFS('caseload data'!F:F,'caseload data'!$C:$C,'custody %'!$B$15,'caseload data'!$D:$D,"PSO",'caseload data'!$B:$B,"custody")/SUMIFS('caseload data'!F:F,'caseload data'!$B:$B,"custody",'caseload data'!$C:$C,'custody %'!$B$15),"")</f>
        <v/>
      </c>
      <c r="E18" s="181" t="str">
        <f>IFERROR(SUMIFS('caseload data'!G:G,'caseload data'!$C:$C,'custody %'!$B$15,'caseload data'!$D:$D,"PSO",'caseload data'!$B:$B,"custody")/SUMIFS('caseload data'!G:G,'caseload data'!$B:$B,"custody",'caseload data'!$C:$C,'custody %'!$B$15),"")</f>
        <v/>
      </c>
      <c r="F18" s="181" t="str">
        <f>IFERROR(SUMIFS('caseload data'!H:H,'caseload data'!$C:$C,'custody %'!$B$15,'caseload data'!$D:$D,"PSO",'caseload data'!$B:$B,"custody")/SUMIFS('caseload data'!H:H,'caseload data'!$B:$B,"custody",'caseload data'!$C:$C,'custody %'!$B$15),"")</f>
        <v/>
      </c>
      <c r="G18" s="181" t="str">
        <f>IFERROR(SUMIFS('caseload data'!I:I,'caseload data'!$C:$C,'custody %'!$B$15,'caseload data'!$D:$D,"PSO",'caseload data'!$B:$B,"custody")/SUMIFS('caseload data'!I:I,'caseload data'!$B:$B,"custody",'caseload data'!$C:$C,'custody %'!$B$15),"")</f>
        <v/>
      </c>
      <c r="H18" s="181" t="str">
        <f>IFERROR(SUMIFS('caseload data'!J:J,'caseload data'!$C:$C,'custody %'!$B$15,'caseload data'!$D:$D,"PSO",'caseload data'!$B:$B,"custody")/SUMIFS('caseload data'!J:J,'caseload data'!$B:$B,"custody",'caseload data'!$C:$C,'custody %'!$B$15),"")</f>
        <v/>
      </c>
      <c r="I18" s="181" t="str">
        <f>IFERROR(SUMIFS('caseload data'!K:K,'caseload data'!$C:$C,'custody %'!$B$15,'caseload data'!$D:$D,"PSO",'caseload data'!$B:$B,"custody")/SUMIFS('caseload data'!K:K,'caseload data'!$B:$B,"custody",'caseload data'!$C:$C,'custody %'!$B$15),"")</f>
        <v/>
      </c>
      <c r="J18" s="181" t="str">
        <f>IFERROR(SUMIFS('caseload data'!L:L,'caseload data'!$C:$C,'custody %'!$B$15,'caseload data'!$D:$D,"PSO",'caseload data'!$B:$B,"custody")/SUMIFS('caseload data'!L:L,'caseload data'!$B:$B,"custody",'caseload data'!$C:$C,'custody %'!$B$15),"")</f>
        <v/>
      </c>
      <c r="K18" s="181" t="str">
        <f>IFERROR(SUMIFS('caseload data'!M:M,'caseload data'!$C:$C,'custody %'!$B$15,'caseload data'!$D:$D,"PSO",'caseload data'!$B:$B,"custody")/SUMIFS('caseload data'!M:M,'caseload data'!$B:$B,"custody",'caseload data'!$C:$C,'custody %'!$B$15),"")</f>
        <v/>
      </c>
      <c r="L18" s="181" t="str">
        <f>IFERROR(SUMIFS('caseload data'!N:N,'caseload data'!$C:$C,'custody %'!$B$15,'caseload data'!$D:$D,"PSO",'caseload data'!$B:$B,"custody")/SUMIFS('caseload data'!N:N,'caseload data'!$B:$B,"custody",'caseload data'!$C:$C,'custody %'!$B$15),"")</f>
        <v/>
      </c>
      <c r="M18" s="181" t="str">
        <f>IFERROR(SUMIFS('caseload data'!O:O,'caseload data'!$C:$C,'custody %'!$B$15,'caseload data'!$D:$D,"PSO",'caseload data'!$B:$B,"custody")/SUMIFS('caseload data'!O:O,'caseload data'!$B:$B,"custody",'caseload data'!$C:$C,'custody %'!$B$15),"")</f>
        <v/>
      </c>
      <c r="N18" s="181" t="str">
        <f>IFERROR(SUMIFS('caseload data'!P:P,'caseload data'!$C:$C,'custody %'!$B$15,'caseload data'!$D:$D,"PSO",'caseload data'!$B:$B,"custody")/SUMIFS('caseload data'!P:P,'caseload data'!$B:$B,"custody",'caseload data'!$C:$C,'custody %'!$B$15),"")</f>
        <v/>
      </c>
      <c r="O18" s="181" t="str">
        <f>IFERROR(SUMIFS('caseload data'!Q:Q,'caseload data'!$C:$C,'custody %'!$B$15,'caseload data'!$D:$D,"PSO",'caseload data'!$B:$B,"custody")/SUMIFS('caseload data'!Q:Q,'caseload data'!$B:$B,"custody",'caseload data'!$C:$C,'custody %'!$B$15),"")</f>
        <v/>
      </c>
      <c r="P18" s="181" t="str">
        <f>IFERROR(SUMIFS('caseload data'!R:R,'caseload data'!$C:$C,'custody %'!$B$15,'caseload data'!$D:$D,"PSO",'caseload data'!$B:$B,"custody")/SUMIFS('caseload data'!R:R,'caseload data'!$B:$B,"custody",'caseload data'!$C:$C,'custody %'!$B$15),"")</f>
        <v/>
      </c>
      <c r="Q18" s="181" t="str">
        <f>IFERROR(SUMIFS('caseload data'!S:S,'caseload data'!$C:$C,'custody %'!$B$15,'caseload data'!$D:$D,"PSO",'caseload data'!$B:$B,"custody")/SUMIFS('caseload data'!S:S,'caseload data'!$B:$B,"custody",'caseload data'!$C:$C,'custody %'!$B$15),"")</f>
        <v/>
      </c>
      <c r="R18" s="181" t="str">
        <f>IFERROR(SUMIFS('caseload data'!T:T,'caseload data'!$C:$C,'custody %'!$B$15,'caseload data'!$D:$D,"PSO",'caseload data'!$B:$B,"custody")/SUMIFS('caseload data'!T:T,'caseload data'!$B:$B,"custody",'caseload data'!$C:$C,'custody %'!$B$15),"")</f>
        <v/>
      </c>
      <c r="S18" s="73"/>
      <c r="T18" s="107" t="s">
        <v>912</v>
      </c>
      <c r="U18" s="181" t="str">
        <f>IFERROR(SUMIFS('caseload data'!E:E,'caseload data'!$C:$C,'custody %'!$T$15,'caseload data'!$D:$D,"PSO",'caseload data'!$B:$B,"custody")/SUMIFS('caseload data'!E:E,'caseload data'!$B:$B,"custody",'caseload data'!$C:$C,'custody %'!$T$15),"")</f>
        <v/>
      </c>
      <c r="V18" s="181" t="str">
        <f>IFERROR(SUMIFS('caseload data'!F:F,'caseload data'!$C:$C,'custody %'!$T$15,'caseload data'!$D:$D,"PSO",'caseload data'!$B:$B,"custody")/SUMIFS('caseload data'!F:F,'caseload data'!$B:$B,"custody",'caseload data'!$C:$C,'custody %'!$T$15),"")</f>
        <v/>
      </c>
      <c r="W18" s="181" t="str">
        <f>IFERROR(SUMIFS('caseload data'!G:G,'caseload data'!$C:$C,'custody %'!$T$15,'caseload data'!$D:$D,"PSO",'caseload data'!$B:$B,"custody")/SUMIFS('caseload data'!G:G,'caseload data'!$B:$B,"custody",'caseload data'!$C:$C,'custody %'!$T$15),"")</f>
        <v/>
      </c>
      <c r="X18" s="181" t="str">
        <f>IFERROR(SUMIFS('caseload data'!H:H,'caseload data'!$C:$C,'custody %'!$T$15,'caseload data'!$D:$D,"PSO",'caseload data'!$B:$B,"custody")/SUMIFS('caseload data'!H:H,'caseload data'!$B:$B,"custody",'caseload data'!$C:$C,'custody %'!$T$15),"")</f>
        <v/>
      </c>
      <c r="Y18" s="181" t="str">
        <f>IFERROR(SUMIFS('caseload data'!I:I,'caseload data'!$C:$C,'custody %'!$T$15,'caseload data'!$D:$D,"PSO",'caseload data'!$B:$B,"custody")/SUMIFS('caseload data'!I:I,'caseload data'!$B:$B,"custody",'caseload data'!$C:$C,'custody %'!$T$15),"")</f>
        <v/>
      </c>
      <c r="Z18" s="181" t="str">
        <f>IFERROR(SUMIFS('caseload data'!J:J,'caseload data'!$C:$C,'custody %'!$T$15,'caseload data'!$D:$D,"PSO",'caseload data'!$B:$B,"custody")/SUMIFS('caseload data'!J:J,'caseload data'!$B:$B,"custody",'caseload data'!$C:$C,'custody %'!$T$15),"")</f>
        <v/>
      </c>
      <c r="AA18" s="181" t="str">
        <f>IFERROR(SUMIFS('caseload data'!K:K,'caseload data'!$C:$C,'custody %'!$T$15,'caseload data'!$D:$D,"PSO",'caseload data'!$B:$B,"custody")/SUMIFS('caseload data'!K:K,'caseload data'!$B:$B,"custody",'caseload data'!$C:$C,'custody %'!$T$15),"")</f>
        <v/>
      </c>
      <c r="AB18" s="181" t="str">
        <f>IFERROR(SUMIFS('caseload data'!L:L,'caseload data'!$C:$C,'custody %'!$T$15,'caseload data'!$D:$D,"PSO",'caseload data'!$B:$B,"custody")/SUMIFS('caseload data'!L:L,'caseload data'!$B:$B,"custody",'caseload data'!$C:$C,'custody %'!$T$15),"")</f>
        <v/>
      </c>
      <c r="AC18" s="181" t="str">
        <f>IFERROR(SUMIFS('caseload data'!M:M,'caseload data'!$C:$C,'custody %'!$T$15,'caseload data'!$D:$D,"PSO",'caseload data'!$B:$B,"custody")/SUMIFS('caseload data'!M:M,'caseload data'!$B:$B,"custody",'caseload data'!$C:$C,'custody %'!$T$15),"")</f>
        <v/>
      </c>
      <c r="AD18" s="181" t="str">
        <f>IFERROR(SUMIFS('caseload data'!N:N,'caseload data'!$C:$C,'custody %'!$T$15,'caseload data'!$D:$D,"PSO",'caseload data'!$B:$B,"custody")/SUMIFS('caseload data'!N:N,'caseload data'!$B:$B,"custody",'caseload data'!$C:$C,'custody %'!$T$15),"")</f>
        <v/>
      </c>
      <c r="AE18" s="181" t="str">
        <f>IFERROR(SUMIFS('caseload data'!O:O,'caseload data'!$C:$C,'custody %'!$T$15,'caseload data'!$D:$D,"PSO",'caseload data'!$B:$B,"custody")/SUMIFS('caseload data'!O:O,'caseload data'!$B:$B,"custody",'caseload data'!$C:$C,'custody %'!$T$15),"")</f>
        <v/>
      </c>
      <c r="AF18" s="181" t="str">
        <f>IFERROR(SUMIFS('caseload data'!P:P,'caseload data'!$C:$C,'custody %'!$T$15,'caseload data'!$D:$D,"PSO",'caseload data'!$B:$B,"custody")/SUMIFS('caseload data'!P:P,'caseload data'!$B:$B,"custody",'caseload data'!$C:$C,'custody %'!$T$15),"")</f>
        <v/>
      </c>
      <c r="AG18" s="181" t="str">
        <f>IFERROR(SUMIFS('caseload data'!Q:Q,'caseload data'!$C:$C,'custody %'!$T$15,'caseload data'!$D:$D,"PSO",'caseload data'!$B:$B,"custody")/SUMIFS('caseload data'!Q:Q,'caseload data'!$B:$B,"custody",'caseload data'!$C:$C,'custody %'!$T$15),"")</f>
        <v/>
      </c>
      <c r="AH18" s="181" t="str">
        <f>IFERROR(SUMIFS('caseload data'!R:R,'caseload data'!$C:$C,'custody %'!$T$15,'caseload data'!$D:$D,"PSO",'caseload data'!$B:$B,"custody")/SUMIFS('caseload data'!R:R,'caseload data'!$B:$B,"custody",'caseload data'!$C:$C,'custody %'!$T$15),"")</f>
        <v/>
      </c>
      <c r="AI18" s="181"/>
      <c r="AJ18" s="181"/>
    </row>
    <row r="19" spans="2:36" x14ac:dyDescent="0.15">
      <c r="B19" s="107" t="s">
        <v>913</v>
      </c>
      <c r="C19" s="181" t="str">
        <f>IFERROR(SUMIFS('caseload data'!E:E,'caseload data'!$C:$C,'custody %'!$B$15,'caseload data'!$D:$D,"TPO",'caseload data'!$B:$B,"custody")/SUMIFS('caseload data'!E:E,'caseload data'!$B:$B,"custody",'caseload data'!$C:$C,'custody %'!$B$15),"")</f>
        <v/>
      </c>
      <c r="D19" s="181" t="str">
        <f>IFERROR(SUMIFS('caseload data'!F:F,'caseload data'!$C:$C,'custody %'!$B$15,'caseload data'!$D:$D,"TPO",'caseload data'!$B:$B,"custody")/SUMIFS('caseload data'!F:F,'caseload data'!$B:$B,"custody",'caseload data'!$C:$C,'custody %'!$B$15),"")</f>
        <v/>
      </c>
      <c r="E19" s="181" t="str">
        <f>IFERROR(SUMIFS('caseload data'!G:G,'caseload data'!$C:$C,'custody %'!$B$15,'caseload data'!$D:$D,"TPO",'caseload data'!$B:$B,"custody")/SUMIFS('caseload data'!G:G,'caseload data'!$B:$B,"custody",'caseload data'!$C:$C,'custody %'!$B$15),"")</f>
        <v/>
      </c>
      <c r="F19" s="181" t="str">
        <f>IFERROR(SUMIFS('caseload data'!H:H,'caseload data'!$C:$C,'custody %'!$B$15,'caseload data'!$D:$D,"TPO",'caseload data'!$B:$B,"custody")/SUMIFS('caseload data'!H:H,'caseload data'!$B:$B,"custody",'caseload data'!$C:$C,'custody %'!$B$15),"")</f>
        <v/>
      </c>
      <c r="G19" s="181" t="str">
        <f>IFERROR(SUMIFS('caseload data'!I:I,'caseload data'!$C:$C,'custody %'!$B$15,'caseload data'!$D:$D,"TPO",'caseload data'!$B:$B,"custody")/SUMIFS('caseload data'!I:I,'caseload data'!$B:$B,"custody",'caseload data'!$C:$C,'custody %'!$B$15),"")</f>
        <v/>
      </c>
      <c r="H19" s="181" t="str">
        <f>IFERROR(SUMIFS('caseload data'!J:J,'caseload data'!$C:$C,'custody %'!$B$15,'caseload data'!$D:$D,"TPO",'caseload data'!$B:$B,"custody")/SUMIFS('caseload data'!J:J,'caseload data'!$B:$B,"custody",'caseload data'!$C:$C,'custody %'!$B$15),"")</f>
        <v/>
      </c>
      <c r="I19" s="181" t="str">
        <f>IFERROR(SUMIFS('caseload data'!K:K,'caseload data'!$C:$C,'custody %'!$B$15,'caseload data'!$D:$D,"TPO",'caseload data'!$B:$B,"custody")/SUMIFS('caseload data'!K:K,'caseload data'!$B:$B,"custody",'caseload data'!$C:$C,'custody %'!$B$15),"")</f>
        <v/>
      </c>
      <c r="J19" s="181" t="str">
        <f>IFERROR(SUMIFS('caseload data'!L:L,'caseload data'!$C:$C,'custody %'!$B$15,'caseload data'!$D:$D,"TPO",'caseload data'!$B:$B,"custody")/SUMIFS('caseload data'!L:L,'caseload data'!$B:$B,"custody",'caseload data'!$C:$C,'custody %'!$B$15),"")</f>
        <v/>
      </c>
      <c r="K19" s="181" t="str">
        <f>IFERROR(SUMIFS('caseload data'!M:M,'caseload data'!$C:$C,'custody %'!$B$15,'caseload data'!$D:$D,"TPO",'caseload data'!$B:$B,"custody")/SUMIFS('caseload data'!M:M,'caseload data'!$B:$B,"custody",'caseload data'!$C:$C,'custody %'!$B$15),"")</f>
        <v/>
      </c>
      <c r="L19" s="181" t="str">
        <f>IFERROR(SUMIFS('caseload data'!N:N,'caseload data'!$C:$C,'custody %'!$B$15,'caseload data'!$D:$D,"TPO",'caseload data'!$B:$B,"custody")/SUMIFS('caseload data'!N:N,'caseload data'!$B:$B,"custody",'caseload data'!$C:$C,'custody %'!$B$15),"")</f>
        <v/>
      </c>
      <c r="M19" s="181" t="str">
        <f>IFERROR(SUMIFS('caseload data'!O:O,'caseload data'!$C:$C,'custody %'!$B$15,'caseload data'!$D:$D,"TPO",'caseload data'!$B:$B,"custody")/SUMIFS('caseload data'!O:O,'caseload data'!$B:$B,"custody",'caseload data'!$C:$C,'custody %'!$B$15),"")</f>
        <v/>
      </c>
      <c r="N19" s="181" t="str">
        <f>IFERROR(SUMIFS('caseload data'!P:P,'caseload data'!$C:$C,'custody %'!$B$15,'caseload data'!$D:$D,"TPO",'caseload data'!$B:$B,"custody")/SUMIFS('caseload data'!P:P,'caseload data'!$B:$B,"custody",'caseload data'!$C:$C,'custody %'!$B$15),"")</f>
        <v/>
      </c>
      <c r="O19" s="181" t="str">
        <f>IFERROR(SUMIFS('caseload data'!Q:Q,'caseload data'!$C:$C,'custody %'!$B$15,'caseload data'!$D:$D,"TPO",'caseload data'!$B:$B,"custody")/SUMIFS('caseload data'!Q:Q,'caseload data'!$B:$B,"custody",'caseload data'!$C:$C,'custody %'!$B$15),"")</f>
        <v/>
      </c>
      <c r="P19" s="181" t="str">
        <f>IFERROR(SUMIFS('caseload data'!R:R,'caseload data'!$C:$C,'custody %'!$B$15,'caseload data'!$D:$D,"TPO",'caseload data'!$B:$B,"custody")/SUMIFS('caseload data'!R:R,'caseload data'!$B:$B,"custody",'caseload data'!$C:$C,'custody %'!$B$15),"")</f>
        <v/>
      </c>
      <c r="Q19" s="181" t="str">
        <f>IFERROR(SUMIFS('caseload data'!S:S,'caseload data'!$C:$C,'custody %'!$B$15,'caseload data'!$D:$D,"TPO",'caseload data'!$B:$B,"custody")/SUMIFS('caseload data'!S:S,'caseload data'!$B:$B,"custody",'caseload data'!$C:$C,'custody %'!$B$15),"")</f>
        <v/>
      </c>
      <c r="R19" s="181" t="str">
        <f>IFERROR(SUMIFS('caseload data'!T:T,'caseload data'!$C:$C,'custody %'!$B$15,'caseload data'!$D:$D,"TPO",'caseload data'!$B:$B,"custody")/SUMIFS('caseload data'!T:T,'caseload data'!$B:$B,"custody",'caseload data'!$C:$C,'custody %'!$B$15),"")</f>
        <v/>
      </c>
      <c r="S19" s="73"/>
      <c r="T19" s="107" t="s">
        <v>913</v>
      </c>
      <c r="U19" s="181" t="str">
        <f>IFERROR(SUMIFS('caseload data'!E:E,'caseload data'!$C:$C,'custody %'!$T$15,'caseload data'!$D:$D,"TPO",'caseload data'!$B:$B,"custody")/SUMIFS('caseload data'!E:E,'caseload data'!$B:$B,"custody",'caseload data'!$C:$C,'custody %'!$T$15),"")</f>
        <v/>
      </c>
      <c r="V19" s="181" t="str">
        <f>IFERROR(SUMIFS('caseload data'!F:F,'caseload data'!$C:$C,'custody %'!$T$15,'caseload data'!$D:$D,"TPO",'caseload data'!$B:$B,"custody")/SUMIFS('caseload data'!F:F,'caseload data'!$B:$B,"custody",'caseload data'!$C:$C,'custody %'!$T$15),"")</f>
        <v/>
      </c>
      <c r="W19" s="181" t="str">
        <f>IFERROR(SUMIFS('caseload data'!G:G,'caseload data'!$C:$C,'custody %'!$T$15,'caseload data'!$D:$D,"TPO",'caseload data'!$B:$B,"custody")/SUMIFS('caseload data'!G:G,'caseload data'!$B:$B,"custody",'caseload data'!$C:$C,'custody %'!$T$15),"")</f>
        <v/>
      </c>
      <c r="X19" s="181" t="str">
        <f>IFERROR(SUMIFS('caseload data'!H:H,'caseload data'!$C:$C,'custody %'!$T$15,'caseload data'!$D:$D,"TPO",'caseload data'!$B:$B,"custody")/SUMIFS('caseload data'!H:H,'caseload data'!$B:$B,"custody",'caseload data'!$C:$C,'custody %'!$T$15),"")</f>
        <v/>
      </c>
      <c r="Y19" s="181" t="str">
        <f>IFERROR(SUMIFS('caseload data'!I:I,'caseload data'!$C:$C,'custody %'!$T$15,'caseload data'!$D:$D,"TPO",'caseload data'!$B:$B,"custody")/SUMIFS('caseload data'!I:I,'caseload data'!$B:$B,"custody",'caseload data'!$C:$C,'custody %'!$T$15),"")</f>
        <v/>
      </c>
      <c r="Z19" s="181" t="str">
        <f>IFERROR(SUMIFS('caseload data'!J:J,'caseload data'!$C:$C,'custody %'!$T$15,'caseload data'!$D:$D,"TPO",'caseload data'!$B:$B,"custody")/SUMIFS('caseload data'!J:J,'caseload data'!$B:$B,"custody",'caseload data'!$C:$C,'custody %'!$T$15),"")</f>
        <v/>
      </c>
      <c r="AA19" s="181" t="str">
        <f>IFERROR(SUMIFS('caseload data'!K:K,'caseload data'!$C:$C,'custody %'!$T$15,'caseload data'!$D:$D,"TPO",'caseload data'!$B:$B,"custody")/SUMIFS('caseload data'!K:K,'caseload data'!$B:$B,"custody",'caseload data'!$C:$C,'custody %'!$T$15),"")</f>
        <v/>
      </c>
      <c r="AB19" s="181" t="str">
        <f>IFERROR(SUMIFS('caseload data'!L:L,'caseload data'!$C:$C,'custody %'!$T$15,'caseload data'!$D:$D,"TPO",'caseload data'!$B:$B,"custody")/SUMIFS('caseload data'!L:L,'caseload data'!$B:$B,"custody",'caseload data'!$C:$C,'custody %'!$T$15),"")</f>
        <v/>
      </c>
      <c r="AC19" s="181" t="str">
        <f>IFERROR(SUMIFS('caseload data'!M:M,'caseload data'!$C:$C,'custody %'!$T$15,'caseload data'!$D:$D,"TPO",'caseload data'!$B:$B,"custody")/SUMIFS('caseload data'!M:M,'caseload data'!$B:$B,"custody",'caseload data'!$C:$C,'custody %'!$T$15),"")</f>
        <v/>
      </c>
      <c r="AD19" s="181" t="str">
        <f>IFERROR(SUMIFS('caseload data'!N:N,'caseload data'!$C:$C,'custody %'!$T$15,'caseload data'!$D:$D,"TPO",'caseload data'!$B:$B,"custody")/SUMIFS('caseload data'!N:N,'caseload data'!$B:$B,"custody",'caseload data'!$C:$C,'custody %'!$T$15),"")</f>
        <v/>
      </c>
      <c r="AE19" s="181" t="str">
        <f>IFERROR(SUMIFS('caseload data'!O:O,'caseload data'!$C:$C,'custody %'!$T$15,'caseload data'!$D:$D,"TPO",'caseload data'!$B:$B,"custody")/SUMIFS('caseload data'!O:O,'caseload data'!$B:$B,"custody",'caseload data'!$C:$C,'custody %'!$T$15),"")</f>
        <v/>
      </c>
      <c r="AF19" s="181" t="str">
        <f>IFERROR(SUMIFS('caseload data'!P:P,'caseload data'!$C:$C,'custody %'!$T$15,'caseload data'!$D:$D,"TPO",'caseload data'!$B:$B,"custody")/SUMIFS('caseload data'!P:P,'caseload data'!$B:$B,"custody",'caseload data'!$C:$C,'custody %'!$T$15),"")</f>
        <v/>
      </c>
      <c r="AG19" s="181" t="str">
        <f>IFERROR(SUMIFS('caseload data'!Q:Q,'caseload data'!$C:$C,'custody %'!$T$15,'caseload data'!$D:$D,"TPO",'caseload data'!$B:$B,"custody")/SUMIFS('caseload data'!Q:Q,'caseload data'!$B:$B,"custody",'caseload data'!$C:$C,'custody %'!$T$15),"")</f>
        <v/>
      </c>
      <c r="AH19" s="181" t="str">
        <f>IFERROR(SUMIFS('caseload data'!R:R,'caseload data'!$C:$C,'custody %'!$T$15,'caseload data'!$D:$D,"TPO",'caseload data'!$B:$B,"custody")/SUMIFS('caseload data'!R:R,'caseload data'!$B:$B,"custody",'caseload data'!$C:$C,'custody %'!$T$15),"")</f>
        <v/>
      </c>
      <c r="AI19" s="181"/>
      <c r="AJ19" s="181"/>
    </row>
    <row r="20" spans="2:36" x14ac:dyDescent="0.15">
      <c r="B20" s="108" t="s">
        <v>914</v>
      </c>
      <c r="C20" s="181" t="str">
        <f>IFERROR(SUMIFS('caseload data'!E:E,'caseload data'!$C:$C,'custody %'!$B$15,'caseload data'!$D:$D,"SPO",'caseload data'!$B:$B,"custody")/SUMIFS('caseload data'!E:E,'caseload data'!$B:$B,"custody",'caseload data'!$C:$C,'custody %'!$B$15),"")</f>
        <v/>
      </c>
      <c r="D20" s="181" t="str">
        <f>IFERROR(SUMIFS('caseload data'!F:F,'caseload data'!$C:$C,'custody %'!$B$15,'caseload data'!$D:$D,"SPO",'caseload data'!$B:$B,"custody")/SUMIFS('caseload data'!F:F,'caseload data'!$B:$B,"custody",'caseload data'!$C:$C,'custody %'!$B$15),"")</f>
        <v/>
      </c>
      <c r="E20" s="181" t="str">
        <f>IFERROR(SUMIFS('caseload data'!G:G,'caseload data'!$C:$C,'custody %'!$B$15,'caseload data'!$D:$D,"SPO",'caseload data'!$B:$B,"custody")/SUMIFS('caseload data'!G:G,'caseload data'!$B:$B,"custody",'caseload data'!$C:$C,'custody %'!$B$15),"")</f>
        <v/>
      </c>
      <c r="F20" s="181" t="str">
        <f>IFERROR(SUMIFS('caseload data'!H:H,'caseload data'!$C:$C,'custody %'!$B$15,'caseload data'!$D:$D,"SPO",'caseload data'!$B:$B,"custody")/SUMIFS('caseload data'!H:H,'caseload data'!$B:$B,"custody",'caseload data'!$C:$C,'custody %'!$B$15),"")</f>
        <v/>
      </c>
      <c r="G20" s="181" t="str">
        <f>IFERROR(SUMIFS('caseload data'!I:I,'caseload data'!$C:$C,'custody %'!$B$15,'caseload data'!$D:$D,"SPO",'caseload data'!$B:$B,"custody")/SUMIFS('caseload data'!I:I,'caseload data'!$B:$B,"custody",'caseload data'!$C:$C,'custody %'!$B$15),"")</f>
        <v/>
      </c>
      <c r="H20" s="181" t="str">
        <f>IFERROR(SUMIFS('caseload data'!J:J,'caseload data'!$C:$C,'custody %'!$B$15,'caseload data'!$D:$D,"SPO",'caseload data'!$B:$B,"custody")/SUMIFS('caseload data'!J:J,'caseload data'!$B:$B,"custody",'caseload data'!$C:$C,'custody %'!$B$15),"")</f>
        <v/>
      </c>
      <c r="I20" s="181" t="str">
        <f>IFERROR(SUMIFS('caseload data'!K:K,'caseload data'!$C:$C,'custody %'!$B$15,'caseload data'!$D:$D,"SPO",'caseload data'!$B:$B,"custody")/SUMIFS('caseload data'!K:K,'caseload data'!$B:$B,"custody",'caseload data'!$C:$C,'custody %'!$B$15),"")</f>
        <v/>
      </c>
      <c r="J20" s="181" t="str">
        <f>IFERROR(SUMIFS('caseload data'!L:L,'caseload data'!$C:$C,'custody %'!$B$15,'caseload data'!$D:$D,"SPO",'caseload data'!$B:$B,"custody")/SUMIFS('caseload data'!L:L,'caseload data'!$B:$B,"custody",'caseload data'!$C:$C,'custody %'!$B$15),"")</f>
        <v/>
      </c>
      <c r="K20" s="181" t="str">
        <f>IFERROR(SUMIFS('caseload data'!M:M,'caseload data'!$C:$C,'custody %'!$B$15,'caseload data'!$D:$D,"SPO",'caseload data'!$B:$B,"custody")/SUMIFS('caseload data'!M:M,'caseload data'!$B:$B,"custody",'caseload data'!$C:$C,'custody %'!$B$15),"")</f>
        <v/>
      </c>
      <c r="L20" s="181" t="str">
        <f>IFERROR(SUMIFS('caseload data'!N:N,'caseload data'!$C:$C,'custody %'!$B$15,'caseload data'!$D:$D,"SPO",'caseload data'!$B:$B,"custody")/SUMIFS('caseload data'!N:N,'caseload data'!$B:$B,"custody",'caseload data'!$C:$C,'custody %'!$B$15),"")</f>
        <v/>
      </c>
      <c r="M20" s="181" t="str">
        <f>IFERROR(SUMIFS('caseload data'!O:O,'caseload data'!$C:$C,'custody %'!$B$15,'caseload data'!$D:$D,"SPO",'caseload data'!$B:$B,"custody")/SUMIFS('caseload data'!O:O,'caseload data'!$B:$B,"custody",'caseload data'!$C:$C,'custody %'!$B$15),"")</f>
        <v/>
      </c>
      <c r="N20" s="181" t="str">
        <f>IFERROR(SUMIFS('caseload data'!P:P,'caseload data'!$C:$C,'custody %'!$B$15,'caseload data'!$D:$D,"SPO",'caseload data'!$B:$B,"custody")/SUMIFS('caseload data'!P:P,'caseload data'!$B:$B,"custody",'caseload data'!$C:$C,'custody %'!$B$15),"")</f>
        <v/>
      </c>
      <c r="O20" s="181" t="str">
        <f>IFERROR(SUMIFS('caseload data'!Q:Q,'caseload data'!$C:$C,'custody %'!$B$15,'caseload data'!$D:$D,"SPO",'caseload data'!$B:$B,"custody")/SUMIFS('caseload data'!Q:Q,'caseload data'!$B:$B,"custody",'caseload data'!$C:$C,'custody %'!$B$15),"")</f>
        <v/>
      </c>
      <c r="P20" s="181" t="str">
        <f>IFERROR(SUMIFS('caseload data'!R:R,'caseload data'!$C:$C,'custody %'!$B$15,'caseload data'!$D:$D,"SPO",'caseload data'!$B:$B,"custody")/SUMIFS('caseload data'!R:R,'caseload data'!$B:$B,"custody",'caseload data'!$C:$C,'custody %'!$B$15),"")</f>
        <v/>
      </c>
      <c r="Q20" s="181" t="str">
        <f>IFERROR(SUMIFS('caseload data'!S:S,'caseload data'!$C:$C,'custody %'!$B$15,'caseload data'!$D:$D,"SPO",'caseload data'!$B:$B,"custody")/SUMIFS('caseload data'!S:S,'caseload data'!$B:$B,"custody",'caseload data'!$C:$C,'custody %'!$B$15),"")</f>
        <v/>
      </c>
      <c r="R20" s="181" t="str">
        <f>IFERROR(SUMIFS('caseload data'!T:T,'caseload data'!$C:$C,'custody %'!$B$15,'caseload data'!$D:$D,"SPO",'caseload data'!$B:$B,"custody")/SUMIFS('caseload data'!T:T,'caseload data'!$B:$B,"custody",'caseload data'!$C:$C,'custody %'!$B$15),"")</f>
        <v/>
      </c>
      <c r="S20" s="73"/>
      <c r="T20" s="108" t="s">
        <v>914</v>
      </c>
      <c r="U20" s="181" t="str">
        <f>IFERROR(SUMIFS('caseload data'!E:E,'caseload data'!$C:$C,'custody %'!$T$15,'caseload data'!$D:$D,"SPO",'caseload data'!$B:$B,"custody")/SUMIFS('caseload data'!E:E,'caseload data'!$B:$B,"custody",'caseload data'!$C:$C,'custody %'!$T$15),"")</f>
        <v/>
      </c>
      <c r="V20" s="181" t="str">
        <f>IFERROR(SUMIFS('caseload data'!F:F,'caseload data'!$C:$C,'custody %'!$T$15,'caseload data'!$D:$D,"SPO",'caseload data'!$B:$B,"custody")/SUMIFS('caseload data'!F:F,'caseload data'!$B:$B,"custody",'caseload data'!$C:$C,'custody %'!$T$15),"")</f>
        <v/>
      </c>
      <c r="W20" s="181" t="str">
        <f>IFERROR(SUMIFS('caseload data'!G:G,'caseload data'!$C:$C,'custody %'!$T$15,'caseload data'!$D:$D,"SPO",'caseload data'!$B:$B,"custody")/SUMIFS('caseload data'!G:G,'caseload data'!$B:$B,"custody",'caseload data'!$C:$C,'custody %'!$T$15),"")</f>
        <v/>
      </c>
      <c r="X20" s="181" t="str">
        <f>IFERROR(SUMIFS('caseload data'!H:H,'caseload data'!$C:$C,'custody %'!$T$15,'caseload data'!$D:$D,"SPO",'caseload data'!$B:$B,"custody")/SUMIFS('caseload data'!H:H,'caseload data'!$B:$B,"custody",'caseload data'!$C:$C,'custody %'!$T$15),"")</f>
        <v/>
      </c>
      <c r="Y20" s="181" t="str">
        <f>IFERROR(SUMIFS('caseload data'!I:I,'caseload data'!$C:$C,'custody %'!$T$15,'caseload data'!$D:$D,"SPO",'caseload data'!$B:$B,"custody")/SUMIFS('caseload data'!I:I,'caseload data'!$B:$B,"custody",'caseload data'!$C:$C,'custody %'!$T$15),"")</f>
        <v/>
      </c>
      <c r="Z20" s="181" t="str">
        <f>IFERROR(SUMIFS('caseload data'!J:J,'caseload data'!$C:$C,'custody %'!$T$15,'caseload data'!$D:$D,"SPO",'caseload data'!$B:$B,"custody")/SUMIFS('caseload data'!J:J,'caseload data'!$B:$B,"custody",'caseload data'!$C:$C,'custody %'!$T$15),"")</f>
        <v/>
      </c>
      <c r="AA20" s="181" t="str">
        <f>IFERROR(SUMIFS('caseload data'!K:K,'caseload data'!$C:$C,'custody %'!$T$15,'caseload data'!$D:$D,"SPO",'caseload data'!$B:$B,"custody")/SUMIFS('caseload data'!K:K,'caseload data'!$B:$B,"custody",'caseload data'!$C:$C,'custody %'!$T$15),"")</f>
        <v/>
      </c>
      <c r="AB20" s="181" t="str">
        <f>IFERROR(SUMIFS('caseload data'!L:L,'caseload data'!$C:$C,'custody %'!$T$15,'caseload data'!$D:$D,"SPO",'caseload data'!$B:$B,"custody")/SUMIFS('caseload data'!L:L,'caseload data'!$B:$B,"custody",'caseload data'!$C:$C,'custody %'!$T$15),"")</f>
        <v/>
      </c>
      <c r="AC20" s="181" t="str">
        <f>IFERROR(SUMIFS('caseload data'!M:M,'caseload data'!$C:$C,'custody %'!$T$15,'caseload data'!$D:$D,"SPO",'caseload data'!$B:$B,"custody")/SUMIFS('caseload data'!M:M,'caseload data'!$B:$B,"custody",'caseload data'!$C:$C,'custody %'!$T$15),"")</f>
        <v/>
      </c>
      <c r="AD20" s="181" t="str">
        <f>IFERROR(SUMIFS('caseload data'!N:N,'caseload data'!$C:$C,'custody %'!$T$15,'caseload data'!$D:$D,"SPO",'caseload data'!$B:$B,"custody")/SUMIFS('caseload data'!N:N,'caseload data'!$B:$B,"custody",'caseload data'!$C:$C,'custody %'!$T$15),"")</f>
        <v/>
      </c>
      <c r="AE20" s="181" t="str">
        <f>IFERROR(SUMIFS('caseload data'!O:O,'caseload data'!$C:$C,'custody %'!$T$15,'caseload data'!$D:$D,"SPO",'caseload data'!$B:$B,"custody")/SUMIFS('caseload data'!O:O,'caseload data'!$B:$B,"custody",'caseload data'!$C:$C,'custody %'!$T$15),"")</f>
        <v/>
      </c>
      <c r="AF20" s="181" t="str">
        <f>IFERROR(SUMIFS('caseload data'!P:P,'caseload data'!$C:$C,'custody %'!$T$15,'caseload data'!$D:$D,"SPO",'caseload data'!$B:$B,"custody")/SUMIFS('caseload data'!P:P,'caseload data'!$B:$B,"custody",'caseload data'!$C:$C,'custody %'!$T$15),"")</f>
        <v/>
      </c>
      <c r="AG20" s="181" t="str">
        <f>IFERROR(SUMIFS('caseload data'!Q:Q,'caseload data'!$C:$C,'custody %'!$T$15,'caseload data'!$D:$D,"SPO",'caseload data'!$B:$B,"custody")/SUMIFS('caseload data'!Q:Q,'caseload data'!$B:$B,"custody",'caseload data'!$C:$C,'custody %'!$T$15),"")</f>
        <v/>
      </c>
      <c r="AH20" s="181" t="str">
        <f>IFERROR(SUMIFS('caseload data'!R:R,'caseload data'!$C:$C,'custody %'!$T$15,'caseload data'!$D:$D,"SPO",'caseload data'!$B:$B,"custody")/SUMIFS('caseload data'!R:R,'caseload data'!$B:$B,"custody",'caseload data'!$C:$C,'custody %'!$T$15),"")</f>
        <v/>
      </c>
      <c r="AI20" s="181"/>
      <c r="AJ20" s="181"/>
    </row>
    <row r="21" spans="2:36" x14ac:dyDescent="0.15">
      <c r="B21" s="101"/>
      <c r="C21" s="73"/>
      <c r="D21" s="73"/>
      <c r="E21" s="73"/>
      <c r="F21" s="73"/>
      <c r="G21" s="73"/>
      <c r="H21" s="73"/>
      <c r="I21" s="73"/>
      <c r="J21" s="73"/>
      <c r="K21" s="73"/>
      <c r="L21" s="73"/>
      <c r="M21" s="73"/>
      <c r="N21" s="73"/>
      <c r="O21" s="73"/>
      <c r="P21" s="73"/>
      <c r="Q21" s="73"/>
      <c r="R21" s="73"/>
      <c r="S21" s="73"/>
      <c r="T21" s="101"/>
      <c r="U21" s="73"/>
      <c r="V21" s="73"/>
      <c r="W21" s="73"/>
      <c r="X21" s="73"/>
      <c r="Y21" s="73"/>
      <c r="Z21" s="73"/>
      <c r="AA21" s="73"/>
      <c r="AB21" s="73"/>
      <c r="AC21" s="73"/>
      <c r="AD21" s="73"/>
      <c r="AE21" s="73"/>
      <c r="AF21" s="73"/>
      <c r="AG21" s="73"/>
      <c r="AH21" s="73"/>
    </row>
    <row r="22" spans="2:36" ht="30.75" customHeight="1" x14ac:dyDescent="0.15">
      <c r="B22" s="156" t="str">
        <f>HLOOKUP($B$5,Region_Table,6,0)</f>
        <v>Corporate Services - N07</v>
      </c>
      <c r="C22" s="367" t="s">
        <v>1163</v>
      </c>
      <c r="D22" s="368"/>
      <c r="E22" s="368"/>
      <c r="F22" s="368"/>
      <c r="G22" s="368"/>
      <c r="H22" s="368"/>
      <c r="I22" s="368"/>
      <c r="J22" s="368"/>
      <c r="K22" s="368"/>
      <c r="L22" s="368"/>
      <c r="M22" s="377"/>
      <c r="N22" s="377"/>
      <c r="O22" s="378"/>
      <c r="P22" s="371">
        <f>SUMIF('caseload data'!$C:$C,'custody %'!B22,'caseload data'!V:V)</f>
        <v>0</v>
      </c>
      <c r="Q22" s="379"/>
      <c r="R22" s="380"/>
      <c r="S22" s="73"/>
      <c r="T22" s="156" t="str">
        <f>HLOOKUP($B$5,Region_Table,7,0)</f>
        <v>Croydon - N07</v>
      </c>
      <c r="U22" s="367" t="s">
        <v>1163</v>
      </c>
      <c r="V22" s="368"/>
      <c r="W22" s="368"/>
      <c r="X22" s="368"/>
      <c r="Y22" s="368"/>
      <c r="Z22" s="368"/>
      <c r="AA22" s="368"/>
      <c r="AB22" s="368"/>
      <c r="AC22" s="377"/>
      <c r="AD22" s="377"/>
      <c r="AE22" s="378"/>
      <c r="AF22" s="371">
        <f>SUMIF('caseload data'!$C:$C,'custody %'!T22,'caseload data'!V:V)</f>
        <v>0</v>
      </c>
      <c r="AG22" s="379"/>
      <c r="AH22" s="380"/>
    </row>
    <row r="23" spans="2:36" x14ac:dyDescent="0.15">
      <c r="B23" s="105" t="s">
        <v>1065</v>
      </c>
      <c r="C23" s="41" t="s">
        <v>922</v>
      </c>
      <c r="D23" s="41" t="s">
        <v>923</v>
      </c>
      <c r="E23" s="41" t="s">
        <v>924</v>
      </c>
      <c r="F23" s="41" t="s">
        <v>925</v>
      </c>
      <c r="G23" s="41" t="s">
        <v>926</v>
      </c>
      <c r="H23" s="41" t="s">
        <v>927</v>
      </c>
      <c r="I23" s="41" t="s">
        <v>928</v>
      </c>
      <c r="J23" s="41" t="s">
        <v>929</v>
      </c>
      <c r="K23" s="41" t="s">
        <v>930</v>
      </c>
      <c r="L23" s="41" t="s">
        <v>931</v>
      </c>
      <c r="M23" s="41" t="s">
        <v>932</v>
      </c>
      <c r="N23" s="41" t="s">
        <v>933</v>
      </c>
      <c r="O23" s="41" t="s">
        <v>934</v>
      </c>
      <c r="P23" s="41" t="s">
        <v>935</v>
      </c>
      <c r="Q23" s="41" t="s">
        <v>936</v>
      </c>
      <c r="R23" s="41" t="s">
        <v>937</v>
      </c>
      <c r="S23" s="73"/>
      <c r="T23" s="105" t="s">
        <v>1065</v>
      </c>
      <c r="U23" s="41" t="s">
        <v>922</v>
      </c>
      <c r="V23" s="41" t="s">
        <v>923</v>
      </c>
      <c r="W23" s="41" t="s">
        <v>924</v>
      </c>
      <c r="X23" s="41" t="s">
        <v>925</v>
      </c>
      <c r="Y23" s="41" t="s">
        <v>926</v>
      </c>
      <c r="Z23" s="41" t="s">
        <v>927</v>
      </c>
      <c r="AA23" s="41" t="s">
        <v>928</v>
      </c>
      <c r="AB23" s="41" t="s">
        <v>929</v>
      </c>
      <c r="AC23" s="41" t="s">
        <v>930</v>
      </c>
      <c r="AD23" s="41" t="s">
        <v>931</v>
      </c>
      <c r="AE23" s="41" t="s">
        <v>932</v>
      </c>
      <c r="AF23" s="41" t="s">
        <v>933</v>
      </c>
      <c r="AG23" s="41" t="s">
        <v>934</v>
      </c>
      <c r="AH23" s="41" t="s">
        <v>935</v>
      </c>
      <c r="AI23" s="41" t="s">
        <v>936</v>
      </c>
      <c r="AJ23" s="41" t="s">
        <v>937</v>
      </c>
    </row>
    <row r="24" spans="2:36" x14ac:dyDescent="0.15">
      <c r="B24" s="106" t="s">
        <v>911</v>
      </c>
      <c r="C24" s="181" t="str">
        <f>IFERROR(SUMIFS('caseload data'!E:E,'caseload data'!$C:$C,'custody %'!$B$22,'caseload data'!$D:$D,"PO",'caseload data'!$B:$B,"custody")/SUMIFS('caseload data'!E:E,'caseload data'!$B:$B,"custody",'caseload data'!$C:$C,'custody %'!$B$22),"")</f>
        <v/>
      </c>
      <c r="D24" s="181" t="str">
        <f>IFERROR(SUMIFS('caseload data'!F:F,'caseload data'!$C:$C,'custody %'!$B$22,'caseload data'!$D:$D,"PO",'caseload data'!$B:$B,"custody")/SUMIFS('caseload data'!F:F,'caseload data'!$B:$B,"custody",'caseload data'!$C:$C,'custody %'!$B$22),"")</f>
        <v/>
      </c>
      <c r="E24" s="181" t="str">
        <f>IFERROR(SUMIFS('caseload data'!G:G,'caseload data'!$C:$C,'custody %'!$B$22,'caseload data'!$D:$D,"PO",'caseload data'!$B:$B,"custody")/SUMIFS('caseload data'!G:G,'caseload data'!$B:$B,"custody",'caseload data'!$C:$C,'custody %'!$B$22),"")</f>
        <v/>
      </c>
      <c r="F24" s="181" t="str">
        <f>IFERROR(SUMIFS('caseload data'!H:H,'caseload data'!$C:$C,'custody %'!$B$22,'caseload data'!$D:$D,"PO",'caseload data'!$B:$B,"custody")/SUMIFS('caseload data'!H:H,'caseload data'!$B:$B,"custody",'caseload data'!$C:$C,'custody %'!$B$22),"")</f>
        <v/>
      </c>
      <c r="G24" s="181" t="str">
        <f>IFERROR(SUMIFS('caseload data'!I:I,'caseload data'!$C:$C,'custody %'!$B$22,'caseload data'!$D:$D,"PO",'caseload data'!$B:$B,"custody")/SUMIFS('caseload data'!I:I,'caseload data'!$B:$B,"custody",'caseload data'!$C:$C,'custody %'!$B$22),"")</f>
        <v/>
      </c>
      <c r="H24" s="181" t="str">
        <f>IFERROR(SUMIFS('caseload data'!J:J,'caseload data'!$C:$C,'custody %'!$B$22,'caseload data'!$D:$D,"PO",'caseload data'!$B:$B,"custody")/SUMIFS('caseload data'!J:J,'caseload data'!$B:$B,"custody",'caseload data'!$C:$C,'custody %'!$B$22),"")</f>
        <v/>
      </c>
      <c r="I24" s="181" t="str">
        <f>IFERROR(SUMIFS('caseload data'!K:K,'caseload data'!$C:$C,'custody %'!$B$22,'caseload data'!$D:$D,"PO",'caseload data'!$B:$B,"custody")/SUMIFS('caseload data'!K:K,'caseload data'!$B:$B,"custody",'caseload data'!$C:$C,'custody %'!$B$22),"")</f>
        <v/>
      </c>
      <c r="J24" s="181" t="str">
        <f>IFERROR(SUMIFS('caseload data'!L:L,'caseload data'!$C:$C,'custody %'!$B$22,'caseload data'!$D:$D,"PO",'caseload data'!$B:$B,"custody")/SUMIFS('caseload data'!L:L,'caseload data'!$B:$B,"custody",'caseload data'!$C:$C,'custody %'!$B$22),"")</f>
        <v/>
      </c>
      <c r="K24" s="181" t="str">
        <f>IFERROR(SUMIFS('caseload data'!M:M,'caseload data'!$C:$C,'custody %'!$B$22,'caseload data'!$D:$D,"PO",'caseload data'!$B:$B,"custody")/SUMIFS('caseload data'!M:M,'caseload data'!$B:$B,"custody",'caseload data'!$C:$C,'custody %'!$B$22),"")</f>
        <v/>
      </c>
      <c r="L24" s="181" t="str">
        <f>IFERROR(SUMIFS('caseload data'!N:N,'caseload data'!$C:$C,'custody %'!$B$22,'caseload data'!$D:$D,"PO",'caseload data'!$B:$B,"custody")/SUMIFS('caseload data'!N:N,'caseload data'!$B:$B,"custody",'caseload data'!$C:$C,'custody %'!$B$22),"")</f>
        <v/>
      </c>
      <c r="M24" s="181" t="str">
        <f>IFERROR(SUMIFS('caseload data'!O:O,'caseload data'!$C:$C,'custody %'!$B$22,'caseload data'!$D:$D,"PO",'caseload data'!$B:$B,"custody")/SUMIFS('caseload data'!O:O,'caseload data'!$B:$B,"custody",'caseload data'!$C:$C,'custody %'!$B$22),"")</f>
        <v/>
      </c>
      <c r="N24" s="181" t="str">
        <f>IFERROR(SUMIFS('caseload data'!P:P,'caseload data'!$C:$C,'custody %'!$B$22,'caseload data'!$D:$D,"PO",'caseload data'!$B:$B,"custody")/SUMIFS('caseload data'!P:P,'caseload data'!$B:$B,"custody",'caseload data'!$C:$C,'custody %'!$B$22),"")</f>
        <v/>
      </c>
      <c r="O24" s="181" t="str">
        <f>IFERROR(SUMIFS('caseload data'!Q:Q,'caseload data'!$C:$C,'custody %'!$B$22,'caseload data'!$D:$D,"PO",'caseload data'!$B:$B,"custody")/SUMIFS('caseload data'!Q:Q,'caseload data'!$B:$B,"custody",'caseload data'!$C:$C,'custody %'!$B$22),"")</f>
        <v/>
      </c>
      <c r="P24" s="181" t="str">
        <f>IFERROR(SUMIFS('caseload data'!R:R,'caseload data'!$C:$C,'custody %'!$B$22,'caseload data'!$D:$D,"PO",'caseload data'!$B:$B,"custody")/SUMIFS('caseload data'!R:R,'caseload data'!$B:$B,"custody",'caseload data'!$C:$C,'custody %'!$B$22),"")</f>
        <v/>
      </c>
      <c r="Q24" s="181" t="str">
        <f>IFERROR(SUMIFS('caseload data'!S:S,'caseload data'!$C:$C,'custody %'!$B$22,'caseload data'!$D:$D,"PO",'caseload data'!$B:$B,"custody")/SUMIFS('caseload data'!S:S,'caseload data'!$B:$B,"custody",'caseload data'!$C:$C,'custody %'!$B$22),"")</f>
        <v/>
      </c>
      <c r="R24" s="181" t="str">
        <f>IFERROR(SUMIFS('caseload data'!T:T,'caseload data'!$C:$C,'custody %'!$B$22,'caseload data'!$D:$D,"PO",'caseload data'!$B:$B,"custody")/SUMIFS('caseload data'!T:T,'caseload data'!$B:$B,"custody",'caseload data'!$C:$C,'custody %'!$B$22),"")</f>
        <v/>
      </c>
      <c r="S24" s="73"/>
      <c r="T24" s="106" t="s">
        <v>911</v>
      </c>
      <c r="U24" s="181" t="str">
        <f>IFERROR(SUMIFS('caseload data'!E:E,'caseload data'!$C:$C,'custody %'!$T$22,'caseload data'!$D:$D,"PO",'caseload data'!$B:$B,"custody")/SUMIFS('caseload data'!E:E,'caseload data'!$B:$B,"custody",'caseload data'!$C:$C,'custody %'!$T$22),"")</f>
        <v/>
      </c>
      <c r="V24" s="181" t="str">
        <f>IFERROR(SUMIFS('caseload data'!F:F,'caseload data'!$C:$C,'custody %'!$T$22,'caseload data'!$D:$D,"PO",'caseload data'!$B:$B,"custody")/SUMIFS('caseload data'!F:F,'caseload data'!$B:$B,"custody",'caseload data'!$C:$C,'custody %'!$T$22),"")</f>
        <v/>
      </c>
      <c r="W24" s="181" t="str">
        <f>IFERROR(SUMIFS('caseload data'!G:G,'caseload data'!$C:$C,'custody %'!$T$22,'caseload data'!$D:$D,"PO",'caseload data'!$B:$B,"custody")/SUMIFS('caseload data'!G:G,'caseload data'!$B:$B,"custody",'caseload data'!$C:$C,'custody %'!$T$22),"")</f>
        <v/>
      </c>
      <c r="X24" s="181" t="str">
        <f>IFERROR(SUMIFS('caseload data'!H:H,'caseload data'!$C:$C,'custody %'!$T$22,'caseload data'!$D:$D,"PO",'caseload data'!$B:$B,"custody")/SUMIFS('caseload data'!H:H,'caseload data'!$B:$B,"custody",'caseload data'!$C:$C,'custody %'!$T$22),"")</f>
        <v/>
      </c>
      <c r="Y24" s="181" t="str">
        <f>IFERROR(SUMIFS('caseload data'!I:I,'caseload data'!$C:$C,'custody %'!$T$22,'caseload data'!$D:$D,"PO",'caseload data'!$B:$B,"custody")/SUMIFS('caseload data'!I:I,'caseload data'!$B:$B,"custody",'caseload data'!$C:$C,'custody %'!$T$22),"")</f>
        <v/>
      </c>
      <c r="Z24" s="181" t="str">
        <f>IFERROR(SUMIFS('caseload data'!J:J,'caseload data'!$C:$C,'custody %'!$T$22,'caseload data'!$D:$D,"PO",'caseload data'!$B:$B,"custody")/SUMIFS('caseload data'!J:J,'caseload data'!$B:$B,"custody",'caseload data'!$C:$C,'custody %'!$T$22),"")</f>
        <v/>
      </c>
      <c r="AA24" s="181" t="str">
        <f>IFERROR(SUMIFS('caseload data'!K:K,'caseload data'!$C:$C,'custody %'!$T$22,'caseload data'!$D:$D,"PO",'caseload data'!$B:$B,"custody")/SUMIFS('caseload data'!K:K,'caseload data'!$B:$B,"custody",'caseload data'!$C:$C,'custody %'!$T$22),"")</f>
        <v/>
      </c>
      <c r="AB24" s="181" t="str">
        <f>IFERROR(SUMIFS('caseload data'!L:L,'caseload data'!$C:$C,'custody %'!$T$22,'caseload data'!$D:$D,"PO",'caseload data'!$B:$B,"custody")/SUMIFS('caseload data'!L:L,'caseload data'!$B:$B,"custody",'caseload data'!$C:$C,'custody %'!$T$22),"")</f>
        <v/>
      </c>
      <c r="AC24" s="181" t="str">
        <f>IFERROR(SUMIFS('caseload data'!M:M,'caseload data'!$C:$C,'custody %'!$T$22,'caseload data'!$D:$D,"PO",'caseload data'!$B:$B,"custody")/SUMIFS('caseload data'!M:M,'caseload data'!$B:$B,"custody",'caseload data'!$C:$C,'custody %'!$T$22),"")</f>
        <v/>
      </c>
      <c r="AD24" s="181" t="str">
        <f>IFERROR(SUMIFS('caseload data'!N:N,'caseload data'!$C:$C,'custody %'!$T$22,'caseload data'!$D:$D,"PO",'caseload data'!$B:$B,"custody")/SUMIFS('caseload data'!N:N,'caseload data'!$B:$B,"custody",'caseload data'!$C:$C,'custody %'!$T$22),"")</f>
        <v/>
      </c>
      <c r="AE24" s="181" t="str">
        <f>IFERROR(SUMIFS('caseload data'!O:O,'caseload data'!$C:$C,'custody %'!$T$22,'caseload data'!$D:$D,"PO",'caseload data'!$B:$B,"custody")/SUMIFS('caseload data'!O:O,'caseload data'!$B:$B,"custody",'caseload data'!$C:$C,'custody %'!$T$22),"")</f>
        <v/>
      </c>
      <c r="AF24" s="181" t="str">
        <f>IFERROR(SUMIFS('caseload data'!P:P,'caseload data'!$C:$C,'custody %'!$T$22,'caseload data'!$D:$D,"PO",'caseload data'!$B:$B,"custody")/SUMIFS('caseload data'!P:P,'caseload data'!$B:$B,"custody",'caseload data'!$C:$C,'custody %'!$T$22),"")</f>
        <v/>
      </c>
      <c r="AG24" s="181" t="str">
        <f>IFERROR(SUMIFS('caseload data'!Q:Q,'caseload data'!$C:$C,'custody %'!$T$22,'caseload data'!$D:$D,"PO",'caseload data'!$B:$B,"custody")/SUMIFS('caseload data'!Q:Q,'caseload data'!$B:$B,"custody",'caseload data'!$C:$C,'custody %'!$T$22),"")</f>
        <v/>
      </c>
      <c r="AH24" s="181" t="str">
        <f>IFERROR(SUMIFS('caseload data'!R:R,'caseload data'!$C:$C,'custody %'!$T$22,'caseload data'!$D:$D,"PO",'caseload data'!$B:$B,"custody")/SUMIFS('caseload data'!R:R,'caseload data'!$B:$B,"custody",'caseload data'!$C:$C,'custody %'!$T$22),"")</f>
        <v/>
      </c>
      <c r="AI24" s="181"/>
      <c r="AJ24" s="181"/>
    </row>
    <row r="25" spans="2:36" x14ac:dyDescent="0.15">
      <c r="B25" s="107" t="s">
        <v>912</v>
      </c>
      <c r="C25" s="181" t="str">
        <f>IFERROR(SUMIFS('caseload data'!E:E,'caseload data'!$C:$C,'custody %'!$B$22,'caseload data'!$D:$D,"PSO",'caseload data'!$B:$B,"custody")/SUMIFS('caseload data'!E:E,'caseload data'!$B:$B,"custody",'caseload data'!$C:$C,'custody %'!$B$22),"")</f>
        <v/>
      </c>
      <c r="D25" s="181" t="str">
        <f>IFERROR(SUMIFS('caseload data'!F:F,'caseload data'!$C:$C,'custody %'!$B$22,'caseload data'!$D:$D,"PSO",'caseload data'!$B:$B,"custody")/SUMIFS('caseload data'!F:F,'caseload data'!$B:$B,"custody",'caseload data'!$C:$C,'custody %'!$B$22),"")</f>
        <v/>
      </c>
      <c r="E25" s="181" t="str">
        <f>IFERROR(SUMIFS('caseload data'!G:G,'caseload data'!$C:$C,'custody %'!$B$22,'caseload data'!$D:$D,"PSO",'caseload data'!$B:$B,"custody")/SUMIFS('caseload data'!G:G,'caseload data'!$B:$B,"custody",'caseload data'!$C:$C,'custody %'!$B$22),"")</f>
        <v/>
      </c>
      <c r="F25" s="181" t="str">
        <f>IFERROR(SUMIFS('caseload data'!H:H,'caseload data'!$C:$C,'custody %'!$B$22,'caseload data'!$D:$D,"PSO",'caseload data'!$B:$B,"custody")/SUMIFS('caseload data'!H:H,'caseload data'!$B:$B,"custody",'caseload data'!$C:$C,'custody %'!$B$22),"")</f>
        <v/>
      </c>
      <c r="G25" s="181" t="str">
        <f>IFERROR(SUMIFS('caseload data'!I:I,'caseload data'!$C:$C,'custody %'!$B$22,'caseload data'!$D:$D,"PSO",'caseload data'!$B:$B,"custody")/SUMIFS('caseload data'!I:I,'caseload data'!$B:$B,"custody",'caseload data'!$C:$C,'custody %'!$B$22),"")</f>
        <v/>
      </c>
      <c r="H25" s="181" t="str">
        <f>IFERROR(SUMIFS('caseload data'!J:J,'caseload data'!$C:$C,'custody %'!$B$22,'caseload data'!$D:$D,"PSO",'caseload data'!$B:$B,"custody")/SUMIFS('caseload data'!J:J,'caseload data'!$B:$B,"custody",'caseload data'!$C:$C,'custody %'!$B$22),"")</f>
        <v/>
      </c>
      <c r="I25" s="181" t="str">
        <f>IFERROR(SUMIFS('caseload data'!K:K,'caseload data'!$C:$C,'custody %'!$B$22,'caseload data'!$D:$D,"PSO",'caseload data'!$B:$B,"custody")/SUMIFS('caseload data'!K:K,'caseload data'!$B:$B,"custody",'caseload data'!$C:$C,'custody %'!$B$22),"")</f>
        <v/>
      </c>
      <c r="J25" s="181" t="str">
        <f>IFERROR(SUMIFS('caseload data'!L:L,'caseload data'!$C:$C,'custody %'!$B$22,'caseload data'!$D:$D,"PSO",'caseload data'!$B:$B,"custody")/SUMIFS('caseload data'!L:L,'caseload data'!$B:$B,"custody",'caseload data'!$C:$C,'custody %'!$B$22),"")</f>
        <v/>
      </c>
      <c r="K25" s="181" t="str">
        <f>IFERROR(SUMIFS('caseload data'!M:M,'caseload data'!$C:$C,'custody %'!$B$22,'caseload data'!$D:$D,"PSO",'caseload data'!$B:$B,"custody")/SUMIFS('caseload data'!M:M,'caseload data'!$B:$B,"custody",'caseload data'!$C:$C,'custody %'!$B$22),"")</f>
        <v/>
      </c>
      <c r="L25" s="181" t="str">
        <f>IFERROR(SUMIFS('caseload data'!N:N,'caseload data'!$C:$C,'custody %'!$B$22,'caseload data'!$D:$D,"PSO",'caseload data'!$B:$B,"custody")/SUMIFS('caseload data'!N:N,'caseload data'!$B:$B,"custody",'caseload data'!$C:$C,'custody %'!$B$22),"")</f>
        <v/>
      </c>
      <c r="M25" s="181" t="str">
        <f>IFERROR(SUMIFS('caseload data'!O:O,'caseload data'!$C:$C,'custody %'!$B$22,'caseload data'!$D:$D,"PSO",'caseload data'!$B:$B,"custody")/SUMIFS('caseload data'!O:O,'caseload data'!$B:$B,"custody",'caseload data'!$C:$C,'custody %'!$B$22),"")</f>
        <v/>
      </c>
      <c r="N25" s="181" t="str">
        <f>IFERROR(SUMIFS('caseload data'!P:P,'caseload data'!$C:$C,'custody %'!$B$22,'caseload data'!$D:$D,"PSO",'caseload data'!$B:$B,"custody")/SUMIFS('caseload data'!P:P,'caseload data'!$B:$B,"custody",'caseload data'!$C:$C,'custody %'!$B$22),"")</f>
        <v/>
      </c>
      <c r="O25" s="181" t="str">
        <f>IFERROR(SUMIFS('caseload data'!Q:Q,'caseload data'!$C:$C,'custody %'!$B$22,'caseload data'!$D:$D,"PSO",'caseload data'!$B:$B,"custody")/SUMIFS('caseload data'!Q:Q,'caseload data'!$B:$B,"custody",'caseload data'!$C:$C,'custody %'!$B$22),"")</f>
        <v/>
      </c>
      <c r="P25" s="181" t="str">
        <f>IFERROR(SUMIFS('caseload data'!R:R,'caseload data'!$C:$C,'custody %'!$B$22,'caseload data'!$D:$D,"PSO",'caseload data'!$B:$B,"custody")/SUMIFS('caseload data'!R:R,'caseload data'!$B:$B,"custody",'caseload data'!$C:$C,'custody %'!$B$22),"")</f>
        <v/>
      </c>
      <c r="Q25" s="181" t="str">
        <f>IFERROR(SUMIFS('caseload data'!S:S,'caseload data'!$C:$C,'custody %'!$B$22,'caseload data'!$D:$D,"PSO",'caseload data'!$B:$B,"custody")/SUMIFS('caseload data'!S:S,'caseload data'!$B:$B,"custody",'caseload data'!$C:$C,'custody %'!$B$22),"")</f>
        <v/>
      </c>
      <c r="R25" s="181" t="str">
        <f>IFERROR(SUMIFS('caseload data'!T:T,'caseload data'!$C:$C,'custody %'!$B$22,'caseload data'!$D:$D,"PSO",'caseload data'!$B:$B,"custody")/SUMIFS('caseload data'!T:T,'caseload data'!$B:$B,"custody",'caseload data'!$C:$C,'custody %'!$B$22),"")</f>
        <v/>
      </c>
      <c r="S25" s="73"/>
      <c r="T25" s="107" t="s">
        <v>912</v>
      </c>
      <c r="U25" s="181" t="str">
        <f>IFERROR(SUMIFS('caseload data'!E:E,'caseload data'!$C:$C,'custody %'!$T$22,'caseload data'!$D:$D,"PSO",'caseload data'!$B:$B,"custody")/SUMIFS('caseload data'!E:E,'caseload data'!$B:$B,"custody",'caseload data'!$C:$C,'custody %'!$T$22),"")</f>
        <v/>
      </c>
      <c r="V25" s="181" t="str">
        <f>IFERROR(SUMIFS('caseload data'!F:F,'caseload data'!$C:$C,'custody %'!$T$22,'caseload data'!$D:$D,"PSO",'caseload data'!$B:$B,"custody")/SUMIFS('caseload data'!F:F,'caseload data'!$B:$B,"custody",'caseload data'!$C:$C,'custody %'!$T$22),"")</f>
        <v/>
      </c>
      <c r="W25" s="181" t="str">
        <f>IFERROR(SUMIFS('caseload data'!G:G,'caseload data'!$C:$C,'custody %'!$T$22,'caseload data'!$D:$D,"PSO",'caseload data'!$B:$B,"custody")/SUMIFS('caseload data'!G:G,'caseload data'!$B:$B,"custody",'caseload data'!$C:$C,'custody %'!$T$22),"")</f>
        <v/>
      </c>
      <c r="X25" s="181" t="str">
        <f>IFERROR(SUMIFS('caseload data'!H:H,'caseload data'!$C:$C,'custody %'!$T$22,'caseload data'!$D:$D,"PSO",'caseload data'!$B:$B,"custody")/SUMIFS('caseload data'!H:H,'caseload data'!$B:$B,"custody",'caseload data'!$C:$C,'custody %'!$T$22),"")</f>
        <v/>
      </c>
      <c r="Y25" s="181" t="str">
        <f>IFERROR(SUMIFS('caseload data'!I:I,'caseload data'!$C:$C,'custody %'!$T$22,'caseload data'!$D:$D,"PSO",'caseload data'!$B:$B,"custody")/SUMIFS('caseload data'!I:I,'caseload data'!$B:$B,"custody",'caseload data'!$C:$C,'custody %'!$T$22),"")</f>
        <v/>
      </c>
      <c r="Z25" s="181" t="str">
        <f>IFERROR(SUMIFS('caseload data'!J:J,'caseload data'!$C:$C,'custody %'!$T$22,'caseload data'!$D:$D,"PSO",'caseload data'!$B:$B,"custody")/SUMIFS('caseload data'!J:J,'caseload data'!$B:$B,"custody",'caseload data'!$C:$C,'custody %'!$T$22),"")</f>
        <v/>
      </c>
      <c r="AA25" s="181" t="str">
        <f>IFERROR(SUMIFS('caseload data'!K:K,'caseload data'!$C:$C,'custody %'!$T$22,'caseload data'!$D:$D,"PSO",'caseload data'!$B:$B,"custody")/SUMIFS('caseload data'!K:K,'caseload data'!$B:$B,"custody",'caseload data'!$C:$C,'custody %'!$T$22),"")</f>
        <v/>
      </c>
      <c r="AB25" s="181" t="str">
        <f>IFERROR(SUMIFS('caseload data'!L:L,'caseload data'!$C:$C,'custody %'!$T$22,'caseload data'!$D:$D,"PSO",'caseload data'!$B:$B,"custody")/SUMIFS('caseload data'!L:L,'caseload data'!$B:$B,"custody",'caseload data'!$C:$C,'custody %'!$T$22),"")</f>
        <v/>
      </c>
      <c r="AC25" s="181" t="str">
        <f>IFERROR(SUMIFS('caseload data'!M:M,'caseload data'!$C:$C,'custody %'!$T$22,'caseload data'!$D:$D,"PSO",'caseload data'!$B:$B,"custody")/SUMIFS('caseload data'!M:M,'caseload data'!$B:$B,"custody",'caseload data'!$C:$C,'custody %'!$T$22),"")</f>
        <v/>
      </c>
      <c r="AD25" s="181" t="str">
        <f>IFERROR(SUMIFS('caseload data'!N:N,'caseload data'!$C:$C,'custody %'!$T$22,'caseload data'!$D:$D,"PSO",'caseload data'!$B:$B,"custody")/SUMIFS('caseload data'!N:N,'caseload data'!$B:$B,"custody",'caseload data'!$C:$C,'custody %'!$T$22),"")</f>
        <v/>
      </c>
      <c r="AE25" s="181" t="str">
        <f>IFERROR(SUMIFS('caseload data'!O:O,'caseload data'!$C:$C,'custody %'!$T$22,'caseload data'!$D:$D,"PSO",'caseload data'!$B:$B,"custody")/SUMIFS('caseload data'!O:O,'caseload data'!$B:$B,"custody",'caseload data'!$C:$C,'custody %'!$T$22),"")</f>
        <v/>
      </c>
      <c r="AF25" s="181" t="str">
        <f>IFERROR(SUMIFS('caseload data'!P:P,'caseload data'!$C:$C,'custody %'!$T$22,'caseload data'!$D:$D,"PSO",'caseload data'!$B:$B,"custody")/SUMIFS('caseload data'!P:P,'caseload data'!$B:$B,"custody",'caseload data'!$C:$C,'custody %'!$T$22),"")</f>
        <v/>
      </c>
      <c r="AG25" s="181" t="str">
        <f>IFERROR(SUMIFS('caseload data'!Q:Q,'caseload data'!$C:$C,'custody %'!$T$22,'caseload data'!$D:$D,"PSO",'caseload data'!$B:$B,"custody")/SUMIFS('caseload data'!Q:Q,'caseload data'!$B:$B,"custody",'caseload data'!$C:$C,'custody %'!$T$22),"")</f>
        <v/>
      </c>
      <c r="AH25" s="181" t="str">
        <f>IFERROR(SUMIFS('caseload data'!R:R,'caseload data'!$C:$C,'custody %'!$T$22,'caseload data'!$D:$D,"PSO",'caseload data'!$B:$B,"custody")/SUMIFS('caseload data'!R:R,'caseload data'!$B:$B,"custody",'caseload data'!$C:$C,'custody %'!$T$22),"")</f>
        <v/>
      </c>
      <c r="AI25" s="181"/>
      <c r="AJ25" s="181"/>
    </row>
    <row r="26" spans="2:36" x14ac:dyDescent="0.15">
      <c r="B26" s="107" t="s">
        <v>913</v>
      </c>
      <c r="C26" s="181" t="str">
        <f>IFERROR(SUMIFS('caseload data'!E:E,'caseload data'!$C:$C,'custody %'!$B$22,'caseload data'!$D:$D,"TPO",'caseload data'!$B:$B,"custody")/SUMIFS('caseload data'!E:E,'caseload data'!$B:$B,"custody",'caseload data'!$C:$C,'custody %'!$B$22),"")</f>
        <v/>
      </c>
      <c r="D26" s="181" t="str">
        <f>IFERROR(SUMIFS('caseload data'!F:F,'caseload data'!$C:$C,'custody %'!$B$22,'caseload data'!$D:$D,"TPO",'caseload data'!$B:$B,"custody")/SUMIFS('caseload data'!F:F,'caseload data'!$B:$B,"custody",'caseload data'!$C:$C,'custody %'!$B$22),"")</f>
        <v/>
      </c>
      <c r="E26" s="181" t="str">
        <f>IFERROR(SUMIFS('caseload data'!G:G,'caseload data'!$C:$C,'custody %'!$B$22,'caseload data'!$D:$D,"TPO",'caseload data'!$B:$B,"custody")/SUMIFS('caseload data'!G:G,'caseload data'!$B:$B,"custody",'caseload data'!$C:$C,'custody %'!$B$22),"")</f>
        <v/>
      </c>
      <c r="F26" s="181" t="str">
        <f>IFERROR(SUMIFS('caseload data'!H:H,'caseload data'!$C:$C,'custody %'!$B$22,'caseload data'!$D:$D,"TPO",'caseload data'!$B:$B,"custody")/SUMIFS('caseload data'!H:H,'caseload data'!$B:$B,"custody",'caseload data'!$C:$C,'custody %'!$B$22),"")</f>
        <v/>
      </c>
      <c r="G26" s="181" t="str">
        <f>IFERROR(SUMIFS('caseload data'!I:I,'caseload data'!$C:$C,'custody %'!$B$22,'caseload data'!$D:$D,"TPO",'caseload data'!$B:$B,"custody")/SUMIFS('caseload data'!I:I,'caseload data'!$B:$B,"custody",'caseload data'!$C:$C,'custody %'!$B$22),"")</f>
        <v/>
      </c>
      <c r="H26" s="181" t="str">
        <f>IFERROR(SUMIFS('caseload data'!J:J,'caseload data'!$C:$C,'custody %'!$B$22,'caseload data'!$D:$D,"TPO",'caseload data'!$B:$B,"custody")/SUMIFS('caseload data'!J:J,'caseload data'!$B:$B,"custody",'caseload data'!$C:$C,'custody %'!$B$22),"")</f>
        <v/>
      </c>
      <c r="I26" s="181" t="str">
        <f>IFERROR(SUMIFS('caseload data'!K:K,'caseload data'!$C:$C,'custody %'!$B$22,'caseload data'!$D:$D,"TPO",'caseload data'!$B:$B,"custody")/SUMIFS('caseload data'!K:K,'caseload data'!$B:$B,"custody",'caseload data'!$C:$C,'custody %'!$B$22),"")</f>
        <v/>
      </c>
      <c r="J26" s="181" t="str">
        <f>IFERROR(SUMIFS('caseload data'!L:L,'caseload data'!$C:$C,'custody %'!$B$22,'caseload data'!$D:$D,"TPO",'caseload data'!$B:$B,"custody")/SUMIFS('caseload data'!L:L,'caseload data'!$B:$B,"custody",'caseload data'!$C:$C,'custody %'!$B$22),"")</f>
        <v/>
      </c>
      <c r="K26" s="181" t="str">
        <f>IFERROR(SUMIFS('caseload data'!M:M,'caseload data'!$C:$C,'custody %'!$B$22,'caseload data'!$D:$D,"TPO",'caseload data'!$B:$B,"custody")/SUMIFS('caseload data'!M:M,'caseload data'!$B:$B,"custody",'caseload data'!$C:$C,'custody %'!$B$22),"")</f>
        <v/>
      </c>
      <c r="L26" s="181" t="str">
        <f>IFERROR(SUMIFS('caseload data'!N:N,'caseload data'!$C:$C,'custody %'!$B$22,'caseload data'!$D:$D,"TPO",'caseload data'!$B:$B,"custody")/SUMIFS('caseload data'!N:N,'caseload data'!$B:$B,"custody",'caseload data'!$C:$C,'custody %'!$B$22),"")</f>
        <v/>
      </c>
      <c r="M26" s="181" t="str">
        <f>IFERROR(SUMIFS('caseload data'!O:O,'caseload data'!$C:$C,'custody %'!$B$22,'caseload data'!$D:$D,"TPO",'caseload data'!$B:$B,"custody")/SUMIFS('caseload data'!O:O,'caseload data'!$B:$B,"custody",'caseload data'!$C:$C,'custody %'!$B$22),"")</f>
        <v/>
      </c>
      <c r="N26" s="181" t="str">
        <f>IFERROR(SUMIFS('caseload data'!P:P,'caseload data'!$C:$C,'custody %'!$B$22,'caseload data'!$D:$D,"TPO",'caseload data'!$B:$B,"custody")/SUMIFS('caseload data'!P:P,'caseload data'!$B:$B,"custody",'caseload data'!$C:$C,'custody %'!$B$22),"")</f>
        <v/>
      </c>
      <c r="O26" s="181" t="str">
        <f>IFERROR(SUMIFS('caseload data'!Q:Q,'caseload data'!$C:$C,'custody %'!$B$22,'caseload data'!$D:$D,"TPO",'caseload data'!$B:$B,"custody")/SUMIFS('caseload data'!Q:Q,'caseload data'!$B:$B,"custody",'caseload data'!$C:$C,'custody %'!$B$22),"")</f>
        <v/>
      </c>
      <c r="P26" s="181" t="str">
        <f>IFERROR(SUMIFS('caseload data'!R:R,'caseload data'!$C:$C,'custody %'!$B$22,'caseload data'!$D:$D,"TPO",'caseload data'!$B:$B,"custody")/SUMIFS('caseload data'!R:R,'caseload data'!$B:$B,"custody",'caseload data'!$C:$C,'custody %'!$B$22),"")</f>
        <v/>
      </c>
      <c r="Q26" s="181" t="str">
        <f>IFERROR(SUMIFS('caseload data'!S:S,'caseload data'!$C:$C,'custody %'!$B$22,'caseload data'!$D:$D,"TPO",'caseload data'!$B:$B,"custody")/SUMIFS('caseload data'!S:S,'caseload data'!$B:$B,"custody",'caseload data'!$C:$C,'custody %'!$B$22),"")</f>
        <v/>
      </c>
      <c r="R26" s="181" t="str">
        <f>IFERROR(SUMIFS('caseload data'!T:T,'caseload data'!$C:$C,'custody %'!$B$22,'caseload data'!$D:$D,"TPO",'caseload data'!$B:$B,"custody")/SUMIFS('caseload data'!T:T,'caseload data'!$B:$B,"custody",'caseload data'!$C:$C,'custody %'!$B$22),"")</f>
        <v/>
      </c>
      <c r="S26" s="73"/>
      <c r="T26" s="107" t="s">
        <v>913</v>
      </c>
      <c r="U26" s="181" t="str">
        <f>IFERROR(SUMIFS('caseload data'!E:E,'caseload data'!$C:$C,'custody %'!$T$22,'caseload data'!$D:$D,"TPO",'caseload data'!$B:$B,"custody")/SUMIFS('caseload data'!E:E,'caseload data'!$B:$B,"custody",'caseload data'!$C:$C,'custody %'!$T$22),"")</f>
        <v/>
      </c>
      <c r="V26" s="181" t="str">
        <f>IFERROR(SUMIFS('caseload data'!F:F,'caseload data'!$C:$C,'custody %'!$T$22,'caseload data'!$D:$D,"TPO",'caseload data'!$B:$B,"custody")/SUMIFS('caseload data'!F:F,'caseload data'!$B:$B,"custody",'caseload data'!$C:$C,'custody %'!$T$22),"")</f>
        <v/>
      </c>
      <c r="W26" s="181" t="str">
        <f>IFERROR(SUMIFS('caseload data'!G:G,'caseload data'!$C:$C,'custody %'!$T$22,'caseload data'!$D:$D,"TPO",'caseload data'!$B:$B,"custody")/SUMIFS('caseload data'!G:G,'caseload data'!$B:$B,"custody",'caseload data'!$C:$C,'custody %'!$T$22),"")</f>
        <v/>
      </c>
      <c r="X26" s="181" t="str">
        <f>IFERROR(SUMIFS('caseload data'!H:H,'caseload data'!$C:$C,'custody %'!$T$22,'caseload data'!$D:$D,"TPO",'caseload data'!$B:$B,"custody")/SUMIFS('caseload data'!H:H,'caseload data'!$B:$B,"custody",'caseload data'!$C:$C,'custody %'!$T$22),"")</f>
        <v/>
      </c>
      <c r="Y26" s="181" t="str">
        <f>IFERROR(SUMIFS('caseload data'!I:I,'caseload data'!$C:$C,'custody %'!$T$22,'caseload data'!$D:$D,"TPO",'caseload data'!$B:$B,"custody")/SUMIFS('caseload data'!I:I,'caseload data'!$B:$B,"custody",'caseload data'!$C:$C,'custody %'!$T$22),"")</f>
        <v/>
      </c>
      <c r="Z26" s="181" t="str">
        <f>IFERROR(SUMIFS('caseload data'!J:J,'caseload data'!$C:$C,'custody %'!$T$22,'caseload data'!$D:$D,"TPO",'caseload data'!$B:$B,"custody")/SUMIFS('caseload data'!J:J,'caseload data'!$B:$B,"custody",'caseload data'!$C:$C,'custody %'!$T$22),"")</f>
        <v/>
      </c>
      <c r="AA26" s="181" t="str">
        <f>IFERROR(SUMIFS('caseload data'!K:K,'caseload data'!$C:$C,'custody %'!$T$22,'caseload data'!$D:$D,"TPO",'caseload data'!$B:$B,"custody")/SUMIFS('caseload data'!K:K,'caseload data'!$B:$B,"custody",'caseload data'!$C:$C,'custody %'!$T$22),"")</f>
        <v/>
      </c>
      <c r="AB26" s="181" t="str">
        <f>IFERROR(SUMIFS('caseload data'!L:L,'caseload data'!$C:$C,'custody %'!$T$22,'caseload data'!$D:$D,"TPO",'caseload data'!$B:$B,"custody")/SUMIFS('caseload data'!L:L,'caseload data'!$B:$B,"custody",'caseload data'!$C:$C,'custody %'!$T$22),"")</f>
        <v/>
      </c>
      <c r="AC26" s="181" t="str">
        <f>IFERROR(SUMIFS('caseload data'!M:M,'caseload data'!$C:$C,'custody %'!$T$22,'caseload data'!$D:$D,"TPO",'caseload data'!$B:$B,"custody")/SUMIFS('caseload data'!M:M,'caseload data'!$B:$B,"custody",'caseload data'!$C:$C,'custody %'!$T$22),"")</f>
        <v/>
      </c>
      <c r="AD26" s="181" t="str">
        <f>IFERROR(SUMIFS('caseload data'!N:N,'caseload data'!$C:$C,'custody %'!$T$22,'caseload data'!$D:$D,"TPO",'caseload data'!$B:$B,"custody")/SUMIFS('caseload data'!N:N,'caseload data'!$B:$B,"custody",'caseload data'!$C:$C,'custody %'!$T$22),"")</f>
        <v/>
      </c>
      <c r="AE26" s="181" t="str">
        <f>IFERROR(SUMIFS('caseload data'!O:O,'caseload data'!$C:$C,'custody %'!$T$22,'caseload data'!$D:$D,"TPO",'caseload data'!$B:$B,"custody")/SUMIFS('caseload data'!O:O,'caseload data'!$B:$B,"custody",'caseload data'!$C:$C,'custody %'!$T$22),"")</f>
        <v/>
      </c>
      <c r="AF26" s="181" t="str">
        <f>IFERROR(SUMIFS('caseload data'!P:P,'caseload data'!$C:$C,'custody %'!$T$22,'caseload data'!$D:$D,"TPO",'caseload data'!$B:$B,"custody")/SUMIFS('caseload data'!P:P,'caseload data'!$B:$B,"custody",'caseload data'!$C:$C,'custody %'!$T$22),"")</f>
        <v/>
      </c>
      <c r="AG26" s="181" t="str">
        <f>IFERROR(SUMIFS('caseload data'!Q:Q,'caseload data'!$C:$C,'custody %'!$T$22,'caseload data'!$D:$D,"TPO",'caseload data'!$B:$B,"custody")/SUMIFS('caseload data'!Q:Q,'caseload data'!$B:$B,"custody",'caseload data'!$C:$C,'custody %'!$T$22),"")</f>
        <v/>
      </c>
      <c r="AH26" s="181" t="str">
        <f>IFERROR(SUMIFS('caseload data'!R:R,'caseload data'!$C:$C,'custody %'!$T$22,'caseload data'!$D:$D,"TPO",'caseload data'!$B:$B,"custody")/SUMIFS('caseload data'!R:R,'caseload data'!$B:$B,"custody",'caseload data'!$C:$C,'custody %'!$T$22),"")</f>
        <v/>
      </c>
      <c r="AI26" s="181"/>
      <c r="AJ26" s="181"/>
    </row>
    <row r="27" spans="2:36" x14ac:dyDescent="0.15">
      <c r="B27" s="108" t="s">
        <v>914</v>
      </c>
      <c r="C27" s="181" t="str">
        <f>IFERROR(SUMIFS('caseload data'!E:E,'caseload data'!$C:$C,'custody %'!$B$22,'caseload data'!$D:$D,"SPO",'caseload data'!$B:$B,"custody")/SUMIFS('caseload data'!E:E,'caseload data'!$B:$B,"custody",'caseload data'!$C:$C,'custody %'!$B$22),"")</f>
        <v/>
      </c>
      <c r="D27" s="181" t="str">
        <f>IFERROR(SUMIFS('caseload data'!F:F,'caseload data'!$C:$C,'custody %'!$B$22,'caseload data'!$D:$D,"SPO",'caseload data'!$B:$B,"custody")/SUMIFS('caseload data'!F:F,'caseload data'!$B:$B,"custody",'caseload data'!$C:$C,'custody %'!$B$22),"")</f>
        <v/>
      </c>
      <c r="E27" s="181" t="str">
        <f>IFERROR(SUMIFS('caseload data'!G:G,'caseload data'!$C:$C,'custody %'!$B$22,'caseload data'!$D:$D,"SPO",'caseload data'!$B:$B,"custody")/SUMIFS('caseload data'!G:G,'caseload data'!$B:$B,"custody",'caseload data'!$C:$C,'custody %'!$B$22),"")</f>
        <v/>
      </c>
      <c r="F27" s="181" t="str">
        <f>IFERROR(SUMIFS('caseload data'!H:H,'caseload data'!$C:$C,'custody %'!$B$22,'caseload data'!$D:$D,"SPO",'caseload data'!$B:$B,"custody")/SUMIFS('caseload data'!H:H,'caseload data'!$B:$B,"custody",'caseload data'!$C:$C,'custody %'!$B$22),"")</f>
        <v/>
      </c>
      <c r="G27" s="181" t="str">
        <f>IFERROR(SUMIFS('caseload data'!I:I,'caseload data'!$C:$C,'custody %'!$B$22,'caseload data'!$D:$D,"SPO",'caseload data'!$B:$B,"custody")/SUMIFS('caseload data'!I:I,'caseload data'!$B:$B,"custody",'caseload data'!$C:$C,'custody %'!$B$22),"")</f>
        <v/>
      </c>
      <c r="H27" s="181" t="str">
        <f>IFERROR(SUMIFS('caseload data'!J:J,'caseload data'!$C:$C,'custody %'!$B$22,'caseload data'!$D:$D,"SPO",'caseload data'!$B:$B,"custody")/SUMIFS('caseload data'!J:J,'caseload data'!$B:$B,"custody",'caseload data'!$C:$C,'custody %'!$B$22),"")</f>
        <v/>
      </c>
      <c r="I27" s="181" t="str">
        <f>IFERROR(SUMIFS('caseload data'!K:K,'caseload data'!$C:$C,'custody %'!$B$22,'caseload data'!$D:$D,"SPO",'caseload data'!$B:$B,"custody")/SUMIFS('caseload data'!K:K,'caseload data'!$B:$B,"custody",'caseload data'!$C:$C,'custody %'!$B$22),"")</f>
        <v/>
      </c>
      <c r="J27" s="181" t="str">
        <f>IFERROR(SUMIFS('caseload data'!L:L,'caseload data'!$C:$C,'custody %'!$B$22,'caseload data'!$D:$D,"SPO",'caseload data'!$B:$B,"custody")/SUMIFS('caseload data'!L:L,'caseload data'!$B:$B,"custody",'caseload data'!$C:$C,'custody %'!$B$22),"")</f>
        <v/>
      </c>
      <c r="K27" s="181" t="str">
        <f>IFERROR(SUMIFS('caseload data'!M:M,'caseload data'!$C:$C,'custody %'!$B$22,'caseload data'!$D:$D,"SPO",'caseload data'!$B:$B,"custody")/SUMIFS('caseload data'!M:M,'caseload data'!$B:$B,"custody",'caseload data'!$C:$C,'custody %'!$B$22),"")</f>
        <v/>
      </c>
      <c r="L27" s="181" t="str">
        <f>IFERROR(SUMIFS('caseload data'!N:N,'caseload data'!$C:$C,'custody %'!$B$22,'caseload data'!$D:$D,"SPO",'caseload data'!$B:$B,"custody")/SUMIFS('caseload data'!N:N,'caseload data'!$B:$B,"custody",'caseload data'!$C:$C,'custody %'!$B$22),"")</f>
        <v/>
      </c>
      <c r="M27" s="181" t="str">
        <f>IFERROR(SUMIFS('caseload data'!O:O,'caseload data'!$C:$C,'custody %'!$B$22,'caseload data'!$D:$D,"SPO",'caseload data'!$B:$B,"custody")/SUMIFS('caseload data'!O:O,'caseload data'!$B:$B,"custody",'caseload data'!$C:$C,'custody %'!$B$22),"")</f>
        <v/>
      </c>
      <c r="N27" s="181" t="str">
        <f>IFERROR(SUMIFS('caseload data'!P:P,'caseload data'!$C:$C,'custody %'!$B$22,'caseload data'!$D:$D,"SPO",'caseload data'!$B:$B,"custody")/SUMIFS('caseload data'!P:P,'caseload data'!$B:$B,"custody",'caseload data'!$C:$C,'custody %'!$B$22),"")</f>
        <v/>
      </c>
      <c r="O27" s="181" t="str">
        <f>IFERROR(SUMIFS('caseload data'!Q:Q,'caseload data'!$C:$C,'custody %'!$B$22,'caseload data'!$D:$D,"SPO",'caseload data'!$B:$B,"custody")/SUMIFS('caseload data'!Q:Q,'caseload data'!$B:$B,"custody",'caseload data'!$C:$C,'custody %'!$B$22),"")</f>
        <v/>
      </c>
      <c r="P27" s="181" t="str">
        <f>IFERROR(SUMIFS('caseload data'!R:R,'caseload data'!$C:$C,'custody %'!$B$22,'caseload data'!$D:$D,"SPO",'caseload data'!$B:$B,"custody")/SUMIFS('caseload data'!R:R,'caseload data'!$B:$B,"custody",'caseload data'!$C:$C,'custody %'!$B$22),"")</f>
        <v/>
      </c>
      <c r="Q27" s="181" t="str">
        <f>IFERROR(SUMIFS('caseload data'!S:S,'caseload data'!$C:$C,'custody %'!$B$22,'caseload data'!$D:$D,"SPO",'caseload data'!$B:$B,"custody")/SUMIFS('caseload data'!S:S,'caseload data'!$B:$B,"custody",'caseload data'!$C:$C,'custody %'!$B$22),"")</f>
        <v/>
      </c>
      <c r="R27" s="181" t="str">
        <f>IFERROR(SUMIFS('caseload data'!T:T,'caseload data'!$C:$C,'custody %'!$B$22,'caseload data'!$D:$D,"SPO",'caseload data'!$B:$B,"custody")/SUMIFS('caseload data'!T:T,'caseload data'!$B:$B,"custody",'caseload data'!$C:$C,'custody %'!$B$22),"")</f>
        <v/>
      </c>
      <c r="S27" s="73"/>
      <c r="T27" s="108" t="s">
        <v>914</v>
      </c>
      <c r="U27" s="181" t="str">
        <f>IFERROR(SUMIFS('caseload data'!E:E,'caseload data'!$C:$C,'custody %'!$T$22,'caseload data'!$D:$D,"SPO",'caseload data'!$B:$B,"custody")/SUMIFS('caseload data'!E:E,'caseload data'!$B:$B,"custody",'caseload data'!$C:$C,'custody %'!$T$22),"")</f>
        <v/>
      </c>
      <c r="V27" s="181" t="str">
        <f>IFERROR(SUMIFS('caseload data'!F:F,'caseload data'!$C:$C,'custody %'!$T$22,'caseload data'!$D:$D,"SPO",'caseload data'!$B:$B,"custody")/SUMIFS('caseload data'!F:F,'caseload data'!$B:$B,"custody",'caseload data'!$C:$C,'custody %'!$T$22),"")</f>
        <v/>
      </c>
      <c r="W27" s="181" t="str">
        <f>IFERROR(SUMIFS('caseload data'!G:G,'caseload data'!$C:$C,'custody %'!$T$22,'caseload data'!$D:$D,"SPO",'caseload data'!$B:$B,"custody")/SUMIFS('caseload data'!G:G,'caseload data'!$B:$B,"custody",'caseload data'!$C:$C,'custody %'!$T$22),"")</f>
        <v/>
      </c>
      <c r="X27" s="181" t="str">
        <f>IFERROR(SUMIFS('caseload data'!H:H,'caseload data'!$C:$C,'custody %'!$T$22,'caseload data'!$D:$D,"SPO",'caseload data'!$B:$B,"custody")/SUMIFS('caseload data'!H:H,'caseload data'!$B:$B,"custody",'caseload data'!$C:$C,'custody %'!$T$22),"")</f>
        <v/>
      </c>
      <c r="Y27" s="181" t="str">
        <f>IFERROR(SUMIFS('caseload data'!I:I,'caseload data'!$C:$C,'custody %'!$T$22,'caseload data'!$D:$D,"SPO",'caseload data'!$B:$B,"custody")/SUMIFS('caseload data'!I:I,'caseload data'!$B:$B,"custody",'caseload data'!$C:$C,'custody %'!$T$22),"")</f>
        <v/>
      </c>
      <c r="Z27" s="181" t="str">
        <f>IFERROR(SUMIFS('caseload data'!J:J,'caseload data'!$C:$C,'custody %'!$T$22,'caseload data'!$D:$D,"SPO",'caseload data'!$B:$B,"custody")/SUMIFS('caseload data'!J:J,'caseload data'!$B:$B,"custody",'caseload data'!$C:$C,'custody %'!$T$22),"")</f>
        <v/>
      </c>
      <c r="AA27" s="181" t="str">
        <f>IFERROR(SUMIFS('caseload data'!K:K,'caseload data'!$C:$C,'custody %'!$T$22,'caseload data'!$D:$D,"SPO",'caseload data'!$B:$B,"custody")/SUMIFS('caseload data'!K:K,'caseload data'!$B:$B,"custody",'caseload data'!$C:$C,'custody %'!$T$22),"")</f>
        <v/>
      </c>
      <c r="AB27" s="181" t="str">
        <f>IFERROR(SUMIFS('caseload data'!L:L,'caseload data'!$C:$C,'custody %'!$T$22,'caseload data'!$D:$D,"SPO",'caseload data'!$B:$B,"custody")/SUMIFS('caseload data'!L:L,'caseload data'!$B:$B,"custody",'caseload data'!$C:$C,'custody %'!$T$22),"")</f>
        <v/>
      </c>
      <c r="AC27" s="181" t="str">
        <f>IFERROR(SUMIFS('caseload data'!M:M,'caseload data'!$C:$C,'custody %'!$T$22,'caseload data'!$D:$D,"SPO",'caseload data'!$B:$B,"custody")/SUMIFS('caseload data'!M:M,'caseload data'!$B:$B,"custody",'caseload data'!$C:$C,'custody %'!$T$22),"")</f>
        <v/>
      </c>
      <c r="AD27" s="181" t="str">
        <f>IFERROR(SUMIFS('caseload data'!N:N,'caseload data'!$C:$C,'custody %'!$T$22,'caseload data'!$D:$D,"SPO",'caseload data'!$B:$B,"custody")/SUMIFS('caseload data'!N:N,'caseload data'!$B:$B,"custody",'caseload data'!$C:$C,'custody %'!$T$22),"")</f>
        <v/>
      </c>
      <c r="AE27" s="181" t="str">
        <f>IFERROR(SUMIFS('caseload data'!O:O,'caseload data'!$C:$C,'custody %'!$T$22,'caseload data'!$D:$D,"SPO",'caseload data'!$B:$B,"custody")/SUMIFS('caseload data'!O:O,'caseload data'!$B:$B,"custody",'caseload data'!$C:$C,'custody %'!$T$22),"")</f>
        <v/>
      </c>
      <c r="AF27" s="181" t="str">
        <f>IFERROR(SUMIFS('caseload data'!P:P,'caseload data'!$C:$C,'custody %'!$T$22,'caseload data'!$D:$D,"SPO",'caseload data'!$B:$B,"custody")/SUMIFS('caseload data'!P:P,'caseload data'!$B:$B,"custody",'caseload data'!$C:$C,'custody %'!$T$22),"")</f>
        <v/>
      </c>
      <c r="AG27" s="181" t="str">
        <f>IFERROR(SUMIFS('caseload data'!Q:Q,'caseload data'!$C:$C,'custody %'!$T$22,'caseload data'!$D:$D,"SPO",'caseload data'!$B:$B,"custody")/SUMIFS('caseload data'!Q:Q,'caseload data'!$B:$B,"custody",'caseload data'!$C:$C,'custody %'!$T$22),"")</f>
        <v/>
      </c>
      <c r="AH27" s="181" t="str">
        <f>IFERROR(SUMIFS('caseload data'!R:R,'caseload data'!$C:$C,'custody %'!$T$22,'caseload data'!$D:$D,"SPO",'caseload data'!$B:$B,"custody")/SUMIFS('caseload data'!R:R,'caseload data'!$B:$B,"custody",'caseload data'!$C:$C,'custody %'!$T$22),"")</f>
        <v/>
      </c>
      <c r="AI27" s="181"/>
      <c r="AJ27" s="181"/>
    </row>
    <row r="28" spans="2:36" x14ac:dyDescent="0.15">
      <c r="B28" s="101"/>
      <c r="C28" s="73"/>
      <c r="D28" s="73"/>
      <c r="E28" s="73"/>
      <c r="F28" s="73"/>
      <c r="G28" s="73"/>
      <c r="H28" s="73"/>
      <c r="I28" s="73"/>
      <c r="J28" s="73"/>
      <c r="K28" s="73"/>
      <c r="L28" s="73"/>
      <c r="M28" s="73"/>
      <c r="N28" s="73"/>
      <c r="O28" s="73"/>
      <c r="P28" s="73"/>
      <c r="Q28" s="73"/>
      <c r="R28" s="73"/>
      <c r="S28" s="73"/>
      <c r="T28" s="101"/>
      <c r="U28" s="73"/>
      <c r="V28" s="73"/>
      <c r="W28" s="73"/>
      <c r="X28" s="73"/>
      <c r="Y28" s="73"/>
      <c r="Z28" s="73"/>
      <c r="AA28" s="73"/>
      <c r="AB28" s="73"/>
      <c r="AC28" s="73"/>
      <c r="AD28" s="73"/>
      <c r="AE28" s="73"/>
      <c r="AF28" s="73"/>
      <c r="AG28" s="73"/>
      <c r="AH28" s="73"/>
    </row>
    <row r="29" spans="2:36" ht="29.25" customHeight="1" x14ac:dyDescent="0.15">
      <c r="B29" s="156" t="str">
        <f>HLOOKUP($B$5,Region_Table,8,0)</f>
        <v>Ealing and Hillingdon</v>
      </c>
      <c r="C29" s="367" t="s">
        <v>1163</v>
      </c>
      <c r="D29" s="368"/>
      <c r="E29" s="368"/>
      <c r="F29" s="368"/>
      <c r="G29" s="368"/>
      <c r="H29" s="368"/>
      <c r="I29" s="368"/>
      <c r="J29" s="368"/>
      <c r="K29" s="368"/>
      <c r="L29" s="368"/>
      <c r="M29" s="377"/>
      <c r="N29" s="377"/>
      <c r="O29" s="378"/>
      <c r="P29" s="371">
        <f>SUMIF('caseload data'!$C:$C,'custody %'!B29,'caseload data'!V:V)</f>
        <v>0</v>
      </c>
      <c r="Q29" s="379"/>
      <c r="R29" s="380"/>
      <c r="S29" s="73"/>
      <c r="T29" s="156" t="str">
        <f>HLOOKUP($B$5,Region_Table,9,0)</f>
        <v>Enfield and Haringey</v>
      </c>
      <c r="U29" s="367" t="s">
        <v>1163</v>
      </c>
      <c r="V29" s="368"/>
      <c r="W29" s="368"/>
      <c r="X29" s="368"/>
      <c r="Y29" s="368"/>
      <c r="Z29" s="368"/>
      <c r="AA29" s="368"/>
      <c r="AB29" s="368"/>
      <c r="AC29" s="377"/>
      <c r="AD29" s="377"/>
      <c r="AE29" s="378"/>
      <c r="AF29" s="371">
        <f>SUMIF('caseload data'!$C:$C,'custody %'!T29,'caseload data'!V:V)</f>
        <v>0</v>
      </c>
      <c r="AG29" s="379"/>
      <c r="AH29" s="380"/>
    </row>
    <row r="30" spans="2:36" x14ac:dyDescent="0.15">
      <c r="B30" s="105" t="s">
        <v>1065</v>
      </c>
      <c r="C30" s="41" t="s">
        <v>922</v>
      </c>
      <c r="D30" s="41" t="s">
        <v>923</v>
      </c>
      <c r="E30" s="41" t="s">
        <v>924</v>
      </c>
      <c r="F30" s="41" t="s">
        <v>925</v>
      </c>
      <c r="G30" s="41" t="s">
        <v>926</v>
      </c>
      <c r="H30" s="41" t="s">
        <v>927</v>
      </c>
      <c r="I30" s="41" t="s">
        <v>928</v>
      </c>
      <c r="J30" s="41" t="s">
        <v>929</v>
      </c>
      <c r="K30" s="41" t="s">
        <v>930</v>
      </c>
      <c r="L30" s="41" t="s">
        <v>931</v>
      </c>
      <c r="M30" s="41" t="s">
        <v>932</v>
      </c>
      <c r="N30" s="41" t="s">
        <v>933</v>
      </c>
      <c r="O30" s="41" t="s">
        <v>934</v>
      </c>
      <c r="P30" s="41" t="s">
        <v>935</v>
      </c>
      <c r="Q30" s="41" t="s">
        <v>936</v>
      </c>
      <c r="R30" s="41" t="s">
        <v>937</v>
      </c>
      <c r="S30" s="73"/>
      <c r="T30" s="105" t="s">
        <v>1065</v>
      </c>
      <c r="U30" s="41" t="s">
        <v>922</v>
      </c>
      <c r="V30" s="41" t="s">
        <v>923</v>
      </c>
      <c r="W30" s="41" t="s">
        <v>924</v>
      </c>
      <c r="X30" s="41" t="s">
        <v>925</v>
      </c>
      <c r="Y30" s="41" t="s">
        <v>926</v>
      </c>
      <c r="Z30" s="41" t="s">
        <v>927</v>
      </c>
      <c r="AA30" s="41" t="s">
        <v>928</v>
      </c>
      <c r="AB30" s="41" t="s">
        <v>929</v>
      </c>
      <c r="AC30" s="41" t="s">
        <v>930</v>
      </c>
      <c r="AD30" s="41" t="s">
        <v>931</v>
      </c>
      <c r="AE30" s="41" t="s">
        <v>932</v>
      </c>
      <c r="AF30" s="41" t="s">
        <v>933</v>
      </c>
      <c r="AG30" s="41" t="s">
        <v>934</v>
      </c>
      <c r="AH30" s="41" t="s">
        <v>935</v>
      </c>
      <c r="AI30" s="41" t="s">
        <v>936</v>
      </c>
      <c r="AJ30" s="41" t="s">
        <v>937</v>
      </c>
    </row>
    <row r="31" spans="2:36" x14ac:dyDescent="0.15">
      <c r="B31" s="106" t="s">
        <v>911</v>
      </c>
      <c r="C31" s="181" t="str">
        <f>IFERROR(SUMIFS('caseload data'!E:E,'caseload data'!$C:$C,'custody %'!$B$29,'caseload data'!$D:$D,"PO",'caseload data'!$B:$B,"custody")/SUMIFS('caseload data'!E:E,'caseload data'!$B:$B,"custody",'caseload data'!$C:$C,'custody %'!$B$29),"")</f>
        <v/>
      </c>
      <c r="D31" s="181" t="str">
        <f>IFERROR(SUMIFS('caseload data'!F:F,'caseload data'!$C:$C,'custody %'!$B$29,'caseload data'!$D:$D,"PO",'caseload data'!$B:$B,"custody")/SUMIFS('caseload data'!F:F,'caseload data'!$B:$B,"custody",'caseload data'!$C:$C,'custody %'!$B$29),"")</f>
        <v/>
      </c>
      <c r="E31" s="181" t="str">
        <f>IFERROR(SUMIFS('caseload data'!G:G,'caseload data'!$C:$C,'custody %'!$B$29,'caseload data'!$D:$D,"PO",'caseload data'!$B:$B,"custody")/SUMIFS('caseload data'!G:G,'caseload data'!$B:$B,"custody",'caseload data'!$C:$C,'custody %'!$B$29),"")</f>
        <v/>
      </c>
      <c r="F31" s="181" t="str">
        <f>IFERROR(SUMIFS('caseload data'!H:H,'caseload data'!$C:$C,'custody %'!$B$29,'caseload data'!$D:$D,"PO",'caseload data'!$B:$B,"custody")/SUMIFS('caseload data'!H:H,'caseload data'!$B:$B,"custody",'caseload data'!$C:$C,'custody %'!$B$29),"")</f>
        <v/>
      </c>
      <c r="G31" s="181" t="str">
        <f>IFERROR(SUMIFS('caseload data'!I:I,'caseload data'!$C:$C,'custody %'!$B$29,'caseload data'!$D:$D,"PO",'caseload data'!$B:$B,"custody")/SUMIFS('caseload data'!I:I,'caseload data'!$B:$B,"custody",'caseload data'!$C:$C,'custody %'!$B$29),"")</f>
        <v/>
      </c>
      <c r="H31" s="181" t="str">
        <f>IFERROR(SUMIFS('caseload data'!J:J,'caseload data'!$C:$C,'custody %'!$B$29,'caseload data'!$D:$D,"PO",'caseload data'!$B:$B,"custody")/SUMIFS('caseload data'!J:J,'caseload data'!$B:$B,"custody",'caseload data'!$C:$C,'custody %'!$B$29),"")</f>
        <v/>
      </c>
      <c r="I31" s="181" t="str">
        <f>IFERROR(SUMIFS('caseload data'!K:K,'caseload data'!$C:$C,'custody %'!$B$29,'caseload data'!$D:$D,"PO",'caseload data'!$B:$B,"custody")/SUMIFS('caseload data'!K:K,'caseload data'!$B:$B,"custody",'caseload data'!$C:$C,'custody %'!$B$29),"")</f>
        <v/>
      </c>
      <c r="J31" s="181" t="str">
        <f>IFERROR(SUMIFS('caseload data'!L:L,'caseload data'!$C:$C,'custody %'!$B$29,'caseload data'!$D:$D,"PO",'caseload data'!$B:$B,"custody")/SUMIFS('caseload data'!L:L,'caseload data'!$B:$B,"custody",'caseload data'!$C:$C,'custody %'!$B$29),"")</f>
        <v/>
      </c>
      <c r="K31" s="181" t="str">
        <f>IFERROR(SUMIFS('caseload data'!M:M,'caseload data'!$C:$C,'custody %'!$B$29,'caseload data'!$D:$D,"PO",'caseload data'!$B:$B,"custody")/SUMIFS('caseload data'!M:M,'caseload data'!$B:$B,"custody",'caseload data'!$C:$C,'custody %'!$B$29),"")</f>
        <v/>
      </c>
      <c r="L31" s="181" t="str">
        <f>IFERROR(SUMIFS('caseload data'!N:N,'caseload data'!$C:$C,'custody %'!$B$29,'caseload data'!$D:$D,"PO",'caseload data'!$B:$B,"custody")/SUMIFS('caseload data'!N:N,'caseload data'!$B:$B,"custody",'caseload data'!$C:$C,'custody %'!$B$29),"")</f>
        <v/>
      </c>
      <c r="M31" s="181" t="str">
        <f>IFERROR(SUMIFS('caseload data'!O:O,'caseload data'!$C:$C,'custody %'!$B$29,'caseload data'!$D:$D,"PO",'caseload data'!$B:$B,"custody")/SUMIFS('caseload data'!O:O,'caseload data'!$B:$B,"custody",'caseload data'!$C:$C,'custody %'!$B$29),"")</f>
        <v/>
      </c>
      <c r="N31" s="181" t="str">
        <f>IFERROR(SUMIFS('caseload data'!P:P,'caseload data'!$C:$C,'custody %'!$B$29,'caseload data'!$D:$D,"PO",'caseload data'!$B:$B,"custody")/SUMIFS('caseload data'!P:P,'caseload data'!$B:$B,"custody",'caseload data'!$C:$C,'custody %'!$B$29),"")</f>
        <v/>
      </c>
      <c r="O31" s="181" t="str">
        <f>IFERROR(SUMIFS('caseload data'!Q:Q,'caseload data'!$C:$C,'custody %'!$B$29,'caseload data'!$D:$D,"PO",'caseload data'!$B:$B,"custody")/SUMIFS('caseload data'!Q:Q,'caseload data'!$B:$B,"custody",'caseload data'!$C:$C,'custody %'!$B$29),"")</f>
        <v/>
      </c>
      <c r="P31" s="181" t="str">
        <f>IFERROR(SUMIFS('caseload data'!R:R,'caseload data'!$C:$C,'custody %'!$B$29,'caseload data'!$D:$D,"PO",'caseload data'!$B:$B,"custody")/SUMIFS('caseload data'!R:R,'caseload data'!$B:$B,"custody",'caseload data'!$C:$C,'custody %'!$B$29),"")</f>
        <v/>
      </c>
      <c r="Q31" s="181" t="str">
        <f>IFERROR(SUMIFS('caseload data'!S:S,'caseload data'!$C:$C,'custody %'!$B$29,'caseload data'!$D:$D,"PO",'caseload data'!$B:$B,"custody")/SUMIFS('caseload data'!S:S,'caseload data'!$B:$B,"custody",'caseload data'!$C:$C,'custody %'!$B$29),"")</f>
        <v/>
      </c>
      <c r="R31" s="181" t="str">
        <f>IFERROR(SUMIFS('caseload data'!T:T,'caseload data'!$C:$C,'custody %'!$B$29,'caseload data'!$D:$D,"PO",'caseload data'!$B:$B,"custody")/SUMIFS('caseload data'!T:T,'caseload data'!$B:$B,"custody",'caseload data'!$C:$C,'custody %'!$B$29),"")</f>
        <v/>
      </c>
      <c r="S31" s="73"/>
      <c r="T31" s="106" t="s">
        <v>911</v>
      </c>
      <c r="U31" s="181" t="str">
        <f>IFERROR(SUMIFS('caseload data'!E:E,'caseload data'!$C:$C,'custody %'!$T$29,'caseload data'!$D:$D,"PO",'caseload data'!$B:$B,"custody")/SUMIFS('caseload data'!E:E,'caseload data'!$B:$B,"custody",'caseload data'!$C:$C,'custody %'!$T$29),"")</f>
        <v/>
      </c>
      <c r="V31" s="181" t="str">
        <f>IFERROR(SUMIFS('caseload data'!F:F,'caseload data'!$C:$C,'custody %'!$T$29,'caseload data'!$D:$D,"PO",'caseload data'!$B:$B,"custody")/SUMIFS('caseload data'!F:F,'caseload data'!$B:$B,"custody",'caseload data'!$C:$C,'custody %'!$T$29),"")</f>
        <v/>
      </c>
      <c r="W31" s="181" t="str">
        <f>IFERROR(SUMIFS('caseload data'!G:G,'caseload data'!$C:$C,'custody %'!$T$29,'caseload data'!$D:$D,"PO",'caseload data'!$B:$B,"custody")/SUMIFS('caseload data'!G:G,'caseload data'!$B:$B,"custody",'caseload data'!$C:$C,'custody %'!$T$29),"")</f>
        <v/>
      </c>
      <c r="X31" s="181" t="str">
        <f>IFERROR(SUMIFS('caseload data'!H:H,'caseload data'!$C:$C,'custody %'!$T$29,'caseload data'!$D:$D,"PO",'caseload data'!$B:$B,"custody")/SUMIFS('caseload data'!H:H,'caseload data'!$B:$B,"custody",'caseload data'!$C:$C,'custody %'!$T$29),"")</f>
        <v/>
      </c>
      <c r="Y31" s="181" t="str">
        <f>IFERROR(SUMIFS('caseload data'!I:I,'caseload data'!$C:$C,'custody %'!$T$29,'caseload data'!$D:$D,"PO",'caseload data'!$B:$B,"custody")/SUMIFS('caseload data'!I:I,'caseload data'!$B:$B,"custody",'caseload data'!$C:$C,'custody %'!$T$29),"")</f>
        <v/>
      </c>
      <c r="Z31" s="181" t="str">
        <f>IFERROR(SUMIFS('caseload data'!J:J,'caseload data'!$C:$C,'custody %'!$T$29,'caseload data'!$D:$D,"PO",'caseload data'!$B:$B,"custody")/SUMIFS('caseload data'!J:J,'caseload data'!$B:$B,"custody",'caseload data'!$C:$C,'custody %'!$T$29),"")</f>
        <v/>
      </c>
      <c r="AA31" s="181" t="str">
        <f>IFERROR(SUMIFS('caseload data'!K:K,'caseload data'!$C:$C,'custody %'!$T$29,'caseload data'!$D:$D,"PO",'caseload data'!$B:$B,"custody")/SUMIFS('caseload data'!K:K,'caseload data'!$B:$B,"custody",'caseload data'!$C:$C,'custody %'!$T$29),"")</f>
        <v/>
      </c>
      <c r="AB31" s="181" t="str">
        <f>IFERROR(SUMIFS('caseload data'!L:L,'caseload data'!$C:$C,'custody %'!$T$29,'caseload data'!$D:$D,"PO",'caseload data'!$B:$B,"custody")/SUMIFS('caseload data'!L:L,'caseload data'!$B:$B,"custody",'caseload data'!$C:$C,'custody %'!$T$29),"")</f>
        <v/>
      </c>
      <c r="AC31" s="181" t="str">
        <f>IFERROR(SUMIFS('caseload data'!M:M,'caseload data'!$C:$C,'custody %'!$T$29,'caseload data'!$D:$D,"PO",'caseload data'!$B:$B,"custody")/SUMIFS('caseload data'!M:M,'caseload data'!$B:$B,"custody",'caseload data'!$C:$C,'custody %'!$T$29),"")</f>
        <v/>
      </c>
      <c r="AD31" s="181" t="str">
        <f>IFERROR(SUMIFS('caseload data'!N:N,'caseload data'!$C:$C,'custody %'!$T$29,'caseload data'!$D:$D,"PO",'caseload data'!$B:$B,"custody")/SUMIFS('caseload data'!N:N,'caseload data'!$B:$B,"custody",'caseload data'!$C:$C,'custody %'!$T$29),"")</f>
        <v/>
      </c>
      <c r="AE31" s="181" t="str">
        <f>IFERROR(SUMIFS('caseload data'!O:O,'caseload data'!$C:$C,'custody %'!$T$29,'caseload data'!$D:$D,"PO",'caseload data'!$B:$B,"custody")/SUMIFS('caseload data'!O:O,'caseload data'!$B:$B,"custody",'caseload data'!$C:$C,'custody %'!$T$29),"")</f>
        <v/>
      </c>
      <c r="AF31" s="181" t="str">
        <f>IFERROR(SUMIFS('caseload data'!P:P,'caseload data'!$C:$C,'custody %'!$T$29,'caseload data'!$D:$D,"PO",'caseload data'!$B:$B,"custody")/SUMIFS('caseload data'!P:P,'caseload data'!$B:$B,"custody",'caseload data'!$C:$C,'custody %'!$T$29),"")</f>
        <v/>
      </c>
      <c r="AG31" s="181" t="str">
        <f>IFERROR(SUMIFS('caseload data'!Q:Q,'caseload data'!$C:$C,'custody %'!$T$29,'caseload data'!$D:$D,"PO",'caseload data'!$B:$B,"custody")/SUMIFS('caseload data'!Q:Q,'caseload data'!$B:$B,"custody",'caseload data'!$C:$C,'custody %'!$T$29),"")</f>
        <v/>
      </c>
      <c r="AH31" s="181" t="str">
        <f>IFERROR(SUMIFS('caseload data'!R:R,'caseload data'!$C:$C,'custody %'!$T$29,'caseload data'!$D:$D,"PO",'caseload data'!$B:$B,"custody")/SUMIFS('caseload data'!R:R,'caseload data'!$B:$B,"custody",'caseload data'!$C:$C,'custody %'!$T$29),"")</f>
        <v/>
      </c>
      <c r="AI31" s="181"/>
      <c r="AJ31" s="181"/>
    </row>
    <row r="32" spans="2:36" x14ac:dyDescent="0.15">
      <c r="B32" s="107" t="s">
        <v>912</v>
      </c>
      <c r="C32" s="181" t="str">
        <f>IFERROR(SUMIFS('caseload data'!E:E,'caseload data'!$C:$C,'custody %'!$B$29,'caseload data'!$D:$D,"PSO",'caseload data'!$B:$B,"custody")/SUMIFS('caseload data'!E:E,'caseload data'!$B:$B,"custody",'caseload data'!$C:$C,'custody %'!$B$29),"")</f>
        <v/>
      </c>
      <c r="D32" s="181" t="str">
        <f>IFERROR(SUMIFS('caseload data'!F:F,'caseload data'!$C:$C,'custody %'!$B$29,'caseload data'!$D:$D,"PSO",'caseload data'!$B:$B,"custody")/SUMIFS('caseload data'!F:F,'caseload data'!$B:$B,"custody",'caseload data'!$C:$C,'custody %'!$B$29),"")</f>
        <v/>
      </c>
      <c r="E32" s="181" t="str">
        <f>IFERROR(SUMIFS('caseload data'!G:G,'caseload data'!$C:$C,'custody %'!$B$29,'caseload data'!$D:$D,"PSO",'caseload data'!$B:$B,"custody")/SUMIFS('caseload data'!G:G,'caseload data'!$B:$B,"custody",'caseload data'!$C:$C,'custody %'!$B$29),"")</f>
        <v/>
      </c>
      <c r="F32" s="181" t="str">
        <f>IFERROR(SUMIFS('caseload data'!H:H,'caseload data'!$C:$C,'custody %'!$B$29,'caseload data'!$D:$D,"PSO",'caseload data'!$B:$B,"custody")/SUMIFS('caseload data'!H:H,'caseload data'!$B:$B,"custody",'caseload data'!$C:$C,'custody %'!$B$29),"")</f>
        <v/>
      </c>
      <c r="G32" s="181" t="str">
        <f>IFERROR(SUMIFS('caseload data'!I:I,'caseload data'!$C:$C,'custody %'!$B$29,'caseload data'!$D:$D,"PSO",'caseload data'!$B:$B,"custody")/SUMIFS('caseload data'!I:I,'caseload data'!$B:$B,"custody",'caseload data'!$C:$C,'custody %'!$B$29),"")</f>
        <v/>
      </c>
      <c r="H32" s="181" t="str">
        <f>IFERROR(SUMIFS('caseload data'!J:J,'caseload data'!$C:$C,'custody %'!$B$29,'caseload data'!$D:$D,"PSO",'caseload data'!$B:$B,"custody")/SUMIFS('caseload data'!J:J,'caseload data'!$B:$B,"custody",'caseload data'!$C:$C,'custody %'!$B$29),"")</f>
        <v/>
      </c>
      <c r="I32" s="181" t="str">
        <f>IFERROR(SUMIFS('caseload data'!K:K,'caseload data'!$C:$C,'custody %'!$B$29,'caseload data'!$D:$D,"PSO",'caseload data'!$B:$B,"custody")/SUMIFS('caseload data'!K:K,'caseload data'!$B:$B,"custody",'caseload data'!$C:$C,'custody %'!$B$29),"")</f>
        <v/>
      </c>
      <c r="J32" s="181" t="str">
        <f>IFERROR(SUMIFS('caseload data'!L:L,'caseload data'!$C:$C,'custody %'!$B$29,'caseload data'!$D:$D,"PSO",'caseload data'!$B:$B,"custody")/SUMIFS('caseload data'!L:L,'caseload data'!$B:$B,"custody",'caseload data'!$C:$C,'custody %'!$B$29),"")</f>
        <v/>
      </c>
      <c r="K32" s="181" t="str">
        <f>IFERROR(SUMIFS('caseload data'!M:M,'caseload data'!$C:$C,'custody %'!$B$29,'caseload data'!$D:$D,"PSO",'caseload data'!$B:$B,"custody")/SUMIFS('caseload data'!M:M,'caseload data'!$B:$B,"custody",'caseload data'!$C:$C,'custody %'!$B$29),"")</f>
        <v/>
      </c>
      <c r="L32" s="181" t="str">
        <f>IFERROR(SUMIFS('caseload data'!N:N,'caseload data'!$C:$C,'custody %'!$B$29,'caseload data'!$D:$D,"PSO",'caseload data'!$B:$B,"custody")/SUMIFS('caseload data'!N:N,'caseload data'!$B:$B,"custody",'caseload data'!$C:$C,'custody %'!$B$29),"")</f>
        <v/>
      </c>
      <c r="M32" s="181" t="str">
        <f>IFERROR(SUMIFS('caseload data'!O:O,'caseload data'!$C:$C,'custody %'!$B$29,'caseload data'!$D:$D,"PSO",'caseload data'!$B:$B,"custody")/SUMIFS('caseload data'!O:O,'caseload data'!$B:$B,"custody",'caseload data'!$C:$C,'custody %'!$B$29),"")</f>
        <v/>
      </c>
      <c r="N32" s="181" t="str">
        <f>IFERROR(SUMIFS('caseload data'!P:P,'caseload data'!$C:$C,'custody %'!$B$29,'caseload data'!$D:$D,"PSO",'caseload data'!$B:$B,"custody")/SUMIFS('caseload data'!P:P,'caseload data'!$B:$B,"custody",'caseload data'!$C:$C,'custody %'!$B$29),"")</f>
        <v/>
      </c>
      <c r="O32" s="181" t="str">
        <f>IFERROR(SUMIFS('caseload data'!Q:Q,'caseload data'!$C:$C,'custody %'!$B$29,'caseload data'!$D:$D,"PSO",'caseload data'!$B:$B,"custody")/SUMIFS('caseload data'!Q:Q,'caseload data'!$B:$B,"custody",'caseload data'!$C:$C,'custody %'!$B$29),"")</f>
        <v/>
      </c>
      <c r="P32" s="181" t="str">
        <f>IFERROR(SUMIFS('caseload data'!R:R,'caseload data'!$C:$C,'custody %'!$B$29,'caseload data'!$D:$D,"PSO",'caseload data'!$B:$B,"custody")/SUMIFS('caseload data'!R:R,'caseload data'!$B:$B,"custody",'caseload data'!$C:$C,'custody %'!$B$29),"")</f>
        <v/>
      </c>
      <c r="Q32" s="181" t="str">
        <f>IFERROR(SUMIFS('caseload data'!S:S,'caseload data'!$C:$C,'custody %'!$B$29,'caseload data'!$D:$D,"PSO",'caseload data'!$B:$B,"custody")/SUMIFS('caseload data'!S:S,'caseload data'!$B:$B,"custody",'caseload data'!$C:$C,'custody %'!$B$29),"")</f>
        <v/>
      </c>
      <c r="R32" s="181" t="str">
        <f>IFERROR(SUMIFS('caseload data'!T:T,'caseload data'!$C:$C,'custody %'!$B$29,'caseload data'!$D:$D,"PSO",'caseload data'!$B:$B,"custody")/SUMIFS('caseload data'!T:T,'caseload data'!$B:$B,"custody",'caseload data'!$C:$C,'custody %'!$B$29),"")</f>
        <v/>
      </c>
      <c r="S32" s="73"/>
      <c r="T32" s="107" t="s">
        <v>912</v>
      </c>
      <c r="U32" s="181" t="str">
        <f>IFERROR(SUMIFS('caseload data'!E:E,'caseload data'!$C:$C,'custody %'!$T$29,'caseload data'!$D:$D,"PSO",'caseload data'!$B:$B,"custody")/SUMIFS('caseload data'!E:E,'caseload data'!$B:$B,"custody",'caseload data'!$C:$C,'custody %'!$T$29),"")</f>
        <v/>
      </c>
      <c r="V32" s="181" t="str">
        <f>IFERROR(SUMIFS('caseload data'!F:F,'caseload data'!$C:$C,'custody %'!$T$29,'caseload data'!$D:$D,"PSO",'caseload data'!$B:$B,"custody")/SUMIFS('caseload data'!F:F,'caseload data'!$B:$B,"custody",'caseload data'!$C:$C,'custody %'!$T$29),"")</f>
        <v/>
      </c>
      <c r="W32" s="181" t="str">
        <f>IFERROR(SUMIFS('caseload data'!G:G,'caseload data'!$C:$C,'custody %'!$T$29,'caseload data'!$D:$D,"PSO",'caseload data'!$B:$B,"custody")/SUMIFS('caseload data'!G:G,'caseload data'!$B:$B,"custody",'caseload data'!$C:$C,'custody %'!$T$29),"")</f>
        <v/>
      </c>
      <c r="X32" s="181" t="str">
        <f>IFERROR(SUMIFS('caseload data'!H:H,'caseload data'!$C:$C,'custody %'!$T$29,'caseload data'!$D:$D,"PSO",'caseload data'!$B:$B,"custody")/SUMIFS('caseload data'!H:H,'caseload data'!$B:$B,"custody",'caseload data'!$C:$C,'custody %'!$T$29),"")</f>
        <v/>
      </c>
      <c r="Y32" s="181" t="str">
        <f>IFERROR(SUMIFS('caseload data'!I:I,'caseload data'!$C:$C,'custody %'!$T$29,'caseload data'!$D:$D,"PSO",'caseload data'!$B:$B,"custody")/SUMIFS('caseload data'!I:I,'caseload data'!$B:$B,"custody",'caseload data'!$C:$C,'custody %'!$T$29),"")</f>
        <v/>
      </c>
      <c r="Z32" s="181" t="str">
        <f>IFERROR(SUMIFS('caseload data'!J:J,'caseload data'!$C:$C,'custody %'!$T$29,'caseload data'!$D:$D,"PSO",'caseload data'!$B:$B,"custody")/SUMIFS('caseload data'!J:J,'caseload data'!$B:$B,"custody",'caseload data'!$C:$C,'custody %'!$T$29),"")</f>
        <v/>
      </c>
      <c r="AA32" s="181" t="str">
        <f>IFERROR(SUMIFS('caseload data'!K:K,'caseload data'!$C:$C,'custody %'!$T$29,'caseload data'!$D:$D,"PSO",'caseload data'!$B:$B,"custody")/SUMIFS('caseload data'!K:K,'caseload data'!$B:$B,"custody",'caseload data'!$C:$C,'custody %'!$T$29),"")</f>
        <v/>
      </c>
      <c r="AB32" s="181" t="str">
        <f>IFERROR(SUMIFS('caseload data'!L:L,'caseload data'!$C:$C,'custody %'!$T$29,'caseload data'!$D:$D,"PSO",'caseload data'!$B:$B,"custody")/SUMIFS('caseload data'!L:L,'caseload data'!$B:$B,"custody",'caseload data'!$C:$C,'custody %'!$T$29),"")</f>
        <v/>
      </c>
      <c r="AC32" s="181" t="str">
        <f>IFERROR(SUMIFS('caseload data'!M:M,'caseload data'!$C:$C,'custody %'!$T$29,'caseload data'!$D:$D,"PSO",'caseload data'!$B:$B,"custody")/SUMIFS('caseload data'!M:M,'caseload data'!$B:$B,"custody",'caseload data'!$C:$C,'custody %'!$T$29),"")</f>
        <v/>
      </c>
      <c r="AD32" s="181" t="str">
        <f>IFERROR(SUMIFS('caseload data'!N:N,'caseload data'!$C:$C,'custody %'!$T$29,'caseload data'!$D:$D,"PSO",'caseload data'!$B:$B,"custody")/SUMIFS('caseload data'!N:N,'caseload data'!$B:$B,"custody",'caseload data'!$C:$C,'custody %'!$T$29),"")</f>
        <v/>
      </c>
      <c r="AE32" s="181" t="str">
        <f>IFERROR(SUMIFS('caseload data'!O:O,'caseload data'!$C:$C,'custody %'!$T$29,'caseload data'!$D:$D,"PSO",'caseload data'!$B:$B,"custody")/SUMIFS('caseload data'!O:O,'caseload data'!$B:$B,"custody",'caseload data'!$C:$C,'custody %'!$T$29),"")</f>
        <v/>
      </c>
      <c r="AF32" s="181" t="str">
        <f>IFERROR(SUMIFS('caseload data'!P:P,'caseload data'!$C:$C,'custody %'!$T$29,'caseload data'!$D:$D,"PSO",'caseload data'!$B:$B,"custody")/SUMIFS('caseload data'!P:P,'caseload data'!$B:$B,"custody",'caseload data'!$C:$C,'custody %'!$T$29),"")</f>
        <v/>
      </c>
      <c r="AG32" s="181" t="str">
        <f>IFERROR(SUMIFS('caseload data'!Q:Q,'caseload data'!$C:$C,'custody %'!$T$29,'caseload data'!$D:$D,"PSO",'caseload data'!$B:$B,"custody")/SUMIFS('caseload data'!Q:Q,'caseload data'!$B:$B,"custody",'caseload data'!$C:$C,'custody %'!$T$29),"")</f>
        <v/>
      </c>
      <c r="AH32" s="181" t="str">
        <f>IFERROR(SUMIFS('caseload data'!R:R,'caseload data'!$C:$C,'custody %'!$T$29,'caseload data'!$D:$D,"PSO",'caseload data'!$B:$B,"custody")/SUMIFS('caseload data'!R:R,'caseload data'!$B:$B,"custody",'caseload data'!$C:$C,'custody %'!$T$29),"")</f>
        <v/>
      </c>
      <c r="AI32" s="181"/>
      <c r="AJ32" s="181"/>
    </row>
    <row r="33" spans="2:36" x14ac:dyDescent="0.15">
      <c r="B33" s="107" t="s">
        <v>913</v>
      </c>
      <c r="C33" s="181" t="str">
        <f>IFERROR(SUMIFS('caseload data'!E:E,'caseload data'!$C:$C,'custody %'!$B$29,'caseload data'!$D:$D,"TPO",'caseload data'!$B:$B,"custody")/SUMIFS('caseload data'!E:E,'caseload data'!$B:$B,"custody",'caseload data'!$C:$C,'custody %'!$B$29),"")</f>
        <v/>
      </c>
      <c r="D33" s="181" t="str">
        <f>IFERROR(SUMIFS('caseload data'!F:F,'caseload data'!$C:$C,'custody %'!$B$29,'caseload data'!$D:$D,"TPO",'caseload data'!$B:$B,"custody")/SUMIFS('caseload data'!F:F,'caseload data'!$B:$B,"custody",'caseload data'!$C:$C,'custody %'!$B$29),"")</f>
        <v/>
      </c>
      <c r="E33" s="181" t="str">
        <f>IFERROR(SUMIFS('caseload data'!G:G,'caseload data'!$C:$C,'custody %'!$B$29,'caseload data'!$D:$D,"TPO",'caseload data'!$B:$B,"custody")/SUMIFS('caseload data'!G:G,'caseload data'!$B:$B,"custody",'caseload data'!$C:$C,'custody %'!$B$29),"")</f>
        <v/>
      </c>
      <c r="F33" s="181" t="str">
        <f>IFERROR(SUMIFS('caseload data'!H:H,'caseload data'!$C:$C,'custody %'!$B$29,'caseload data'!$D:$D,"TPO",'caseload data'!$B:$B,"custody")/SUMIFS('caseload data'!H:H,'caseload data'!$B:$B,"custody",'caseload data'!$C:$C,'custody %'!$B$29),"")</f>
        <v/>
      </c>
      <c r="G33" s="181" t="str">
        <f>IFERROR(SUMIFS('caseload data'!I:I,'caseload data'!$C:$C,'custody %'!$B$29,'caseload data'!$D:$D,"TPO",'caseload data'!$B:$B,"custody")/SUMIFS('caseload data'!I:I,'caseload data'!$B:$B,"custody",'caseload data'!$C:$C,'custody %'!$B$29),"")</f>
        <v/>
      </c>
      <c r="H33" s="181" t="str">
        <f>IFERROR(SUMIFS('caseload data'!J:J,'caseload data'!$C:$C,'custody %'!$B$29,'caseload data'!$D:$D,"TPO",'caseload data'!$B:$B,"custody")/SUMIFS('caseload data'!J:J,'caseload data'!$B:$B,"custody",'caseload data'!$C:$C,'custody %'!$B$29),"")</f>
        <v/>
      </c>
      <c r="I33" s="181" t="str">
        <f>IFERROR(SUMIFS('caseload data'!K:K,'caseload data'!$C:$C,'custody %'!$B$29,'caseload data'!$D:$D,"TPO",'caseload data'!$B:$B,"custody")/SUMIFS('caseload data'!K:K,'caseload data'!$B:$B,"custody",'caseload data'!$C:$C,'custody %'!$B$29),"")</f>
        <v/>
      </c>
      <c r="J33" s="181" t="str">
        <f>IFERROR(SUMIFS('caseload data'!L:L,'caseload data'!$C:$C,'custody %'!$B$29,'caseload data'!$D:$D,"TPO",'caseload data'!$B:$B,"custody")/SUMIFS('caseload data'!L:L,'caseload data'!$B:$B,"custody",'caseload data'!$C:$C,'custody %'!$B$29),"")</f>
        <v/>
      </c>
      <c r="K33" s="181" t="str">
        <f>IFERROR(SUMIFS('caseload data'!M:M,'caseload data'!$C:$C,'custody %'!$B$29,'caseload data'!$D:$D,"TPO",'caseload data'!$B:$B,"custody")/SUMIFS('caseload data'!M:M,'caseload data'!$B:$B,"custody",'caseload data'!$C:$C,'custody %'!$B$29),"")</f>
        <v/>
      </c>
      <c r="L33" s="181" t="str">
        <f>IFERROR(SUMIFS('caseload data'!N:N,'caseload data'!$C:$C,'custody %'!$B$29,'caseload data'!$D:$D,"TPO",'caseload data'!$B:$B,"custody")/SUMIFS('caseload data'!N:N,'caseload data'!$B:$B,"custody",'caseload data'!$C:$C,'custody %'!$B$29),"")</f>
        <v/>
      </c>
      <c r="M33" s="181" t="str">
        <f>IFERROR(SUMIFS('caseload data'!O:O,'caseload data'!$C:$C,'custody %'!$B$29,'caseload data'!$D:$D,"TPO",'caseload data'!$B:$B,"custody")/SUMIFS('caseload data'!O:O,'caseload data'!$B:$B,"custody",'caseload data'!$C:$C,'custody %'!$B$29),"")</f>
        <v/>
      </c>
      <c r="N33" s="181" t="str">
        <f>IFERROR(SUMIFS('caseload data'!P:P,'caseload data'!$C:$C,'custody %'!$B$29,'caseload data'!$D:$D,"TPO",'caseload data'!$B:$B,"custody")/SUMIFS('caseload data'!P:P,'caseload data'!$B:$B,"custody",'caseload data'!$C:$C,'custody %'!$B$29),"")</f>
        <v/>
      </c>
      <c r="O33" s="181" t="str">
        <f>IFERROR(SUMIFS('caseload data'!Q:Q,'caseload data'!$C:$C,'custody %'!$B$29,'caseload data'!$D:$D,"TPO",'caseload data'!$B:$B,"custody")/SUMIFS('caseload data'!Q:Q,'caseload data'!$B:$B,"custody",'caseload data'!$C:$C,'custody %'!$B$29),"")</f>
        <v/>
      </c>
      <c r="P33" s="181" t="str">
        <f>IFERROR(SUMIFS('caseload data'!R:R,'caseload data'!$C:$C,'custody %'!$B$29,'caseload data'!$D:$D,"TPO",'caseload data'!$B:$B,"custody")/SUMIFS('caseload data'!R:R,'caseload data'!$B:$B,"custody",'caseload data'!$C:$C,'custody %'!$B$29),"")</f>
        <v/>
      </c>
      <c r="Q33" s="181" t="str">
        <f>IFERROR(SUMIFS('caseload data'!S:S,'caseload data'!$C:$C,'custody %'!$B$29,'caseload data'!$D:$D,"TPO",'caseload data'!$B:$B,"custody")/SUMIFS('caseload data'!S:S,'caseload data'!$B:$B,"custody",'caseload data'!$C:$C,'custody %'!$B$29),"")</f>
        <v/>
      </c>
      <c r="R33" s="181" t="str">
        <f>IFERROR(SUMIFS('caseload data'!T:T,'caseload data'!$C:$C,'custody %'!$B$29,'caseload data'!$D:$D,"TPO",'caseload data'!$B:$B,"custody")/SUMIFS('caseload data'!T:T,'caseload data'!$B:$B,"custody",'caseload data'!$C:$C,'custody %'!$B$29),"")</f>
        <v/>
      </c>
      <c r="S33" s="73"/>
      <c r="T33" s="107" t="s">
        <v>913</v>
      </c>
      <c r="U33" s="181" t="str">
        <f>IFERROR(SUMIFS('caseload data'!E:E,'caseload data'!$C:$C,'custody %'!$T$29,'caseload data'!$D:$D,"TPO",'caseload data'!$B:$B,"custody")/SUMIFS('caseload data'!E:E,'caseload data'!$B:$B,"custody",'caseload data'!$C:$C,'custody %'!$T$29),"")</f>
        <v/>
      </c>
      <c r="V33" s="181" t="str">
        <f>IFERROR(SUMIFS('caseload data'!F:F,'caseload data'!$C:$C,'custody %'!$T$29,'caseload data'!$D:$D,"TPO",'caseload data'!$B:$B,"custody")/SUMIFS('caseload data'!F:F,'caseload data'!$B:$B,"custody",'caseload data'!$C:$C,'custody %'!$T$29),"")</f>
        <v/>
      </c>
      <c r="W33" s="181" t="str">
        <f>IFERROR(SUMIFS('caseload data'!G:G,'caseload data'!$C:$C,'custody %'!$T$29,'caseload data'!$D:$D,"TPO",'caseload data'!$B:$B,"custody")/SUMIFS('caseload data'!G:G,'caseload data'!$B:$B,"custody",'caseload data'!$C:$C,'custody %'!$T$29),"")</f>
        <v/>
      </c>
      <c r="X33" s="181" t="str">
        <f>IFERROR(SUMIFS('caseload data'!H:H,'caseload data'!$C:$C,'custody %'!$T$29,'caseload data'!$D:$D,"TPO",'caseload data'!$B:$B,"custody")/SUMIFS('caseload data'!H:H,'caseload data'!$B:$B,"custody",'caseload data'!$C:$C,'custody %'!$T$29),"")</f>
        <v/>
      </c>
      <c r="Y33" s="181" t="str">
        <f>IFERROR(SUMIFS('caseload data'!I:I,'caseload data'!$C:$C,'custody %'!$T$29,'caseload data'!$D:$D,"TPO",'caseload data'!$B:$B,"custody")/SUMIFS('caseload data'!I:I,'caseload data'!$B:$B,"custody",'caseload data'!$C:$C,'custody %'!$T$29),"")</f>
        <v/>
      </c>
      <c r="Z33" s="181" t="str">
        <f>IFERROR(SUMIFS('caseload data'!J:J,'caseload data'!$C:$C,'custody %'!$T$29,'caseload data'!$D:$D,"TPO",'caseload data'!$B:$B,"custody")/SUMIFS('caseload data'!J:J,'caseload data'!$B:$B,"custody",'caseload data'!$C:$C,'custody %'!$T$29),"")</f>
        <v/>
      </c>
      <c r="AA33" s="181" t="str">
        <f>IFERROR(SUMIFS('caseload data'!K:K,'caseload data'!$C:$C,'custody %'!$T$29,'caseload data'!$D:$D,"TPO",'caseload data'!$B:$B,"custody")/SUMIFS('caseload data'!K:K,'caseload data'!$B:$B,"custody",'caseload data'!$C:$C,'custody %'!$T$29),"")</f>
        <v/>
      </c>
      <c r="AB33" s="181" t="str">
        <f>IFERROR(SUMIFS('caseload data'!L:L,'caseload data'!$C:$C,'custody %'!$T$29,'caseload data'!$D:$D,"TPO",'caseload data'!$B:$B,"custody")/SUMIFS('caseload data'!L:L,'caseload data'!$B:$B,"custody",'caseload data'!$C:$C,'custody %'!$T$29),"")</f>
        <v/>
      </c>
      <c r="AC33" s="181" t="str">
        <f>IFERROR(SUMIFS('caseload data'!M:M,'caseload data'!$C:$C,'custody %'!$T$29,'caseload data'!$D:$D,"TPO",'caseload data'!$B:$B,"custody")/SUMIFS('caseload data'!M:M,'caseload data'!$B:$B,"custody",'caseload data'!$C:$C,'custody %'!$T$29),"")</f>
        <v/>
      </c>
      <c r="AD33" s="181" t="str">
        <f>IFERROR(SUMIFS('caseload data'!N:N,'caseload data'!$C:$C,'custody %'!$T$29,'caseload data'!$D:$D,"TPO",'caseload data'!$B:$B,"custody")/SUMIFS('caseload data'!N:N,'caseload data'!$B:$B,"custody",'caseload data'!$C:$C,'custody %'!$T$29),"")</f>
        <v/>
      </c>
      <c r="AE33" s="181" t="str">
        <f>IFERROR(SUMIFS('caseload data'!O:O,'caseload data'!$C:$C,'custody %'!$T$29,'caseload data'!$D:$D,"TPO",'caseload data'!$B:$B,"custody")/SUMIFS('caseload data'!O:O,'caseload data'!$B:$B,"custody",'caseload data'!$C:$C,'custody %'!$T$29),"")</f>
        <v/>
      </c>
      <c r="AF33" s="181" t="str">
        <f>IFERROR(SUMIFS('caseload data'!P:P,'caseload data'!$C:$C,'custody %'!$T$29,'caseload data'!$D:$D,"TPO",'caseload data'!$B:$B,"custody")/SUMIFS('caseload data'!P:P,'caseload data'!$B:$B,"custody",'caseload data'!$C:$C,'custody %'!$T$29),"")</f>
        <v/>
      </c>
      <c r="AG33" s="181" t="str">
        <f>IFERROR(SUMIFS('caseload data'!Q:Q,'caseload data'!$C:$C,'custody %'!$T$29,'caseload data'!$D:$D,"TPO",'caseload data'!$B:$B,"custody")/SUMIFS('caseload data'!Q:Q,'caseload data'!$B:$B,"custody",'caseload data'!$C:$C,'custody %'!$T$29),"")</f>
        <v/>
      </c>
      <c r="AH33" s="181" t="str">
        <f>IFERROR(SUMIFS('caseload data'!R:R,'caseload data'!$C:$C,'custody %'!$T$29,'caseload data'!$D:$D,"TPO",'caseload data'!$B:$B,"custody")/SUMIFS('caseload data'!R:R,'caseload data'!$B:$B,"custody",'caseload data'!$C:$C,'custody %'!$T$29),"")</f>
        <v/>
      </c>
      <c r="AI33" s="181"/>
      <c r="AJ33" s="181"/>
    </row>
    <row r="34" spans="2:36" x14ac:dyDescent="0.15">
      <c r="B34" s="108" t="s">
        <v>914</v>
      </c>
      <c r="C34" s="181" t="str">
        <f>IFERROR(SUMIFS('caseload data'!E:E,'caseload data'!$C:$C,'custody %'!$B$29,'caseload data'!$D:$D,"SPO",'caseload data'!$B:$B,"custody")/SUMIFS('caseload data'!E:E,'caseload data'!$B:$B,"custody",'caseload data'!$C:$C,'custody %'!$B$29),"")</f>
        <v/>
      </c>
      <c r="D34" s="181" t="str">
        <f>IFERROR(SUMIFS('caseload data'!F:F,'caseload data'!$C:$C,'custody %'!$B$29,'caseload data'!$D:$D,"SPO",'caseload data'!$B:$B,"custody")/SUMIFS('caseload data'!F:F,'caseload data'!$B:$B,"custody",'caseload data'!$C:$C,'custody %'!$B$29),"")</f>
        <v/>
      </c>
      <c r="E34" s="181" t="str">
        <f>IFERROR(SUMIFS('caseload data'!G:G,'caseload data'!$C:$C,'custody %'!$B$29,'caseload data'!$D:$D,"SPO",'caseload data'!$B:$B,"custody")/SUMIFS('caseload data'!G:G,'caseload data'!$B:$B,"custody",'caseload data'!$C:$C,'custody %'!$B$29),"")</f>
        <v/>
      </c>
      <c r="F34" s="181" t="str">
        <f>IFERROR(SUMIFS('caseload data'!H:H,'caseload data'!$C:$C,'custody %'!$B$29,'caseload data'!$D:$D,"SPO",'caseload data'!$B:$B,"custody")/SUMIFS('caseload data'!H:H,'caseload data'!$B:$B,"custody",'caseload data'!$C:$C,'custody %'!$B$29),"")</f>
        <v/>
      </c>
      <c r="G34" s="181" t="str">
        <f>IFERROR(SUMIFS('caseload data'!I:I,'caseload data'!$C:$C,'custody %'!$B$29,'caseload data'!$D:$D,"SPO",'caseload data'!$B:$B,"custody")/SUMIFS('caseload data'!I:I,'caseload data'!$B:$B,"custody",'caseload data'!$C:$C,'custody %'!$B$29),"")</f>
        <v/>
      </c>
      <c r="H34" s="181" t="str">
        <f>IFERROR(SUMIFS('caseload data'!J:J,'caseload data'!$C:$C,'custody %'!$B$29,'caseload data'!$D:$D,"SPO",'caseload data'!$B:$B,"custody")/SUMIFS('caseload data'!J:J,'caseload data'!$B:$B,"custody",'caseload data'!$C:$C,'custody %'!$B$29),"")</f>
        <v/>
      </c>
      <c r="I34" s="181" t="str">
        <f>IFERROR(SUMIFS('caseload data'!K:K,'caseload data'!$C:$C,'custody %'!$B$29,'caseload data'!$D:$D,"SPO",'caseload data'!$B:$B,"custody")/SUMIFS('caseload data'!K:K,'caseload data'!$B:$B,"custody",'caseload data'!$C:$C,'custody %'!$B$29),"")</f>
        <v/>
      </c>
      <c r="J34" s="181" t="str">
        <f>IFERROR(SUMIFS('caseload data'!L:L,'caseload data'!$C:$C,'custody %'!$B$29,'caseload data'!$D:$D,"SPO",'caseload data'!$B:$B,"custody")/SUMIFS('caseload data'!L:L,'caseload data'!$B:$B,"custody",'caseload data'!$C:$C,'custody %'!$B$29),"")</f>
        <v/>
      </c>
      <c r="K34" s="181" t="str">
        <f>IFERROR(SUMIFS('caseload data'!M:M,'caseload data'!$C:$C,'custody %'!$B$29,'caseload data'!$D:$D,"SPO",'caseload data'!$B:$B,"custody")/SUMIFS('caseload data'!M:M,'caseload data'!$B:$B,"custody",'caseload data'!$C:$C,'custody %'!$B$29),"")</f>
        <v/>
      </c>
      <c r="L34" s="181" t="str">
        <f>IFERROR(SUMIFS('caseload data'!N:N,'caseload data'!$C:$C,'custody %'!$B$29,'caseload data'!$D:$D,"SPO",'caseload data'!$B:$B,"custody")/SUMIFS('caseload data'!N:N,'caseload data'!$B:$B,"custody",'caseload data'!$C:$C,'custody %'!$B$29),"")</f>
        <v/>
      </c>
      <c r="M34" s="181" t="str">
        <f>IFERROR(SUMIFS('caseload data'!O:O,'caseload data'!$C:$C,'custody %'!$B$29,'caseload data'!$D:$D,"SPO",'caseload data'!$B:$B,"custody")/SUMIFS('caseload data'!O:O,'caseload data'!$B:$B,"custody",'caseload data'!$C:$C,'custody %'!$B$29),"")</f>
        <v/>
      </c>
      <c r="N34" s="181" t="str">
        <f>IFERROR(SUMIFS('caseload data'!P:P,'caseload data'!$C:$C,'custody %'!$B$29,'caseload data'!$D:$D,"SPO",'caseload data'!$B:$B,"custody")/SUMIFS('caseload data'!P:P,'caseload data'!$B:$B,"custody",'caseload data'!$C:$C,'custody %'!$B$29),"")</f>
        <v/>
      </c>
      <c r="O34" s="181" t="str">
        <f>IFERROR(SUMIFS('caseload data'!Q:Q,'caseload data'!$C:$C,'custody %'!$B$29,'caseload data'!$D:$D,"SPO",'caseload data'!$B:$B,"custody")/SUMIFS('caseload data'!Q:Q,'caseload data'!$B:$B,"custody",'caseload data'!$C:$C,'custody %'!$B$29),"")</f>
        <v/>
      </c>
      <c r="P34" s="181" t="str">
        <f>IFERROR(SUMIFS('caseload data'!R:R,'caseload data'!$C:$C,'custody %'!$B$29,'caseload data'!$D:$D,"SPO",'caseload data'!$B:$B,"custody")/SUMIFS('caseload data'!R:R,'caseload data'!$B:$B,"custody",'caseload data'!$C:$C,'custody %'!$B$29),"")</f>
        <v/>
      </c>
      <c r="Q34" s="181" t="str">
        <f>IFERROR(SUMIFS('caseload data'!S:S,'caseload data'!$C:$C,'custody %'!$B$29,'caseload data'!$D:$D,"SPO",'caseload data'!$B:$B,"custody")/SUMIFS('caseload data'!S:S,'caseload data'!$B:$B,"custody",'caseload data'!$C:$C,'custody %'!$B$29),"")</f>
        <v/>
      </c>
      <c r="R34" s="181" t="str">
        <f>IFERROR(SUMIFS('caseload data'!T:T,'caseload data'!$C:$C,'custody %'!$B$29,'caseload data'!$D:$D,"SPO",'caseload data'!$B:$B,"custody")/SUMIFS('caseload data'!T:T,'caseload data'!$B:$B,"custody",'caseload data'!$C:$C,'custody %'!$B$29),"")</f>
        <v/>
      </c>
      <c r="S34" s="73"/>
      <c r="T34" s="108" t="s">
        <v>914</v>
      </c>
      <c r="U34" s="181" t="str">
        <f>IFERROR(SUMIFS('caseload data'!E:E,'caseload data'!$C:$C,'custody %'!$T$29,'caseload data'!$D:$D,"SPO",'caseload data'!$B:$B,"custody")/SUMIFS('caseload data'!E:E,'caseload data'!$B:$B,"custody",'caseload data'!$C:$C,'custody %'!$T$29),"")</f>
        <v/>
      </c>
      <c r="V34" s="181" t="str">
        <f>IFERROR(SUMIFS('caseload data'!F:F,'caseload data'!$C:$C,'custody %'!$T$29,'caseload data'!$D:$D,"SPO",'caseload data'!$B:$B,"custody")/SUMIFS('caseload data'!F:F,'caseload data'!$B:$B,"custody",'caseload data'!$C:$C,'custody %'!$T$29),"")</f>
        <v/>
      </c>
      <c r="W34" s="181" t="str">
        <f>IFERROR(SUMIFS('caseload data'!G:G,'caseload data'!$C:$C,'custody %'!$T$29,'caseload data'!$D:$D,"SPO",'caseload data'!$B:$B,"custody")/SUMIFS('caseload data'!G:G,'caseload data'!$B:$B,"custody",'caseload data'!$C:$C,'custody %'!$T$29),"")</f>
        <v/>
      </c>
      <c r="X34" s="181" t="str">
        <f>IFERROR(SUMIFS('caseload data'!H:H,'caseload data'!$C:$C,'custody %'!$T$29,'caseload data'!$D:$D,"SPO",'caseload data'!$B:$B,"custody")/SUMIFS('caseload data'!H:H,'caseload data'!$B:$B,"custody",'caseload data'!$C:$C,'custody %'!$T$29),"")</f>
        <v/>
      </c>
      <c r="Y34" s="181" t="str">
        <f>IFERROR(SUMIFS('caseload data'!I:I,'caseload data'!$C:$C,'custody %'!$T$29,'caseload data'!$D:$D,"SPO",'caseload data'!$B:$B,"custody")/SUMIFS('caseload data'!I:I,'caseload data'!$B:$B,"custody",'caseload data'!$C:$C,'custody %'!$T$29),"")</f>
        <v/>
      </c>
      <c r="Z34" s="181" t="str">
        <f>IFERROR(SUMIFS('caseload data'!J:J,'caseload data'!$C:$C,'custody %'!$T$29,'caseload data'!$D:$D,"SPO",'caseload data'!$B:$B,"custody")/SUMIFS('caseload data'!J:J,'caseload data'!$B:$B,"custody",'caseload data'!$C:$C,'custody %'!$T$29),"")</f>
        <v/>
      </c>
      <c r="AA34" s="181" t="str">
        <f>IFERROR(SUMIFS('caseload data'!K:K,'caseload data'!$C:$C,'custody %'!$T$29,'caseload data'!$D:$D,"SPO",'caseload data'!$B:$B,"custody")/SUMIFS('caseload data'!K:K,'caseload data'!$B:$B,"custody",'caseload data'!$C:$C,'custody %'!$T$29),"")</f>
        <v/>
      </c>
      <c r="AB34" s="181" t="str">
        <f>IFERROR(SUMIFS('caseload data'!L:L,'caseload data'!$C:$C,'custody %'!$T$29,'caseload data'!$D:$D,"SPO",'caseload data'!$B:$B,"custody")/SUMIFS('caseload data'!L:L,'caseload data'!$B:$B,"custody",'caseload data'!$C:$C,'custody %'!$T$29),"")</f>
        <v/>
      </c>
      <c r="AC34" s="181" t="str">
        <f>IFERROR(SUMIFS('caseload data'!M:M,'caseload data'!$C:$C,'custody %'!$T$29,'caseload data'!$D:$D,"SPO",'caseload data'!$B:$B,"custody")/SUMIFS('caseload data'!M:M,'caseload data'!$B:$B,"custody",'caseload data'!$C:$C,'custody %'!$T$29),"")</f>
        <v/>
      </c>
      <c r="AD34" s="181" t="str">
        <f>IFERROR(SUMIFS('caseload data'!N:N,'caseload data'!$C:$C,'custody %'!$T$29,'caseload data'!$D:$D,"SPO",'caseload data'!$B:$B,"custody")/SUMIFS('caseload data'!N:N,'caseload data'!$B:$B,"custody",'caseload data'!$C:$C,'custody %'!$T$29),"")</f>
        <v/>
      </c>
      <c r="AE34" s="181" t="str">
        <f>IFERROR(SUMIFS('caseload data'!O:O,'caseload data'!$C:$C,'custody %'!$T$29,'caseload data'!$D:$D,"SPO",'caseload data'!$B:$B,"custody")/SUMIFS('caseload data'!O:O,'caseload data'!$B:$B,"custody",'caseload data'!$C:$C,'custody %'!$T$29),"")</f>
        <v/>
      </c>
      <c r="AF34" s="181" t="str">
        <f>IFERROR(SUMIFS('caseload data'!P:P,'caseload data'!$C:$C,'custody %'!$T$29,'caseload data'!$D:$D,"SPO",'caseload data'!$B:$B,"custody")/SUMIFS('caseload data'!P:P,'caseload data'!$B:$B,"custody",'caseload data'!$C:$C,'custody %'!$T$29),"")</f>
        <v/>
      </c>
      <c r="AG34" s="181" t="str">
        <f>IFERROR(SUMIFS('caseload data'!Q:Q,'caseload data'!$C:$C,'custody %'!$T$29,'caseload data'!$D:$D,"SPO",'caseload data'!$B:$B,"custody")/SUMIFS('caseload data'!Q:Q,'caseload data'!$B:$B,"custody",'caseload data'!$C:$C,'custody %'!$T$29),"")</f>
        <v/>
      </c>
      <c r="AH34" s="181" t="str">
        <f>IFERROR(SUMIFS('caseload data'!R:R,'caseload data'!$C:$C,'custody %'!$T$29,'caseload data'!$D:$D,"SPO",'caseload data'!$B:$B,"custody")/SUMIFS('caseload data'!R:R,'caseload data'!$B:$B,"custody",'caseload data'!$C:$C,'custody %'!$T$29),"")</f>
        <v/>
      </c>
      <c r="AI34" s="181"/>
      <c r="AJ34" s="181"/>
    </row>
    <row r="35" spans="2:36" x14ac:dyDescent="0.15">
      <c r="B35" s="101"/>
      <c r="C35" s="73"/>
      <c r="D35" s="73"/>
      <c r="E35" s="73"/>
      <c r="F35" s="73"/>
      <c r="G35" s="73"/>
      <c r="H35" s="73"/>
      <c r="I35" s="73"/>
      <c r="J35" s="73"/>
      <c r="K35" s="73"/>
      <c r="L35" s="73"/>
      <c r="M35" s="73"/>
      <c r="N35" s="73"/>
      <c r="O35" s="73"/>
      <c r="P35" s="73"/>
      <c r="Q35" s="73"/>
      <c r="R35" s="73"/>
      <c r="S35" s="73"/>
      <c r="T35" s="101"/>
      <c r="U35" s="73"/>
      <c r="V35" s="73"/>
      <c r="W35" s="73"/>
      <c r="X35" s="73"/>
      <c r="Y35" s="73"/>
      <c r="Z35" s="73"/>
      <c r="AA35" s="73"/>
      <c r="AB35" s="73"/>
      <c r="AC35" s="73"/>
      <c r="AD35" s="73"/>
      <c r="AE35" s="73"/>
      <c r="AF35" s="73"/>
      <c r="AG35" s="73"/>
      <c r="AH35" s="73"/>
    </row>
    <row r="36" spans="2:36" ht="27.75" customHeight="1" x14ac:dyDescent="0.15">
      <c r="B36" s="156" t="str">
        <f>HLOOKUP($B$5,Region_Table,10,0)</f>
        <v>Greenwich and Bexley</v>
      </c>
      <c r="C36" s="367" t="s">
        <v>1163</v>
      </c>
      <c r="D36" s="368"/>
      <c r="E36" s="368"/>
      <c r="F36" s="368"/>
      <c r="G36" s="368"/>
      <c r="H36" s="368"/>
      <c r="I36" s="368"/>
      <c r="J36" s="368"/>
      <c r="K36" s="368"/>
      <c r="L36" s="368"/>
      <c r="M36" s="377"/>
      <c r="N36" s="377"/>
      <c r="O36" s="378"/>
      <c r="P36" s="371">
        <f>SUMIF('caseload data'!$C:$C,'custody %'!B36,'caseload data'!V:V)</f>
        <v>0</v>
      </c>
      <c r="Q36" s="379"/>
      <c r="R36" s="380"/>
      <c r="S36" s="73"/>
      <c r="T36" s="156" t="str">
        <f>HLOOKUP($B$5,Region_Table,11,0)</f>
        <v>Hackney and City</v>
      </c>
      <c r="U36" s="367" t="s">
        <v>1163</v>
      </c>
      <c r="V36" s="368"/>
      <c r="W36" s="368"/>
      <c r="X36" s="368"/>
      <c r="Y36" s="368"/>
      <c r="Z36" s="368"/>
      <c r="AA36" s="368"/>
      <c r="AB36" s="368"/>
      <c r="AC36" s="377"/>
      <c r="AD36" s="377"/>
      <c r="AE36" s="378"/>
      <c r="AF36" s="371">
        <f>SUMIF('caseload data'!$C:$C,'custody %'!T36,'caseload data'!V:V)</f>
        <v>0</v>
      </c>
      <c r="AG36" s="379"/>
      <c r="AH36" s="380"/>
    </row>
    <row r="37" spans="2:36" x14ac:dyDescent="0.15">
      <c r="B37" s="105" t="s">
        <v>1065</v>
      </c>
      <c r="C37" s="41" t="s">
        <v>922</v>
      </c>
      <c r="D37" s="41" t="s">
        <v>923</v>
      </c>
      <c r="E37" s="41" t="s">
        <v>924</v>
      </c>
      <c r="F37" s="41" t="s">
        <v>925</v>
      </c>
      <c r="G37" s="41" t="s">
        <v>926</v>
      </c>
      <c r="H37" s="41" t="s">
        <v>927</v>
      </c>
      <c r="I37" s="41" t="s">
        <v>928</v>
      </c>
      <c r="J37" s="41" t="s">
        <v>929</v>
      </c>
      <c r="K37" s="41" t="s">
        <v>930</v>
      </c>
      <c r="L37" s="41" t="s">
        <v>931</v>
      </c>
      <c r="M37" s="41" t="s">
        <v>932</v>
      </c>
      <c r="N37" s="41" t="s">
        <v>933</v>
      </c>
      <c r="O37" s="41" t="s">
        <v>934</v>
      </c>
      <c r="P37" s="41" t="s">
        <v>935</v>
      </c>
      <c r="Q37" s="41" t="s">
        <v>936</v>
      </c>
      <c r="R37" s="41" t="s">
        <v>937</v>
      </c>
      <c r="S37" s="73"/>
      <c r="T37" s="105" t="s">
        <v>1065</v>
      </c>
      <c r="U37" s="41" t="s">
        <v>922</v>
      </c>
      <c r="V37" s="41" t="s">
        <v>923</v>
      </c>
      <c r="W37" s="41" t="s">
        <v>924</v>
      </c>
      <c r="X37" s="41" t="s">
        <v>925</v>
      </c>
      <c r="Y37" s="41" t="s">
        <v>926</v>
      </c>
      <c r="Z37" s="41" t="s">
        <v>927</v>
      </c>
      <c r="AA37" s="41" t="s">
        <v>928</v>
      </c>
      <c r="AB37" s="41" t="s">
        <v>929</v>
      </c>
      <c r="AC37" s="41" t="s">
        <v>930</v>
      </c>
      <c r="AD37" s="41" t="s">
        <v>931</v>
      </c>
      <c r="AE37" s="41" t="s">
        <v>932</v>
      </c>
      <c r="AF37" s="41" t="s">
        <v>933</v>
      </c>
      <c r="AG37" s="41" t="s">
        <v>934</v>
      </c>
      <c r="AH37" s="41" t="s">
        <v>935</v>
      </c>
      <c r="AI37" s="41" t="s">
        <v>936</v>
      </c>
      <c r="AJ37" s="41" t="s">
        <v>937</v>
      </c>
    </row>
    <row r="38" spans="2:36" x14ac:dyDescent="0.15">
      <c r="B38" s="106" t="s">
        <v>911</v>
      </c>
      <c r="C38" s="181" t="str">
        <f>IFERROR(SUMIFS('caseload data'!E:E,'caseload data'!$C:$C,'custody %'!$B$36,'caseload data'!$D:$D,"PO",'caseload data'!$B:$B,"custody")/SUMIFS('caseload data'!E:E,'caseload data'!$B:$B,"custody",'caseload data'!$C:$C,'custody %'!$B$36),"")</f>
        <v/>
      </c>
      <c r="D38" s="181" t="str">
        <f>IFERROR(SUMIFS('caseload data'!F:F,'caseload data'!$C:$C,'custody %'!$B$36,'caseload data'!$D:$D,"PO",'caseload data'!$B:$B,"custody")/SUMIFS('caseload data'!F:F,'caseload data'!$B:$B,"custody",'caseload data'!$C:$C,'custody %'!$B$36),"")</f>
        <v/>
      </c>
      <c r="E38" s="181" t="str">
        <f>IFERROR(SUMIFS('caseload data'!G:G,'caseload data'!$C:$C,'custody %'!$B$36,'caseload data'!$D:$D,"PO",'caseload data'!$B:$B,"custody")/SUMIFS('caseload data'!G:G,'caseload data'!$B:$B,"custody",'caseload data'!$C:$C,'custody %'!$B$36),"")</f>
        <v/>
      </c>
      <c r="F38" s="181" t="str">
        <f>IFERROR(SUMIFS('caseload data'!H:H,'caseload data'!$C:$C,'custody %'!$B$36,'caseload data'!$D:$D,"PO",'caseload data'!$B:$B,"custody")/SUMIFS('caseload data'!H:H,'caseload data'!$B:$B,"custody",'caseload data'!$C:$C,'custody %'!$B$36),"")</f>
        <v/>
      </c>
      <c r="G38" s="181" t="str">
        <f>IFERROR(SUMIFS('caseload data'!I:I,'caseload data'!$C:$C,'custody %'!$B$36,'caseload data'!$D:$D,"PO",'caseload data'!$B:$B,"custody")/SUMIFS('caseload data'!I:I,'caseload data'!$B:$B,"custody",'caseload data'!$C:$C,'custody %'!$B$36),"")</f>
        <v/>
      </c>
      <c r="H38" s="181" t="str">
        <f>IFERROR(SUMIFS('caseload data'!J:J,'caseload data'!$C:$C,'custody %'!$B$36,'caseload data'!$D:$D,"PO",'caseload data'!$B:$B,"custody")/SUMIFS('caseload data'!J:J,'caseload data'!$B:$B,"custody",'caseload data'!$C:$C,'custody %'!$B$36),"")</f>
        <v/>
      </c>
      <c r="I38" s="181" t="str">
        <f>IFERROR(SUMIFS('caseload data'!K:K,'caseload data'!$C:$C,'custody %'!$B$36,'caseload data'!$D:$D,"PO",'caseload data'!$B:$B,"custody")/SUMIFS('caseload data'!K:K,'caseload data'!$B:$B,"custody",'caseload data'!$C:$C,'custody %'!$B$36),"")</f>
        <v/>
      </c>
      <c r="J38" s="181" t="str">
        <f>IFERROR(SUMIFS('caseload data'!L:L,'caseload data'!$C:$C,'custody %'!$B$36,'caseload data'!$D:$D,"PO",'caseload data'!$B:$B,"custody")/SUMIFS('caseload data'!L:L,'caseload data'!$B:$B,"custody",'caseload data'!$C:$C,'custody %'!$B$36),"")</f>
        <v/>
      </c>
      <c r="K38" s="181" t="str">
        <f>IFERROR(SUMIFS('caseload data'!M:M,'caseload data'!$C:$C,'custody %'!$B$36,'caseload data'!$D:$D,"PO",'caseload data'!$B:$B,"custody")/SUMIFS('caseload data'!M:M,'caseload data'!$B:$B,"custody",'caseload data'!$C:$C,'custody %'!$B$36),"")</f>
        <v/>
      </c>
      <c r="L38" s="181" t="str">
        <f>IFERROR(SUMIFS('caseload data'!N:N,'caseload data'!$C:$C,'custody %'!$B$36,'caseload data'!$D:$D,"PO",'caseload data'!$B:$B,"custody")/SUMIFS('caseload data'!N:N,'caseload data'!$B:$B,"custody",'caseload data'!$C:$C,'custody %'!$B$36),"")</f>
        <v/>
      </c>
      <c r="M38" s="181" t="str">
        <f>IFERROR(SUMIFS('caseload data'!O:O,'caseload data'!$C:$C,'custody %'!$B$36,'caseload data'!$D:$D,"PO",'caseload data'!$B:$B,"custody")/SUMIFS('caseload data'!O:O,'caseload data'!$B:$B,"custody",'caseload data'!$C:$C,'custody %'!$B$36),"")</f>
        <v/>
      </c>
      <c r="N38" s="181" t="str">
        <f>IFERROR(SUMIFS('caseload data'!P:P,'caseload data'!$C:$C,'custody %'!$B$36,'caseload data'!$D:$D,"PO",'caseload data'!$B:$B,"custody")/SUMIFS('caseload data'!P:P,'caseload data'!$B:$B,"custody",'caseload data'!$C:$C,'custody %'!$B$36),"")</f>
        <v/>
      </c>
      <c r="O38" s="181" t="str">
        <f>IFERROR(SUMIFS('caseload data'!Q:Q,'caseload data'!$C:$C,'custody %'!$B$36,'caseload data'!$D:$D,"PO",'caseload data'!$B:$B,"custody")/SUMIFS('caseload data'!Q:Q,'caseload data'!$B:$B,"custody",'caseload data'!$C:$C,'custody %'!$B$36),"")</f>
        <v/>
      </c>
      <c r="P38" s="181" t="str">
        <f>IFERROR(SUMIFS('caseload data'!R:R,'caseload data'!$C:$C,'custody %'!$B$36,'caseload data'!$D:$D,"PO",'caseload data'!$B:$B,"custody")/SUMIFS('caseload data'!R:R,'caseload data'!$B:$B,"custody",'caseload data'!$C:$C,'custody %'!$B$36),"")</f>
        <v/>
      </c>
      <c r="Q38" s="181" t="str">
        <f>IFERROR(SUMIFS('caseload data'!S:S,'caseload data'!$C:$C,'custody %'!$B$36,'caseload data'!$D:$D,"PO",'caseload data'!$B:$B,"custody")/SUMIFS('caseload data'!S:S,'caseload data'!$B:$B,"custody",'caseload data'!$C:$C,'custody %'!$B$36),"")</f>
        <v/>
      </c>
      <c r="R38" s="181" t="str">
        <f>IFERROR(SUMIFS('caseload data'!T:T,'caseload data'!$C:$C,'custody %'!$B$36,'caseload data'!$D:$D,"PO",'caseload data'!$B:$B,"custody")/SUMIFS('caseload data'!T:T,'caseload data'!$B:$B,"custody",'caseload data'!$C:$C,'custody %'!$B$36),"")</f>
        <v/>
      </c>
      <c r="S38" s="73"/>
      <c r="T38" s="106" t="s">
        <v>911</v>
      </c>
      <c r="U38" s="181" t="str">
        <f>IFERROR(SUMIFS('caseload data'!E:E,'caseload data'!$C:$C,'custody %'!$T$36,'caseload data'!$D:$D,"PO",'caseload data'!$B:$B,"custody")/SUMIFS('caseload data'!E:E,'caseload data'!$B:$B,"custody",'caseload data'!$C:$C,'custody %'!$T$36),"")</f>
        <v/>
      </c>
      <c r="V38" s="181" t="str">
        <f>IFERROR(SUMIFS('caseload data'!F:F,'caseload data'!$C:$C,'custody %'!$T$36,'caseload data'!$D:$D,"PO",'caseload data'!$B:$B,"custody")/SUMIFS('caseload data'!F:F,'caseload data'!$B:$B,"custody",'caseload data'!$C:$C,'custody %'!$T$36),"")</f>
        <v/>
      </c>
      <c r="W38" s="181" t="str">
        <f>IFERROR(SUMIFS('caseload data'!G:G,'caseload data'!$C:$C,'custody %'!$T$36,'caseload data'!$D:$D,"PO",'caseload data'!$B:$B,"custody")/SUMIFS('caseload data'!G:G,'caseload data'!$B:$B,"custody",'caseload data'!$C:$C,'custody %'!$T$36),"")</f>
        <v/>
      </c>
      <c r="X38" s="181" t="str">
        <f>IFERROR(SUMIFS('caseload data'!H:H,'caseload data'!$C:$C,'custody %'!$T$36,'caseload data'!$D:$D,"PO",'caseload data'!$B:$B,"custody")/SUMIFS('caseload data'!H:H,'caseload data'!$B:$B,"custody",'caseload data'!$C:$C,'custody %'!$T$36),"")</f>
        <v/>
      </c>
      <c r="Y38" s="181" t="str">
        <f>IFERROR(SUMIFS('caseload data'!I:I,'caseload data'!$C:$C,'custody %'!$T$36,'caseload data'!$D:$D,"PO",'caseload data'!$B:$B,"custody")/SUMIFS('caseload data'!I:I,'caseload data'!$B:$B,"custody",'caseload data'!$C:$C,'custody %'!$T$36),"")</f>
        <v/>
      </c>
      <c r="Z38" s="181" t="str">
        <f>IFERROR(SUMIFS('caseload data'!J:J,'caseload data'!$C:$C,'custody %'!$T$36,'caseload data'!$D:$D,"PO",'caseload data'!$B:$B,"custody")/SUMIFS('caseload data'!J:J,'caseload data'!$B:$B,"custody",'caseload data'!$C:$C,'custody %'!$T$36),"")</f>
        <v/>
      </c>
      <c r="AA38" s="181" t="str">
        <f>IFERROR(SUMIFS('caseload data'!K:K,'caseload data'!$C:$C,'custody %'!$T$36,'caseload data'!$D:$D,"PO",'caseload data'!$B:$B,"custody")/SUMIFS('caseload data'!K:K,'caseload data'!$B:$B,"custody",'caseload data'!$C:$C,'custody %'!$T$36),"")</f>
        <v/>
      </c>
      <c r="AB38" s="181" t="str">
        <f>IFERROR(SUMIFS('caseload data'!L:L,'caseload data'!$C:$C,'custody %'!$T$36,'caseload data'!$D:$D,"PO",'caseload data'!$B:$B,"custody")/SUMIFS('caseload data'!L:L,'caseload data'!$B:$B,"custody",'caseload data'!$C:$C,'custody %'!$T$36),"")</f>
        <v/>
      </c>
      <c r="AC38" s="181" t="str">
        <f>IFERROR(SUMIFS('caseload data'!M:M,'caseload data'!$C:$C,'custody %'!$T$36,'caseload data'!$D:$D,"PO",'caseload data'!$B:$B,"custody")/SUMIFS('caseload data'!M:M,'caseload data'!$B:$B,"custody",'caseload data'!$C:$C,'custody %'!$T$36),"")</f>
        <v/>
      </c>
      <c r="AD38" s="181" t="str">
        <f>IFERROR(SUMIFS('caseload data'!N:N,'caseload data'!$C:$C,'custody %'!$T$36,'caseload data'!$D:$D,"PO",'caseload data'!$B:$B,"custody")/SUMIFS('caseload data'!N:N,'caseload data'!$B:$B,"custody",'caseload data'!$C:$C,'custody %'!$T$36),"")</f>
        <v/>
      </c>
      <c r="AE38" s="181" t="str">
        <f>IFERROR(SUMIFS('caseload data'!O:O,'caseload data'!$C:$C,'custody %'!$T$36,'caseload data'!$D:$D,"PO",'caseload data'!$B:$B,"custody")/SUMIFS('caseload data'!O:O,'caseload data'!$B:$B,"custody",'caseload data'!$C:$C,'custody %'!$T$36),"")</f>
        <v/>
      </c>
      <c r="AF38" s="181" t="str">
        <f>IFERROR(SUMIFS('caseload data'!P:P,'caseload data'!$C:$C,'custody %'!$T$36,'caseload data'!$D:$D,"PO",'caseload data'!$B:$B,"custody")/SUMIFS('caseload data'!P:P,'caseload data'!$B:$B,"custody",'caseload data'!$C:$C,'custody %'!$T$36),"")</f>
        <v/>
      </c>
      <c r="AG38" s="181" t="str">
        <f>IFERROR(SUMIFS('caseload data'!Q:Q,'caseload data'!$C:$C,'custody %'!$T$36,'caseload data'!$D:$D,"PO",'caseload data'!$B:$B,"custody")/SUMIFS('caseload data'!Q:Q,'caseload data'!$B:$B,"custody",'caseload data'!$C:$C,'custody %'!$T$36),"")</f>
        <v/>
      </c>
      <c r="AH38" s="181" t="str">
        <f>IFERROR(SUMIFS('caseload data'!R:R,'caseload data'!$C:$C,'custody %'!$T$36,'caseload data'!$D:$D,"PO",'caseload data'!$B:$B,"custody")/SUMIFS('caseload data'!R:R,'caseload data'!$B:$B,"custody",'caseload data'!$C:$C,'custody %'!$T$36),"")</f>
        <v/>
      </c>
      <c r="AI38" s="181"/>
      <c r="AJ38" s="181"/>
    </row>
    <row r="39" spans="2:36" x14ac:dyDescent="0.15">
      <c r="B39" s="107" t="s">
        <v>912</v>
      </c>
      <c r="C39" s="181" t="str">
        <f>IFERROR(SUMIFS('caseload data'!E:E,'caseload data'!$C:$C,'custody %'!$B$36,'caseload data'!$D:$D,"PSO",'caseload data'!$B:$B,"custody")/SUMIFS('caseload data'!E:E,'caseload data'!$B:$B,"custody",'caseload data'!$C:$C,'custody %'!$B$36),"")</f>
        <v/>
      </c>
      <c r="D39" s="181" t="str">
        <f>IFERROR(SUMIFS('caseload data'!F:F,'caseload data'!$C:$C,'custody %'!$B$36,'caseload data'!$D:$D,"PSO",'caseload data'!$B:$B,"custody")/SUMIFS('caseload data'!F:F,'caseload data'!$B:$B,"custody",'caseload data'!$C:$C,'custody %'!$B$36),"")</f>
        <v/>
      </c>
      <c r="E39" s="181" t="str">
        <f>IFERROR(SUMIFS('caseload data'!G:G,'caseload data'!$C:$C,'custody %'!$B$36,'caseload data'!$D:$D,"PSO",'caseload data'!$B:$B,"custody")/SUMIFS('caseload data'!G:G,'caseload data'!$B:$B,"custody",'caseload data'!$C:$C,'custody %'!$B$36),"")</f>
        <v/>
      </c>
      <c r="F39" s="181" t="str">
        <f>IFERROR(SUMIFS('caseload data'!H:H,'caseload data'!$C:$C,'custody %'!$B$36,'caseload data'!$D:$D,"PSO",'caseload data'!$B:$B,"custody")/SUMIFS('caseload data'!H:H,'caseload data'!$B:$B,"custody",'caseload data'!$C:$C,'custody %'!$B$36),"")</f>
        <v/>
      </c>
      <c r="G39" s="181" t="str">
        <f>IFERROR(SUMIFS('caseload data'!I:I,'caseload data'!$C:$C,'custody %'!$B$36,'caseload data'!$D:$D,"PSO",'caseload data'!$B:$B,"custody")/SUMIFS('caseload data'!I:I,'caseload data'!$B:$B,"custody",'caseload data'!$C:$C,'custody %'!$B$36),"")</f>
        <v/>
      </c>
      <c r="H39" s="181" t="str">
        <f>IFERROR(SUMIFS('caseload data'!J:J,'caseload data'!$C:$C,'custody %'!$B$36,'caseload data'!$D:$D,"PSO",'caseload data'!$B:$B,"custody")/SUMIFS('caseload data'!J:J,'caseload data'!$B:$B,"custody",'caseload data'!$C:$C,'custody %'!$B$36),"")</f>
        <v/>
      </c>
      <c r="I39" s="181" t="str">
        <f>IFERROR(SUMIFS('caseload data'!K:K,'caseload data'!$C:$C,'custody %'!$B$36,'caseload data'!$D:$D,"PSO",'caseload data'!$B:$B,"custody")/SUMIFS('caseload data'!K:K,'caseload data'!$B:$B,"custody",'caseload data'!$C:$C,'custody %'!$B$36),"")</f>
        <v/>
      </c>
      <c r="J39" s="181" t="str">
        <f>IFERROR(SUMIFS('caseload data'!L:L,'caseload data'!$C:$C,'custody %'!$B$36,'caseload data'!$D:$D,"PSO",'caseload data'!$B:$B,"custody")/SUMIFS('caseload data'!L:L,'caseload data'!$B:$B,"custody",'caseload data'!$C:$C,'custody %'!$B$36),"")</f>
        <v/>
      </c>
      <c r="K39" s="181" t="str">
        <f>IFERROR(SUMIFS('caseload data'!M:M,'caseload data'!$C:$C,'custody %'!$B$36,'caseload data'!$D:$D,"PSO",'caseload data'!$B:$B,"custody")/SUMIFS('caseload data'!M:M,'caseload data'!$B:$B,"custody",'caseload data'!$C:$C,'custody %'!$B$36),"")</f>
        <v/>
      </c>
      <c r="L39" s="181" t="str">
        <f>IFERROR(SUMIFS('caseload data'!N:N,'caseload data'!$C:$C,'custody %'!$B$36,'caseload data'!$D:$D,"PSO",'caseload data'!$B:$B,"custody")/SUMIFS('caseload data'!N:N,'caseload data'!$B:$B,"custody",'caseload data'!$C:$C,'custody %'!$B$36),"")</f>
        <v/>
      </c>
      <c r="M39" s="181" t="str">
        <f>IFERROR(SUMIFS('caseload data'!O:O,'caseload data'!$C:$C,'custody %'!$B$36,'caseload data'!$D:$D,"PSO",'caseload data'!$B:$B,"custody")/SUMIFS('caseload data'!O:O,'caseload data'!$B:$B,"custody",'caseload data'!$C:$C,'custody %'!$B$36),"")</f>
        <v/>
      </c>
      <c r="N39" s="181" t="str">
        <f>IFERROR(SUMIFS('caseload data'!P:P,'caseload data'!$C:$C,'custody %'!$B$36,'caseload data'!$D:$D,"PSO",'caseload data'!$B:$B,"custody")/SUMIFS('caseload data'!P:P,'caseload data'!$B:$B,"custody",'caseload data'!$C:$C,'custody %'!$B$36),"")</f>
        <v/>
      </c>
      <c r="O39" s="181" t="str">
        <f>IFERROR(SUMIFS('caseload data'!Q:Q,'caseload data'!$C:$C,'custody %'!$B$36,'caseload data'!$D:$D,"PSO",'caseload data'!$B:$B,"custody")/SUMIFS('caseload data'!Q:Q,'caseload data'!$B:$B,"custody",'caseload data'!$C:$C,'custody %'!$B$36),"")</f>
        <v/>
      </c>
      <c r="P39" s="181" t="str">
        <f>IFERROR(SUMIFS('caseload data'!R:R,'caseload data'!$C:$C,'custody %'!$B$36,'caseload data'!$D:$D,"PSO",'caseload data'!$B:$B,"custody")/SUMIFS('caseload data'!R:R,'caseload data'!$B:$B,"custody",'caseload data'!$C:$C,'custody %'!$B$36),"")</f>
        <v/>
      </c>
      <c r="Q39" s="181" t="str">
        <f>IFERROR(SUMIFS('caseload data'!S:S,'caseload data'!$C:$C,'custody %'!$B$36,'caseload data'!$D:$D,"PSO",'caseload data'!$B:$B,"custody")/SUMIFS('caseload data'!S:S,'caseload data'!$B:$B,"custody",'caseload data'!$C:$C,'custody %'!$B$36),"")</f>
        <v/>
      </c>
      <c r="R39" s="181" t="str">
        <f>IFERROR(SUMIFS('caseload data'!T:T,'caseload data'!$C:$C,'custody %'!$B$36,'caseload data'!$D:$D,"PSO",'caseload data'!$B:$B,"custody")/SUMIFS('caseload data'!T:T,'caseload data'!$B:$B,"custody",'caseload data'!$C:$C,'custody %'!$B$36),"")</f>
        <v/>
      </c>
      <c r="S39" s="73"/>
      <c r="T39" s="107" t="s">
        <v>912</v>
      </c>
      <c r="U39" s="181" t="str">
        <f>IFERROR(SUMIFS('caseload data'!E:E,'caseload data'!$C:$C,'custody %'!$T$36,'caseload data'!$D:$D,"PSO",'caseload data'!$B:$B,"custody")/SUMIFS('caseload data'!E:E,'caseload data'!$B:$B,"custody",'caseload data'!$C:$C,'custody %'!$T$36),"")</f>
        <v/>
      </c>
      <c r="V39" s="181" t="str">
        <f>IFERROR(SUMIFS('caseload data'!F:F,'caseload data'!$C:$C,'custody %'!$T$36,'caseload data'!$D:$D,"PSO",'caseload data'!$B:$B,"custody")/SUMIFS('caseload data'!F:F,'caseload data'!$B:$B,"custody",'caseload data'!$C:$C,'custody %'!$T$36),"")</f>
        <v/>
      </c>
      <c r="W39" s="181" t="str">
        <f>IFERROR(SUMIFS('caseload data'!G:G,'caseload data'!$C:$C,'custody %'!$T$36,'caseload data'!$D:$D,"PSO",'caseload data'!$B:$B,"custody")/SUMIFS('caseload data'!G:G,'caseload data'!$B:$B,"custody",'caseload data'!$C:$C,'custody %'!$T$36),"")</f>
        <v/>
      </c>
      <c r="X39" s="181" t="str">
        <f>IFERROR(SUMIFS('caseload data'!H:H,'caseload data'!$C:$C,'custody %'!$T$36,'caseload data'!$D:$D,"PSO",'caseload data'!$B:$B,"custody")/SUMIFS('caseload data'!H:H,'caseload data'!$B:$B,"custody",'caseload data'!$C:$C,'custody %'!$T$36),"")</f>
        <v/>
      </c>
      <c r="Y39" s="181" t="str">
        <f>IFERROR(SUMIFS('caseload data'!I:I,'caseload data'!$C:$C,'custody %'!$T$36,'caseload data'!$D:$D,"PSO",'caseload data'!$B:$B,"custody")/SUMIFS('caseload data'!I:I,'caseload data'!$B:$B,"custody",'caseload data'!$C:$C,'custody %'!$T$36),"")</f>
        <v/>
      </c>
      <c r="Z39" s="181" t="str">
        <f>IFERROR(SUMIFS('caseload data'!J:J,'caseload data'!$C:$C,'custody %'!$T$36,'caseload data'!$D:$D,"PSO",'caseload data'!$B:$B,"custody")/SUMIFS('caseload data'!J:J,'caseload data'!$B:$B,"custody",'caseload data'!$C:$C,'custody %'!$T$36),"")</f>
        <v/>
      </c>
      <c r="AA39" s="181" t="str">
        <f>IFERROR(SUMIFS('caseload data'!K:K,'caseload data'!$C:$C,'custody %'!$T$36,'caseload data'!$D:$D,"PSO",'caseload data'!$B:$B,"custody")/SUMIFS('caseload data'!K:K,'caseload data'!$B:$B,"custody",'caseload data'!$C:$C,'custody %'!$T$36),"")</f>
        <v/>
      </c>
      <c r="AB39" s="181" t="str">
        <f>IFERROR(SUMIFS('caseload data'!L:L,'caseload data'!$C:$C,'custody %'!$T$36,'caseload data'!$D:$D,"PSO",'caseload data'!$B:$B,"custody")/SUMIFS('caseload data'!L:L,'caseload data'!$B:$B,"custody",'caseload data'!$C:$C,'custody %'!$T$36),"")</f>
        <v/>
      </c>
      <c r="AC39" s="181" t="str">
        <f>IFERROR(SUMIFS('caseload data'!M:M,'caseload data'!$C:$C,'custody %'!$T$36,'caseload data'!$D:$D,"PSO",'caseload data'!$B:$B,"custody")/SUMIFS('caseload data'!M:M,'caseload data'!$B:$B,"custody",'caseload data'!$C:$C,'custody %'!$T$36),"")</f>
        <v/>
      </c>
      <c r="AD39" s="181" t="str">
        <f>IFERROR(SUMIFS('caseload data'!N:N,'caseload data'!$C:$C,'custody %'!$T$36,'caseload data'!$D:$D,"PSO",'caseload data'!$B:$B,"custody")/SUMIFS('caseload data'!N:N,'caseload data'!$B:$B,"custody",'caseload data'!$C:$C,'custody %'!$T$36),"")</f>
        <v/>
      </c>
      <c r="AE39" s="181" t="str">
        <f>IFERROR(SUMIFS('caseload data'!O:O,'caseload data'!$C:$C,'custody %'!$T$36,'caseload data'!$D:$D,"PSO",'caseload data'!$B:$B,"custody")/SUMIFS('caseload data'!O:O,'caseload data'!$B:$B,"custody",'caseload data'!$C:$C,'custody %'!$T$36),"")</f>
        <v/>
      </c>
      <c r="AF39" s="181" t="str">
        <f>IFERROR(SUMIFS('caseload data'!P:P,'caseload data'!$C:$C,'custody %'!$T$36,'caseload data'!$D:$D,"PSO",'caseload data'!$B:$B,"custody")/SUMIFS('caseload data'!P:P,'caseload data'!$B:$B,"custody",'caseload data'!$C:$C,'custody %'!$T$36),"")</f>
        <v/>
      </c>
      <c r="AG39" s="181" t="str">
        <f>IFERROR(SUMIFS('caseload data'!Q:Q,'caseload data'!$C:$C,'custody %'!$T$36,'caseload data'!$D:$D,"PSO",'caseload data'!$B:$B,"custody")/SUMIFS('caseload data'!Q:Q,'caseload data'!$B:$B,"custody",'caseload data'!$C:$C,'custody %'!$T$36),"")</f>
        <v/>
      </c>
      <c r="AH39" s="181" t="str">
        <f>IFERROR(SUMIFS('caseload data'!R:R,'caseload data'!$C:$C,'custody %'!$T$36,'caseload data'!$D:$D,"PSO",'caseload data'!$B:$B,"custody")/SUMIFS('caseload data'!R:R,'caseload data'!$B:$B,"custody",'caseload data'!$C:$C,'custody %'!$T$36),"")</f>
        <v/>
      </c>
      <c r="AI39" s="181"/>
      <c r="AJ39" s="181"/>
    </row>
    <row r="40" spans="2:36" x14ac:dyDescent="0.15">
      <c r="B40" s="107" t="s">
        <v>913</v>
      </c>
      <c r="C40" s="181" t="str">
        <f>IFERROR(SUMIFS('caseload data'!E:E,'caseload data'!$C:$C,'custody %'!$B$36,'caseload data'!$D:$D,"TPO",'caseload data'!$B:$B,"custody")/SUMIFS('caseload data'!E:E,'caseload data'!$B:$B,"custody",'caseload data'!$C:$C,'custody %'!$B$36),"")</f>
        <v/>
      </c>
      <c r="D40" s="181" t="str">
        <f>IFERROR(SUMIFS('caseload data'!F:F,'caseload data'!$C:$C,'custody %'!$B$36,'caseload data'!$D:$D,"TPO",'caseload data'!$B:$B,"custody")/SUMIFS('caseload data'!F:F,'caseload data'!$B:$B,"custody",'caseload data'!$C:$C,'custody %'!$B$36),"")</f>
        <v/>
      </c>
      <c r="E40" s="181" t="str">
        <f>IFERROR(SUMIFS('caseload data'!G:G,'caseload data'!$C:$C,'custody %'!$B$36,'caseload data'!$D:$D,"TPO",'caseload data'!$B:$B,"custody")/SUMIFS('caseload data'!G:G,'caseload data'!$B:$B,"custody",'caseload data'!$C:$C,'custody %'!$B$36),"")</f>
        <v/>
      </c>
      <c r="F40" s="181" t="str">
        <f>IFERROR(SUMIFS('caseload data'!H:H,'caseload data'!$C:$C,'custody %'!$B$36,'caseload data'!$D:$D,"TPO",'caseload data'!$B:$B,"custody")/SUMIFS('caseload data'!H:H,'caseload data'!$B:$B,"custody",'caseload data'!$C:$C,'custody %'!$B$36),"")</f>
        <v/>
      </c>
      <c r="G40" s="181" t="str">
        <f>IFERROR(SUMIFS('caseload data'!I:I,'caseload data'!$C:$C,'custody %'!$B$36,'caseload data'!$D:$D,"TPO",'caseload data'!$B:$B,"custody")/SUMIFS('caseload data'!I:I,'caseload data'!$B:$B,"custody",'caseload data'!$C:$C,'custody %'!$B$36),"")</f>
        <v/>
      </c>
      <c r="H40" s="181" t="str">
        <f>IFERROR(SUMIFS('caseload data'!J:J,'caseload data'!$C:$C,'custody %'!$B$36,'caseload data'!$D:$D,"TPO",'caseload data'!$B:$B,"custody")/SUMIFS('caseload data'!J:J,'caseload data'!$B:$B,"custody",'caseload data'!$C:$C,'custody %'!$B$36),"")</f>
        <v/>
      </c>
      <c r="I40" s="181" t="str">
        <f>IFERROR(SUMIFS('caseload data'!K:K,'caseload data'!$C:$C,'custody %'!$B$36,'caseload data'!$D:$D,"TPO",'caseload data'!$B:$B,"custody")/SUMIFS('caseload data'!K:K,'caseload data'!$B:$B,"custody",'caseload data'!$C:$C,'custody %'!$B$36),"")</f>
        <v/>
      </c>
      <c r="J40" s="181" t="str">
        <f>IFERROR(SUMIFS('caseload data'!L:L,'caseload data'!$C:$C,'custody %'!$B$36,'caseload data'!$D:$D,"TPO",'caseload data'!$B:$B,"custody")/SUMIFS('caseload data'!L:L,'caseload data'!$B:$B,"custody",'caseload data'!$C:$C,'custody %'!$B$36),"")</f>
        <v/>
      </c>
      <c r="K40" s="181" t="str">
        <f>IFERROR(SUMIFS('caseload data'!M:M,'caseload data'!$C:$C,'custody %'!$B$36,'caseload data'!$D:$D,"TPO",'caseload data'!$B:$B,"custody")/SUMIFS('caseload data'!M:M,'caseload data'!$B:$B,"custody",'caseload data'!$C:$C,'custody %'!$B$36),"")</f>
        <v/>
      </c>
      <c r="L40" s="181" t="str">
        <f>IFERROR(SUMIFS('caseload data'!N:N,'caseload data'!$C:$C,'custody %'!$B$36,'caseload data'!$D:$D,"TPO",'caseload data'!$B:$B,"custody")/SUMIFS('caseload data'!N:N,'caseload data'!$B:$B,"custody",'caseload data'!$C:$C,'custody %'!$B$36),"")</f>
        <v/>
      </c>
      <c r="M40" s="181" t="str">
        <f>IFERROR(SUMIFS('caseload data'!O:O,'caseload data'!$C:$C,'custody %'!$B$36,'caseload data'!$D:$D,"TPO",'caseload data'!$B:$B,"custody")/SUMIFS('caseload data'!O:O,'caseload data'!$B:$B,"custody",'caseload data'!$C:$C,'custody %'!$B$36),"")</f>
        <v/>
      </c>
      <c r="N40" s="181" t="str">
        <f>IFERROR(SUMIFS('caseload data'!P:P,'caseload data'!$C:$C,'custody %'!$B$36,'caseload data'!$D:$D,"TPO",'caseload data'!$B:$B,"custody")/SUMIFS('caseload data'!P:P,'caseload data'!$B:$B,"custody",'caseload data'!$C:$C,'custody %'!$B$36),"")</f>
        <v/>
      </c>
      <c r="O40" s="181" t="str">
        <f>IFERROR(SUMIFS('caseload data'!Q:Q,'caseload data'!$C:$C,'custody %'!$B$36,'caseload data'!$D:$D,"TPO",'caseload data'!$B:$B,"custody")/SUMIFS('caseload data'!Q:Q,'caseload data'!$B:$B,"custody",'caseload data'!$C:$C,'custody %'!$B$36),"")</f>
        <v/>
      </c>
      <c r="P40" s="181" t="str">
        <f>IFERROR(SUMIFS('caseload data'!R:R,'caseload data'!$C:$C,'custody %'!$B$36,'caseload data'!$D:$D,"TPO",'caseload data'!$B:$B,"custody")/SUMIFS('caseload data'!R:R,'caseload data'!$B:$B,"custody",'caseload data'!$C:$C,'custody %'!$B$36),"")</f>
        <v/>
      </c>
      <c r="Q40" s="181" t="str">
        <f>IFERROR(SUMIFS('caseload data'!S:S,'caseload data'!$C:$C,'custody %'!$B$36,'caseload data'!$D:$D,"TPO",'caseload data'!$B:$B,"custody")/SUMIFS('caseload data'!S:S,'caseload data'!$B:$B,"custody",'caseload data'!$C:$C,'custody %'!$B$36),"")</f>
        <v/>
      </c>
      <c r="R40" s="181" t="str">
        <f>IFERROR(SUMIFS('caseload data'!T:T,'caseload data'!$C:$C,'custody %'!$B$36,'caseload data'!$D:$D,"TPO",'caseload data'!$B:$B,"custody")/SUMIFS('caseload data'!T:T,'caseload data'!$B:$B,"custody",'caseload data'!$C:$C,'custody %'!$B$36),"")</f>
        <v/>
      </c>
      <c r="S40" s="73"/>
      <c r="T40" s="107" t="s">
        <v>913</v>
      </c>
      <c r="U40" s="181" t="str">
        <f>IFERROR(SUMIFS('caseload data'!E:E,'caseload data'!$C:$C,'custody %'!$T$36,'caseload data'!$D:$D,"TPO",'caseload data'!$B:$B,"custody")/SUMIFS('caseload data'!E:E,'caseload data'!$B:$B,"custody",'caseload data'!$C:$C,'custody %'!$T$36),"")</f>
        <v/>
      </c>
      <c r="V40" s="181" t="str">
        <f>IFERROR(SUMIFS('caseload data'!F:F,'caseload data'!$C:$C,'custody %'!$T$36,'caseload data'!$D:$D,"TPO",'caseload data'!$B:$B,"custody")/SUMIFS('caseload data'!F:F,'caseload data'!$B:$B,"custody",'caseload data'!$C:$C,'custody %'!$T$36),"")</f>
        <v/>
      </c>
      <c r="W40" s="181" t="str">
        <f>IFERROR(SUMIFS('caseload data'!G:G,'caseload data'!$C:$C,'custody %'!$T$36,'caseload data'!$D:$D,"TPO",'caseload data'!$B:$B,"custody")/SUMIFS('caseload data'!G:G,'caseload data'!$B:$B,"custody",'caseload data'!$C:$C,'custody %'!$T$36),"")</f>
        <v/>
      </c>
      <c r="X40" s="181" t="str">
        <f>IFERROR(SUMIFS('caseload data'!H:H,'caseload data'!$C:$C,'custody %'!$T$36,'caseload data'!$D:$D,"TPO",'caseload data'!$B:$B,"custody")/SUMIFS('caseload data'!H:H,'caseload data'!$B:$B,"custody",'caseload data'!$C:$C,'custody %'!$T$36),"")</f>
        <v/>
      </c>
      <c r="Y40" s="181" t="str">
        <f>IFERROR(SUMIFS('caseload data'!I:I,'caseload data'!$C:$C,'custody %'!$T$36,'caseload data'!$D:$D,"TPO",'caseload data'!$B:$B,"custody")/SUMIFS('caseload data'!I:I,'caseload data'!$B:$B,"custody",'caseload data'!$C:$C,'custody %'!$T$36),"")</f>
        <v/>
      </c>
      <c r="Z40" s="181" t="str">
        <f>IFERROR(SUMIFS('caseload data'!J:J,'caseload data'!$C:$C,'custody %'!$T$36,'caseload data'!$D:$D,"TPO",'caseload data'!$B:$B,"custody")/SUMIFS('caseload data'!J:J,'caseload data'!$B:$B,"custody",'caseload data'!$C:$C,'custody %'!$T$36),"")</f>
        <v/>
      </c>
      <c r="AA40" s="181" t="str">
        <f>IFERROR(SUMIFS('caseload data'!K:K,'caseload data'!$C:$C,'custody %'!$T$36,'caseload data'!$D:$D,"TPO",'caseload data'!$B:$B,"custody")/SUMIFS('caseload data'!K:K,'caseload data'!$B:$B,"custody",'caseload data'!$C:$C,'custody %'!$T$36),"")</f>
        <v/>
      </c>
      <c r="AB40" s="181" t="str">
        <f>IFERROR(SUMIFS('caseload data'!L:L,'caseload data'!$C:$C,'custody %'!$T$36,'caseload data'!$D:$D,"TPO",'caseload data'!$B:$B,"custody")/SUMIFS('caseload data'!L:L,'caseload data'!$B:$B,"custody",'caseload data'!$C:$C,'custody %'!$T$36),"")</f>
        <v/>
      </c>
      <c r="AC40" s="181" t="str">
        <f>IFERROR(SUMIFS('caseload data'!M:M,'caseload data'!$C:$C,'custody %'!$T$36,'caseload data'!$D:$D,"TPO",'caseload data'!$B:$B,"custody")/SUMIFS('caseload data'!M:M,'caseload data'!$B:$B,"custody",'caseload data'!$C:$C,'custody %'!$T$36),"")</f>
        <v/>
      </c>
      <c r="AD40" s="181" t="str">
        <f>IFERROR(SUMIFS('caseload data'!N:N,'caseload data'!$C:$C,'custody %'!$T$36,'caseload data'!$D:$D,"TPO",'caseload data'!$B:$B,"custody")/SUMIFS('caseload data'!N:N,'caseload data'!$B:$B,"custody",'caseload data'!$C:$C,'custody %'!$T$36),"")</f>
        <v/>
      </c>
      <c r="AE40" s="181" t="str">
        <f>IFERROR(SUMIFS('caseload data'!O:O,'caseload data'!$C:$C,'custody %'!$T$36,'caseload data'!$D:$D,"TPO",'caseload data'!$B:$B,"custody")/SUMIFS('caseload data'!O:O,'caseload data'!$B:$B,"custody",'caseload data'!$C:$C,'custody %'!$T$36),"")</f>
        <v/>
      </c>
      <c r="AF40" s="181" t="str">
        <f>IFERROR(SUMIFS('caseload data'!P:P,'caseload data'!$C:$C,'custody %'!$T$36,'caseload data'!$D:$D,"TPO",'caseload data'!$B:$B,"custody")/SUMIFS('caseload data'!P:P,'caseload data'!$B:$B,"custody",'caseload data'!$C:$C,'custody %'!$T$36),"")</f>
        <v/>
      </c>
      <c r="AG40" s="181" t="str">
        <f>IFERROR(SUMIFS('caseload data'!Q:Q,'caseload data'!$C:$C,'custody %'!$T$36,'caseload data'!$D:$D,"TPO",'caseload data'!$B:$B,"custody")/SUMIFS('caseload data'!Q:Q,'caseload data'!$B:$B,"custody",'caseload data'!$C:$C,'custody %'!$T$36),"")</f>
        <v/>
      </c>
      <c r="AH40" s="181" t="str">
        <f>IFERROR(SUMIFS('caseload data'!R:R,'caseload data'!$C:$C,'custody %'!$T$36,'caseload data'!$D:$D,"TPO",'caseload data'!$B:$B,"custody")/SUMIFS('caseload data'!R:R,'caseload data'!$B:$B,"custody",'caseload data'!$C:$C,'custody %'!$T$36),"")</f>
        <v/>
      </c>
      <c r="AI40" s="181"/>
      <c r="AJ40" s="181"/>
    </row>
    <row r="41" spans="2:36" x14ac:dyDescent="0.15">
      <c r="B41" s="108" t="s">
        <v>914</v>
      </c>
      <c r="C41" s="181" t="str">
        <f>IFERROR(SUMIFS('caseload data'!E:E,'caseload data'!$C:$C,'custody %'!$B$36,'caseload data'!$D:$D,"SPO",'caseload data'!$B:$B,"custody")/SUMIFS('caseload data'!E:E,'caseload data'!$B:$B,"custody",'caseload data'!$C:$C,'custody %'!$B$36),"")</f>
        <v/>
      </c>
      <c r="D41" s="181" t="str">
        <f>IFERROR(SUMIFS('caseload data'!F:F,'caseload data'!$C:$C,'custody %'!$B$36,'caseload data'!$D:$D,"SPO",'caseload data'!$B:$B,"custody")/SUMIFS('caseload data'!F:F,'caseload data'!$B:$B,"custody",'caseload data'!$C:$C,'custody %'!$B$36),"")</f>
        <v/>
      </c>
      <c r="E41" s="181" t="str">
        <f>IFERROR(SUMIFS('caseload data'!G:G,'caseload data'!$C:$C,'custody %'!$B$36,'caseload data'!$D:$D,"SPO",'caseload data'!$B:$B,"custody")/SUMIFS('caseload data'!G:G,'caseload data'!$B:$B,"custody",'caseload data'!$C:$C,'custody %'!$B$36),"")</f>
        <v/>
      </c>
      <c r="F41" s="181" t="str">
        <f>IFERROR(SUMIFS('caseload data'!H:H,'caseload data'!$C:$C,'custody %'!$B$36,'caseload data'!$D:$D,"SPO",'caseload data'!$B:$B,"custody")/SUMIFS('caseload data'!H:H,'caseload data'!$B:$B,"custody",'caseload data'!$C:$C,'custody %'!$B$36),"")</f>
        <v/>
      </c>
      <c r="G41" s="181" t="str">
        <f>IFERROR(SUMIFS('caseload data'!I:I,'caseload data'!$C:$C,'custody %'!$B$36,'caseload data'!$D:$D,"SPO",'caseload data'!$B:$B,"custody")/SUMIFS('caseload data'!I:I,'caseload data'!$B:$B,"custody",'caseload data'!$C:$C,'custody %'!$B$36),"")</f>
        <v/>
      </c>
      <c r="H41" s="181" t="str">
        <f>IFERROR(SUMIFS('caseload data'!J:J,'caseload data'!$C:$C,'custody %'!$B$36,'caseload data'!$D:$D,"SPO",'caseload data'!$B:$B,"custody")/SUMIFS('caseload data'!J:J,'caseload data'!$B:$B,"custody",'caseload data'!$C:$C,'custody %'!$B$36),"")</f>
        <v/>
      </c>
      <c r="I41" s="181" t="str">
        <f>IFERROR(SUMIFS('caseload data'!K:K,'caseload data'!$C:$C,'custody %'!$B$36,'caseload data'!$D:$D,"SPO",'caseload data'!$B:$B,"custody")/SUMIFS('caseload data'!K:K,'caseload data'!$B:$B,"custody",'caseload data'!$C:$C,'custody %'!$B$36),"")</f>
        <v/>
      </c>
      <c r="J41" s="181" t="str">
        <f>IFERROR(SUMIFS('caseload data'!L:L,'caseload data'!$C:$C,'custody %'!$B$36,'caseload data'!$D:$D,"SPO",'caseload data'!$B:$B,"custody")/SUMIFS('caseload data'!L:L,'caseload data'!$B:$B,"custody",'caseload data'!$C:$C,'custody %'!$B$36),"")</f>
        <v/>
      </c>
      <c r="K41" s="181" t="str">
        <f>IFERROR(SUMIFS('caseload data'!M:M,'caseload data'!$C:$C,'custody %'!$B$36,'caseload data'!$D:$D,"SPO",'caseload data'!$B:$B,"custody")/SUMIFS('caseload data'!M:M,'caseload data'!$B:$B,"custody",'caseload data'!$C:$C,'custody %'!$B$36),"")</f>
        <v/>
      </c>
      <c r="L41" s="181" t="str">
        <f>IFERROR(SUMIFS('caseload data'!N:N,'caseload data'!$C:$C,'custody %'!$B$36,'caseload data'!$D:$D,"SPO",'caseload data'!$B:$B,"custody")/SUMIFS('caseload data'!N:N,'caseload data'!$B:$B,"custody",'caseload data'!$C:$C,'custody %'!$B$36),"")</f>
        <v/>
      </c>
      <c r="M41" s="181" t="str">
        <f>IFERROR(SUMIFS('caseload data'!O:O,'caseload data'!$C:$C,'custody %'!$B$36,'caseload data'!$D:$D,"SPO",'caseload data'!$B:$B,"custody")/SUMIFS('caseload data'!O:O,'caseload data'!$B:$B,"custody",'caseload data'!$C:$C,'custody %'!$B$36),"")</f>
        <v/>
      </c>
      <c r="N41" s="181" t="str">
        <f>IFERROR(SUMIFS('caseload data'!P:P,'caseload data'!$C:$C,'custody %'!$B$36,'caseload data'!$D:$D,"SPO",'caseload data'!$B:$B,"custody")/SUMIFS('caseload data'!P:P,'caseload data'!$B:$B,"custody",'caseload data'!$C:$C,'custody %'!$B$36),"")</f>
        <v/>
      </c>
      <c r="O41" s="181" t="str">
        <f>IFERROR(SUMIFS('caseload data'!Q:Q,'caseload data'!$C:$C,'custody %'!$B$36,'caseload data'!$D:$D,"SPO",'caseload data'!$B:$B,"custody")/SUMIFS('caseload data'!Q:Q,'caseload data'!$B:$B,"custody",'caseload data'!$C:$C,'custody %'!$B$36),"")</f>
        <v/>
      </c>
      <c r="P41" s="181" t="str">
        <f>IFERROR(SUMIFS('caseload data'!R:R,'caseload data'!$C:$C,'custody %'!$B$36,'caseload data'!$D:$D,"SPO",'caseload data'!$B:$B,"custody")/SUMIFS('caseload data'!R:R,'caseload data'!$B:$B,"custody",'caseload data'!$C:$C,'custody %'!$B$36),"")</f>
        <v/>
      </c>
      <c r="Q41" s="181" t="str">
        <f>IFERROR(SUMIFS('caseload data'!S:S,'caseload data'!$C:$C,'custody %'!$B$36,'caseload data'!$D:$D,"SPO",'caseload data'!$B:$B,"custody")/SUMIFS('caseload data'!S:S,'caseload data'!$B:$B,"custody",'caseload data'!$C:$C,'custody %'!$B$36),"")</f>
        <v/>
      </c>
      <c r="R41" s="181" t="str">
        <f>IFERROR(SUMIFS('caseload data'!T:T,'caseload data'!$C:$C,'custody %'!$B$36,'caseload data'!$D:$D,"SPO",'caseload data'!$B:$B,"custody")/SUMIFS('caseload data'!T:T,'caseload data'!$B:$B,"custody",'caseload data'!$C:$C,'custody %'!$B$36),"")</f>
        <v/>
      </c>
      <c r="S41" s="73"/>
      <c r="T41" s="108" t="s">
        <v>914</v>
      </c>
      <c r="U41" s="181" t="str">
        <f>IFERROR(SUMIFS('caseload data'!E:E,'caseload data'!$C:$C,'custody %'!$T$36,'caseload data'!$D:$D,"SPO",'caseload data'!$B:$B,"custody")/SUMIFS('caseload data'!E:E,'caseload data'!$B:$B,"custody",'caseload data'!$C:$C,'custody %'!$T$36),"")</f>
        <v/>
      </c>
      <c r="V41" s="181" t="str">
        <f>IFERROR(SUMIFS('caseload data'!F:F,'caseload data'!$C:$C,'custody %'!$T$36,'caseload data'!$D:$D,"SPO",'caseload data'!$B:$B,"custody")/SUMIFS('caseload data'!F:F,'caseload data'!$B:$B,"custody",'caseload data'!$C:$C,'custody %'!$T$36),"")</f>
        <v/>
      </c>
      <c r="W41" s="181" t="str">
        <f>IFERROR(SUMIFS('caseload data'!G:G,'caseload data'!$C:$C,'custody %'!$T$36,'caseload data'!$D:$D,"SPO",'caseload data'!$B:$B,"custody")/SUMIFS('caseload data'!G:G,'caseload data'!$B:$B,"custody",'caseload data'!$C:$C,'custody %'!$T$36),"")</f>
        <v/>
      </c>
      <c r="X41" s="181" t="str">
        <f>IFERROR(SUMIFS('caseload data'!H:H,'caseload data'!$C:$C,'custody %'!$T$36,'caseload data'!$D:$D,"SPO",'caseload data'!$B:$B,"custody")/SUMIFS('caseload data'!H:H,'caseload data'!$B:$B,"custody",'caseload data'!$C:$C,'custody %'!$T$36),"")</f>
        <v/>
      </c>
      <c r="Y41" s="181" t="str">
        <f>IFERROR(SUMIFS('caseload data'!I:I,'caseload data'!$C:$C,'custody %'!$T$36,'caseload data'!$D:$D,"SPO",'caseload data'!$B:$B,"custody")/SUMIFS('caseload data'!I:I,'caseload data'!$B:$B,"custody",'caseload data'!$C:$C,'custody %'!$T$36),"")</f>
        <v/>
      </c>
      <c r="Z41" s="181" t="str">
        <f>IFERROR(SUMIFS('caseload data'!J:J,'caseload data'!$C:$C,'custody %'!$T$36,'caseload data'!$D:$D,"SPO",'caseload data'!$B:$B,"custody")/SUMIFS('caseload data'!J:J,'caseload data'!$B:$B,"custody",'caseload data'!$C:$C,'custody %'!$T$36),"")</f>
        <v/>
      </c>
      <c r="AA41" s="181" t="str">
        <f>IFERROR(SUMIFS('caseload data'!K:K,'caseload data'!$C:$C,'custody %'!$T$36,'caseload data'!$D:$D,"SPO",'caseload data'!$B:$B,"custody")/SUMIFS('caseload data'!K:K,'caseload data'!$B:$B,"custody",'caseload data'!$C:$C,'custody %'!$T$36),"")</f>
        <v/>
      </c>
      <c r="AB41" s="181" t="str">
        <f>IFERROR(SUMIFS('caseload data'!L:L,'caseload data'!$C:$C,'custody %'!$T$36,'caseload data'!$D:$D,"SPO",'caseload data'!$B:$B,"custody")/SUMIFS('caseload data'!L:L,'caseload data'!$B:$B,"custody",'caseload data'!$C:$C,'custody %'!$T$36),"")</f>
        <v/>
      </c>
      <c r="AC41" s="181" t="str">
        <f>IFERROR(SUMIFS('caseload data'!M:M,'caseload data'!$C:$C,'custody %'!$T$36,'caseload data'!$D:$D,"SPO",'caseload data'!$B:$B,"custody")/SUMIFS('caseload data'!M:M,'caseload data'!$B:$B,"custody",'caseload data'!$C:$C,'custody %'!$T$36),"")</f>
        <v/>
      </c>
      <c r="AD41" s="181" t="str">
        <f>IFERROR(SUMIFS('caseload data'!N:N,'caseload data'!$C:$C,'custody %'!$T$36,'caseload data'!$D:$D,"SPO",'caseload data'!$B:$B,"custody")/SUMIFS('caseload data'!N:N,'caseload data'!$B:$B,"custody",'caseload data'!$C:$C,'custody %'!$T$36),"")</f>
        <v/>
      </c>
      <c r="AE41" s="181" t="str">
        <f>IFERROR(SUMIFS('caseload data'!O:O,'caseload data'!$C:$C,'custody %'!$T$36,'caseload data'!$D:$D,"SPO",'caseload data'!$B:$B,"custody")/SUMIFS('caseload data'!O:O,'caseload data'!$B:$B,"custody",'caseload data'!$C:$C,'custody %'!$T$36),"")</f>
        <v/>
      </c>
      <c r="AF41" s="181" t="str">
        <f>IFERROR(SUMIFS('caseload data'!P:P,'caseload data'!$C:$C,'custody %'!$T$36,'caseload data'!$D:$D,"SPO",'caseload data'!$B:$B,"custody")/SUMIFS('caseload data'!P:P,'caseload data'!$B:$B,"custody",'caseload data'!$C:$C,'custody %'!$T$36),"")</f>
        <v/>
      </c>
      <c r="AG41" s="181" t="str">
        <f>IFERROR(SUMIFS('caseload data'!Q:Q,'caseload data'!$C:$C,'custody %'!$T$36,'caseload data'!$D:$D,"SPO",'caseload data'!$B:$B,"custody")/SUMIFS('caseload data'!Q:Q,'caseload data'!$B:$B,"custody",'caseload data'!$C:$C,'custody %'!$T$36),"")</f>
        <v/>
      </c>
      <c r="AH41" s="181" t="str">
        <f>IFERROR(SUMIFS('caseload data'!R:R,'caseload data'!$C:$C,'custody %'!$T$36,'caseload data'!$D:$D,"SPO",'caseload data'!$B:$B,"custody")/SUMIFS('caseload data'!R:R,'caseload data'!$B:$B,"custody",'caseload data'!$C:$C,'custody %'!$T$36),"")</f>
        <v/>
      </c>
      <c r="AI41" s="181"/>
      <c r="AJ41" s="181"/>
    </row>
    <row r="42" spans="2:36" x14ac:dyDescent="0.15">
      <c r="B42" s="101"/>
      <c r="C42" s="73"/>
      <c r="D42" s="73"/>
      <c r="E42" s="73"/>
      <c r="F42" s="73"/>
      <c r="G42" s="73"/>
      <c r="H42" s="73"/>
      <c r="I42" s="73"/>
      <c r="J42" s="73"/>
      <c r="K42" s="73"/>
      <c r="L42" s="73"/>
      <c r="M42" s="73"/>
      <c r="N42" s="73"/>
      <c r="O42" s="73"/>
      <c r="P42" s="73"/>
      <c r="Q42" s="73"/>
      <c r="R42" s="73"/>
      <c r="S42" s="73"/>
      <c r="T42" s="101"/>
      <c r="U42" s="73"/>
      <c r="V42" s="73"/>
      <c r="W42" s="73"/>
      <c r="X42" s="73"/>
      <c r="Y42" s="73"/>
      <c r="Z42" s="73"/>
      <c r="AA42" s="73"/>
      <c r="AB42" s="73"/>
      <c r="AC42" s="73"/>
      <c r="AD42" s="73"/>
      <c r="AE42" s="73"/>
      <c r="AF42" s="73"/>
      <c r="AG42" s="73"/>
      <c r="AH42" s="73"/>
    </row>
    <row r="43" spans="2:36" ht="29.25" customHeight="1" x14ac:dyDescent="0.15">
      <c r="B43" s="156" t="str">
        <f>HLOOKUP($B$5,Region_Table,12,0)</f>
        <v>Hammersmith, Fulham, Kensington, Chelsea and Westminster</v>
      </c>
      <c r="C43" s="367" t="s">
        <v>1163</v>
      </c>
      <c r="D43" s="368"/>
      <c r="E43" s="368"/>
      <c r="F43" s="368"/>
      <c r="G43" s="368"/>
      <c r="H43" s="368"/>
      <c r="I43" s="368"/>
      <c r="J43" s="368"/>
      <c r="K43" s="368"/>
      <c r="L43" s="368"/>
      <c r="M43" s="377"/>
      <c r="N43" s="377"/>
      <c r="O43" s="378"/>
      <c r="P43" s="371">
        <f>SUMIF('caseload data'!$C:$C,'custody %'!B43,'caseload data'!V:V)</f>
        <v>0</v>
      </c>
      <c r="Q43" s="379"/>
      <c r="R43" s="380"/>
      <c r="S43" s="73"/>
      <c r="T43" s="156" t="str">
        <f>HLOOKUP($B$5,Region_Table,13,0)</f>
        <v>Harrow and Barnet</v>
      </c>
      <c r="U43" s="367" t="s">
        <v>1163</v>
      </c>
      <c r="V43" s="368"/>
      <c r="W43" s="368"/>
      <c r="X43" s="368"/>
      <c r="Y43" s="368"/>
      <c r="Z43" s="368"/>
      <c r="AA43" s="368"/>
      <c r="AB43" s="368"/>
      <c r="AC43" s="377"/>
      <c r="AD43" s="377"/>
      <c r="AE43" s="378"/>
      <c r="AF43" s="371">
        <f>SUMIF('caseload data'!$C:$C,'custody %'!T43,'caseload data'!V:V)</f>
        <v>0</v>
      </c>
      <c r="AG43" s="379"/>
      <c r="AH43" s="380"/>
    </row>
    <row r="44" spans="2:36" x14ac:dyDescent="0.15">
      <c r="B44" s="105" t="s">
        <v>1065</v>
      </c>
      <c r="C44" s="41" t="s">
        <v>922</v>
      </c>
      <c r="D44" s="41" t="s">
        <v>923</v>
      </c>
      <c r="E44" s="41" t="s">
        <v>924</v>
      </c>
      <c r="F44" s="41" t="s">
        <v>925</v>
      </c>
      <c r="G44" s="41" t="s">
        <v>926</v>
      </c>
      <c r="H44" s="41" t="s">
        <v>927</v>
      </c>
      <c r="I44" s="41" t="s">
        <v>928</v>
      </c>
      <c r="J44" s="41" t="s">
        <v>929</v>
      </c>
      <c r="K44" s="41" t="s">
        <v>930</v>
      </c>
      <c r="L44" s="41" t="s">
        <v>931</v>
      </c>
      <c r="M44" s="41" t="s">
        <v>932</v>
      </c>
      <c r="N44" s="41" t="s">
        <v>933</v>
      </c>
      <c r="O44" s="41" t="s">
        <v>934</v>
      </c>
      <c r="P44" s="41" t="s">
        <v>935</v>
      </c>
      <c r="Q44" s="41" t="s">
        <v>936</v>
      </c>
      <c r="R44" s="41" t="s">
        <v>937</v>
      </c>
      <c r="S44" s="73"/>
      <c r="T44" s="105" t="s">
        <v>1065</v>
      </c>
      <c r="U44" s="41" t="s">
        <v>922</v>
      </c>
      <c r="V44" s="41" t="s">
        <v>923</v>
      </c>
      <c r="W44" s="41" t="s">
        <v>924</v>
      </c>
      <c r="X44" s="41" t="s">
        <v>925</v>
      </c>
      <c r="Y44" s="41" t="s">
        <v>926</v>
      </c>
      <c r="Z44" s="41" t="s">
        <v>927</v>
      </c>
      <c r="AA44" s="41" t="s">
        <v>928</v>
      </c>
      <c r="AB44" s="41" t="s">
        <v>929</v>
      </c>
      <c r="AC44" s="41" t="s">
        <v>930</v>
      </c>
      <c r="AD44" s="41" t="s">
        <v>931</v>
      </c>
      <c r="AE44" s="41" t="s">
        <v>932</v>
      </c>
      <c r="AF44" s="41" t="s">
        <v>933</v>
      </c>
      <c r="AG44" s="41" t="s">
        <v>934</v>
      </c>
      <c r="AH44" s="41" t="s">
        <v>935</v>
      </c>
      <c r="AI44" s="41" t="s">
        <v>936</v>
      </c>
      <c r="AJ44" s="41" t="s">
        <v>937</v>
      </c>
    </row>
    <row r="45" spans="2:36" x14ac:dyDescent="0.15">
      <c r="B45" s="106" t="s">
        <v>911</v>
      </c>
      <c r="C45" s="181" t="str">
        <f>IFERROR(SUMIFS('caseload data'!E:E,'caseload data'!$C:$C,'custody %'!$B$43,'caseload data'!$D:$D,"PO",'caseload data'!$B:$B,"custody")/SUMIFS('caseload data'!E:E,'caseload data'!$B:$B,"custody",'caseload data'!$C:$C,'custody %'!$B$43),"")</f>
        <v/>
      </c>
      <c r="D45" s="181" t="str">
        <f>IFERROR(SUMIFS('caseload data'!F:F,'caseload data'!$C:$C,'custody %'!$B$43,'caseload data'!$D:$D,"PO",'caseload data'!$B:$B,"custody")/SUMIFS('caseload data'!F:F,'caseload data'!$B:$B,"custody",'caseload data'!$C:$C,'custody %'!$B$43),"")</f>
        <v/>
      </c>
      <c r="E45" s="181" t="str">
        <f>IFERROR(SUMIFS('caseload data'!G:G,'caseload data'!$C:$C,'custody %'!$B$43,'caseload data'!$D:$D,"PO",'caseload data'!$B:$B,"custody")/SUMIFS('caseload data'!G:G,'caseload data'!$B:$B,"custody",'caseload data'!$C:$C,'custody %'!$B$43),"")</f>
        <v/>
      </c>
      <c r="F45" s="181" t="str">
        <f>IFERROR(SUMIFS('caseload data'!H:H,'caseload data'!$C:$C,'custody %'!$B$43,'caseload data'!$D:$D,"PO",'caseload data'!$B:$B,"custody")/SUMIFS('caseload data'!H:H,'caseload data'!$B:$B,"custody",'caseload data'!$C:$C,'custody %'!$B$43),"")</f>
        <v/>
      </c>
      <c r="G45" s="181" t="str">
        <f>IFERROR(SUMIFS('caseload data'!I:I,'caseload data'!$C:$C,'custody %'!$B$43,'caseload data'!$D:$D,"PO",'caseload data'!$B:$B,"custody")/SUMIFS('caseload data'!I:I,'caseload data'!$B:$B,"custody",'caseload data'!$C:$C,'custody %'!$B$43),"")</f>
        <v/>
      </c>
      <c r="H45" s="181" t="str">
        <f>IFERROR(SUMIFS('caseload data'!J:J,'caseload data'!$C:$C,'custody %'!$B$43,'caseload data'!$D:$D,"PO",'caseload data'!$B:$B,"custody")/SUMIFS('caseload data'!J:J,'caseload data'!$B:$B,"custody",'caseload data'!$C:$C,'custody %'!$B$43),"")</f>
        <v/>
      </c>
      <c r="I45" s="181" t="str">
        <f>IFERROR(SUMIFS('caseload data'!K:K,'caseload data'!$C:$C,'custody %'!$B$43,'caseload data'!$D:$D,"PO",'caseload data'!$B:$B,"custody")/SUMIFS('caseload data'!K:K,'caseload data'!$B:$B,"custody",'caseload data'!$C:$C,'custody %'!$B$43),"")</f>
        <v/>
      </c>
      <c r="J45" s="181" t="str">
        <f>IFERROR(SUMIFS('caseload data'!L:L,'caseload data'!$C:$C,'custody %'!$B$43,'caseload data'!$D:$D,"PO",'caseload data'!$B:$B,"custody")/SUMIFS('caseload data'!L:L,'caseload data'!$B:$B,"custody",'caseload data'!$C:$C,'custody %'!$B$43),"")</f>
        <v/>
      </c>
      <c r="K45" s="181" t="str">
        <f>IFERROR(SUMIFS('caseload data'!M:M,'caseload data'!$C:$C,'custody %'!$B$43,'caseload data'!$D:$D,"PO",'caseload data'!$B:$B,"custody")/SUMIFS('caseload data'!M:M,'caseload data'!$B:$B,"custody",'caseload data'!$C:$C,'custody %'!$B$43),"")</f>
        <v/>
      </c>
      <c r="L45" s="181" t="str">
        <f>IFERROR(SUMIFS('caseload data'!N:N,'caseload data'!$C:$C,'custody %'!$B$43,'caseload data'!$D:$D,"PO",'caseload data'!$B:$B,"custody")/SUMIFS('caseload data'!N:N,'caseload data'!$B:$B,"custody",'caseload data'!$C:$C,'custody %'!$B$43),"")</f>
        <v/>
      </c>
      <c r="M45" s="181" t="str">
        <f>IFERROR(SUMIFS('caseload data'!O:O,'caseload data'!$C:$C,'custody %'!$B$43,'caseload data'!$D:$D,"PO",'caseload data'!$B:$B,"custody")/SUMIFS('caseload data'!O:O,'caseload data'!$B:$B,"custody",'caseload data'!$C:$C,'custody %'!$B$43),"")</f>
        <v/>
      </c>
      <c r="N45" s="181" t="str">
        <f>IFERROR(SUMIFS('caseload data'!P:P,'caseload data'!$C:$C,'custody %'!$B$43,'caseload data'!$D:$D,"PO",'caseload data'!$B:$B,"custody")/SUMIFS('caseload data'!P:P,'caseload data'!$B:$B,"custody",'caseload data'!$C:$C,'custody %'!$B$43),"")</f>
        <v/>
      </c>
      <c r="O45" s="181" t="str">
        <f>IFERROR(SUMIFS('caseload data'!Q:Q,'caseload data'!$C:$C,'custody %'!$B$43,'caseload data'!$D:$D,"PO",'caseload data'!$B:$B,"custody")/SUMIFS('caseload data'!Q:Q,'caseload data'!$B:$B,"custody",'caseload data'!$C:$C,'custody %'!$B$43),"")</f>
        <v/>
      </c>
      <c r="P45" s="181" t="str">
        <f>IFERROR(SUMIFS('caseload data'!R:R,'caseload data'!$C:$C,'custody %'!$B$43,'caseload data'!$D:$D,"PO",'caseload data'!$B:$B,"custody")/SUMIFS('caseload data'!R:R,'caseload data'!$B:$B,"custody",'caseload data'!$C:$C,'custody %'!$B$43),"")</f>
        <v/>
      </c>
      <c r="Q45" s="181" t="str">
        <f>IFERROR(SUMIFS('caseload data'!S:S,'caseload data'!$C:$C,'custody %'!$B$43,'caseload data'!$D:$D,"PO",'caseload data'!$B:$B,"custody")/SUMIFS('caseload data'!S:S,'caseload data'!$B:$B,"custody",'caseload data'!$C:$C,'custody %'!$B$43),"")</f>
        <v/>
      </c>
      <c r="R45" s="181" t="str">
        <f>IFERROR(SUMIFS('caseload data'!T:T,'caseload data'!$C:$C,'custody %'!$B$43,'caseload data'!$D:$D,"PO",'caseload data'!$B:$B,"custody")/SUMIFS('caseload data'!T:T,'caseload data'!$B:$B,"custody",'caseload data'!$C:$C,'custody %'!$B$43),"")</f>
        <v/>
      </c>
      <c r="S45" s="73"/>
      <c r="T45" s="106" t="s">
        <v>911</v>
      </c>
      <c r="U45" s="181" t="str">
        <f>IFERROR(SUMIFS('caseload data'!E:E,'caseload data'!$C:$C,'custody %'!$T$43,'caseload data'!$D:$D,"PO",'caseload data'!$B:$B,"custody")/SUMIFS('caseload data'!E:E,'caseload data'!$B:$B,"custody",'caseload data'!$C:$C,'custody %'!$T$43),"")</f>
        <v/>
      </c>
      <c r="V45" s="181" t="str">
        <f>IFERROR(SUMIFS('caseload data'!F:F,'caseload data'!$C:$C,'custody %'!$T$43,'caseload data'!$D:$D,"PO",'caseload data'!$B:$B,"custody")/SUMIFS('caseload data'!F:F,'caseload data'!$B:$B,"custody",'caseload data'!$C:$C,'custody %'!$T$43),"")</f>
        <v/>
      </c>
      <c r="W45" s="181" t="str">
        <f>IFERROR(SUMIFS('caseload data'!G:G,'caseload data'!$C:$C,'custody %'!$T$43,'caseload data'!$D:$D,"PO",'caseload data'!$B:$B,"custody")/SUMIFS('caseload data'!G:G,'caseload data'!$B:$B,"custody",'caseload data'!$C:$C,'custody %'!$T$43),"")</f>
        <v/>
      </c>
      <c r="X45" s="181" t="str">
        <f>IFERROR(SUMIFS('caseload data'!H:H,'caseload data'!$C:$C,'custody %'!$T$43,'caseload data'!$D:$D,"PO",'caseload data'!$B:$B,"custody")/SUMIFS('caseload data'!H:H,'caseload data'!$B:$B,"custody",'caseload data'!$C:$C,'custody %'!$T$43),"")</f>
        <v/>
      </c>
      <c r="Y45" s="181" t="str">
        <f>IFERROR(SUMIFS('caseload data'!I:I,'caseload data'!$C:$C,'custody %'!$T$43,'caseload data'!$D:$D,"PO",'caseload data'!$B:$B,"custody")/SUMIFS('caseload data'!I:I,'caseload data'!$B:$B,"custody",'caseload data'!$C:$C,'custody %'!$T$43),"")</f>
        <v/>
      </c>
      <c r="Z45" s="181" t="str">
        <f>IFERROR(SUMIFS('caseload data'!J:J,'caseload data'!$C:$C,'custody %'!$T$43,'caseload data'!$D:$D,"PO",'caseload data'!$B:$B,"custody")/SUMIFS('caseload data'!J:J,'caseload data'!$B:$B,"custody",'caseload data'!$C:$C,'custody %'!$T$43),"")</f>
        <v/>
      </c>
      <c r="AA45" s="181" t="str">
        <f>IFERROR(SUMIFS('caseload data'!K:K,'caseload data'!$C:$C,'custody %'!$T$43,'caseload data'!$D:$D,"PO",'caseload data'!$B:$B,"custody")/SUMIFS('caseload data'!K:K,'caseload data'!$B:$B,"custody",'caseload data'!$C:$C,'custody %'!$T$43),"")</f>
        <v/>
      </c>
      <c r="AB45" s="181" t="str">
        <f>IFERROR(SUMIFS('caseload data'!L:L,'caseload data'!$C:$C,'custody %'!$T$43,'caseload data'!$D:$D,"PO",'caseload data'!$B:$B,"custody")/SUMIFS('caseload data'!L:L,'caseload data'!$B:$B,"custody",'caseload data'!$C:$C,'custody %'!$T$43),"")</f>
        <v/>
      </c>
      <c r="AC45" s="181" t="str">
        <f>IFERROR(SUMIFS('caseload data'!M:M,'caseload data'!$C:$C,'custody %'!$T$43,'caseload data'!$D:$D,"PO",'caseload data'!$B:$B,"custody")/SUMIFS('caseload data'!M:M,'caseload data'!$B:$B,"custody",'caseload data'!$C:$C,'custody %'!$T$43),"")</f>
        <v/>
      </c>
      <c r="AD45" s="181" t="str">
        <f>IFERROR(SUMIFS('caseload data'!N:N,'caseload data'!$C:$C,'custody %'!$T$43,'caseload data'!$D:$D,"PO",'caseload data'!$B:$B,"custody")/SUMIFS('caseload data'!N:N,'caseload data'!$B:$B,"custody",'caseload data'!$C:$C,'custody %'!$T$43),"")</f>
        <v/>
      </c>
      <c r="AE45" s="181" t="str">
        <f>IFERROR(SUMIFS('caseload data'!O:O,'caseload data'!$C:$C,'custody %'!$T$43,'caseload data'!$D:$D,"PO",'caseload data'!$B:$B,"custody")/SUMIFS('caseload data'!O:O,'caseload data'!$B:$B,"custody",'caseload data'!$C:$C,'custody %'!$T$43),"")</f>
        <v/>
      </c>
      <c r="AF45" s="181" t="str">
        <f>IFERROR(SUMIFS('caseload data'!P:P,'caseload data'!$C:$C,'custody %'!$T$43,'caseload data'!$D:$D,"PO",'caseload data'!$B:$B,"custody")/SUMIFS('caseload data'!P:P,'caseload data'!$B:$B,"custody",'caseload data'!$C:$C,'custody %'!$T$43),"")</f>
        <v/>
      </c>
      <c r="AG45" s="181" t="str">
        <f>IFERROR(SUMIFS('caseload data'!Q:Q,'caseload data'!$C:$C,'custody %'!$T$43,'caseload data'!$D:$D,"PO",'caseload data'!$B:$B,"custody")/SUMIFS('caseload data'!Q:Q,'caseload data'!$B:$B,"custody",'caseload data'!$C:$C,'custody %'!$T$43),"")</f>
        <v/>
      </c>
      <c r="AH45" s="181" t="str">
        <f>IFERROR(SUMIFS('caseload data'!R:R,'caseload data'!$C:$C,'custody %'!$T$43,'caseload data'!$D:$D,"PO",'caseload data'!$B:$B,"custody")/SUMIFS('caseload data'!R:R,'caseload data'!$B:$B,"custody",'caseload data'!$C:$C,'custody %'!$T$43),"")</f>
        <v/>
      </c>
      <c r="AI45" s="181"/>
      <c r="AJ45" s="181"/>
    </row>
    <row r="46" spans="2:36" x14ac:dyDescent="0.15">
      <c r="B46" s="107" t="s">
        <v>912</v>
      </c>
      <c r="C46" s="181" t="str">
        <f>IFERROR(SUMIFS('caseload data'!E:E,'caseload data'!$C:$C,'custody %'!$B$43,'caseload data'!$D:$D,"PSO",'caseload data'!$B:$B,"custody")/SUMIFS('caseload data'!E:E,'caseload data'!$B:$B,"custody",'caseload data'!$C:$C,'custody %'!$B$43),"")</f>
        <v/>
      </c>
      <c r="D46" s="181" t="str">
        <f>IFERROR(SUMIFS('caseload data'!F:F,'caseload data'!$C:$C,'custody %'!$B$43,'caseload data'!$D:$D,"PSO",'caseload data'!$B:$B,"custody")/SUMIFS('caseload data'!F:F,'caseload data'!$B:$B,"custody",'caseload data'!$C:$C,'custody %'!$B$43),"")</f>
        <v/>
      </c>
      <c r="E46" s="181" t="str">
        <f>IFERROR(SUMIFS('caseload data'!G:G,'caseload data'!$C:$C,'custody %'!$B$43,'caseload data'!$D:$D,"PSO",'caseload data'!$B:$B,"custody")/SUMIFS('caseload data'!G:G,'caseload data'!$B:$B,"custody",'caseload data'!$C:$C,'custody %'!$B$43),"")</f>
        <v/>
      </c>
      <c r="F46" s="181" t="str">
        <f>IFERROR(SUMIFS('caseload data'!H:H,'caseload data'!$C:$C,'custody %'!$B$43,'caseload data'!$D:$D,"PSO",'caseload data'!$B:$B,"custody")/SUMIFS('caseload data'!H:H,'caseload data'!$B:$B,"custody",'caseload data'!$C:$C,'custody %'!$B$43),"")</f>
        <v/>
      </c>
      <c r="G46" s="181" t="str">
        <f>IFERROR(SUMIFS('caseload data'!I:I,'caseload data'!$C:$C,'custody %'!$B$43,'caseload data'!$D:$D,"PSO",'caseload data'!$B:$B,"custody")/SUMIFS('caseload data'!I:I,'caseload data'!$B:$B,"custody",'caseload data'!$C:$C,'custody %'!$B$43),"")</f>
        <v/>
      </c>
      <c r="H46" s="181" t="str">
        <f>IFERROR(SUMIFS('caseload data'!J:J,'caseload data'!$C:$C,'custody %'!$B$43,'caseload data'!$D:$D,"PSO",'caseload data'!$B:$B,"custody")/SUMIFS('caseload data'!J:J,'caseload data'!$B:$B,"custody",'caseload data'!$C:$C,'custody %'!$B$43),"")</f>
        <v/>
      </c>
      <c r="I46" s="181" t="str">
        <f>IFERROR(SUMIFS('caseload data'!K:K,'caseload data'!$C:$C,'custody %'!$B$43,'caseload data'!$D:$D,"PSO",'caseload data'!$B:$B,"custody")/SUMIFS('caseload data'!K:K,'caseload data'!$B:$B,"custody",'caseload data'!$C:$C,'custody %'!$B$43),"")</f>
        <v/>
      </c>
      <c r="J46" s="181" t="str">
        <f>IFERROR(SUMIFS('caseload data'!L:L,'caseload data'!$C:$C,'custody %'!$B$43,'caseload data'!$D:$D,"PSO",'caseload data'!$B:$B,"custody")/SUMIFS('caseload data'!L:L,'caseload data'!$B:$B,"custody",'caseload data'!$C:$C,'custody %'!$B$43),"")</f>
        <v/>
      </c>
      <c r="K46" s="181" t="str">
        <f>IFERROR(SUMIFS('caseload data'!M:M,'caseload data'!$C:$C,'custody %'!$B$43,'caseload data'!$D:$D,"PSO",'caseload data'!$B:$B,"custody")/SUMIFS('caseload data'!M:M,'caseload data'!$B:$B,"custody",'caseload data'!$C:$C,'custody %'!$B$43),"")</f>
        <v/>
      </c>
      <c r="L46" s="181" t="str">
        <f>IFERROR(SUMIFS('caseload data'!N:N,'caseload data'!$C:$C,'custody %'!$B$43,'caseload data'!$D:$D,"PSO",'caseload data'!$B:$B,"custody")/SUMIFS('caseload data'!N:N,'caseload data'!$B:$B,"custody",'caseload data'!$C:$C,'custody %'!$B$43),"")</f>
        <v/>
      </c>
      <c r="M46" s="181" t="str">
        <f>IFERROR(SUMIFS('caseload data'!O:O,'caseload data'!$C:$C,'custody %'!$B$43,'caseload data'!$D:$D,"PSO",'caseload data'!$B:$B,"custody")/SUMIFS('caseload data'!O:O,'caseload data'!$B:$B,"custody",'caseload data'!$C:$C,'custody %'!$B$43),"")</f>
        <v/>
      </c>
      <c r="N46" s="181" t="str">
        <f>IFERROR(SUMIFS('caseload data'!P:P,'caseload data'!$C:$C,'custody %'!$B$43,'caseload data'!$D:$D,"PSO",'caseload data'!$B:$B,"custody")/SUMIFS('caseload data'!P:P,'caseload data'!$B:$B,"custody",'caseload data'!$C:$C,'custody %'!$B$43),"")</f>
        <v/>
      </c>
      <c r="O46" s="181" t="str">
        <f>IFERROR(SUMIFS('caseload data'!Q:Q,'caseload data'!$C:$C,'custody %'!$B$43,'caseload data'!$D:$D,"PSO",'caseload data'!$B:$B,"custody")/SUMIFS('caseload data'!Q:Q,'caseload data'!$B:$B,"custody",'caseload data'!$C:$C,'custody %'!$B$43),"")</f>
        <v/>
      </c>
      <c r="P46" s="181" t="str">
        <f>IFERROR(SUMIFS('caseload data'!R:R,'caseload data'!$C:$C,'custody %'!$B$43,'caseload data'!$D:$D,"PSO",'caseload data'!$B:$B,"custody")/SUMIFS('caseload data'!R:R,'caseload data'!$B:$B,"custody",'caseload data'!$C:$C,'custody %'!$B$43),"")</f>
        <v/>
      </c>
      <c r="Q46" s="181" t="str">
        <f>IFERROR(SUMIFS('caseload data'!S:S,'caseload data'!$C:$C,'custody %'!$B$43,'caseload data'!$D:$D,"PSO",'caseload data'!$B:$B,"custody")/SUMIFS('caseload data'!S:S,'caseload data'!$B:$B,"custody",'caseload data'!$C:$C,'custody %'!$B$43),"")</f>
        <v/>
      </c>
      <c r="R46" s="181" t="str">
        <f>IFERROR(SUMIFS('caseload data'!T:T,'caseload data'!$C:$C,'custody %'!$B$43,'caseload data'!$D:$D,"PSO",'caseload data'!$B:$B,"custody")/SUMIFS('caseload data'!T:T,'caseload data'!$B:$B,"custody",'caseload data'!$C:$C,'custody %'!$B$43),"")</f>
        <v/>
      </c>
      <c r="S46" s="73"/>
      <c r="T46" s="107" t="s">
        <v>912</v>
      </c>
      <c r="U46" s="181" t="str">
        <f>IFERROR(SUMIFS('caseload data'!E:E,'caseload data'!$C:$C,'custody %'!$T$43,'caseload data'!$D:$D,"PSO",'caseload data'!$B:$B,"custody")/SUMIFS('caseload data'!E:E,'caseload data'!$B:$B,"custody",'caseload data'!$C:$C,'custody %'!$T$43),"")</f>
        <v/>
      </c>
      <c r="V46" s="181" t="str">
        <f>IFERROR(SUMIFS('caseload data'!F:F,'caseload data'!$C:$C,'custody %'!$T$43,'caseload data'!$D:$D,"PSO",'caseload data'!$B:$B,"custody")/SUMIFS('caseload data'!F:F,'caseload data'!$B:$B,"custody",'caseload data'!$C:$C,'custody %'!$T$43),"")</f>
        <v/>
      </c>
      <c r="W46" s="181" t="str">
        <f>IFERROR(SUMIFS('caseload data'!G:G,'caseload data'!$C:$C,'custody %'!$T$43,'caseload data'!$D:$D,"PSO",'caseload data'!$B:$B,"custody")/SUMIFS('caseload data'!G:G,'caseload data'!$B:$B,"custody",'caseload data'!$C:$C,'custody %'!$T$43),"")</f>
        <v/>
      </c>
      <c r="X46" s="181" t="str">
        <f>IFERROR(SUMIFS('caseload data'!H:H,'caseload data'!$C:$C,'custody %'!$T$43,'caseload data'!$D:$D,"PSO",'caseload data'!$B:$B,"custody")/SUMIFS('caseload data'!H:H,'caseload data'!$B:$B,"custody",'caseload data'!$C:$C,'custody %'!$T$43),"")</f>
        <v/>
      </c>
      <c r="Y46" s="181" t="str">
        <f>IFERROR(SUMIFS('caseload data'!I:I,'caseload data'!$C:$C,'custody %'!$T$43,'caseload data'!$D:$D,"PSO",'caseload data'!$B:$B,"custody")/SUMIFS('caseload data'!I:I,'caseload data'!$B:$B,"custody",'caseload data'!$C:$C,'custody %'!$T$43),"")</f>
        <v/>
      </c>
      <c r="Z46" s="181" t="str">
        <f>IFERROR(SUMIFS('caseload data'!J:J,'caseload data'!$C:$C,'custody %'!$T$43,'caseload data'!$D:$D,"PSO",'caseload data'!$B:$B,"custody")/SUMIFS('caseload data'!J:J,'caseload data'!$B:$B,"custody",'caseload data'!$C:$C,'custody %'!$T$43),"")</f>
        <v/>
      </c>
      <c r="AA46" s="181" t="str">
        <f>IFERROR(SUMIFS('caseload data'!K:K,'caseload data'!$C:$C,'custody %'!$T$43,'caseload data'!$D:$D,"PSO",'caseload data'!$B:$B,"custody")/SUMIFS('caseload data'!K:K,'caseload data'!$B:$B,"custody",'caseload data'!$C:$C,'custody %'!$T$43),"")</f>
        <v/>
      </c>
      <c r="AB46" s="181" t="str">
        <f>IFERROR(SUMIFS('caseload data'!L:L,'caseload data'!$C:$C,'custody %'!$T$43,'caseload data'!$D:$D,"PSO",'caseload data'!$B:$B,"custody")/SUMIFS('caseload data'!L:L,'caseload data'!$B:$B,"custody",'caseload data'!$C:$C,'custody %'!$T$43),"")</f>
        <v/>
      </c>
      <c r="AC46" s="181" t="str">
        <f>IFERROR(SUMIFS('caseload data'!M:M,'caseload data'!$C:$C,'custody %'!$T$43,'caseload data'!$D:$D,"PSO",'caseload data'!$B:$B,"custody")/SUMIFS('caseload data'!M:M,'caseload data'!$B:$B,"custody",'caseload data'!$C:$C,'custody %'!$T$43),"")</f>
        <v/>
      </c>
      <c r="AD46" s="181" t="str">
        <f>IFERROR(SUMIFS('caseload data'!N:N,'caseload data'!$C:$C,'custody %'!$T$43,'caseload data'!$D:$D,"PSO",'caseload data'!$B:$B,"custody")/SUMIFS('caseload data'!N:N,'caseload data'!$B:$B,"custody",'caseload data'!$C:$C,'custody %'!$T$43),"")</f>
        <v/>
      </c>
      <c r="AE46" s="181" t="str">
        <f>IFERROR(SUMIFS('caseload data'!O:O,'caseload data'!$C:$C,'custody %'!$T$43,'caseload data'!$D:$D,"PSO",'caseload data'!$B:$B,"custody")/SUMIFS('caseload data'!O:O,'caseload data'!$B:$B,"custody",'caseload data'!$C:$C,'custody %'!$T$43),"")</f>
        <v/>
      </c>
      <c r="AF46" s="181" t="str">
        <f>IFERROR(SUMIFS('caseload data'!P:P,'caseload data'!$C:$C,'custody %'!$T$43,'caseload data'!$D:$D,"PSO",'caseload data'!$B:$B,"custody")/SUMIFS('caseload data'!P:P,'caseload data'!$B:$B,"custody",'caseload data'!$C:$C,'custody %'!$T$43),"")</f>
        <v/>
      </c>
      <c r="AG46" s="181" t="str">
        <f>IFERROR(SUMIFS('caseload data'!Q:Q,'caseload data'!$C:$C,'custody %'!$T$43,'caseload data'!$D:$D,"PSO",'caseload data'!$B:$B,"custody")/SUMIFS('caseload data'!Q:Q,'caseload data'!$B:$B,"custody",'caseload data'!$C:$C,'custody %'!$T$43),"")</f>
        <v/>
      </c>
      <c r="AH46" s="181" t="str">
        <f>IFERROR(SUMIFS('caseload data'!R:R,'caseload data'!$C:$C,'custody %'!$T$43,'caseload data'!$D:$D,"PSO",'caseload data'!$B:$B,"custody")/SUMIFS('caseload data'!R:R,'caseload data'!$B:$B,"custody",'caseload data'!$C:$C,'custody %'!$T$43),"")</f>
        <v/>
      </c>
      <c r="AI46" s="181"/>
      <c r="AJ46" s="181"/>
    </row>
    <row r="47" spans="2:36" x14ac:dyDescent="0.15">
      <c r="B47" s="107" t="s">
        <v>913</v>
      </c>
      <c r="C47" s="181" t="str">
        <f>IFERROR(SUMIFS('caseload data'!E:E,'caseload data'!$C:$C,'custody %'!$B$43,'caseload data'!$D:$D,"TPO",'caseload data'!$B:$B,"custody")/SUMIFS('caseload data'!E:E,'caseload data'!$B:$B,"custody",'caseload data'!$C:$C,'custody %'!$B$43),"")</f>
        <v/>
      </c>
      <c r="D47" s="181" t="str">
        <f>IFERROR(SUMIFS('caseload data'!F:F,'caseload data'!$C:$C,'custody %'!$B$43,'caseload data'!$D:$D,"TPO",'caseload data'!$B:$B,"custody")/SUMIFS('caseload data'!F:F,'caseload data'!$B:$B,"custody",'caseload data'!$C:$C,'custody %'!$B$43),"")</f>
        <v/>
      </c>
      <c r="E47" s="181" t="str">
        <f>IFERROR(SUMIFS('caseload data'!G:G,'caseload data'!$C:$C,'custody %'!$B$43,'caseload data'!$D:$D,"TPO",'caseload data'!$B:$B,"custody")/SUMIFS('caseload data'!G:G,'caseload data'!$B:$B,"custody",'caseload data'!$C:$C,'custody %'!$B$43),"")</f>
        <v/>
      </c>
      <c r="F47" s="181" t="str">
        <f>IFERROR(SUMIFS('caseload data'!H:H,'caseload data'!$C:$C,'custody %'!$B$43,'caseload data'!$D:$D,"TPO",'caseload data'!$B:$B,"custody")/SUMIFS('caseload data'!H:H,'caseload data'!$B:$B,"custody",'caseload data'!$C:$C,'custody %'!$B$43),"")</f>
        <v/>
      </c>
      <c r="G47" s="181" t="str">
        <f>IFERROR(SUMIFS('caseload data'!I:I,'caseload data'!$C:$C,'custody %'!$B$43,'caseload data'!$D:$D,"TPO",'caseload data'!$B:$B,"custody")/SUMIFS('caseload data'!I:I,'caseload data'!$B:$B,"custody",'caseload data'!$C:$C,'custody %'!$B$43),"")</f>
        <v/>
      </c>
      <c r="H47" s="181" t="str">
        <f>IFERROR(SUMIFS('caseload data'!J:J,'caseload data'!$C:$C,'custody %'!$B$43,'caseload data'!$D:$D,"TPO",'caseload data'!$B:$B,"custody")/SUMIFS('caseload data'!J:J,'caseload data'!$B:$B,"custody",'caseload data'!$C:$C,'custody %'!$B$43),"")</f>
        <v/>
      </c>
      <c r="I47" s="181" t="str">
        <f>IFERROR(SUMIFS('caseload data'!K:K,'caseload data'!$C:$C,'custody %'!$B$43,'caseload data'!$D:$D,"TPO",'caseload data'!$B:$B,"custody")/SUMIFS('caseload data'!K:K,'caseload data'!$B:$B,"custody",'caseload data'!$C:$C,'custody %'!$B$43),"")</f>
        <v/>
      </c>
      <c r="J47" s="181" t="str">
        <f>IFERROR(SUMIFS('caseload data'!L:L,'caseload data'!$C:$C,'custody %'!$B$43,'caseload data'!$D:$D,"TPO",'caseload data'!$B:$B,"custody")/SUMIFS('caseload data'!L:L,'caseload data'!$B:$B,"custody",'caseload data'!$C:$C,'custody %'!$B$43),"")</f>
        <v/>
      </c>
      <c r="K47" s="181" t="str">
        <f>IFERROR(SUMIFS('caseload data'!M:M,'caseload data'!$C:$C,'custody %'!$B$43,'caseload data'!$D:$D,"TPO",'caseload data'!$B:$B,"custody")/SUMIFS('caseload data'!M:M,'caseload data'!$B:$B,"custody",'caseload data'!$C:$C,'custody %'!$B$43),"")</f>
        <v/>
      </c>
      <c r="L47" s="181" t="str">
        <f>IFERROR(SUMIFS('caseload data'!N:N,'caseload data'!$C:$C,'custody %'!$B$43,'caseload data'!$D:$D,"TPO",'caseload data'!$B:$B,"custody")/SUMIFS('caseload data'!N:N,'caseload data'!$B:$B,"custody",'caseload data'!$C:$C,'custody %'!$B$43),"")</f>
        <v/>
      </c>
      <c r="M47" s="181" t="str">
        <f>IFERROR(SUMIFS('caseload data'!O:O,'caseload data'!$C:$C,'custody %'!$B$43,'caseload data'!$D:$D,"TPO",'caseload data'!$B:$B,"custody")/SUMIFS('caseload data'!O:O,'caseload data'!$B:$B,"custody",'caseload data'!$C:$C,'custody %'!$B$43),"")</f>
        <v/>
      </c>
      <c r="N47" s="181" t="str">
        <f>IFERROR(SUMIFS('caseload data'!P:P,'caseload data'!$C:$C,'custody %'!$B$43,'caseload data'!$D:$D,"TPO",'caseload data'!$B:$B,"custody")/SUMIFS('caseload data'!P:P,'caseload data'!$B:$B,"custody",'caseload data'!$C:$C,'custody %'!$B$43),"")</f>
        <v/>
      </c>
      <c r="O47" s="181" t="str">
        <f>IFERROR(SUMIFS('caseload data'!Q:Q,'caseload data'!$C:$C,'custody %'!$B$43,'caseload data'!$D:$D,"TPO",'caseload data'!$B:$B,"custody")/SUMIFS('caseload data'!Q:Q,'caseload data'!$B:$B,"custody",'caseload data'!$C:$C,'custody %'!$B$43),"")</f>
        <v/>
      </c>
      <c r="P47" s="181" t="str">
        <f>IFERROR(SUMIFS('caseload data'!R:R,'caseload data'!$C:$C,'custody %'!$B$43,'caseload data'!$D:$D,"TPO",'caseload data'!$B:$B,"custody")/SUMIFS('caseload data'!R:R,'caseload data'!$B:$B,"custody",'caseload data'!$C:$C,'custody %'!$B$43),"")</f>
        <v/>
      </c>
      <c r="Q47" s="181" t="str">
        <f>IFERROR(SUMIFS('caseload data'!S:S,'caseload data'!$C:$C,'custody %'!$B$43,'caseload data'!$D:$D,"TPO",'caseload data'!$B:$B,"custody")/SUMIFS('caseload data'!S:S,'caseload data'!$B:$B,"custody",'caseload data'!$C:$C,'custody %'!$B$43),"")</f>
        <v/>
      </c>
      <c r="R47" s="181" t="str">
        <f>IFERROR(SUMIFS('caseload data'!T:T,'caseload data'!$C:$C,'custody %'!$B$43,'caseload data'!$D:$D,"TPO",'caseload data'!$B:$B,"custody")/SUMIFS('caseload data'!T:T,'caseload data'!$B:$B,"custody",'caseload data'!$C:$C,'custody %'!$B$43),"")</f>
        <v/>
      </c>
      <c r="S47" s="73"/>
      <c r="T47" s="107" t="s">
        <v>913</v>
      </c>
      <c r="U47" s="181" t="str">
        <f>IFERROR(SUMIFS('caseload data'!E:E,'caseload data'!$C:$C,'custody %'!$T$43,'caseload data'!$D:$D,"TPO",'caseload data'!$B:$B,"custody")/SUMIFS('caseload data'!E:E,'caseload data'!$B:$B,"custody",'caseload data'!$C:$C,'custody %'!$T$43),"")</f>
        <v/>
      </c>
      <c r="V47" s="181" t="str">
        <f>IFERROR(SUMIFS('caseload data'!F:F,'caseload data'!$C:$C,'custody %'!$T$43,'caseload data'!$D:$D,"TPO",'caseload data'!$B:$B,"custody")/SUMIFS('caseload data'!F:F,'caseload data'!$B:$B,"custody",'caseload data'!$C:$C,'custody %'!$T$43),"")</f>
        <v/>
      </c>
      <c r="W47" s="181" t="str">
        <f>IFERROR(SUMIFS('caseload data'!G:G,'caseload data'!$C:$C,'custody %'!$T$43,'caseload data'!$D:$D,"TPO",'caseload data'!$B:$B,"custody")/SUMIFS('caseload data'!G:G,'caseload data'!$B:$B,"custody",'caseload data'!$C:$C,'custody %'!$T$43),"")</f>
        <v/>
      </c>
      <c r="X47" s="181" t="str">
        <f>IFERROR(SUMIFS('caseload data'!H:H,'caseload data'!$C:$C,'custody %'!$T$43,'caseload data'!$D:$D,"TPO",'caseload data'!$B:$B,"custody")/SUMIFS('caseload data'!H:H,'caseload data'!$B:$B,"custody",'caseload data'!$C:$C,'custody %'!$T$43),"")</f>
        <v/>
      </c>
      <c r="Y47" s="181" t="str">
        <f>IFERROR(SUMIFS('caseload data'!I:I,'caseload data'!$C:$C,'custody %'!$T$43,'caseload data'!$D:$D,"TPO",'caseload data'!$B:$B,"custody")/SUMIFS('caseload data'!I:I,'caseload data'!$B:$B,"custody",'caseload data'!$C:$C,'custody %'!$T$43),"")</f>
        <v/>
      </c>
      <c r="Z47" s="181" t="str">
        <f>IFERROR(SUMIFS('caseload data'!J:J,'caseload data'!$C:$C,'custody %'!$T$43,'caseload data'!$D:$D,"TPO",'caseload data'!$B:$B,"custody")/SUMIFS('caseload data'!J:J,'caseload data'!$B:$B,"custody",'caseload data'!$C:$C,'custody %'!$T$43),"")</f>
        <v/>
      </c>
      <c r="AA47" s="181" t="str">
        <f>IFERROR(SUMIFS('caseload data'!K:K,'caseload data'!$C:$C,'custody %'!$T$43,'caseload data'!$D:$D,"TPO",'caseload data'!$B:$B,"custody")/SUMIFS('caseload data'!K:K,'caseload data'!$B:$B,"custody",'caseload data'!$C:$C,'custody %'!$T$43),"")</f>
        <v/>
      </c>
      <c r="AB47" s="181" t="str">
        <f>IFERROR(SUMIFS('caseload data'!L:L,'caseload data'!$C:$C,'custody %'!$T$43,'caseload data'!$D:$D,"TPO",'caseload data'!$B:$B,"custody")/SUMIFS('caseload data'!L:L,'caseload data'!$B:$B,"custody",'caseload data'!$C:$C,'custody %'!$T$43),"")</f>
        <v/>
      </c>
      <c r="AC47" s="181" t="str">
        <f>IFERROR(SUMIFS('caseload data'!M:M,'caseload data'!$C:$C,'custody %'!$T$43,'caseload data'!$D:$D,"TPO",'caseload data'!$B:$B,"custody")/SUMIFS('caseload data'!M:M,'caseload data'!$B:$B,"custody",'caseload data'!$C:$C,'custody %'!$T$43),"")</f>
        <v/>
      </c>
      <c r="AD47" s="181" t="str">
        <f>IFERROR(SUMIFS('caseload data'!N:N,'caseload data'!$C:$C,'custody %'!$T$43,'caseload data'!$D:$D,"TPO",'caseload data'!$B:$B,"custody")/SUMIFS('caseload data'!N:N,'caseload data'!$B:$B,"custody",'caseload data'!$C:$C,'custody %'!$T$43),"")</f>
        <v/>
      </c>
      <c r="AE47" s="181" t="str">
        <f>IFERROR(SUMIFS('caseload data'!O:O,'caseload data'!$C:$C,'custody %'!$T$43,'caseload data'!$D:$D,"TPO",'caseload data'!$B:$B,"custody")/SUMIFS('caseload data'!O:O,'caseload data'!$B:$B,"custody",'caseload data'!$C:$C,'custody %'!$T$43),"")</f>
        <v/>
      </c>
      <c r="AF47" s="181" t="str">
        <f>IFERROR(SUMIFS('caseload data'!P:P,'caseload data'!$C:$C,'custody %'!$T$43,'caseload data'!$D:$D,"TPO",'caseload data'!$B:$B,"custody")/SUMIFS('caseload data'!P:P,'caseload data'!$B:$B,"custody",'caseload data'!$C:$C,'custody %'!$T$43),"")</f>
        <v/>
      </c>
      <c r="AG47" s="181" t="str">
        <f>IFERROR(SUMIFS('caseload data'!Q:Q,'caseload data'!$C:$C,'custody %'!$T$43,'caseload data'!$D:$D,"TPO",'caseload data'!$B:$B,"custody")/SUMIFS('caseload data'!Q:Q,'caseload data'!$B:$B,"custody",'caseload data'!$C:$C,'custody %'!$T$43),"")</f>
        <v/>
      </c>
      <c r="AH47" s="181" t="str">
        <f>IFERROR(SUMIFS('caseload data'!R:R,'caseload data'!$C:$C,'custody %'!$T$43,'caseload data'!$D:$D,"TPO",'caseload data'!$B:$B,"custody")/SUMIFS('caseload data'!R:R,'caseload data'!$B:$B,"custody",'caseload data'!$C:$C,'custody %'!$T$43),"")</f>
        <v/>
      </c>
      <c r="AI47" s="181"/>
      <c r="AJ47" s="181"/>
    </row>
    <row r="48" spans="2:36" x14ac:dyDescent="0.15">
      <c r="B48" s="108" t="s">
        <v>914</v>
      </c>
      <c r="C48" s="181" t="str">
        <f>IFERROR(SUMIFS('caseload data'!E:E,'caseload data'!$C:$C,'custody %'!$B$43,'caseload data'!$D:$D,"SPO",'caseload data'!$B:$B,"custody")/SUMIFS('caseload data'!E:E,'caseload data'!$B:$B,"custody",'caseload data'!$C:$C,'custody %'!$B$43),"")</f>
        <v/>
      </c>
      <c r="D48" s="181" t="str">
        <f>IFERROR(SUMIFS('caseload data'!F:F,'caseload data'!$C:$C,'custody %'!$B$43,'caseload data'!$D:$D,"SPO",'caseload data'!$B:$B,"custody")/SUMIFS('caseload data'!F:F,'caseload data'!$B:$B,"custody",'caseload data'!$C:$C,'custody %'!$B$43),"")</f>
        <v/>
      </c>
      <c r="E48" s="181" t="str">
        <f>IFERROR(SUMIFS('caseload data'!G:G,'caseload data'!$C:$C,'custody %'!$B$43,'caseload data'!$D:$D,"SPO",'caseload data'!$B:$B,"custody")/SUMIFS('caseload data'!G:G,'caseload data'!$B:$B,"custody",'caseload data'!$C:$C,'custody %'!$B$43),"")</f>
        <v/>
      </c>
      <c r="F48" s="181" t="str">
        <f>IFERROR(SUMIFS('caseload data'!H:H,'caseload data'!$C:$C,'custody %'!$B$43,'caseload data'!$D:$D,"SPO",'caseload data'!$B:$B,"custody")/SUMIFS('caseload data'!H:H,'caseload data'!$B:$B,"custody",'caseload data'!$C:$C,'custody %'!$B$43),"")</f>
        <v/>
      </c>
      <c r="G48" s="181" t="str">
        <f>IFERROR(SUMIFS('caseload data'!I:I,'caseload data'!$C:$C,'custody %'!$B$43,'caseload data'!$D:$D,"SPO",'caseload data'!$B:$B,"custody")/SUMIFS('caseload data'!I:I,'caseload data'!$B:$B,"custody",'caseload data'!$C:$C,'custody %'!$B$43),"")</f>
        <v/>
      </c>
      <c r="H48" s="181" t="str">
        <f>IFERROR(SUMIFS('caseload data'!J:J,'caseload data'!$C:$C,'custody %'!$B$43,'caseload data'!$D:$D,"SPO",'caseload data'!$B:$B,"custody")/SUMIFS('caseload data'!J:J,'caseload data'!$B:$B,"custody",'caseload data'!$C:$C,'custody %'!$B$43),"")</f>
        <v/>
      </c>
      <c r="I48" s="181" t="str">
        <f>IFERROR(SUMIFS('caseload data'!K:K,'caseload data'!$C:$C,'custody %'!$B$43,'caseload data'!$D:$D,"SPO",'caseload data'!$B:$B,"custody")/SUMIFS('caseload data'!K:K,'caseload data'!$B:$B,"custody",'caseload data'!$C:$C,'custody %'!$B$43),"")</f>
        <v/>
      </c>
      <c r="J48" s="181" t="str">
        <f>IFERROR(SUMIFS('caseload data'!L:L,'caseload data'!$C:$C,'custody %'!$B$43,'caseload data'!$D:$D,"SPO",'caseload data'!$B:$B,"custody")/SUMIFS('caseload data'!L:L,'caseload data'!$B:$B,"custody",'caseload data'!$C:$C,'custody %'!$B$43),"")</f>
        <v/>
      </c>
      <c r="K48" s="181" t="str">
        <f>IFERROR(SUMIFS('caseload data'!M:M,'caseload data'!$C:$C,'custody %'!$B$43,'caseload data'!$D:$D,"SPO",'caseload data'!$B:$B,"custody")/SUMIFS('caseload data'!M:M,'caseload data'!$B:$B,"custody",'caseload data'!$C:$C,'custody %'!$B$43),"")</f>
        <v/>
      </c>
      <c r="L48" s="181" t="str">
        <f>IFERROR(SUMIFS('caseload data'!N:N,'caseload data'!$C:$C,'custody %'!$B$43,'caseload data'!$D:$D,"SPO",'caseload data'!$B:$B,"custody")/SUMIFS('caseload data'!N:N,'caseload data'!$B:$B,"custody",'caseload data'!$C:$C,'custody %'!$B$43),"")</f>
        <v/>
      </c>
      <c r="M48" s="181" t="str">
        <f>IFERROR(SUMIFS('caseload data'!O:O,'caseload data'!$C:$C,'custody %'!$B$43,'caseload data'!$D:$D,"SPO",'caseload data'!$B:$B,"custody")/SUMIFS('caseload data'!O:O,'caseload data'!$B:$B,"custody",'caseload data'!$C:$C,'custody %'!$B$43),"")</f>
        <v/>
      </c>
      <c r="N48" s="181" t="str">
        <f>IFERROR(SUMIFS('caseload data'!P:P,'caseload data'!$C:$C,'custody %'!$B$43,'caseload data'!$D:$D,"SPO",'caseload data'!$B:$B,"custody")/SUMIFS('caseload data'!P:P,'caseload data'!$B:$B,"custody",'caseload data'!$C:$C,'custody %'!$B$43),"")</f>
        <v/>
      </c>
      <c r="O48" s="181" t="str">
        <f>IFERROR(SUMIFS('caseload data'!Q:Q,'caseload data'!$C:$C,'custody %'!$B$43,'caseload data'!$D:$D,"SPO",'caseload data'!$B:$B,"custody")/SUMIFS('caseload data'!Q:Q,'caseload data'!$B:$B,"custody",'caseload data'!$C:$C,'custody %'!$B$43),"")</f>
        <v/>
      </c>
      <c r="P48" s="181" t="str">
        <f>IFERROR(SUMIFS('caseload data'!R:R,'caseload data'!$C:$C,'custody %'!$B$43,'caseload data'!$D:$D,"SPO",'caseload data'!$B:$B,"custody")/SUMIFS('caseload data'!R:R,'caseload data'!$B:$B,"custody",'caseload data'!$C:$C,'custody %'!$B$43),"")</f>
        <v/>
      </c>
      <c r="Q48" s="181" t="str">
        <f>IFERROR(SUMIFS('caseload data'!S:S,'caseload data'!$C:$C,'custody %'!$B$43,'caseload data'!$D:$D,"SPO",'caseload data'!$B:$B,"custody")/SUMIFS('caseload data'!S:S,'caseload data'!$B:$B,"custody",'caseload data'!$C:$C,'custody %'!$B$43),"")</f>
        <v/>
      </c>
      <c r="R48" s="181" t="str">
        <f>IFERROR(SUMIFS('caseload data'!T:T,'caseload data'!$C:$C,'custody %'!$B$43,'caseload data'!$D:$D,"SPO",'caseload data'!$B:$B,"custody")/SUMIFS('caseload data'!T:T,'caseload data'!$B:$B,"custody",'caseload data'!$C:$C,'custody %'!$B$43),"")</f>
        <v/>
      </c>
      <c r="S48" s="73"/>
      <c r="T48" s="108" t="s">
        <v>914</v>
      </c>
      <c r="U48" s="181" t="str">
        <f>IFERROR(SUMIFS('caseload data'!E:E,'caseload data'!$C:$C,'custody %'!$T$43,'caseload data'!$D:$D,"SPO",'caseload data'!$B:$B,"custody")/SUMIFS('caseload data'!E:E,'caseload data'!$B:$B,"custody",'caseload data'!$C:$C,'custody %'!$T$43),"")</f>
        <v/>
      </c>
      <c r="V48" s="181" t="str">
        <f>IFERROR(SUMIFS('caseload data'!F:F,'caseload data'!$C:$C,'custody %'!$T$43,'caseload data'!$D:$D,"SPO",'caseload data'!$B:$B,"custody")/SUMIFS('caseload data'!F:F,'caseload data'!$B:$B,"custody",'caseload data'!$C:$C,'custody %'!$T$43),"")</f>
        <v/>
      </c>
      <c r="W48" s="181" t="str">
        <f>IFERROR(SUMIFS('caseload data'!G:G,'caseload data'!$C:$C,'custody %'!$T$43,'caseload data'!$D:$D,"SPO",'caseload data'!$B:$B,"custody")/SUMIFS('caseload data'!G:G,'caseload data'!$B:$B,"custody",'caseload data'!$C:$C,'custody %'!$T$43),"")</f>
        <v/>
      </c>
      <c r="X48" s="181" t="str">
        <f>IFERROR(SUMIFS('caseload data'!H:H,'caseload data'!$C:$C,'custody %'!$T$43,'caseload data'!$D:$D,"SPO",'caseload data'!$B:$B,"custody")/SUMIFS('caseload data'!H:H,'caseload data'!$B:$B,"custody",'caseload data'!$C:$C,'custody %'!$T$43),"")</f>
        <v/>
      </c>
      <c r="Y48" s="181" t="str">
        <f>IFERROR(SUMIFS('caseload data'!I:I,'caseload data'!$C:$C,'custody %'!$T$43,'caseload data'!$D:$D,"SPO",'caseload data'!$B:$B,"custody")/SUMIFS('caseload data'!I:I,'caseload data'!$B:$B,"custody",'caseload data'!$C:$C,'custody %'!$T$43),"")</f>
        <v/>
      </c>
      <c r="Z48" s="181" t="str">
        <f>IFERROR(SUMIFS('caseload data'!J:J,'caseload data'!$C:$C,'custody %'!$T$43,'caseload data'!$D:$D,"SPO",'caseload data'!$B:$B,"custody")/SUMIFS('caseload data'!J:J,'caseload data'!$B:$B,"custody",'caseload data'!$C:$C,'custody %'!$T$43),"")</f>
        <v/>
      </c>
      <c r="AA48" s="181" t="str">
        <f>IFERROR(SUMIFS('caseload data'!K:K,'caseload data'!$C:$C,'custody %'!$T$43,'caseload data'!$D:$D,"SPO",'caseload data'!$B:$B,"custody")/SUMIFS('caseload data'!K:K,'caseload data'!$B:$B,"custody",'caseload data'!$C:$C,'custody %'!$T$43),"")</f>
        <v/>
      </c>
      <c r="AB48" s="181" t="str">
        <f>IFERROR(SUMIFS('caseload data'!L:L,'caseload data'!$C:$C,'custody %'!$T$43,'caseload data'!$D:$D,"SPO",'caseload data'!$B:$B,"custody")/SUMIFS('caseload data'!L:L,'caseload data'!$B:$B,"custody",'caseload data'!$C:$C,'custody %'!$T$43),"")</f>
        <v/>
      </c>
      <c r="AC48" s="181" t="str">
        <f>IFERROR(SUMIFS('caseload data'!M:M,'caseload data'!$C:$C,'custody %'!$T$43,'caseload data'!$D:$D,"SPO",'caseload data'!$B:$B,"custody")/SUMIFS('caseload data'!M:M,'caseload data'!$B:$B,"custody",'caseload data'!$C:$C,'custody %'!$T$43),"")</f>
        <v/>
      </c>
      <c r="AD48" s="181" t="str">
        <f>IFERROR(SUMIFS('caseload data'!N:N,'caseload data'!$C:$C,'custody %'!$T$43,'caseload data'!$D:$D,"SPO",'caseload data'!$B:$B,"custody")/SUMIFS('caseload data'!N:N,'caseload data'!$B:$B,"custody",'caseload data'!$C:$C,'custody %'!$T$43),"")</f>
        <v/>
      </c>
      <c r="AE48" s="181" t="str">
        <f>IFERROR(SUMIFS('caseload data'!O:O,'caseload data'!$C:$C,'custody %'!$T$43,'caseload data'!$D:$D,"SPO",'caseload data'!$B:$B,"custody")/SUMIFS('caseload data'!O:O,'caseload data'!$B:$B,"custody",'caseload data'!$C:$C,'custody %'!$T$43),"")</f>
        <v/>
      </c>
      <c r="AF48" s="181" t="str">
        <f>IFERROR(SUMIFS('caseload data'!P:P,'caseload data'!$C:$C,'custody %'!$T$43,'caseload data'!$D:$D,"SPO",'caseload data'!$B:$B,"custody")/SUMIFS('caseload data'!P:P,'caseload data'!$B:$B,"custody",'caseload data'!$C:$C,'custody %'!$T$43),"")</f>
        <v/>
      </c>
      <c r="AG48" s="181" t="str">
        <f>IFERROR(SUMIFS('caseload data'!Q:Q,'caseload data'!$C:$C,'custody %'!$T$43,'caseload data'!$D:$D,"SPO",'caseload data'!$B:$B,"custody")/SUMIFS('caseload data'!Q:Q,'caseload data'!$B:$B,"custody",'caseload data'!$C:$C,'custody %'!$T$43),"")</f>
        <v/>
      </c>
      <c r="AH48" s="181" t="str">
        <f>IFERROR(SUMIFS('caseload data'!R:R,'caseload data'!$C:$C,'custody %'!$T$43,'caseload data'!$D:$D,"SPO",'caseload data'!$B:$B,"custody")/SUMIFS('caseload data'!R:R,'caseload data'!$B:$B,"custody",'caseload data'!$C:$C,'custody %'!$T$43),"")</f>
        <v/>
      </c>
      <c r="AI48" s="181"/>
      <c r="AJ48" s="181"/>
    </row>
    <row r="49" spans="2:36" x14ac:dyDescent="0.15">
      <c r="B49" s="101"/>
      <c r="C49" s="73"/>
      <c r="D49" s="73"/>
      <c r="E49" s="73"/>
      <c r="F49" s="73"/>
      <c r="G49" s="73"/>
      <c r="H49" s="73"/>
      <c r="I49" s="73"/>
      <c r="J49" s="73"/>
      <c r="K49" s="73"/>
      <c r="L49" s="73"/>
      <c r="M49" s="73"/>
      <c r="N49" s="73"/>
      <c r="O49" s="73"/>
      <c r="P49" s="73"/>
      <c r="Q49" s="73"/>
      <c r="R49" s="73"/>
      <c r="S49" s="73"/>
      <c r="T49" s="101"/>
      <c r="U49" s="73"/>
      <c r="V49" s="73"/>
      <c r="W49" s="73"/>
      <c r="X49" s="73"/>
      <c r="Y49" s="73"/>
      <c r="Z49" s="73"/>
      <c r="AA49" s="73"/>
      <c r="AB49" s="73"/>
      <c r="AC49" s="73"/>
      <c r="AD49" s="73"/>
      <c r="AE49" s="73"/>
      <c r="AF49" s="73"/>
      <c r="AG49" s="73"/>
      <c r="AH49" s="73"/>
    </row>
    <row r="50" spans="2:36" ht="30" customHeight="1" x14ac:dyDescent="0.15">
      <c r="B50" s="156" t="str">
        <f>HLOOKUP($B$5,Region_Table,14,0)</f>
        <v>Inactive Level 2(N07)</v>
      </c>
      <c r="C50" s="367" t="s">
        <v>1163</v>
      </c>
      <c r="D50" s="368"/>
      <c r="E50" s="368"/>
      <c r="F50" s="368"/>
      <c r="G50" s="368"/>
      <c r="H50" s="368"/>
      <c r="I50" s="368"/>
      <c r="J50" s="368"/>
      <c r="K50" s="368"/>
      <c r="L50" s="368"/>
      <c r="M50" s="377"/>
      <c r="N50" s="377"/>
      <c r="O50" s="378"/>
      <c r="P50" s="371">
        <f>SUMIF('caseload data'!$C:$C,'custody %'!B50,'caseload data'!V:V)</f>
        <v>0</v>
      </c>
      <c r="Q50" s="379"/>
      <c r="R50" s="380"/>
      <c r="S50" s="73"/>
      <c r="T50" s="156" t="str">
        <f>HLOOKUP($B$5,Region_Table,15,0)</f>
        <v>Kingston, Richmond and Hounslow</v>
      </c>
      <c r="U50" s="367" t="s">
        <v>1163</v>
      </c>
      <c r="V50" s="368"/>
      <c r="W50" s="368"/>
      <c r="X50" s="368"/>
      <c r="Y50" s="368"/>
      <c r="Z50" s="368"/>
      <c r="AA50" s="368"/>
      <c r="AB50" s="368"/>
      <c r="AC50" s="377"/>
      <c r="AD50" s="377"/>
      <c r="AE50" s="378"/>
      <c r="AF50" s="371">
        <f>SUMIF('caseload data'!$C:$C,'custody %'!T50,'caseload data'!V:V)</f>
        <v>0</v>
      </c>
      <c r="AG50" s="379"/>
      <c r="AH50" s="380"/>
    </row>
    <row r="51" spans="2:36" x14ac:dyDescent="0.15">
      <c r="B51" s="105" t="s">
        <v>1065</v>
      </c>
      <c r="C51" s="41" t="s">
        <v>922</v>
      </c>
      <c r="D51" s="41" t="s">
        <v>923</v>
      </c>
      <c r="E51" s="41" t="s">
        <v>924</v>
      </c>
      <c r="F51" s="41" t="s">
        <v>925</v>
      </c>
      <c r="G51" s="41" t="s">
        <v>926</v>
      </c>
      <c r="H51" s="41" t="s">
        <v>927</v>
      </c>
      <c r="I51" s="41" t="s">
        <v>928</v>
      </c>
      <c r="J51" s="41" t="s">
        <v>929</v>
      </c>
      <c r="K51" s="41" t="s">
        <v>930</v>
      </c>
      <c r="L51" s="41" t="s">
        <v>931</v>
      </c>
      <c r="M51" s="41" t="s">
        <v>932</v>
      </c>
      <c r="N51" s="41" t="s">
        <v>933</v>
      </c>
      <c r="O51" s="41" t="s">
        <v>934</v>
      </c>
      <c r="P51" s="41" t="s">
        <v>935</v>
      </c>
      <c r="Q51" s="41" t="s">
        <v>936</v>
      </c>
      <c r="R51" s="41" t="s">
        <v>937</v>
      </c>
      <c r="S51" s="73"/>
      <c r="T51" s="105" t="s">
        <v>1065</v>
      </c>
      <c r="U51" s="41" t="s">
        <v>922</v>
      </c>
      <c r="V51" s="41" t="s">
        <v>923</v>
      </c>
      <c r="W51" s="41" t="s">
        <v>924</v>
      </c>
      <c r="X51" s="41" t="s">
        <v>925</v>
      </c>
      <c r="Y51" s="41" t="s">
        <v>926</v>
      </c>
      <c r="Z51" s="41" t="s">
        <v>927</v>
      </c>
      <c r="AA51" s="41" t="s">
        <v>928</v>
      </c>
      <c r="AB51" s="41" t="s">
        <v>929</v>
      </c>
      <c r="AC51" s="41" t="s">
        <v>930</v>
      </c>
      <c r="AD51" s="41" t="s">
        <v>931</v>
      </c>
      <c r="AE51" s="41" t="s">
        <v>932</v>
      </c>
      <c r="AF51" s="41" t="s">
        <v>933</v>
      </c>
      <c r="AG51" s="41" t="s">
        <v>934</v>
      </c>
      <c r="AH51" s="41" t="s">
        <v>935</v>
      </c>
      <c r="AI51" s="41" t="s">
        <v>936</v>
      </c>
      <c r="AJ51" s="41" t="s">
        <v>937</v>
      </c>
    </row>
    <row r="52" spans="2:36" x14ac:dyDescent="0.15">
      <c r="B52" s="106" t="s">
        <v>911</v>
      </c>
      <c r="C52" s="181" t="str">
        <f>IFERROR(SUMIFS('caseload data'!E:E,'caseload data'!$C:$C,'custody %'!$B$50,'caseload data'!$D:$D,"PO",'caseload data'!$B:$B,"custody")/SUMIFS('caseload data'!E:E,'caseload data'!$B:$B,"custody",'caseload data'!$C:$C,'custody %'!$B$50),"")</f>
        <v/>
      </c>
      <c r="D52" s="181" t="str">
        <f>IFERROR(SUMIFS('caseload data'!F:F,'caseload data'!$C:$C,'custody %'!$B$50,'caseload data'!$D:$D,"PO",'caseload data'!$B:$B,"custody")/SUMIFS('caseload data'!F:F,'caseload data'!$B:$B,"custody",'caseload data'!$C:$C,'custody %'!$B$50),"")</f>
        <v/>
      </c>
      <c r="E52" s="181" t="str">
        <f>IFERROR(SUMIFS('caseload data'!G:G,'caseload data'!$C:$C,'custody %'!$B$50,'caseload data'!$D:$D,"PO",'caseload data'!$B:$B,"custody")/SUMIFS('caseload data'!G:G,'caseload data'!$B:$B,"custody",'caseload data'!$C:$C,'custody %'!$B$50),"")</f>
        <v/>
      </c>
      <c r="F52" s="181" t="str">
        <f>IFERROR(SUMIFS('caseload data'!H:H,'caseload data'!$C:$C,'custody %'!$B$50,'caseload data'!$D:$D,"PO",'caseload data'!$B:$B,"custody")/SUMIFS('caseload data'!H:H,'caseload data'!$B:$B,"custody",'caseload data'!$C:$C,'custody %'!$B$50),"")</f>
        <v/>
      </c>
      <c r="G52" s="181" t="str">
        <f>IFERROR(SUMIFS('caseload data'!I:I,'caseload data'!$C:$C,'custody %'!$B$50,'caseload data'!$D:$D,"PO",'caseload data'!$B:$B,"custody")/SUMIFS('caseload data'!I:I,'caseload data'!$B:$B,"custody",'caseload data'!$C:$C,'custody %'!$B$50),"")</f>
        <v/>
      </c>
      <c r="H52" s="181" t="str">
        <f>IFERROR(SUMIFS('caseload data'!J:J,'caseload data'!$C:$C,'custody %'!$B$50,'caseload data'!$D:$D,"PO",'caseload data'!$B:$B,"custody")/SUMIFS('caseload data'!J:J,'caseload data'!$B:$B,"custody",'caseload data'!$C:$C,'custody %'!$B$50),"")</f>
        <v/>
      </c>
      <c r="I52" s="181" t="str">
        <f>IFERROR(SUMIFS('caseload data'!K:K,'caseload data'!$C:$C,'custody %'!$B$50,'caseload data'!$D:$D,"PO",'caseload data'!$B:$B,"custody")/SUMIFS('caseload data'!K:K,'caseload data'!$B:$B,"custody",'caseload data'!$C:$C,'custody %'!$B$50),"")</f>
        <v/>
      </c>
      <c r="J52" s="181" t="str">
        <f>IFERROR(SUMIFS('caseload data'!L:L,'caseload data'!$C:$C,'custody %'!$B$50,'caseload data'!$D:$D,"PO",'caseload data'!$B:$B,"custody")/SUMIFS('caseload data'!L:L,'caseload data'!$B:$B,"custody",'caseload data'!$C:$C,'custody %'!$B$50),"")</f>
        <v/>
      </c>
      <c r="K52" s="181" t="str">
        <f>IFERROR(SUMIFS('caseload data'!M:M,'caseload data'!$C:$C,'custody %'!$B$50,'caseload data'!$D:$D,"PO",'caseload data'!$B:$B,"custody")/SUMIFS('caseload data'!M:M,'caseload data'!$B:$B,"custody",'caseload data'!$C:$C,'custody %'!$B$50),"")</f>
        <v/>
      </c>
      <c r="L52" s="181" t="str">
        <f>IFERROR(SUMIFS('caseload data'!N:N,'caseload data'!$C:$C,'custody %'!$B$50,'caseload data'!$D:$D,"PO",'caseload data'!$B:$B,"custody")/SUMIFS('caseload data'!N:N,'caseload data'!$B:$B,"custody",'caseload data'!$C:$C,'custody %'!$B$50),"")</f>
        <v/>
      </c>
      <c r="M52" s="181" t="str">
        <f>IFERROR(SUMIFS('caseload data'!O:O,'caseload data'!$C:$C,'custody %'!$B$50,'caseload data'!$D:$D,"PO",'caseload data'!$B:$B,"custody")/SUMIFS('caseload data'!O:O,'caseload data'!$B:$B,"custody",'caseload data'!$C:$C,'custody %'!$B$50),"")</f>
        <v/>
      </c>
      <c r="N52" s="181" t="str">
        <f>IFERROR(SUMIFS('caseload data'!P:P,'caseload data'!$C:$C,'custody %'!$B$50,'caseload data'!$D:$D,"PO",'caseload data'!$B:$B,"custody")/SUMIFS('caseload data'!P:P,'caseload data'!$B:$B,"custody",'caseload data'!$C:$C,'custody %'!$B$50),"")</f>
        <v/>
      </c>
      <c r="O52" s="181" t="str">
        <f>IFERROR(SUMIFS('caseload data'!Q:Q,'caseload data'!$C:$C,'custody %'!$B$50,'caseload data'!$D:$D,"PO",'caseload data'!$B:$B,"custody")/SUMIFS('caseload data'!Q:Q,'caseload data'!$B:$B,"custody",'caseload data'!$C:$C,'custody %'!$B$50),"")</f>
        <v/>
      </c>
      <c r="P52" s="181" t="str">
        <f>IFERROR(SUMIFS('caseload data'!R:R,'caseload data'!$C:$C,'custody %'!$B$50,'caseload data'!$D:$D,"PO",'caseload data'!$B:$B,"custody")/SUMIFS('caseload data'!R:R,'caseload data'!$B:$B,"custody",'caseload data'!$C:$C,'custody %'!$B$50),"")</f>
        <v/>
      </c>
      <c r="Q52" s="181" t="str">
        <f>IFERROR(SUMIFS('caseload data'!S:S,'caseload data'!$C:$C,'custody %'!$B$50,'caseload data'!$D:$D,"PO",'caseload data'!$B:$B,"custody")/SUMIFS('caseload data'!S:S,'caseload data'!$B:$B,"custody",'caseload data'!$C:$C,'custody %'!$B$50),"")</f>
        <v/>
      </c>
      <c r="R52" s="181" t="str">
        <f>IFERROR(SUMIFS('caseload data'!T:T,'caseload data'!$C:$C,'custody %'!$B$50,'caseload data'!$D:$D,"PO",'caseload data'!$B:$B,"custody")/SUMIFS('caseload data'!T:T,'caseload data'!$B:$B,"custody",'caseload data'!$C:$C,'custody %'!$B$50),"")</f>
        <v/>
      </c>
      <c r="S52" s="73"/>
      <c r="T52" s="106" t="s">
        <v>911</v>
      </c>
      <c r="U52" s="181" t="str">
        <f>IFERROR(SUMIFS('caseload data'!E:E,'caseload data'!$C:$C,'custody %'!$T$50,'caseload data'!$D:$D,"PO",'caseload data'!$B:$B,"custody")/SUMIFS('caseload data'!E:E,'caseload data'!$B:$B,"custody",'caseload data'!$C:$C,'custody %'!$T$50),"")</f>
        <v/>
      </c>
      <c r="V52" s="181" t="str">
        <f>IFERROR(SUMIFS('caseload data'!F:F,'caseload data'!$C:$C,'custody %'!$T$50,'caseload data'!$D:$D,"PO",'caseload data'!$B:$B,"custody")/SUMIFS('caseload data'!F:F,'caseload data'!$B:$B,"custody",'caseload data'!$C:$C,'custody %'!$T$50),"")</f>
        <v/>
      </c>
      <c r="W52" s="181" t="str">
        <f>IFERROR(SUMIFS('caseload data'!G:G,'caseload data'!$C:$C,'custody %'!$T$50,'caseload data'!$D:$D,"PO",'caseload data'!$B:$B,"custody")/SUMIFS('caseload data'!G:G,'caseload data'!$B:$B,"custody",'caseload data'!$C:$C,'custody %'!$T$50),"")</f>
        <v/>
      </c>
      <c r="X52" s="181" t="str">
        <f>IFERROR(SUMIFS('caseload data'!H:H,'caseload data'!$C:$C,'custody %'!$T$50,'caseload data'!$D:$D,"PO",'caseload data'!$B:$B,"custody")/SUMIFS('caseload data'!H:H,'caseload data'!$B:$B,"custody",'caseload data'!$C:$C,'custody %'!$T$50),"")</f>
        <v/>
      </c>
      <c r="Y52" s="181" t="str">
        <f>IFERROR(SUMIFS('caseload data'!I:I,'caseload data'!$C:$C,'custody %'!$T$50,'caseload data'!$D:$D,"PO",'caseload data'!$B:$B,"custody")/SUMIFS('caseload data'!I:I,'caseload data'!$B:$B,"custody",'caseload data'!$C:$C,'custody %'!$T$50),"")</f>
        <v/>
      </c>
      <c r="Z52" s="181" t="str">
        <f>IFERROR(SUMIFS('caseload data'!J:J,'caseload data'!$C:$C,'custody %'!$T$50,'caseload data'!$D:$D,"PO",'caseload data'!$B:$B,"custody")/SUMIFS('caseload data'!J:J,'caseload data'!$B:$B,"custody",'caseload data'!$C:$C,'custody %'!$T$50),"")</f>
        <v/>
      </c>
      <c r="AA52" s="181" t="str">
        <f>IFERROR(SUMIFS('caseload data'!K:K,'caseload data'!$C:$C,'custody %'!$T$50,'caseload data'!$D:$D,"PO",'caseload data'!$B:$B,"custody")/SUMIFS('caseload data'!K:K,'caseload data'!$B:$B,"custody",'caseload data'!$C:$C,'custody %'!$T$50),"")</f>
        <v/>
      </c>
      <c r="AB52" s="181" t="str">
        <f>IFERROR(SUMIFS('caseload data'!L:L,'caseload data'!$C:$C,'custody %'!$T$50,'caseload data'!$D:$D,"PO",'caseload data'!$B:$B,"custody")/SUMIFS('caseload data'!L:L,'caseload data'!$B:$B,"custody",'caseload data'!$C:$C,'custody %'!$T$50),"")</f>
        <v/>
      </c>
      <c r="AC52" s="181" t="str">
        <f>IFERROR(SUMIFS('caseload data'!M:M,'caseload data'!$C:$C,'custody %'!$T$50,'caseload data'!$D:$D,"PO",'caseload data'!$B:$B,"custody")/SUMIFS('caseload data'!M:M,'caseload data'!$B:$B,"custody",'caseload data'!$C:$C,'custody %'!$T$50),"")</f>
        <v/>
      </c>
      <c r="AD52" s="181" t="str">
        <f>IFERROR(SUMIFS('caseload data'!N:N,'caseload data'!$C:$C,'custody %'!$T$50,'caseload data'!$D:$D,"PO",'caseload data'!$B:$B,"custody")/SUMIFS('caseload data'!N:N,'caseload data'!$B:$B,"custody",'caseload data'!$C:$C,'custody %'!$T$50),"")</f>
        <v/>
      </c>
      <c r="AE52" s="181" t="str">
        <f>IFERROR(SUMIFS('caseload data'!O:O,'caseload data'!$C:$C,'custody %'!$T$50,'caseload data'!$D:$D,"PO",'caseload data'!$B:$B,"custody")/SUMIFS('caseload data'!O:O,'caseload data'!$B:$B,"custody",'caseload data'!$C:$C,'custody %'!$T$50),"")</f>
        <v/>
      </c>
      <c r="AF52" s="181" t="str">
        <f>IFERROR(SUMIFS('caseload data'!P:P,'caseload data'!$C:$C,'custody %'!$T$50,'caseload data'!$D:$D,"PO",'caseload data'!$B:$B,"custody")/SUMIFS('caseload data'!P:P,'caseload data'!$B:$B,"custody",'caseload data'!$C:$C,'custody %'!$T$50),"")</f>
        <v/>
      </c>
      <c r="AG52" s="181" t="str">
        <f>IFERROR(SUMIFS('caseload data'!Q:Q,'caseload data'!$C:$C,'custody %'!$T$50,'caseload data'!$D:$D,"PO",'caseload data'!$B:$B,"custody")/SUMIFS('caseload data'!Q:Q,'caseload data'!$B:$B,"custody",'caseload data'!$C:$C,'custody %'!$T$50),"")</f>
        <v/>
      </c>
      <c r="AH52" s="181" t="str">
        <f>IFERROR(SUMIFS('caseload data'!R:R,'caseload data'!$C:$C,'custody %'!$T$50,'caseload data'!$D:$D,"PO",'caseload data'!$B:$B,"custody")/SUMIFS('caseload data'!R:R,'caseload data'!$B:$B,"custody",'caseload data'!$C:$C,'custody %'!$T$50),"")</f>
        <v/>
      </c>
      <c r="AI52" s="181"/>
      <c r="AJ52" s="181"/>
    </row>
    <row r="53" spans="2:36" x14ac:dyDescent="0.15">
      <c r="B53" s="107" t="s">
        <v>912</v>
      </c>
      <c r="C53" s="181" t="str">
        <f>IFERROR(SUMIFS('caseload data'!E:E,'caseload data'!$C:$C,'custody %'!$B$50,'caseload data'!$D:$D,"PSO",'caseload data'!$B:$B,"custody")/SUMIFS('caseload data'!E:E,'caseload data'!$B:$B,"custody",'caseload data'!$C:$C,'custody %'!$B$50),"")</f>
        <v/>
      </c>
      <c r="D53" s="181" t="str">
        <f>IFERROR(SUMIFS('caseload data'!F:F,'caseload data'!$C:$C,'custody %'!$B$50,'caseload data'!$D:$D,"PSO",'caseload data'!$B:$B,"custody")/SUMIFS('caseload data'!F:F,'caseload data'!$B:$B,"custody",'caseload data'!$C:$C,'custody %'!$B$50),"")</f>
        <v/>
      </c>
      <c r="E53" s="181" t="str">
        <f>IFERROR(SUMIFS('caseload data'!G:G,'caseload data'!$C:$C,'custody %'!$B$50,'caseload data'!$D:$D,"PSO",'caseload data'!$B:$B,"custody")/SUMIFS('caseload data'!G:G,'caseload data'!$B:$B,"custody",'caseload data'!$C:$C,'custody %'!$B$50),"")</f>
        <v/>
      </c>
      <c r="F53" s="181" t="str">
        <f>IFERROR(SUMIFS('caseload data'!H:H,'caseload data'!$C:$C,'custody %'!$B$50,'caseload data'!$D:$D,"PSO",'caseload data'!$B:$B,"custody")/SUMIFS('caseload data'!H:H,'caseload data'!$B:$B,"custody",'caseload data'!$C:$C,'custody %'!$B$50),"")</f>
        <v/>
      </c>
      <c r="G53" s="181" t="str">
        <f>IFERROR(SUMIFS('caseload data'!I:I,'caseload data'!$C:$C,'custody %'!$B$50,'caseload data'!$D:$D,"PSO",'caseload data'!$B:$B,"custody")/SUMIFS('caseload data'!I:I,'caseload data'!$B:$B,"custody",'caseload data'!$C:$C,'custody %'!$B$50),"")</f>
        <v/>
      </c>
      <c r="H53" s="181" t="str">
        <f>IFERROR(SUMIFS('caseload data'!J:J,'caseload data'!$C:$C,'custody %'!$B$50,'caseload data'!$D:$D,"PSO",'caseload data'!$B:$B,"custody")/SUMIFS('caseload data'!J:J,'caseload data'!$B:$B,"custody",'caseload data'!$C:$C,'custody %'!$B$50),"")</f>
        <v/>
      </c>
      <c r="I53" s="181" t="str">
        <f>IFERROR(SUMIFS('caseload data'!K:K,'caseload data'!$C:$C,'custody %'!$B$50,'caseload data'!$D:$D,"PSO",'caseload data'!$B:$B,"custody")/SUMIFS('caseload data'!K:K,'caseload data'!$B:$B,"custody",'caseload data'!$C:$C,'custody %'!$B$50),"")</f>
        <v/>
      </c>
      <c r="J53" s="181" t="str">
        <f>IFERROR(SUMIFS('caseload data'!L:L,'caseload data'!$C:$C,'custody %'!$B$50,'caseload data'!$D:$D,"PSO",'caseload data'!$B:$B,"custody")/SUMIFS('caseload data'!L:L,'caseload data'!$B:$B,"custody",'caseload data'!$C:$C,'custody %'!$B$50),"")</f>
        <v/>
      </c>
      <c r="K53" s="181" t="str">
        <f>IFERROR(SUMIFS('caseload data'!M:M,'caseload data'!$C:$C,'custody %'!$B$50,'caseload data'!$D:$D,"PSO",'caseload data'!$B:$B,"custody")/SUMIFS('caseload data'!M:M,'caseload data'!$B:$B,"custody",'caseload data'!$C:$C,'custody %'!$B$50),"")</f>
        <v/>
      </c>
      <c r="L53" s="181" t="str">
        <f>IFERROR(SUMIFS('caseload data'!N:N,'caseload data'!$C:$C,'custody %'!$B$50,'caseload data'!$D:$D,"PSO",'caseload data'!$B:$B,"custody")/SUMIFS('caseload data'!N:N,'caseload data'!$B:$B,"custody",'caseload data'!$C:$C,'custody %'!$B$50),"")</f>
        <v/>
      </c>
      <c r="M53" s="181" t="str">
        <f>IFERROR(SUMIFS('caseload data'!O:O,'caseload data'!$C:$C,'custody %'!$B$50,'caseload data'!$D:$D,"PSO",'caseload data'!$B:$B,"custody")/SUMIFS('caseload data'!O:O,'caseload data'!$B:$B,"custody",'caseload data'!$C:$C,'custody %'!$B$50),"")</f>
        <v/>
      </c>
      <c r="N53" s="181" t="str">
        <f>IFERROR(SUMIFS('caseload data'!P:P,'caseload data'!$C:$C,'custody %'!$B$50,'caseload data'!$D:$D,"PSO",'caseload data'!$B:$B,"custody")/SUMIFS('caseload data'!P:P,'caseload data'!$B:$B,"custody",'caseload data'!$C:$C,'custody %'!$B$50),"")</f>
        <v/>
      </c>
      <c r="O53" s="181" t="str">
        <f>IFERROR(SUMIFS('caseload data'!Q:Q,'caseload data'!$C:$C,'custody %'!$B$50,'caseload data'!$D:$D,"PSO",'caseload data'!$B:$B,"custody")/SUMIFS('caseload data'!Q:Q,'caseload data'!$B:$B,"custody",'caseload data'!$C:$C,'custody %'!$B$50),"")</f>
        <v/>
      </c>
      <c r="P53" s="181" t="str">
        <f>IFERROR(SUMIFS('caseload data'!R:R,'caseload data'!$C:$C,'custody %'!$B$50,'caseload data'!$D:$D,"PSO",'caseload data'!$B:$B,"custody")/SUMIFS('caseload data'!R:R,'caseload data'!$B:$B,"custody",'caseload data'!$C:$C,'custody %'!$B$50),"")</f>
        <v/>
      </c>
      <c r="Q53" s="181" t="str">
        <f>IFERROR(SUMIFS('caseload data'!S:S,'caseload data'!$C:$C,'custody %'!$B$50,'caseload data'!$D:$D,"PSO",'caseload data'!$B:$B,"custody")/SUMIFS('caseload data'!S:S,'caseload data'!$B:$B,"custody",'caseload data'!$C:$C,'custody %'!$B$50),"")</f>
        <v/>
      </c>
      <c r="R53" s="181" t="str">
        <f>IFERROR(SUMIFS('caseload data'!T:T,'caseload data'!$C:$C,'custody %'!$B$50,'caseload data'!$D:$D,"PSO",'caseload data'!$B:$B,"custody")/SUMIFS('caseload data'!T:T,'caseload data'!$B:$B,"custody",'caseload data'!$C:$C,'custody %'!$B$50),"")</f>
        <v/>
      </c>
      <c r="S53" s="73"/>
      <c r="T53" s="107" t="s">
        <v>912</v>
      </c>
      <c r="U53" s="181" t="str">
        <f>IFERROR(SUMIFS('caseload data'!E:E,'caseload data'!$C:$C,'custody %'!$T$50,'caseload data'!$D:$D,"PSO",'caseload data'!$B:$B,"custody")/SUMIFS('caseload data'!E:E,'caseload data'!$B:$B,"custody",'caseload data'!$C:$C,'custody %'!$T$50),"")</f>
        <v/>
      </c>
      <c r="V53" s="181" t="str">
        <f>IFERROR(SUMIFS('caseload data'!F:F,'caseload data'!$C:$C,'custody %'!$T$50,'caseload data'!$D:$D,"PSO",'caseload data'!$B:$B,"custody")/SUMIFS('caseload data'!F:F,'caseload data'!$B:$B,"custody",'caseload data'!$C:$C,'custody %'!$T$50),"")</f>
        <v/>
      </c>
      <c r="W53" s="181" t="str">
        <f>IFERROR(SUMIFS('caseload data'!G:G,'caseload data'!$C:$C,'custody %'!$T$50,'caseload data'!$D:$D,"PSO",'caseload data'!$B:$B,"custody")/SUMIFS('caseload data'!G:G,'caseload data'!$B:$B,"custody",'caseload data'!$C:$C,'custody %'!$T$50),"")</f>
        <v/>
      </c>
      <c r="X53" s="181" t="str">
        <f>IFERROR(SUMIFS('caseload data'!H:H,'caseload data'!$C:$C,'custody %'!$T$50,'caseload data'!$D:$D,"PSO",'caseload data'!$B:$B,"custody")/SUMIFS('caseload data'!H:H,'caseload data'!$B:$B,"custody",'caseload data'!$C:$C,'custody %'!$T$50),"")</f>
        <v/>
      </c>
      <c r="Y53" s="181" t="str">
        <f>IFERROR(SUMIFS('caseload data'!I:I,'caseload data'!$C:$C,'custody %'!$T$50,'caseload data'!$D:$D,"PSO",'caseload data'!$B:$B,"custody")/SUMIFS('caseload data'!I:I,'caseload data'!$B:$B,"custody",'caseload data'!$C:$C,'custody %'!$T$50),"")</f>
        <v/>
      </c>
      <c r="Z53" s="181" t="str">
        <f>IFERROR(SUMIFS('caseload data'!J:J,'caseload data'!$C:$C,'custody %'!$T$50,'caseload data'!$D:$D,"PSO",'caseload data'!$B:$B,"custody")/SUMIFS('caseload data'!J:J,'caseload data'!$B:$B,"custody",'caseload data'!$C:$C,'custody %'!$T$50),"")</f>
        <v/>
      </c>
      <c r="AA53" s="181" t="str">
        <f>IFERROR(SUMIFS('caseload data'!K:K,'caseload data'!$C:$C,'custody %'!$T$50,'caseload data'!$D:$D,"PSO",'caseload data'!$B:$B,"custody")/SUMIFS('caseload data'!K:K,'caseload data'!$B:$B,"custody",'caseload data'!$C:$C,'custody %'!$T$50),"")</f>
        <v/>
      </c>
      <c r="AB53" s="181" t="str">
        <f>IFERROR(SUMIFS('caseload data'!L:L,'caseload data'!$C:$C,'custody %'!$T$50,'caseload data'!$D:$D,"PSO",'caseload data'!$B:$B,"custody")/SUMIFS('caseload data'!L:L,'caseload data'!$B:$B,"custody",'caseload data'!$C:$C,'custody %'!$T$50),"")</f>
        <v/>
      </c>
      <c r="AC53" s="181" t="str">
        <f>IFERROR(SUMIFS('caseload data'!M:M,'caseload data'!$C:$C,'custody %'!$T$50,'caseload data'!$D:$D,"PSO",'caseload data'!$B:$B,"custody")/SUMIFS('caseload data'!M:M,'caseload data'!$B:$B,"custody",'caseload data'!$C:$C,'custody %'!$T$50),"")</f>
        <v/>
      </c>
      <c r="AD53" s="181" t="str">
        <f>IFERROR(SUMIFS('caseload data'!N:N,'caseload data'!$C:$C,'custody %'!$T$50,'caseload data'!$D:$D,"PSO",'caseload data'!$B:$B,"custody")/SUMIFS('caseload data'!N:N,'caseload data'!$B:$B,"custody",'caseload data'!$C:$C,'custody %'!$T$50),"")</f>
        <v/>
      </c>
      <c r="AE53" s="181" t="str">
        <f>IFERROR(SUMIFS('caseload data'!O:O,'caseload data'!$C:$C,'custody %'!$T$50,'caseload data'!$D:$D,"PSO",'caseload data'!$B:$B,"custody")/SUMIFS('caseload data'!O:O,'caseload data'!$B:$B,"custody",'caseload data'!$C:$C,'custody %'!$T$50),"")</f>
        <v/>
      </c>
      <c r="AF53" s="181" t="str">
        <f>IFERROR(SUMIFS('caseload data'!P:P,'caseload data'!$C:$C,'custody %'!$T$50,'caseload data'!$D:$D,"PSO",'caseload data'!$B:$B,"custody")/SUMIFS('caseload data'!P:P,'caseload data'!$B:$B,"custody",'caseload data'!$C:$C,'custody %'!$T$50),"")</f>
        <v/>
      </c>
      <c r="AG53" s="181" t="str">
        <f>IFERROR(SUMIFS('caseload data'!Q:Q,'caseload data'!$C:$C,'custody %'!$T$50,'caseload data'!$D:$D,"PSO",'caseload data'!$B:$B,"custody")/SUMIFS('caseload data'!Q:Q,'caseload data'!$B:$B,"custody",'caseload data'!$C:$C,'custody %'!$T$50),"")</f>
        <v/>
      </c>
      <c r="AH53" s="181" t="str">
        <f>IFERROR(SUMIFS('caseload data'!R:R,'caseload data'!$C:$C,'custody %'!$T$50,'caseload data'!$D:$D,"PSO",'caseload data'!$B:$B,"custody")/SUMIFS('caseload data'!R:R,'caseload data'!$B:$B,"custody",'caseload data'!$C:$C,'custody %'!$T$50),"")</f>
        <v/>
      </c>
      <c r="AI53" s="181"/>
      <c r="AJ53" s="181"/>
    </row>
    <row r="54" spans="2:36" x14ac:dyDescent="0.15">
      <c r="B54" s="107" t="s">
        <v>913</v>
      </c>
      <c r="C54" s="181" t="str">
        <f>IFERROR(SUMIFS('caseload data'!E:E,'caseload data'!$C:$C,'custody %'!$B$50,'caseload data'!$D:$D,"TPO",'caseload data'!$B:$B,"custody")/SUMIFS('caseload data'!E:E,'caseload data'!$B:$B,"custody",'caseload data'!$C:$C,'custody %'!$B$50),"")</f>
        <v/>
      </c>
      <c r="D54" s="181" t="str">
        <f>IFERROR(SUMIFS('caseload data'!F:F,'caseload data'!$C:$C,'custody %'!$B$50,'caseload data'!$D:$D,"TPO",'caseload data'!$B:$B,"custody")/SUMIFS('caseload data'!F:F,'caseload data'!$B:$B,"custody",'caseload data'!$C:$C,'custody %'!$B$50),"")</f>
        <v/>
      </c>
      <c r="E54" s="181" t="str">
        <f>IFERROR(SUMIFS('caseload data'!G:G,'caseload data'!$C:$C,'custody %'!$B$50,'caseload data'!$D:$D,"TPO",'caseload data'!$B:$B,"custody")/SUMIFS('caseload data'!G:G,'caseload data'!$B:$B,"custody",'caseload data'!$C:$C,'custody %'!$B$50),"")</f>
        <v/>
      </c>
      <c r="F54" s="181" t="str">
        <f>IFERROR(SUMIFS('caseload data'!H:H,'caseload data'!$C:$C,'custody %'!$B$50,'caseload data'!$D:$D,"TPO",'caseload data'!$B:$B,"custody")/SUMIFS('caseload data'!H:H,'caseload data'!$B:$B,"custody",'caseload data'!$C:$C,'custody %'!$B$50),"")</f>
        <v/>
      </c>
      <c r="G54" s="181" t="str">
        <f>IFERROR(SUMIFS('caseload data'!I:I,'caseload data'!$C:$C,'custody %'!$B$50,'caseload data'!$D:$D,"TPO",'caseload data'!$B:$B,"custody")/SUMIFS('caseload data'!I:I,'caseload data'!$B:$B,"custody",'caseload data'!$C:$C,'custody %'!$B$50),"")</f>
        <v/>
      </c>
      <c r="H54" s="181" t="str">
        <f>IFERROR(SUMIFS('caseload data'!J:J,'caseload data'!$C:$C,'custody %'!$B$50,'caseload data'!$D:$D,"TPO",'caseload data'!$B:$B,"custody")/SUMIFS('caseload data'!J:J,'caseload data'!$B:$B,"custody",'caseload data'!$C:$C,'custody %'!$B$50),"")</f>
        <v/>
      </c>
      <c r="I54" s="181" t="str">
        <f>IFERROR(SUMIFS('caseload data'!K:K,'caseload data'!$C:$C,'custody %'!$B$50,'caseload data'!$D:$D,"TPO",'caseload data'!$B:$B,"custody")/SUMIFS('caseload data'!K:K,'caseload data'!$B:$B,"custody",'caseload data'!$C:$C,'custody %'!$B$50),"")</f>
        <v/>
      </c>
      <c r="J54" s="181" t="str">
        <f>IFERROR(SUMIFS('caseload data'!L:L,'caseload data'!$C:$C,'custody %'!$B$50,'caseload data'!$D:$D,"TPO",'caseload data'!$B:$B,"custody")/SUMIFS('caseload data'!L:L,'caseload data'!$B:$B,"custody",'caseload data'!$C:$C,'custody %'!$B$50),"")</f>
        <v/>
      </c>
      <c r="K54" s="181" t="str">
        <f>IFERROR(SUMIFS('caseload data'!M:M,'caseload data'!$C:$C,'custody %'!$B$50,'caseload data'!$D:$D,"TPO",'caseload data'!$B:$B,"custody")/SUMIFS('caseload data'!M:M,'caseload data'!$B:$B,"custody",'caseload data'!$C:$C,'custody %'!$B$50),"")</f>
        <v/>
      </c>
      <c r="L54" s="181" t="str">
        <f>IFERROR(SUMIFS('caseload data'!N:N,'caseload data'!$C:$C,'custody %'!$B$50,'caseload data'!$D:$D,"TPO",'caseload data'!$B:$B,"custody")/SUMIFS('caseload data'!N:N,'caseload data'!$B:$B,"custody",'caseload data'!$C:$C,'custody %'!$B$50),"")</f>
        <v/>
      </c>
      <c r="M54" s="181" t="str">
        <f>IFERROR(SUMIFS('caseload data'!O:O,'caseload data'!$C:$C,'custody %'!$B$50,'caseload data'!$D:$D,"TPO",'caseload data'!$B:$B,"custody")/SUMIFS('caseload data'!O:O,'caseload data'!$B:$B,"custody",'caseload data'!$C:$C,'custody %'!$B$50),"")</f>
        <v/>
      </c>
      <c r="N54" s="181" t="str">
        <f>IFERROR(SUMIFS('caseload data'!P:P,'caseload data'!$C:$C,'custody %'!$B$50,'caseload data'!$D:$D,"TPO",'caseload data'!$B:$B,"custody")/SUMIFS('caseload data'!P:P,'caseload data'!$B:$B,"custody",'caseload data'!$C:$C,'custody %'!$B$50),"")</f>
        <v/>
      </c>
      <c r="O54" s="181" t="str">
        <f>IFERROR(SUMIFS('caseload data'!Q:Q,'caseload data'!$C:$C,'custody %'!$B$50,'caseload data'!$D:$D,"TPO",'caseload data'!$B:$B,"custody")/SUMIFS('caseload data'!Q:Q,'caseload data'!$B:$B,"custody",'caseload data'!$C:$C,'custody %'!$B$50),"")</f>
        <v/>
      </c>
      <c r="P54" s="181" t="str">
        <f>IFERROR(SUMIFS('caseload data'!R:R,'caseload data'!$C:$C,'custody %'!$B$50,'caseload data'!$D:$D,"TPO",'caseload data'!$B:$B,"custody")/SUMIFS('caseload data'!R:R,'caseload data'!$B:$B,"custody",'caseload data'!$C:$C,'custody %'!$B$50),"")</f>
        <v/>
      </c>
      <c r="Q54" s="181" t="str">
        <f>IFERROR(SUMIFS('caseload data'!S:S,'caseload data'!$C:$C,'custody %'!$B$50,'caseload data'!$D:$D,"TPO",'caseload data'!$B:$B,"custody")/SUMIFS('caseload data'!S:S,'caseload data'!$B:$B,"custody",'caseload data'!$C:$C,'custody %'!$B$50),"")</f>
        <v/>
      </c>
      <c r="R54" s="181" t="str">
        <f>IFERROR(SUMIFS('caseload data'!T:T,'caseload data'!$C:$C,'custody %'!$B$50,'caseload data'!$D:$D,"TPO",'caseload data'!$B:$B,"custody")/SUMIFS('caseload data'!T:T,'caseload data'!$B:$B,"custody",'caseload data'!$C:$C,'custody %'!$B$50),"")</f>
        <v/>
      </c>
      <c r="S54" s="73"/>
      <c r="T54" s="107" t="s">
        <v>913</v>
      </c>
      <c r="U54" s="181" t="str">
        <f>IFERROR(SUMIFS('caseload data'!E:E,'caseload data'!$C:$C,'custody %'!$T$50,'caseload data'!$D:$D,"TPO",'caseload data'!$B:$B,"custody")/SUMIFS('caseload data'!E:E,'caseload data'!$B:$B,"custody",'caseload data'!$C:$C,'custody %'!$T$50),"")</f>
        <v/>
      </c>
      <c r="V54" s="181" t="str">
        <f>IFERROR(SUMIFS('caseload data'!F:F,'caseload data'!$C:$C,'custody %'!$T$50,'caseload data'!$D:$D,"TPO",'caseload data'!$B:$B,"custody")/SUMIFS('caseload data'!F:F,'caseload data'!$B:$B,"custody",'caseload data'!$C:$C,'custody %'!$T$50),"")</f>
        <v/>
      </c>
      <c r="W54" s="181" t="str">
        <f>IFERROR(SUMIFS('caseload data'!G:G,'caseload data'!$C:$C,'custody %'!$T$50,'caseload data'!$D:$D,"TPO",'caseload data'!$B:$B,"custody")/SUMIFS('caseload data'!G:G,'caseload data'!$B:$B,"custody",'caseload data'!$C:$C,'custody %'!$T$50),"")</f>
        <v/>
      </c>
      <c r="X54" s="181" t="str">
        <f>IFERROR(SUMIFS('caseload data'!H:H,'caseload data'!$C:$C,'custody %'!$T$50,'caseload data'!$D:$D,"TPO",'caseload data'!$B:$B,"custody")/SUMIFS('caseload data'!H:H,'caseload data'!$B:$B,"custody",'caseload data'!$C:$C,'custody %'!$T$50),"")</f>
        <v/>
      </c>
      <c r="Y54" s="181" t="str">
        <f>IFERROR(SUMIFS('caseload data'!I:I,'caseload data'!$C:$C,'custody %'!$T$50,'caseload data'!$D:$D,"TPO",'caseload data'!$B:$B,"custody")/SUMIFS('caseload data'!I:I,'caseload data'!$B:$B,"custody",'caseload data'!$C:$C,'custody %'!$T$50),"")</f>
        <v/>
      </c>
      <c r="Z54" s="181" t="str">
        <f>IFERROR(SUMIFS('caseload data'!J:J,'caseload data'!$C:$C,'custody %'!$T$50,'caseload data'!$D:$D,"TPO",'caseload data'!$B:$B,"custody")/SUMIFS('caseload data'!J:J,'caseload data'!$B:$B,"custody",'caseload data'!$C:$C,'custody %'!$T$50),"")</f>
        <v/>
      </c>
      <c r="AA54" s="181" t="str">
        <f>IFERROR(SUMIFS('caseload data'!K:K,'caseload data'!$C:$C,'custody %'!$T$50,'caseload data'!$D:$D,"TPO",'caseload data'!$B:$B,"custody")/SUMIFS('caseload data'!K:K,'caseload data'!$B:$B,"custody",'caseload data'!$C:$C,'custody %'!$T$50),"")</f>
        <v/>
      </c>
      <c r="AB54" s="181" t="str">
        <f>IFERROR(SUMIFS('caseload data'!L:L,'caseload data'!$C:$C,'custody %'!$T$50,'caseload data'!$D:$D,"TPO",'caseload data'!$B:$B,"custody")/SUMIFS('caseload data'!L:L,'caseload data'!$B:$B,"custody",'caseload data'!$C:$C,'custody %'!$T$50),"")</f>
        <v/>
      </c>
      <c r="AC54" s="181" t="str">
        <f>IFERROR(SUMIFS('caseload data'!M:M,'caseload data'!$C:$C,'custody %'!$T$50,'caseload data'!$D:$D,"TPO",'caseload data'!$B:$B,"custody")/SUMIFS('caseload data'!M:M,'caseload data'!$B:$B,"custody",'caseload data'!$C:$C,'custody %'!$T$50),"")</f>
        <v/>
      </c>
      <c r="AD54" s="181" t="str">
        <f>IFERROR(SUMIFS('caseload data'!N:N,'caseload data'!$C:$C,'custody %'!$T$50,'caseload data'!$D:$D,"TPO",'caseload data'!$B:$B,"custody")/SUMIFS('caseload data'!N:N,'caseload data'!$B:$B,"custody",'caseload data'!$C:$C,'custody %'!$T$50),"")</f>
        <v/>
      </c>
      <c r="AE54" s="181" t="str">
        <f>IFERROR(SUMIFS('caseload data'!O:O,'caseload data'!$C:$C,'custody %'!$T$50,'caseload data'!$D:$D,"TPO",'caseload data'!$B:$B,"custody")/SUMIFS('caseload data'!O:O,'caseload data'!$B:$B,"custody",'caseload data'!$C:$C,'custody %'!$T$50),"")</f>
        <v/>
      </c>
      <c r="AF54" s="181" t="str">
        <f>IFERROR(SUMIFS('caseload data'!P:P,'caseload data'!$C:$C,'custody %'!$T$50,'caseload data'!$D:$D,"TPO",'caseload data'!$B:$B,"custody")/SUMIFS('caseload data'!P:P,'caseload data'!$B:$B,"custody",'caseload data'!$C:$C,'custody %'!$T$50),"")</f>
        <v/>
      </c>
      <c r="AG54" s="181" t="str">
        <f>IFERROR(SUMIFS('caseload data'!Q:Q,'caseload data'!$C:$C,'custody %'!$T$50,'caseload data'!$D:$D,"TPO",'caseload data'!$B:$B,"custody")/SUMIFS('caseload data'!Q:Q,'caseload data'!$B:$B,"custody",'caseload data'!$C:$C,'custody %'!$T$50),"")</f>
        <v/>
      </c>
      <c r="AH54" s="181" t="str">
        <f>IFERROR(SUMIFS('caseload data'!R:R,'caseload data'!$C:$C,'custody %'!$T$50,'caseload data'!$D:$D,"TPO",'caseload data'!$B:$B,"custody")/SUMIFS('caseload data'!R:R,'caseload data'!$B:$B,"custody",'caseload data'!$C:$C,'custody %'!$T$50),"")</f>
        <v/>
      </c>
      <c r="AI54" s="181"/>
      <c r="AJ54" s="181"/>
    </row>
    <row r="55" spans="2:36" x14ac:dyDescent="0.15">
      <c r="B55" s="108" t="s">
        <v>914</v>
      </c>
      <c r="C55" s="181" t="str">
        <f>IFERROR(SUMIFS('caseload data'!E:E,'caseload data'!$C:$C,'custody %'!$B$50,'caseload data'!$D:$D,"SPO",'caseload data'!$B:$B,"custody")/SUMIFS('caseload data'!E:E,'caseload data'!$B:$B,"custody",'caseload data'!$C:$C,'custody %'!$B$50),"")</f>
        <v/>
      </c>
      <c r="D55" s="181" t="str">
        <f>IFERROR(SUMIFS('caseload data'!F:F,'caseload data'!$C:$C,'custody %'!$B$50,'caseload data'!$D:$D,"SPO",'caseload data'!$B:$B,"custody")/SUMIFS('caseload data'!F:F,'caseload data'!$B:$B,"custody",'caseload data'!$C:$C,'custody %'!$B$50),"")</f>
        <v/>
      </c>
      <c r="E55" s="181" t="str">
        <f>IFERROR(SUMIFS('caseload data'!G:G,'caseload data'!$C:$C,'custody %'!$B$50,'caseload data'!$D:$D,"SPO",'caseload data'!$B:$B,"custody")/SUMIFS('caseload data'!G:G,'caseload data'!$B:$B,"custody",'caseload data'!$C:$C,'custody %'!$B$50),"")</f>
        <v/>
      </c>
      <c r="F55" s="181" t="str">
        <f>IFERROR(SUMIFS('caseload data'!H:H,'caseload data'!$C:$C,'custody %'!$B$50,'caseload data'!$D:$D,"SPO",'caseload data'!$B:$B,"custody")/SUMIFS('caseload data'!H:H,'caseload data'!$B:$B,"custody",'caseload data'!$C:$C,'custody %'!$B$50),"")</f>
        <v/>
      </c>
      <c r="G55" s="181" t="str">
        <f>IFERROR(SUMIFS('caseload data'!I:I,'caseload data'!$C:$C,'custody %'!$B$50,'caseload data'!$D:$D,"SPO",'caseload data'!$B:$B,"custody")/SUMIFS('caseload data'!I:I,'caseload data'!$B:$B,"custody",'caseload data'!$C:$C,'custody %'!$B$50),"")</f>
        <v/>
      </c>
      <c r="H55" s="181" t="str">
        <f>IFERROR(SUMIFS('caseload data'!J:J,'caseload data'!$C:$C,'custody %'!$B$50,'caseload data'!$D:$D,"SPO",'caseload data'!$B:$B,"custody")/SUMIFS('caseload data'!J:J,'caseload data'!$B:$B,"custody",'caseload data'!$C:$C,'custody %'!$B$50),"")</f>
        <v/>
      </c>
      <c r="I55" s="181" t="str">
        <f>IFERROR(SUMIFS('caseload data'!K:K,'caseload data'!$C:$C,'custody %'!$B$50,'caseload data'!$D:$D,"SPO",'caseload data'!$B:$B,"custody")/SUMIFS('caseload data'!K:K,'caseload data'!$B:$B,"custody",'caseload data'!$C:$C,'custody %'!$B$50),"")</f>
        <v/>
      </c>
      <c r="J55" s="181" t="str">
        <f>IFERROR(SUMIFS('caseload data'!L:L,'caseload data'!$C:$C,'custody %'!$B$50,'caseload data'!$D:$D,"SPO",'caseload data'!$B:$B,"custody")/SUMIFS('caseload data'!L:L,'caseload data'!$B:$B,"custody",'caseload data'!$C:$C,'custody %'!$B$50),"")</f>
        <v/>
      </c>
      <c r="K55" s="181" t="str">
        <f>IFERROR(SUMIFS('caseload data'!M:M,'caseload data'!$C:$C,'custody %'!$B$50,'caseload data'!$D:$D,"SPO",'caseload data'!$B:$B,"custody")/SUMIFS('caseload data'!M:M,'caseload data'!$B:$B,"custody",'caseload data'!$C:$C,'custody %'!$B$50),"")</f>
        <v/>
      </c>
      <c r="L55" s="181" t="str">
        <f>IFERROR(SUMIFS('caseload data'!N:N,'caseload data'!$C:$C,'custody %'!$B$50,'caseload data'!$D:$D,"SPO",'caseload data'!$B:$B,"custody")/SUMIFS('caseload data'!N:N,'caseload data'!$B:$B,"custody",'caseload data'!$C:$C,'custody %'!$B$50),"")</f>
        <v/>
      </c>
      <c r="M55" s="181" t="str">
        <f>IFERROR(SUMIFS('caseload data'!O:O,'caseload data'!$C:$C,'custody %'!$B$50,'caseload data'!$D:$D,"SPO",'caseload data'!$B:$B,"custody")/SUMIFS('caseload data'!O:O,'caseload data'!$B:$B,"custody",'caseload data'!$C:$C,'custody %'!$B$50),"")</f>
        <v/>
      </c>
      <c r="N55" s="181" t="str">
        <f>IFERROR(SUMIFS('caseload data'!P:P,'caseload data'!$C:$C,'custody %'!$B$50,'caseload data'!$D:$D,"SPO",'caseload data'!$B:$B,"custody")/SUMIFS('caseload data'!P:P,'caseload data'!$B:$B,"custody",'caseload data'!$C:$C,'custody %'!$B$50),"")</f>
        <v/>
      </c>
      <c r="O55" s="181" t="str">
        <f>IFERROR(SUMIFS('caseload data'!Q:Q,'caseload data'!$C:$C,'custody %'!$B$50,'caseload data'!$D:$D,"SPO",'caseload data'!$B:$B,"custody")/SUMIFS('caseload data'!Q:Q,'caseload data'!$B:$B,"custody",'caseload data'!$C:$C,'custody %'!$B$50),"")</f>
        <v/>
      </c>
      <c r="P55" s="181" t="str">
        <f>IFERROR(SUMIFS('caseload data'!R:R,'caseload data'!$C:$C,'custody %'!$B$50,'caseload data'!$D:$D,"SPO",'caseload data'!$B:$B,"custody")/SUMIFS('caseload data'!R:R,'caseload data'!$B:$B,"custody",'caseload data'!$C:$C,'custody %'!$B$50),"")</f>
        <v/>
      </c>
      <c r="Q55" s="181" t="str">
        <f>IFERROR(SUMIFS('caseload data'!S:S,'caseload data'!$C:$C,'custody %'!$B$50,'caseload data'!$D:$D,"SPO",'caseload data'!$B:$B,"custody")/SUMIFS('caseload data'!S:S,'caseload data'!$B:$B,"custody",'caseload data'!$C:$C,'custody %'!$B$50),"")</f>
        <v/>
      </c>
      <c r="R55" s="181" t="str">
        <f>IFERROR(SUMIFS('caseload data'!T:T,'caseload data'!$C:$C,'custody %'!$B$50,'caseload data'!$D:$D,"SPO",'caseload data'!$B:$B,"custody")/SUMIFS('caseload data'!T:T,'caseload data'!$B:$B,"custody",'caseload data'!$C:$C,'custody %'!$B$50),"")</f>
        <v/>
      </c>
      <c r="S55" s="73"/>
      <c r="T55" s="108" t="s">
        <v>914</v>
      </c>
      <c r="U55" s="181" t="str">
        <f>IFERROR(SUMIFS('caseload data'!E:E,'caseload data'!$C:$C,'custody %'!$T$50,'caseload data'!$D:$D,"SPO",'caseload data'!$B:$B,"custody")/SUMIFS('caseload data'!E:E,'caseload data'!$B:$B,"custody",'caseload data'!$C:$C,'custody %'!$T$50),"")</f>
        <v/>
      </c>
      <c r="V55" s="181" t="str">
        <f>IFERROR(SUMIFS('caseload data'!F:F,'caseload data'!$C:$C,'custody %'!$T$50,'caseload data'!$D:$D,"SPO",'caseload data'!$B:$B,"custody")/SUMIFS('caseload data'!F:F,'caseload data'!$B:$B,"custody",'caseload data'!$C:$C,'custody %'!$T$50),"")</f>
        <v/>
      </c>
      <c r="W55" s="181" t="str">
        <f>IFERROR(SUMIFS('caseload data'!G:G,'caseload data'!$C:$C,'custody %'!$T$50,'caseload data'!$D:$D,"SPO",'caseload data'!$B:$B,"custody")/SUMIFS('caseload data'!G:G,'caseload data'!$B:$B,"custody",'caseload data'!$C:$C,'custody %'!$T$50),"")</f>
        <v/>
      </c>
      <c r="X55" s="181" t="str">
        <f>IFERROR(SUMIFS('caseload data'!H:H,'caseload data'!$C:$C,'custody %'!$T$50,'caseload data'!$D:$D,"SPO",'caseload data'!$B:$B,"custody")/SUMIFS('caseload data'!H:H,'caseload data'!$B:$B,"custody",'caseload data'!$C:$C,'custody %'!$T$50),"")</f>
        <v/>
      </c>
      <c r="Y55" s="181" t="str">
        <f>IFERROR(SUMIFS('caseload data'!I:I,'caseload data'!$C:$C,'custody %'!$T$50,'caseload data'!$D:$D,"SPO",'caseload data'!$B:$B,"custody")/SUMIFS('caseload data'!I:I,'caseload data'!$B:$B,"custody",'caseload data'!$C:$C,'custody %'!$T$50),"")</f>
        <v/>
      </c>
      <c r="Z55" s="181" t="str">
        <f>IFERROR(SUMIFS('caseload data'!J:J,'caseload data'!$C:$C,'custody %'!$T$50,'caseload data'!$D:$D,"SPO",'caseload data'!$B:$B,"custody")/SUMIFS('caseload data'!J:J,'caseload data'!$B:$B,"custody",'caseload data'!$C:$C,'custody %'!$T$50),"")</f>
        <v/>
      </c>
      <c r="AA55" s="181" t="str">
        <f>IFERROR(SUMIFS('caseload data'!K:K,'caseload data'!$C:$C,'custody %'!$T$50,'caseload data'!$D:$D,"SPO",'caseload data'!$B:$B,"custody")/SUMIFS('caseload data'!K:K,'caseload data'!$B:$B,"custody",'caseload data'!$C:$C,'custody %'!$T$50),"")</f>
        <v/>
      </c>
      <c r="AB55" s="181" t="str">
        <f>IFERROR(SUMIFS('caseload data'!L:L,'caseload data'!$C:$C,'custody %'!$T$50,'caseload data'!$D:$D,"SPO",'caseload data'!$B:$B,"custody")/SUMIFS('caseload data'!L:L,'caseload data'!$B:$B,"custody",'caseload data'!$C:$C,'custody %'!$T$50),"")</f>
        <v/>
      </c>
      <c r="AC55" s="181" t="str">
        <f>IFERROR(SUMIFS('caseload data'!M:M,'caseload data'!$C:$C,'custody %'!$T$50,'caseload data'!$D:$D,"SPO",'caseload data'!$B:$B,"custody")/SUMIFS('caseload data'!M:M,'caseload data'!$B:$B,"custody",'caseload data'!$C:$C,'custody %'!$T$50),"")</f>
        <v/>
      </c>
      <c r="AD55" s="181" t="str">
        <f>IFERROR(SUMIFS('caseload data'!N:N,'caseload data'!$C:$C,'custody %'!$T$50,'caseload data'!$D:$D,"SPO",'caseload data'!$B:$B,"custody")/SUMIFS('caseload data'!N:N,'caseload data'!$B:$B,"custody",'caseload data'!$C:$C,'custody %'!$T$50),"")</f>
        <v/>
      </c>
      <c r="AE55" s="181" t="str">
        <f>IFERROR(SUMIFS('caseload data'!O:O,'caseload data'!$C:$C,'custody %'!$T$50,'caseload data'!$D:$D,"SPO",'caseload data'!$B:$B,"custody")/SUMIFS('caseload data'!O:O,'caseload data'!$B:$B,"custody",'caseload data'!$C:$C,'custody %'!$T$50),"")</f>
        <v/>
      </c>
      <c r="AF55" s="181" t="str">
        <f>IFERROR(SUMIFS('caseload data'!P:P,'caseload data'!$C:$C,'custody %'!$T$50,'caseload data'!$D:$D,"SPO",'caseload data'!$B:$B,"custody")/SUMIFS('caseload data'!P:P,'caseload data'!$B:$B,"custody",'caseload data'!$C:$C,'custody %'!$T$50),"")</f>
        <v/>
      </c>
      <c r="AG55" s="181" t="str">
        <f>IFERROR(SUMIFS('caseload data'!Q:Q,'caseload data'!$C:$C,'custody %'!$T$50,'caseload data'!$D:$D,"SPO",'caseload data'!$B:$B,"custody")/SUMIFS('caseload data'!Q:Q,'caseload data'!$B:$B,"custody",'caseload data'!$C:$C,'custody %'!$T$50),"")</f>
        <v/>
      </c>
      <c r="AH55" s="181" t="str">
        <f>IFERROR(SUMIFS('caseload data'!R:R,'caseload data'!$C:$C,'custody %'!$T$50,'caseload data'!$D:$D,"SPO",'caseload data'!$B:$B,"custody")/SUMIFS('caseload data'!R:R,'caseload data'!$B:$B,"custody",'caseload data'!$C:$C,'custody %'!$T$50),"")</f>
        <v/>
      </c>
      <c r="AI55" s="181"/>
      <c r="AJ55" s="181"/>
    </row>
    <row r="56" spans="2:36" x14ac:dyDescent="0.15">
      <c r="B56" s="101"/>
      <c r="C56" s="73"/>
      <c r="D56" s="73"/>
      <c r="E56" s="73"/>
      <c r="F56" s="73"/>
      <c r="G56" s="73"/>
      <c r="H56" s="73"/>
      <c r="I56" s="73"/>
      <c r="J56" s="73"/>
      <c r="K56" s="73"/>
      <c r="L56" s="73"/>
      <c r="M56" s="73"/>
      <c r="N56" s="73"/>
      <c r="O56" s="73"/>
      <c r="P56" s="73"/>
      <c r="Q56" s="73"/>
      <c r="R56" s="73"/>
      <c r="S56" s="73"/>
      <c r="T56" s="101"/>
      <c r="U56" s="73"/>
      <c r="V56" s="73"/>
      <c r="W56" s="73"/>
      <c r="X56" s="73"/>
      <c r="Y56" s="73"/>
      <c r="Z56" s="73"/>
      <c r="AA56" s="73"/>
      <c r="AB56" s="73"/>
      <c r="AC56" s="73"/>
      <c r="AD56" s="73"/>
      <c r="AE56" s="73"/>
      <c r="AF56" s="73"/>
      <c r="AG56" s="73"/>
      <c r="AH56" s="73"/>
    </row>
    <row r="57" spans="2:36" ht="28.5" customHeight="1" x14ac:dyDescent="0.15">
      <c r="B57" s="156" t="str">
        <f>HLOOKUP($B$5,Region_Table,16,0)</f>
        <v>Lambeth - N07</v>
      </c>
      <c r="C57" s="367" t="s">
        <v>1163</v>
      </c>
      <c r="D57" s="368"/>
      <c r="E57" s="368"/>
      <c r="F57" s="368"/>
      <c r="G57" s="368"/>
      <c r="H57" s="368"/>
      <c r="I57" s="368"/>
      <c r="J57" s="368"/>
      <c r="K57" s="368"/>
      <c r="L57" s="368"/>
      <c r="M57" s="377"/>
      <c r="N57" s="377"/>
      <c r="O57" s="378"/>
      <c r="P57" s="371">
        <f>SUMIF('caseload data'!$C:$C,'custody %'!B57,'caseload data'!V:V)</f>
        <v>0</v>
      </c>
      <c r="Q57" s="379"/>
      <c r="R57" s="380"/>
      <c r="S57" s="73"/>
      <c r="T57" s="156" t="str">
        <f>HLOOKUP($B$5,Region_Table,17,0)</f>
        <v>Lewisham and Bromley</v>
      </c>
      <c r="U57" s="367" t="s">
        <v>1163</v>
      </c>
      <c r="V57" s="368"/>
      <c r="W57" s="368"/>
      <c r="X57" s="368"/>
      <c r="Y57" s="368"/>
      <c r="Z57" s="368"/>
      <c r="AA57" s="368"/>
      <c r="AB57" s="368"/>
      <c r="AC57" s="377"/>
      <c r="AD57" s="377"/>
      <c r="AE57" s="378"/>
      <c r="AF57" s="371">
        <f>SUMIF('caseload data'!$C:$C,'custody %'!T57,'caseload data'!V:V)</f>
        <v>0</v>
      </c>
      <c r="AG57" s="379"/>
      <c r="AH57" s="380"/>
    </row>
    <row r="58" spans="2:36" x14ac:dyDescent="0.15">
      <c r="B58" s="105" t="s">
        <v>1065</v>
      </c>
      <c r="C58" s="41" t="s">
        <v>922</v>
      </c>
      <c r="D58" s="41" t="s">
        <v>923</v>
      </c>
      <c r="E58" s="41" t="s">
        <v>924</v>
      </c>
      <c r="F58" s="41" t="s">
        <v>925</v>
      </c>
      <c r="G58" s="41" t="s">
        <v>926</v>
      </c>
      <c r="H58" s="41" t="s">
        <v>927</v>
      </c>
      <c r="I58" s="41" t="s">
        <v>928</v>
      </c>
      <c r="J58" s="41" t="s">
        <v>929</v>
      </c>
      <c r="K58" s="41" t="s">
        <v>930</v>
      </c>
      <c r="L58" s="41" t="s">
        <v>931</v>
      </c>
      <c r="M58" s="41" t="s">
        <v>932</v>
      </c>
      <c r="N58" s="41" t="s">
        <v>933</v>
      </c>
      <c r="O58" s="41" t="s">
        <v>934</v>
      </c>
      <c r="P58" s="41" t="s">
        <v>935</v>
      </c>
      <c r="Q58" s="41" t="s">
        <v>936</v>
      </c>
      <c r="R58" s="41" t="s">
        <v>937</v>
      </c>
      <c r="S58" s="73"/>
      <c r="T58" s="105" t="s">
        <v>1065</v>
      </c>
      <c r="U58" s="41" t="s">
        <v>922</v>
      </c>
      <c r="V58" s="41" t="s">
        <v>923</v>
      </c>
      <c r="W58" s="41" t="s">
        <v>924</v>
      </c>
      <c r="X58" s="41" t="s">
        <v>925</v>
      </c>
      <c r="Y58" s="41" t="s">
        <v>926</v>
      </c>
      <c r="Z58" s="41" t="s">
        <v>927</v>
      </c>
      <c r="AA58" s="41" t="s">
        <v>928</v>
      </c>
      <c r="AB58" s="41" t="s">
        <v>929</v>
      </c>
      <c r="AC58" s="41" t="s">
        <v>930</v>
      </c>
      <c r="AD58" s="41" t="s">
        <v>931</v>
      </c>
      <c r="AE58" s="41" t="s">
        <v>932</v>
      </c>
      <c r="AF58" s="41" t="s">
        <v>933</v>
      </c>
      <c r="AG58" s="41" t="s">
        <v>934</v>
      </c>
      <c r="AH58" s="41" t="s">
        <v>935</v>
      </c>
      <c r="AI58" s="41" t="s">
        <v>936</v>
      </c>
      <c r="AJ58" s="41" t="s">
        <v>937</v>
      </c>
    </row>
    <row r="59" spans="2:36" x14ac:dyDescent="0.15">
      <c r="B59" s="106" t="s">
        <v>911</v>
      </c>
      <c r="C59" s="181" t="str">
        <f>IFERROR(SUMIFS('caseload data'!E:E,'caseload data'!$C:$C,'custody %'!$B$57,'caseload data'!$D:$D,"PO",'caseload data'!$B:$B,"custody")/SUMIFS('caseload data'!E:E,'caseload data'!$B:$B,"custody",'caseload data'!$C:$C,'custody %'!$B$57),"")</f>
        <v/>
      </c>
      <c r="D59" s="181" t="str">
        <f>IFERROR(SUMIFS('caseload data'!F:F,'caseload data'!$C:$C,'custody %'!$B$57,'caseload data'!$D:$D,"PO",'caseload data'!$B:$B,"custody")/SUMIFS('caseload data'!F:F,'caseload data'!$B:$B,"custody",'caseload data'!$C:$C,'custody %'!$B$57),"")</f>
        <v/>
      </c>
      <c r="E59" s="181" t="str">
        <f>IFERROR(SUMIFS('caseload data'!G:G,'caseload data'!$C:$C,'custody %'!$B$57,'caseload data'!$D:$D,"PO",'caseload data'!$B:$B,"custody")/SUMIFS('caseload data'!G:G,'caseload data'!$B:$B,"custody",'caseload data'!$C:$C,'custody %'!$B$57),"")</f>
        <v/>
      </c>
      <c r="F59" s="181" t="str">
        <f>IFERROR(SUMIFS('caseload data'!H:H,'caseload data'!$C:$C,'custody %'!$B$57,'caseload data'!$D:$D,"PO",'caseload data'!$B:$B,"custody")/SUMIFS('caseload data'!H:H,'caseload data'!$B:$B,"custody",'caseload data'!$C:$C,'custody %'!$B$57),"")</f>
        <v/>
      </c>
      <c r="G59" s="181" t="str">
        <f>IFERROR(SUMIFS('caseload data'!I:I,'caseload data'!$C:$C,'custody %'!$B$57,'caseload data'!$D:$D,"PO",'caseload data'!$B:$B,"custody")/SUMIFS('caseload data'!I:I,'caseload data'!$B:$B,"custody",'caseload data'!$C:$C,'custody %'!$B$57),"")</f>
        <v/>
      </c>
      <c r="H59" s="181" t="str">
        <f>IFERROR(SUMIFS('caseload data'!J:J,'caseload data'!$C:$C,'custody %'!$B$57,'caseload data'!$D:$D,"PO",'caseload data'!$B:$B,"custody")/SUMIFS('caseload data'!J:J,'caseload data'!$B:$B,"custody",'caseload data'!$C:$C,'custody %'!$B$57),"")</f>
        <v/>
      </c>
      <c r="I59" s="181" t="str">
        <f>IFERROR(SUMIFS('caseload data'!K:K,'caseload data'!$C:$C,'custody %'!$B$57,'caseload data'!$D:$D,"PO",'caseload data'!$B:$B,"custody")/SUMIFS('caseload data'!K:K,'caseload data'!$B:$B,"custody",'caseload data'!$C:$C,'custody %'!$B$57),"")</f>
        <v/>
      </c>
      <c r="J59" s="181" t="str">
        <f>IFERROR(SUMIFS('caseload data'!L:L,'caseload data'!$C:$C,'custody %'!$B$57,'caseload data'!$D:$D,"PO",'caseload data'!$B:$B,"custody")/SUMIFS('caseload data'!L:L,'caseload data'!$B:$B,"custody",'caseload data'!$C:$C,'custody %'!$B$57),"")</f>
        <v/>
      </c>
      <c r="K59" s="181" t="str">
        <f>IFERROR(SUMIFS('caseload data'!M:M,'caseload data'!$C:$C,'custody %'!$B$57,'caseload data'!$D:$D,"PO",'caseload data'!$B:$B,"custody")/SUMIFS('caseload data'!M:M,'caseload data'!$B:$B,"custody",'caseload data'!$C:$C,'custody %'!$B$57),"")</f>
        <v/>
      </c>
      <c r="L59" s="181" t="str">
        <f>IFERROR(SUMIFS('caseload data'!N:N,'caseload data'!$C:$C,'custody %'!$B$57,'caseload data'!$D:$D,"PO",'caseload data'!$B:$B,"custody")/SUMIFS('caseload data'!N:N,'caseload data'!$B:$B,"custody",'caseload data'!$C:$C,'custody %'!$B$57),"")</f>
        <v/>
      </c>
      <c r="M59" s="181" t="str">
        <f>IFERROR(SUMIFS('caseload data'!O:O,'caseload data'!$C:$C,'custody %'!$B$57,'caseload data'!$D:$D,"PO",'caseload data'!$B:$B,"custody")/SUMIFS('caseload data'!O:O,'caseload data'!$B:$B,"custody",'caseload data'!$C:$C,'custody %'!$B$57),"")</f>
        <v/>
      </c>
      <c r="N59" s="181" t="str">
        <f>IFERROR(SUMIFS('caseload data'!P:P,'caseload data'!$C:$C,'custody %'!$B$57,'caseload data'!$D:$D,"PO",'caseload data'!$B:$B,"custody")/SUMIFS('caseload data'!P:P,'caseload data'!$B:$B,"custody",'caseload data'!$C:$C,'custody %'!$B$57),"")</f>
        <v/>
      </c>
      <c r="O59" s="181" t="str">
        <f>IFERROR(SUMIFS('caseload data'!Q:Q,'caseload data'!$C:$C,'custody %'!$B$57,'caseload data'!$D:$D,"PO",'caseload data'!$B:$B,"custody")/SUMIFS('caseload data'!Q:Q,'caseload data'!$B:$B,"custody",'caseload data'!$C:$C,'custody %'!$B$57),"")</f>
        <v/>
      </c>
      <c r="P59" s="181" t="str">
        <f>IFERROR(SUMIFS('caseload data'!R:R,'caseload data'!$C:$C,'custody %'!$B$57,'caseload data'!$D:$D,"PO",'caseload data'!$B:$B,"custody")/SUMIFS('caseload data'!R:R,'caseload data'!$B:$B,"custody",'caseload data'!$C:$C,'custody %'!$B$57),"")</f>
        <v/>
      </c>
      <c r="Q59" s="181" t="str">
        <f>IFERROR(SUMIFS('caseload data'!S:S,'caseload data'!$C:$C,'custody %'!$B$57,'caseload data'!$D:$D,"PO",'caseload data'!$B:$B,"custody")/SUMIFS('caseload data'!S:S,'caseload data'!$B:$B,"custody",'caseload data'!$C:$C,'custody %'!$B$57),"")</f>
        <v/>
      </c>
      <c r="R59" s="181" t="str">
        <f>IFERROR(SUMIFS('caseload data'!T:T,'caseload data'!$C:$C,'custody %'!$B$57,'caseload data'!$D:$D,"PO",'caseload data'!$B:$B,"custody")/SUMIFS('caseload data'!T:T,'caseload data'!$B:$B,"custody",'caseload data'!$C:$C,'custody %'!$B$57),"")</f>
        <v/>
      </c>
      <c r="S59" s="73"/>
      <c r="T59" s="106" t="s">
        <v>911</v>
      </c>
      <c r="U59" s="181" t="str">
        <f>IFERROR(SUMIFS('caseload data'!E:E,'caseload data'!$C:$C,'custody %'!$T$57,'caseload data'!$D:$D,"PO",'caseload data'!$B:$B,"custody")/SUMIFS('caseload data'!E:E,'caseload data'!$B:$B,"custody",'caseload data'!$C:$C,'custody %'!$T$57),"")</f>
        <v/>
      </c>
      <c r="V59" s="181" t="str">
        <f>IFERROR(SUMIFS('caseload data'!F:F,'caseload data'!$C:$C,'custody %'!$T$57,'caseload data'!$D:$D,"PO",'caseload data'!$B:$B,"custody")/SUMIFS('caseload data'!F:F,'caseload data'!$B:$B,"custody",'caseload data'!$C:$C,'custody %'!$T$57),"")</f>
        <v/>
      </c>
      <c r="W59" s="181" t="str">
        <f>IFERROR(SUMIFS('caseload data'!G:G,'caseload data'!$C:$C,'custody %'!$T$57,'caseload data'!$D:$D,"PO",'caseload data'!$B:$B,"custody")/SUMIFS('caseload data'!G:G,'caseload data'!$B:$B,"custody",'caseload data'!$C:$C,'custody %'!$T$57),"")</f>
        <v/>
      </c>
      <c r="X59" s="181" t="str">
        <f>IFERROR(SUMIFS('caseload data'!H:H,'caseload data'!$C:$C,'custody %'!$T$57,'caseload data'!$D:$D,"PO",'caseload data'!$B:$B,"custody")/SUMIFS('caseload data'!H:H,'caseload data'!$B:$B,"custody",'caseload data'!$C:$C,'custody %'!$T$57),"")</f>
        <v/>
      </c>
      <c r="Y59" s="181" t="str">
        <f>IFERROR(SUMIFS('caseload data'!I:I,'caseload data'!$C:$C,'custody %'!$T$57,'caseload data'!$D:$D,"PO",'caseload data'!$B:$B,"custody")/SUMIFS('caseload data'!I:I,'caseload data'!$B:$B,"custody",'caseload data'!$C:$C,'custody %'!$T$57),"")</f>
        <v/>
      </c>
      <c r="Z59" s="181" t="str">
        <f>IFERROR(SUMIFS('caseload data'!J:J,'caseload data'!$C:$C,'custody %'!$T$57,'caseload data'!$D:$D,"PO",'caseload data'!$B:$B,"custody")/SUMIFS('caseload data'!J:J,'caseload data'!$B:$B,"custody",'caseload data'!$C:$C,'custody %'!$T$57),"")</f>
        <v/>
      </c>
      <c r="AA59" s="181" t="str">
        <f>IFERROR(SUMIFS('caseload data'!K:K,'caseload data'!$C:$C,'custody %'!$T$57,'caseload data'!$D:$D,"PO",'caseload data'!$B:$B,"custody")/SUMIFS('caseload data'!K:K,'caseload data'!$B:$B,"custody",'caseload data'!$C:$C,'custody %'!$T$57),"")</f>
        <v/>
      </c>
      <c r="AB59" s="181" t="str">
        <f>IFERROR(SUMIFS('caseload data'!L:L,'caseload data'!$C:$C,'custody %'!$T$57,'caseload data'!$D:$D,"PO",'caseload data'!$B:$B,"custody")/SUMIFS('caseload data'!L:L,'caseload data'!$B:$B,"custody",'caseload data'!$C:$C,'custody %'!$T$57),"")</f>
        <v/>
      </c>
      <c r="AC59" s="181" t="str">
        <f>IFERROR(SUMIFS('caseload data'!M:M,'caseload data'!$C:$C,'custody %'!$T$57,'caseload data'!$D:$D,"PO",'caseload data'!$B:$B,"custody")/SUMIFS('caseload data'!M:M,'caseload data'!$B:$B,"custody",'caseload data'!$C:$C,'custody %'!$T$57),"")</f>
        <v/>
      </c>
      <c r="AD59" s="181" t="str">
        <f>IFERROR(SUMIFS('caseload data'!N:N,'caseload data'!$C:$C,'custody %'!$T$57,'caseload data'!$D:$D,"PO",'caseload data'!$B:$B,"custody")/SUMIFS('caseload data'!N:N,'caseload data'!$B:$B,"custody",'caseload data'!$C:$C,'custody %'!$T$57),"")</f>
        <v/>
      </c>
      <c r="AE59" s="181" t="str">
        <f>IFERROR(SUMIFS('caseload data'!O:O,'caseload data'!$C:$C,'custody %'!$T$57,'caseload data'!$D:$D,"PO",'caseload data'!$B:$B,"custody")/SUMIFS('caseload data'!O:O,'caseload data'!$B:$B,"custody",'caseload data'!$C:$C,'custody %'!$T$57),"")</f>
        <v/>
      </c>
      <c r="AF59" s="181" t="str">
        <f>IFERROR(SUMIFS('caseload data'!P:P,'caseload data'!$C:$C,'custody %'!$T$57,'caseload data'!$D:$D,"PO",'caseload data'!$B:$B,"custody")/SUMIFS('caseload data'!P:P,'caseload data'!$B:$B,"custody",'caseload data'!$C:$C,'custody %'!$T$57),"")</f>
        <v/>
      </c>
      <c r="AG59" s="181" t="str">
        <f>IFERROR(SUMIFS('caseload data'!Q:Q,'caseload data'!$C:$C,'custody %'!$T$57,'caseload data'!$D:$D,"PO",'caseload data'!$B:$B,"custody")/SUMIFS('caseload data'!Q:Q,'caseload data'!$B:$B,"custody",'caseload data'!$C:$C,'custody %'!$T$57),"")</f>
        <v/>
      </c>
      <c r="AH59" s="181" t="str">
        <f>IFERROR(SUMIFS('caseload data'!R:R,'caseload data'!$C:$C,'custody %'!$T$57,'caseload data'!$D:$D,"PO",'caseload data'!$B:$B,"custody")/SUMIFS('caseload data'!R:R,'caseload data'!$B:$B,"custody",'caseload data'!$C:$C,'custody %'!$T$57),"")</f>
        <v/>
      </c>
      <c r="AI59" s="181"/>
      <c r="AJ59" s="181"/>
    </row>
    <row r="60" spans="2:36" x14ac:dyDescent="0.15">
      <c r="B60" s="107" t="s">
        <v>912</v>
      </c>
      <c r="C60" s="181" t="str">
        <f>IFERROR(SUMIFS('caseload data'!E:E,'caseload data'!$C:$C,'custody %'!$B$57,'caseload data'!$D:$D,"PSO",'caseload data'!$B:$B,"custody")/SUMIFS('caseload data'!E:E,'caseload data'!$B:$B,"custody",'caseload data'!$C:$C,'custody %'!$B$57),"")</f>
        <v/>
      </c>
      <c r="D60" s="181" t="str">
        <f>IFERROR(SUMIFS('caseload data'!F:F,'caseload data'!$C:$C,'custody %'!$B$57,'caseload data'!$D:$D,"PSO",'caseload data'!$B:$B,"custody")/SUMIFS('caseload data'!F:F,'caseload data'!$B:$B,"custody",'caseload data'!$C:$C,'custody %'!$B$57),"")</f>
        <v/>
      </c>
      <c r="E60" s="181" t="str">
        <f>IFERROR(SUMIFS('caseload data'!G:G,'caseload data'!$C:$C,'custody %'!$B$57,'caseload data'!$D:$D,"PSO",'caseload data'!$B:$B,"custody")/SUMIFS('caseload data'!G:G,'caseload data'!$B:$B,"custody",'caseload data'!$C:$C,'custody %'!$B$57),"")</f>
        <v/>
      </c>
      <c r="F60" s="181" t="str">
        <f>IFERROR(SUMIFS('caseload data'!H:H,'caseload data'!$C:$C,'custody %'!$B$57,'caseload data'!$D:$D,"PSO",'caseload data'!$B:$B,"custody")/SUMIFS('caseload data'!H:H,'caseload data'!$B:$B,"custody",'caseload data'!$C:$C,'custody %'!$B$57),"")</f>
        <v/>
      </c>
      <c r="G60" s="181" t="str">
        <f>IFERROR(SUMIFS('caseload data'!I:I,'caseload data'!$C:$C,'custody %'!$B$57,'caseload data'!$D:$D,"PSO",'caseload data'!$B:$B,"custody")/SUMIFS('caseload data'!I:I,'caseload data'!$B:$B,"custody",'caseload data'!$C:$C,'custody %'!$B$57),"")</f>
        <v/>
      </c>
      <c r="H60" s="181" t="str">
        <f>IFERROR(SUMIFS('caseload data'!J:J,'caseload data'!$C:$C,'custody %'!$B$57,'caseload data'!$D:$D,"PSO",'caseload data'!$B:$B,"custody")/SUMIFS('caseload data'!J:J,'caseload data'!$B:$B,"custody",'caseload data'!$C:$C,'custody %'!$B$57),"")</f>
        <v/>
      </c>
      <c r="I60" s="181" t="str">
        <f>IFERROR(SUMIFS('caseload data'!K:K,'caseload data'!$C:$C,'custody %'!$B$57,'caseload data'!$D:$D,"PSO",'caseload data'!$B:$B,"custody")/SUMIFS('caseload data'!K:K,'caseload data'!$B:$B,"custody",'caseload data'!$C:$C,'custody %'!$B$57),"")</f>
        <v/>
      </c>
      <c r="J60" s="181" t="str">
        <f>IFERROR(SUMIFS('caseload data'!L:L,'caseload data'!$C:$C,'custody %'!$B$57,'caseload data'!$D:$D,"PSO",'caseload data'!$B:$B,"custody")/SUMIFS('caseload data'!L:L,'caseload data'!$B:$B,"custody",'caseload data'!$C:$C,'custody %'!$B$57),"")</f>
        <v/>
      </c>
      <c r="K60" s="181" t="str">
        <f>IFERROR(SUMIFS('caseload data'!M:M,'caseload data'!$C:$C,'custody %'!$B$57,'caseload data'!$D:$D,"PSO",'caseload data'!$B:$B,"custody")/SUMIFS('caseload data'!M:M,'caseload data'!$B:$B,"custody",'caseload data'!$C:$C,'custody %'!$B$57),"")</f>
        <v/>
      </c>
      <c r="L60" s="181" t="str">
        <f>IFERROR(SUMIFS('caseload data'!N:N,'caseload data'!$C:$C,'custody %'!$B$57,'caseload data'!$D:$D,"PSO",'caseload data'!$B:$B,"custody")/SUMIFS('caseload data'!N:N,'caseload data'!$B:$B,"custody",'caseload data'!$C:$C,'custody %'!$B$57),"")</f>
        <v/>
      </c>
      <c r="M60" s="181" t="str">
        <f>IFERROR(SUMIFS('caseload data'!O:O,'caseload data'!$C:$C,'custody %'!$B$57,'caseload data'!$D:$D,"PSO",'caseload data'!$B:$B,"custody")/SUMIFS('caseload data'!O:O,'caseload data'!$B:$B,"custody",'caseload data'!$C:$C,'custody %'!$B$57),"")</f>
        <v/>
      </c>
      <c r="N60" s="181" t="str">
        <f>IFERROR(SUMIFS('caseload data'!P:P,'caseload data'!$C:$C,'custody %'!$B$57,'caseload data'!$D:$D,"PSO",'caseload data'!$B:$B,"custody")/SUMIFS('caseload data'!P:P,'caseload data'!$B:$B,"custody",'caseload data'!$C:$C,'custody %'!$B$57),"")</f>
        <v/>
      </c>
      <c r="O60" s="181" t="str">
        <f>IFERROR(SUMIFS('caseload data'!Q:Q,'caseload data'!$C:$C,'custody %'!$B$57,'caseload data'!$D:$D,"PSO",'caseload data'!$B:$B,"custody")/SUMIFS('caseload data'!Q:Q,'caseload data'!$B:$B,"custody",'caseload data'!$C:$C,'custody %'!$B$57),"")</f>
        <v/>
      </c>
      <c r="P60" s="181" t="str">
        <f>IFERROR(SUMIFS('caseload data'!R:R,'caseload data'!$C:$C,'custody %'!$B$57,'caseload data'!$D:$D,"PSO",'caseload data'!$B:$B,"custody")/SUMIFS('caseload data'!R:R,'caseload data'!$B:$B,"custody",'caseload data'!$C:$C,'custody %'!$B$57),"")</f>
        <v/>
      </c>
      <c r="Q60" s="181" t="str">
        <f>IFERROR(SUMIFS('caseload data'!S:S,'caseload data'!$C:$C,'custody %'!$B$57,'caseload data'!$D:$D,"PSO",'caseload data'!$B:$B,"custody")/SUMIFS('caseload data'!S:S,'caseload data'!$B:$B,"custody",'caseload data'!$C:$C,'custody %'!$B$57),"")</f>
        <v/>
      </c>
      <c r="R60" s="181" t="str">
        <f>IFERROR(SUMIFS('caseload data'!T:T,'caseload data'!$C:$C,'custody %'!$B$57,'caseload data'!$D:$D,"PSO",'caseload data'!$B:$B,"custody")/SUMIFS('caseload data'!T:T,'caseload data'!$B:$B,"custody",'caseload data'!$C:$C,'custody %'!$B$57),"")</f>
        <v/>
      </c>
      <c r="S60" s="73"/>
      <c r="T60" s="107" t="s">
        <v>912</v>
      </c>
      <c r="U60" s="181" t="str">
        <f>IFERROR(SUMIFS('caseload data'!E:E,'caseload data'!$C:$C,'custody %'!$T$57,'caseload data'!$D:$D,"PSO",'caseload data'!$B:$B,"custody")/SUMIFS('caseload data'!E:E,'caseload data'!$B:$B,"custody",'caseload data'!$C:$C,'custody %'!$T$57),"")</f>
        <v/>
      </c>
      <c r="V60" s="181" t="str">
        <f>IFERROR(SUMIFS('caseload data'!F:F,'caseload data'!$C:$C,'custody %'!$T$57,'caseload data'!$D:$D,"PSO",'caseload data'!$B:$B,"custody")/SUMIFS('caseload data'!F:F,'caseload data'!$B:$B,"custody",'caseload data'!$C:$C,'custody %'!$T$57),"")</f>
        <v/>
      </c>
      <c r="W60" s="181" t="str">
        <f>IFERROR(SUMIFS('caseload data'!G:G,'caseload data'!$C:$C,'custody %'!$T$57,'caseload data'!$D:$D,"PSO",'caseload data'!$B:$B,"custody")/SUMIFS('caseload data'!G:G,'caseload data'!$B:$B,"custody",'caseload data'!$C:$C,'custody %'!$T$57),"")</f>
        <v/>
      </c>
      <c r="X60" s="181" t="str">
        <f>IFERROR(SUMIFS('caseload data'!H:H,'caseload data'!$C:$C,'custody %'!$T$57,'caseload data'!$D:$D,"PSO",'caseload data'!$B:$B,"custody")/SUMIFS('caseload data'!H:H,'caseload data'!$B:$B,"custody",'caseload data'!$C:$C,'custody %'!$T$57),"")</f>
        <v/>
      </c>
      <c r="Y60" s="181" t="str">
        <f>IFERROR(SUMIFS('caseload data'!I:I,'caseload data'!$C:$C,'custody %'!$T$57,'caseload data'!$D:$D,"PSO",'caseload data'!$B:$B,"custody")/SUMIFS('caseload data'!I:I,'caseload data'!$B:$B,"custody",'caseload data'!$C:$C,'custody %'!$T$57),"")</f>
        <v/>
      </c>
      <c r="Z60" s="181" t="str">
        <f>IFERROR(SUMIFS('caseload data'!J:J,'caseload data'!$C:$C,'custody %'!$T$57,'caseload data'!$D:$D,"PSO",'caseload data'!$B:$B,"custody")/SUMIFS('caseload data'!J:J,'caseload data'!$B:$B,"custody",'caseload data'!$C:$C,'custody %'!$T$57),"")</f>
        <v/>
      </c>
      <c r="AA60" s="181" t="str">
        <f>IFERROR(SUMIFS('caseload data'!K:K,'caseload data'!$C:$C,'custody %'!$T$57,'caseload data'!$D:$D,"PSO",'caseload data'!$B:$B,"custody")/SUMIFS('caseload data'!K:K,'caseload data'!$B:$B,"custody",'caseload data'!$C:$C,'custody %'!$T$57),"")</f>
        <v/>
      </c>
      <c r="AB60" s="181" t="str">
        <f>IFERROR(SUMIFS('caseload data'!L:L,'caseload data'!$C:$C,'custody %'!$T$57,'caseload data'!$D:$D,"PSO",'caseload data'!$B:$B,"custody")/SUMIFS('caseload data'!L:L,'caseload data'!$B:$B,"custody",'caseload data'!$C:$C,'custody %'!$T$57),"")</f>
        <v/>
      </c>
      <c r="AC60" s="181" t="str">
        <f>IFERROR(SUMIFS('caseload data'!M:M,'caseload data'!$C:$C,'custody %'!$T$57,'caseload data'!$D:$D,"PSO",'caseload data'!$B:$B,"custody")/SUMIFS('caseload data'!M:M,'caseload data'!$B:$B,"custody",'caseload data'!$C:$C,'custody %'!$T$57),"")</f>
        <v/>
      </c>
      <c r="AD60" s="181" t="str">
        <f>IFERROR(SUMIFS('caseload data'!N:N,'caseload data'!$C:$C,'custody %'!$T$57,'caseload data'!$D:$D,"PSO",'caseload data'!$B:$B,"custody")/SUMIFS('caseload data'!N:N,'caseload data'!$B:$B,"custody",'caseload data'!$C:$C,'custody %'!$T$57),"")</f>
        <v/>
      </c>
      <c r="AE60" s="181" t="str">
        <f>IFERROR(SUMIFS('caseload data'!O:O,'caseload data'!$C:$C,'custody %'!$T$57,'caseload data'!$D:$D,"PSO",'caseload data'!$B:$B,"custody")/SUMIFS('caseload data'!O:O,'caseload data'!$B:$B,"custody",'caseload data'!$C:$C,'custody %'!$T$57),"")</f>
        <v/>
      </c>
      <c r="AF60" s="181" t="str">
        <f>IFERROR(SUMIFS('caseload data'!P:P,'caseload data'!$C:$C,'custody %'!$T$57,'caseload data'!$D:$D,"PSO",'caseload data'!$B:$B,"custody")/SUMIFS('caseload data'!P:P,'caseload data'!$B:$B,"custody",'caseload data'!$C:$C,'custody %'!$T$57),"")</f>
        <v/>
      </c>
      <c r="AG60" s="181" t="str">
        <f>IFERROR(SUMIFS('caseload data'!Q:Q,'caseload data'!$C:$C,'custody %'!$T$57,'caseload data'!$D:$D,"PSO",'caseload data'!$B:$B,"custody")/SUMIFS('caseload data'!Q:Q,'caseload data'!$B:$B,"custody",'caseload data'!$C:$C,'custody %'!$T$57),"")</f>
        <v/>
      </c>
      <c r="AH60" s="181" t="str">
        <f>IFERROR(SUMIFS('caseload data'!R:R,'caseload data'!$C:$C,'custody %'!$T$57,'caseload data'!$D:$D,"PSO",'caseload data'!$B:$B,"custody")/SUMIFS('caseload data'!R:R,'caseload data'!$B:$B,"custody",'caseload data'!$C:$C,'custody %'!$T$57),"")</f>
        <v/>
      </c>
      <c r="AI60" s="181"/>
      <c r="AJ60" s="181"/>
    </row>
    <row r="61" spans="2:36" x14ac:dyDescent="0.15">
      <c r="B61" s="107" t="s">
        <v>913</v>
      </c>
      <c r="C61" s="181" t="str">
        <f>IFERROR(SUMIFS('caseload data'!E:E,'caseload data'!$C:$C,'custody %'!$B$57,'caseload data'!$D:$D,"TPO",'caseload data'!$B:$B,"custody")/SUMIFS('caseload data'!E:E,'caseload data'!$B:$B,"custody",'caseload data'!$C:$C,'custody %'!$B$57),"")</f>
        <v/>
      </c>
      <c r="D61" s="181" t="str">
        <f>IFERROR(SUMIFS('caseload data'!F:F,'caseload data'!$C:$C,'custody %'!$B$57,'caseload data'!$D:$D,"TPO",'caseload data'!$B:$B,"custody")/SUMIFS('caseload data'!F:F,'caseload data'!$B:$B,"custody",'caseload data'!$C:$C,'custody %'!$B$57),"")</f>
        <v/>
      </c>
      <c r="E61" s="181" t="str">
        <f>IFERROR(SUMIFS('caseload data'!G:G,'caseload data'!$C:$C,'custody %'!$B$57,'caseload data'!$D:$D,"TPO",'caseload data'!$B:$B,"custody")/SUMIFS('caseload data'!G:G,'caseload data'!$B:$B,"custody",'caseload data'!$C:$C,'custody %'!$B$57),"")</f>
        <v/>
      </c>
      <c r="F61" s="181" t="str">
        <f>IFERROR(SUMIFS('caseload data'!H:H,'caseload data'!$C:$C,'custody %'!$B$57,'caseload data'!$D:$D,"TPO",'caseload data'!$B:$B,"custody")/SUMIFS('caseload data'!H:H,'caseload data'!$B:$B,"custody",'caseload data'!$C:$C,'custody %'!$B$57),"")</f>
        <v/>
      </c>
      <c r="G61" s="181" t="str">
        <f>IFERROR(SUMIFS('caseload data'!I:I,'caseload data'!$C:$C,'custody %'!$B$57,'caseload data'!$D:$D,"TPO",'caseload data'!$B:$B,"custody")/SUMIFS('caseload data'!I:I,'caseload data'!$B:$B,"custody",'caseload data'!$C:$C,'custody %'!$B$57),"")</f>
        <v/>
      </c>
      <c r="H61" s="181" t="str">
        <f>IFERROR(SUMIFS('caseload data'!J:J,'caseload data'!$C:$C,'custody %'!$B$57,'caseload data'!$D:$D,"TPO",'caseload data'!$B:$B,"custody")/SUMIFS('caseload data'!J:J,'caseload data'!$B:$B,"custody",'caseload data'!$C:$C,'custody %'!$B$57),"")</f>
        <v/>
      </c>
      <c r="I61" s="181" t="str">
        <f>IFERROR(SUMIFS('caseload data'!K:K,'caseload data'!$C:$C,'custody %'!$B$57,'caseload data'!$D:$D,"TPO",'caseload data'!$B:$B,"custody")/SUMIFS('caseload data'!K:K,'caseload data'!$B:$B,"custody",'caseload data'!$C:$C,'custody %'!$B$57),"")</f>
        <v/>
      </c>
      <c r="J61" s="181" t="str">
        <f>IFERROR(SUMIFS('caseload data'!L:L,'caseload data'!$C:$C,'custody %'!$B$57,'caseload data'!$D:$D,"TPO",'caseload data'!$B:$B,"custody")/SUMIFS('caseload data'!L:L,'caseload data'!$B:$B,"custody",'caseload data'!$C:$C,'custody %'!$B$57),"")</f>
        <v/>
      </c>
      <c r="K61" s="181" t="str">
        <f>IFERROR(SUMIFS('caseload data'!M:M,'caseload data'!$C:$C,'custody %'!$B$57,'caseload data'!$D:$D,"TPO",'caseload data'!$B:$B,"custody")/SUMIFS('caseload data'!M:M,'caseload data'!$B:$B,"custody",'caseload data'!$C:$C,'custody %'!$B$57),"")</f>
        <v/>
      </c>
      <c r="L61" s="181" t="str">
        <f>IFERROR(SUMIFS('caseload data'!N:N,'caseload data'!$C:$C,'custody %'!$B$57,'caseload data'!$D:$D,"TPO",'caseload data'!$B:$B,"custody")/SUMIFS('caseload data'!N:N,'caseload data'!$B:$B,"custody",'caseload data'!$C:$C,'custody %'!$B$57),"")</f>
        <v/>
      </c>
      <c r="M61" s="181" t="str">
        <f>IFERROR(SUMIFS('caseload data'!O:O,'caseload data'!$C:$C,'custody %'!$B$57,'caseload data'!$D:$D,"TPO",'caseload data'!$B:$B,"custody")/SUMIFS('caseload data'!O:O,'caseload data'!$B:$B,"custody",'caseload data'!$C:$C,'custody %'!$B$57),"")</f>
        <v/>
      </c>
      <c r="N61" s="181" t="str">
        <f>IFERROR(SUMIFS('caseload data'!P:P,'caseload data'!$C:$C,'custody %'!$B$57,'caseload data'!$D:$D,"TPO",'caseload data'!$B:$B,"custody")/SUMIFS('caseload data'!P:P,'caseload data'!$B:$B,"custody",'caseload data'!$C:$C,'custody %'!$B$57),"")</f>
        <v/>
      </c>
      <c r="O61" s="181" t="str">
        <f>IFERROR(SUMIFS('caseload data'!Q:Q,'caseload data'!$C:$C,'custody %'!$B$57,'caseload data'!$D:$D,"TPO",'caseload data'!$B:$B,"custody")/SUMIFS('caseload data'!Q:Q,'caseload data'!$B:$B,"custody",'caseload data'!$C:$C,'custody %'!$B$57),"")</f>
        <v/>
      </c>
      <c r="P61" s="181" t="str">
        <f>IFERROR(SUMIFS('caseload data'!R:R,'caseload data'!$C:$C,'custody %'!$B$57,'caseload data'!$D:$D,"TPO",'caseload data'!$B:$B,"custody")/SUMIFS('caseload data'!R:R,'caseload data'!$B:$B,"custody",'caseload data'!$C:$C,'custody %'!$B$57),"")</f>
        <v/>
      </c>
      <c r="Q61" s="181" t="str">
        <f>IFERROR(SUMIFS('caseload data'!S:S,'caseload data'!$C:$C,'custody %'!$B$57,'caseload data'!$D:$D,"TPO",'caseload data'!$B:$B,"custody")/SUMIFS('caseload data'!S:S,'caseload data'!$B:$B,"custody",'caseload data'!$C:$C,'custody %'!$B$57),"")</f>
        <v/>
      </c>
      <c r="R61" s="181" t="str">
        <f>IFERROR(SUMIFS('caseload data'!T:T,'caseload data'!$C:$C,'custody %'!$B$57,'caseload data'!$D:$D,"TPO",'caseload data'!$B:$B,"custody")/SUMIFS('caseload data'!T:T,'caseload data'!$B:$B,"custody",'caseload data'!$C:$C,'custody %'!$B$57),"")</f>
        <v/>
      </c>
      <c r="S61" s="73"/>
      <c r="T61" s="107" t="s">
        <v>913</v>
      </c>
      <c r="U61" s="181" t="str">
        <f>IFERROR(SUMIFS('caseload data'!E:E,'caseload data'!$C:$C,'custody %'!$T$57,'caseload data'!$D:$D,"TPO",'caseload data'!$B:$B,"custody")/SUMIFS('caseload data'!E:E,'caseload data'!$B:$B,"custody",'caseload data'!$C:$C,'custody %'!$T$57),"")</f>
        <v/>
      </c>
      <c r="V61" s="181" t="str">
        <f>IFERROR(SUMIFS('caseload data'!F:F,'caseload data'!$C:$C,'custody %'!$T$57,'caseload data'!$D:$D,"TPO",'caseload data'!$B:$B,"custody")/SUMIFS('caseload data'!F:F,'caseload data'!$B:$B,"custody",'caseload data'!$C:$C,'custody %'!$T$57),"")</f>
        <v/>
      </c>
      <c r="W61" s="181" t="str">
        <f>IFERROR(SUMIFS('caseload data'!G:G,'caseload data'!$C:$C,'custody %'!$T$57,'caseload data'!$D:$D,"TPO",'caseload data'!$B:$B,"custody")/SUMIFS('caseload data'!G:G,'caseload data'!$B:$B,"custody",'caseload data'!$C:$C,'custody %'!$T$57),"")</f>
        <v/>
      </c>
      <c r="X61" s="181" t="str">
        <f>IFERROR(SUMIFS('caseload data'!H:H,'caseload data'!$C:$C,'custody %'!$T$57,'caseload data'!$D:$D,"TPO",'caseload data'!$B:$B,"custody")/SUMIFS('caseload data'!H:H,'caseload data'!$B:$B,"custody",'caseload data'!$C:$C,'custody %'!$T$57),"")</f>
        <v/>
      </c>
      <c r="Y61" s="181" t="str">
        <f>IFERROR(SUMIFS('caseload data'!I:I,'caseload data'!$C:$C,'custody %'!$T$57,'caseload data'!$D:$D,"TPO",'caseload data'!$B:$B,"custody")/SUMIFS('caseload data'!I:I,'caseload data'!$B:$B,"custody",'caseload data'!$C:$C,'custody %'!$T$57),"")</f>
        <v/>
      </c>
      <c r="Z61" s="181" t="str">
        <f>IFERROR(SUMIFS('caseload data'!J:J,'caseload data'!$C:$C,'custody %'!$T$57,'caseload data'!$D:$D,"TPO",'caseload data'!$B:$B,"custody")/SUMIFS('caseload data'!J:J,'caseload data'!$B:$B,"custody",'caseload data'!$C:$C,'custody %'!$T$57),"")</f>
        <v/>
      </c>
      <c r="AA61" s="181" t="str">
        <f>IFERROR(SUMIFS('caseload data'!K:K,'caseload data'!$C:$C,'custody %'!$T$57,'caseload data'!$D:$D,"TPO",'caseload data'!$B:$B,"custody")/SUMIFS('caseload data'!K:K,'caseload data'!$B:$B,"custody",'caseload data'!$C:$C,'custody %'!$T$57),"")</f>
        <v/>
      </c>
      <c r="AB61" s="181" t="str">
        <f>IFERROR(SUMIFS('caseload data'!L:L,'caseload data'!$C:$C,'custody %'!$T$57,'caseload data'!$D:$D,"TPO",'caseload data'!$B:$B,"custody")/SUMIFS('caseload data'!L:L,'caseload data'!$B:$B,"custody",'caseload data'!$C:$C,'custody %'!$T$57),"")</f>
        <v/>
      </c>
      <c r="AC61" s="181" t="str">
        <f>IFERROR(SUMIFS('caseload data'!M:M,'caseload data'!$C:$C,'custody %'!$T$57,'caseload data'!$D:$D,"TPO",'caseload data'!$B:$B,"custody")/SUMIFS('caseload data'!M:M,'caseload data'!$B:$B,"custody",'caseload data'!$C:$C,'custody %'!$T$57),"")</f>
        <v/>
      </c>
      <c r="AD61" s="181" t="str">
        <f>IFERROR(SUMIFS('caseload data'!N:N,'caseload data'!$C:$C,'custody %'!$T$57,'caseload data'!$D:$D,"TPO",'caseload data'!$B:$B,"custody")/SUMIFS('caseload data'!N:N,'caseload data'!$B:$B,"custody",'caseload data'!$C:$C,'custody %'!$T$57),"")</f>
        <v/>
      </c>
      <c r="AE61" s="181" t="str">
        <f>IFERROR(SUMIFS('caseload data'!O:O,'caseload data'!$C:$C,'custody %'!$T$57,'caseload data'!$D:$D,"TPO",'caseload data'!$B:$B,"custody")/SUMIFS('caseload data'!O:O,'caseload data'!$B:$B,"custody",'caseload data'!$C:$C,'custody %'!$T$57),"")</f>
        <v/>
      </c>
      <c r="AF61" s="181" t="str">
        <f>IFERROR(SUMIFS('caseload data'!P:P,'caseload data'!$C:$C,'custody %'!$T$57,'caseload data'!$D:$D,"TPO",'caseload data'!$B:$B,"custody")/SUMIFS('caseload data'!P:P,'caseload data'!$B:$B,"custody",'caseload data'!$C:$C,'custody %'!$T$57),"")</f>
        <v/>
      </c>
      <c r="AG61" s="181" t="str">
        <f>IFERROR(SUMIFS('caseload data'!Q:Q,'caseload data'!$C:$C,'custody %'!$T$57,'caseload data'!$D:$D,"TPO",'caseload data'!$B:$B,"custody")/SUMIFS('caseload data'!Q:Q,'caseload data'!$B:$B,"custody",'caseload data'!$C:$C,'custody %'!$T$57),"")</f>
        <v/>
      </c>
      <c r="AH61" s="181" t="str">
        <f>IFERROR(SUMIFS('caseload data'!R:R,'caseload data'!$C:$C,'custody %'!$T$57,'caseload data'!$D:$D,"TPO",'caseload data'!$B:$B,"custody")/SUMIFS('caseload data'!R:R,'caseload data'!$B:$B,"custody",'caseload data'!$C:$C,'custody %'!$T$57),"")</f>
        <v/>
      </c>
      <c r="AI61" s="181"/>
      <c r="AJ61" s="181"/>
    </row>
    <row r="62" spans="2:36" x14ac:dyDescent="0.15">
      <c r="B62" s="108" t="s">
        <v>914</v>
      </c>
      <c r="C62" s="181" t="str">
        <f>IFERROR(SUMIFS('caseload data'!E:E,'caseload data'!$C:$C,'custody %'!$B$57,'caseload data'!$D:$D,"SPO",'caseload data'!$B:$B,"custody")/SUMIFS('caseload data'!E:E,'caseload data'!$B:$B,"custody",'caseload data'!$C:$C,'custody %'!$B$57),"")</f>
        <v/>
      </c>
      <c r="D62" s="181" t="str">
        <f>IFERROR(SUMIFS('caseload data'!F:F,'caseload data'!$C:$C,'custody %'!$B$57,'caseload data'!$D:$D,"SPO",'caseload data'!$B:$B,"custody")/SUMIFS('caseload data'!F:F,'caseload data'!$B:$B,"custody",'caseload data'!$C:$C,'custody %'!$B$57),"")</f>
        <v/>
      </c>
      <c r="E62" s="181" t="str">
        <f>IFERROR(SUMIFS('caseload data'!G:G,'caseload data'!$C:$C,'custody %'!$B$57,'caseload data'!$D:$D,"SPO",'caseload data'!$B:$B,"custody")/SUMIFS('caseload data'!G:G,'caseload data'!$B:$B,"custody",'caseload data'!$C:$C,'custody %'!$B$57),"")</f>
        <v/>
      </c>
      <c r="F62" s="181" t="str">
        <f>IFERROR(SUMIFS('caseload data'!H:H,'caseload data'!$C:$C,'custody %'!$B$57,'caseload data'!$D:$D,"SPO",'caseload data'!$B:$B,"custody")/SUMIFS('caseload data'!H:H,'caseload data'!$B:$B,"custody",'caseload data'!$C:$C,'custody %'!$B$57),"")</f>
        <v/>
      </c>
      <c r="G62" s="181" t="str">
        <f>IFERROR(SUMIFS('caseload data'!I:I,'caseload data'!$C:$C,'custody %'!$B$57,'caseload data'!$D:$D,"SPO",'caseload data'!$B:$B,"custody")/SUMIFS('caseload data'!I:I,'caseload data'!$B:$B,"custody",'caseload data'!$C:$C,'custody %'!$B$57),"")</f>
        <v/>
      </c>
      <c r="H62" s="181" t="str">
        <f>IFERROR(SUMIFS('caseload data'!J:J,'caseload data'!$C:$C,'custody %'!$B$57,'caseload data'!$D:$D,"SPO",'caseload data'!$B:$B,"custody")/SUMIFS('caseload data'!J:J,'caseload data'!$B:$B,"custody",'caseload data'!$C:$C,'custody %'!$B$57),"")</f>
        <v/>
      </c>
      <c r="I62" s="181" t="str">
        <f>IFERROR(SUMIFS('caseload data'!K:K,'caseload data'!$C:$C,'custody %'!$B$57,'caseload data'!$D:$D,"SPO",'caseload data'!$B:$B,"custody")/SUMIFS('caseload data'!K:K,'caseload data'!$B:$B,"custody",'caseload data'!$C:$C,'custody %'!$B$57),"")</f>
        <v/>
      </c>
      <c r="J62" s="181" t="str">
        <f>IFERROR(SUMIFS('caseload data'!L:L,'caseload data'!$C:$C,'custody %'!$B$57,'caseload data'!$D:$D,"SPO",'caseload data'!$B:$B,"custody")/SUMIFS('caseload data'!L:L,'caseload data'!$B:$B,"custody",'caseload data'!$C:$C,'custody %'!$B$57),"")</f>
        <v/>
      </c>
      <c r="K62" s="181" t="str">
        <f>IFERROR(SUMIFS('caseload data'!M:M,'caseload data'!$C:$C,'custody %'!$B$57,'caseload data'!$D:$D,"SPO",'caseload data'!$B:$B,"custody")/SUMIFS('caseload data'!M:M,'caseload data'!$B:$B,"custody",'caseload data'!$C:$C,'custody %'!$B$57),"")</f>
        <v/>
      </c>
      <c r="L62" s="181" t="str">
        <f>IFERROR(SUMIFS('caseload data'!N:N,'caseload data'!$C:$C,'custody %'!$B$57,'caseload data'!$D:$D,"SPO",'caseload data'!$B:$B,"custody")/SUMIFS('caseload data'!N:N,'caseload data'!$B:$B,"custody",'caseload data'!$C:$C,'custody %'!$B$57),"")</f>
        <v/>
      </c>
      <c r="M62" s="181" t="str">
        <f>IFERROR(SUMIFS('caseload data'!O:O,'caseload data'!$C:$C,'custody %'!$B$57,'caseload data'!$D:$D,"SPO",'caseload data'!$B:$B,"custody")/SUMIFS('caseload data'!O:O,'caseload data'!$B:$B,"custody",'caseload data'!$C:$C,'custody %'!$B$57),"")</f>
        <v/>
      </c>
      <c r="N62" s="181" t="str">
        <f>IFERROR(SUMIFS('caseload data'!P:P,'caseload data'!$C:$C,'custody %'!$B$57,'caseload data'!$D:$D,"SPO",'caseload data'!$B:$B,"custody")/SUMIFS('caseload data'!P:P,'caseload data'!$B:$B,"custody",'caseload data'!$C:$C,'custody %'!$B$57),"")</f>
        <v/>
      </c>
      <c r="O62" s="181" t="str">
        <f>IFERROR(SUMIFS('caseload data'!Q:Q,'caseload data'!$C:$C,'custody %'!$B$57,'caseload data'!$D:$D,"SPO",'caseload data'!$B:$B,"custody")/SUMIFS('caseload data'!Q:Q,'caseload data'!$B:$B,"custody",'caseload data'!$C:$C,'custody %'!$B$57),"")</f>
        <v/>
      </c>
      <c r="P62" s="181" t="str">
        <f>IFERROR(SUMIFS('caseload data'!R:R,'caseload data'!$C:$C,'custody %'!$B$57,'caseload data'!$D:$D,"SPO",'caseload data'!$B:$B,"custody")/SUMIFS('caseload data'!R:R,'caseload data'!$B:$B,"custody",'caseload data'!$C:$C,'custody %'!$B$57),"")</f>
        <v/>
      </c>
      <c r="Q62" s="181" t="str">
        <f>IFERROR(SUMIFS('caseload data'!S:S,'caseload data'!$C:$C,'custody %'!$B$57,'caseload data'!$D:$D,"SPO",'caseload data'!$B:$B,"custody")/SUMIFS('caseload data'!S:S,'caseload data'!$B:$B,"custody",'caseload data'!$C:$C,'custody %'!$B$57),"")</f>
        <v/>
      </c>
      <c r="R62" s="181" t="str">
        <f>IFERROR(SUMIFS('caseload data'!T:T,'caseload data'!$C:$C,'custody %'!$B$57,'caseload data'!$D:$D,"SPO",'caseload data'!$B:$B,"custody")/SUMIFS('caseload data'!T:T,'caseload data'!$B:$B,"custody",'caseload data'!$C:$C,'custody %'!$B$57),"")</f>
        <v/>
      </c>
      <c r="S62" s="73"/>
      <c r="T62" s="108" t="s">
        <v>914</v>
      </c>
      <c r="U62" s="181" t="str">
        <f>IFERROR(SUMIFS('caseload data'!E:E,'caseload data'!$C:$C,'custody %'!$T$57,'caseload data'!$D:$D,"SPO",'caseload data'!$B:$B,"custody")/SUMIFS('caseload data'!E:E,'caseload data'!$B:$B,"custody",'caseload data'!$C:$C,'custody %'!$T$57),"")</f>
        <v/>
      </c>
      <c r="V62" s="181" t="str">
        <f>IFERROR(SUMIFS('caseload data'!F:F,'caseload data'!$C:$C,'custody %'!$T$57,'caseload data'!$D:$D,"SPO",'caseload data'!$B:$B,"custody")/SUMIFS('caseload data'!F:F,'caseload data'!$B:$B,"custody",'caseload data'!$C:$C,'custody %'!$T$57),"")</f>
        <v/>
      </c>
      <c r="W62" s="181" t="str">
        <f>IFERROR(SUMIFS('caseload data'!G:G,'caseload data'!$C:$C,'custody %'!$T$57,'caseload data'!$D:$D,"SPO",'caseload data'!$B:$B,"custody")/SUMIFS('caseload data'!G:G,'caseload data'!$B:$B,"custody",'caseload data'!$C:$C,'custody %'!$T$57),"")</f>
        <v/>
      </c>
      <c r="X62" s="181" t="str">
        <f>IFERROR(SUMIFS('caseload data'!H:H,'caseload data'!$C:$C,'custody %'!$T$57,'caseload data'!$D:$D,"SPO",'caseload data'!$B:$B,"custody")/SUMIFS('caseload data'!H:H,'caseload data'!$B:$B,"custody",'caseload data'!$C:$C,'custody %'!$T$57),"")</f>
        <v/>
      </c>
      <c r="Y62" s="181" t="str">
        <f>IFERROR(SUMIFS('caseload data'!I:I,'caseload data'!$C:$C,'custody %'!$T$57,'caseload data'!$D:$D,"SPO",'caseload data'!$B:$B,"custody")/SUMIFS('caseload data'!I:I,'caseload data'!$B:$B,"custody",'caseload data'!$C:$C,'custody %'!$T$57),"")</f>
        <v/>
      </c>
      <c r="Z62" s="181" t="str">
        <f>IFERROR(SUMIFS('caseload data'!J:J,'caseload data'!$C:$C,'custody %'!$T$57,'caseload data'!$D:$D,"SPO",'caseload data'!$B:$B,"custody")/SUMIFS('caseload data'!J:J,'caseload data'!$B:$B,"custody",'caseload data'!$C:$C,'custody %'!$T$57),"")</f>
        <v/>
      </c>
      <c r="AA62" s="181" t="str">
        <f>IFERROR(SUMIFS('caseload data'!K:K,'caseload data'!$C:$C,'custody %'!$T$57,'caseload data'!$D:$D,"SPO",'caseload data'!$B:$B,"custody")/SUMIFS('caseload data'!K:K,'caseload data'!$B:$B,"custody",'caseload data'!$C:$C,'custody %'!$T$57),"")</f>
        <v/>
      </c>
      <c r="AB62" s="181" t="str">
        <f>IFERROR(SUMIFS('caseload data'!L:L,'caseload data'!$C:$C,'custody %'!$T$57,'caseload data'!$D:$D,"SPO",'caseload data'!$B:$B,"custody")/SUMIFS('caseload data'!L:L,'caseload data'!$B:$B,"custody",'caseload data'!$C:$C,'custody %'!$T$57),"")</f>
        <v/>
      </c>
      <c r="AC62" s="181" t="str">
        <f>IFERROR(SUMIFS('caseload data'!M:M,'caseload data'!$C:$C,'custody %'!$T$57,'caseload data'!$D:$D,"SPO",'caseload data'!$B:$B,"custody")/SUMIFS('caseload data'!M:M,'caseload data'!$B:$B,"custody",'caseload data'!$C:$C,'custody %'!$T$57),"")</f>
        <v/>
      </c>
      <c r="AD62" s="181" t="str">
        <f>IFERROR(SUMIFS('caseload data'!N:N,'caseload data'!$C:$C,'custody %'!$T$57,'caseload data'!$D:$D,"SPO",'caseload data'!$B:$B,"custody")/SUMIFS('caseload data'!N:N,'caseload data'!$B:$B,"custody",'caseload data'!$C:$C,'custody %'!$T$57),"")</f>
        <v/>
      </c>
      <c r="AE62" s="181" t="str">
        <f>IFERROR(SUMIFS('caseload data'!O:O,'caseload data'!$C:$C,'custody %'!$T$57,'caseload data'!$D:$D,"SPO",'caseload data'!$B:$B,"custody")/SUMIFS('caseload data'!O:O,'caseload data'!$B:$B,"custody",'caseload data'!$C:$C,'custody %'!$T$57),"")</f>
        <v/>
      </c>
      <c r="AF62" s="181" t="str">
        <f>IFERROR(SUMIFS('caseload data'!P:P,'caseload data'!$C:$C,'custody %'!$T$57,'caseload data'!$D:$D,"SPO",'caseload data'!$B:$B,"custody")/SUMIFS('caseload data'!P:P,'caseload data'!$B:$B,"custody",'caseload data'!$C:$C,'custody %'!$T$57),"")</f>
        <v/>
      </c>
      <c r="AG62" s="181" t="str">
        <f>IFERROR(SUMIFS('caseload data'!Q:Q,'caseload data'!$C:$C,'custody %'!$T$57,'caseload data'!$D:$D,"SPO",'caseload data'!$B:$B,"custody")/SUMIFS('caseload data'!Q:Q,'caseload data'!$B:$B,"custody",'caseload data'!$C:$C,'custody %'!$T$57),"")</f>
        <v/>
      </c>
      <c r="AH62" s="181" t="str">
        <f>IFERROR(SUMIFS('caseload data'!R:R,'caseload data'!$C:$C,'custody %'!$T$57,'caseload data'!$D:$D,"SPO",'caseload data'!$B:$B,"custody")/SUMIFS('caseload data'!R:R,'caseload data'!$B:$B,"custody",'caseload data'!$C:$C,'custody %'!$T$57),"")</f>
        <v/>
      </c>
      <c r="AI62" s="181"/>
      <c r="AJ62" s="181"/>
    </row>
    <row r="64" spans="2:36" x14ac:dyDescent="0.15">
      <c r="B64" s="156" t="str">
        <f>HLOOKUP($B$5,Region_Table,18,0)</f>
        <v>Newham - N07</v>
      </c>
      <c r="C64" s="367" t="s">
        <v>1163</v>
      </c>
      <c r="D64" s="368"/>
      <c r="E64" s="368"/>
      <c r="F64" s="368"/>
      <c r="G64" s="368"/>
      <c r="H64" s="368"/>
      <c r="I64" s="368"/>
      <c r="J64" s="368"/>
      <c r="K64" s="368"/>
      <c r="L64" s="368"/>
      <c r="M64" s="377"/>
      <c r="N64" s="377"/>
      <c r="O64" s="378"/>
      <c r="P64" s="371">
        <f>SUMIF('caseload data'!$C:$C,'custody %'!B64,'caseload data'!V:V)</f>
        <v>0</v>
      </c>
      <c r="Q64" s="379"/>
      <c r="R64" s="380"/>
      <c r="S64" s="73"/>
      <c r="T64" s="156" t="str">
        <f>HLOOKUP($B$5,Region_Table,19,0)</f>
        <v>Public Protection London</v>
      </c>
      <c r="U64" s="367" t="s">
        <v>1163</v>
      </c>
      <c r="V64" s="368"/>
      <c r="W64" s="368"/>
      <c r="X64" s="368"/>
      <c r="Y64" s="368"/>
      <c r="Z64" s="368"/>
      <c r="AA64" s="368"/>
      <c r="AB64" s="368"/>
      <c r="AC64" s="377"/>
      <c r="AD64" s="377"/>
      <c r="AE64" s="378"/>
      <c r="AF64" s="371">
        <f>SUMIF('caseload data'!$C:$C,'custody %'!T64,'caseload data'!V:V)</f>
        <v>0</v>
      </c>
      <c r="AG64" s="379"/>
      <c r="AH64" s="380"/>
    </row>
    <row r="65" spans="2:36" x14ac:dyDescent="0.15">
      <c r="B65" s="105" t="s">
        <v>1065</v>
      </c>
      <c r="C65" s="41" t="s">
        <v>922</v>
      </c>
      <c r="D65" s="41" t="s">
        <v>923</v>
      </c>
      <c r="E65" s="41" t="s">
        <v>924</v>
      </c>
      <c r="F65" s="41" t="s">
        <v>925</v>
      </c>
      <c r="G65" s="41" t="s">
        <v>926</v>
      </c>
      <c r="H65" s="41" t="s">
        <v>927</v>
      </c>
      <c r="I65" s="41" t="s">
        <v>928</v>
      </c>
      <c r="J65" s="41" t="s">
        <v>929</v>
      </c>
      <c r="K65" s="41" t="s">
        <v>930</v>
      </c>
      <c r="L65" s="41" t="s">
        <v>931</v>
      </c>
      <c r="M65" s="41" t="s">
        <v>932</v>
      </c>
      <c r="N65" s="41" t="s">
        <v>933</v>
      </c>
      <c r="O65" s="41" t="s">
        <v>934</v>
      </c>
      <c r="P65" s="41" t="s">
        <v>935</v>
      </c>
      <c r="Q65" s="41" t="s">
        <v>936</v>
      </c>
      <c r="R65" s="41" t="s">
        <v>937</v>
      </c>
      <c r="S65" s="73"/>
      <c r="T65" s="105" t="s">
        <v>1065</v>
      </c>
      <c r="U65" s="41" t="s">
        <v>922</v>
      </c>
      <c r="V65" s="41" t="s">
        <v>923</v>
      </c>
      <c r="W65" s="41" t="s">
        <v>924</v>
      </c>
      <c r="X65" s="41" t="s">
        <v>925</v>
      </c>
      <c r="Y65" s="41" t="s">
        <v>926</v>
      </c>
      <c r="Z65" s="41" t="s">
        <v>927</v>
      </c>
      <c r="AA65" s="41" t="s">
        <v>928</v>
      </c>
      <c r="AB65" s="41" t="s">
        <v>929</v>
      </c>
      <c r="AC65" s="41" t="s">
        <v>930</v>
      </c>
      <c r="AD65" s="41" t="s">
        <v>931</v>
      </c>
      <c r="AE65" s="41" t="s">
        <v>932</v>
      </c>
      <c r="AF65" s="41" t="s">
        <v>933</v>
      </c>
      <c r="AG65" s="41" t="s">
        <v>934</v>
      </c>
      <c r="AH65" s="41" t="s">
        <v>935</v>
      </c>
      <c r="AI65" s="41" t="s">
        <v>936</v>
      </c>
      <c r="AJ65" s="41" t="s">
        <v>937</v>
      </c>
    </row>
    <row r="66" spans="2:36" x14ac:dyDescent="0.15">
      <c r="B66" s="106" t="s">
        <v>911</v>
      </c>
      <c r="C66" s="181" t="str">
        <f>IFERROR(SUMIFS('caseload data'!E:E,'caseload data'!$C:$C,'custody %'!$B$64,'caseload data'!$D:$D,"PO",'caseload data'!$B:$B,"custody")/SUMIFS('caseload data'!E:E,'caseload data'!$B:$B,"custody",'caseload data'!$C:$C,'custody %'!$B$64),"")</f>
        <v/>
      </c>
      <c r="D66" s="181" t="str">
        <f>IFERROR(SUMIFS('caseload data'!F:F,'caseload data'!$C:$C,'custody %'!$B$64,'caseload data'!$D:$D,"PO",'caseload data'!$B:$B,"custody")/SUMIFS('caseload data'!F:F,'caseload data'!$B:$B,"custody",'caseload data'!$C:$C,'custody %'!$B$64),"")</f>
        <v/>
      </c>
      <c r="E66" s="181" t="str">
        <f>IFERROR(SUMIFS('caseload data'!G:G,'caseload data'!$C:$C,'custody %'!$B$64,'caseload data'!$D:$D,"PO",'caseload data'!$B:$B,"custody")/SUMIFS('caseload data'!G:G,'caseload data'!$B:$B,"custody",'caseload data'!$C:$C,'custody %'!$B$64),"")</f>
        <v/>
      </c>
      <c r="F66" s="181" t="str">
        <f>IFERROR(SUMIFS('caseload data'!H:H,'caseload data'!$C:$C,'custody %'!$B$64,'caseload data'!$D:$D,"PO",'caseload data'!$B:$B,"custody")/SUMIFS('caseload data'!H:H,'caseload data'!$B:$B,"custody",'caseload data'!$C:$C,'custody %'!$B$64),"")</f>
        <v/>
      </c>
      <c r="G66" s="181" t="str">
        <f>IFERROR(SUMIFS('caseload data'!I:I,'caseload data'!$C:$C,'custody %'!$B$64,'caseload data'!$D:$D,"PO",'caseload data'!$B:$B,"custody")/SUMIFS('caseload data'!I:I,'caseload data'!$B:$B,"custody",'caseload data'!$C:$C,'custody %'!$B$64),"")</f>
        <v/>
      </c>
      <c r="H66" s="181" t="str">
        <f>IFERROR(SUMIFS('caseload data'!J:J,'caseload data'!$C:$C,'custody %'!$B$64,'caseload data'!$D:$D,"PO",'caseload data'!$B:$B,"custody")/SUMIFS('caseload data'!J:J,'caseload data'!$B:$B,"custody",'caseload data'!$C:$C,'custody %'!$B$64),"")</f>
        <v/>
      </c>
      <c r="I66" s="181" t="str">
        <f>IFERROR(SUMIFS('caseload data'!K:K,'caseload data'!$C:$C,'custody %'!$B$64,'caseload data'!$D:$D,"PO",'caseload data'!$B:$B,"custody")/SUMIFS('caseload data'!K:K,'caseload data'!$B:$B,"custody",'caseload data'!$C:$C,'custody %'!$B$64),"")</f>
        <v/>
      </c>
      <c r="J66" s="181" t="str">
        <f>IFERROR(SUMIFS('caseload data'!L:L,'caseload data'!$C:$C,'custody %'!$B$64,'caseload data'!$D:$D,"PO",'caseload data'!$B:$B,"custody")/SUMIFS('caseload data'!L:L,'caseload data'!$B:$B,"custody",'caseload data'!$C:$C,'custody %'!$B$64),"")</f>
        <v/>
      </c>
      <c r="K66" s="181" t="str">
        <f>IFERROR(SUMIFS('caseload data'!M:M,'caseload data'!$C:$C,'custody %'!$B$64,'caseload data'!$D:$D,"PO",'caseload data'!$B:$B,"custody")/SUMIFS('caseload data'!M:M,'caseload data'!$B:$B,"custody",'caseload data'!$C:$C,'custody %'!$B$64),"")</f>
        <v/>
      </c>
      <c r="L66" s="181" t="str">
        <f>IFERROR(SUMIFS('caseload data'!N:N,'caseload data'!$C:$C,'custody %'!$B$64,'caseload data'!$D:$D,"PO",'caseload data'!$B:$B,"custody")/SUMIFS('caseload data'!N:N,'caseload data'!$B:$B,"custody",'caseload data'!$C:$C,'custody %'!$B$64),"")</f>
        <v/>
      </c>
      <c r="M66" s="181" t="str">
        <f>IFERROR(SUMIFS('caseload data'!O:O,'caseload data'!$C:$C,'custody %'!$B$64,'caseload data'!$D:$D,"PO",'caseload data'!$B:$B,"custody")/SUMIFS('caseload data'!O:O,'caseload data'!$B:$B,"custody",'caseload data'!$C:$C,'custody %'!$B$64),"")</f>
        <v/>
      </c>
      <c r="N66" s="181" t="str">
        <f>IFERROR(SUMIFS('caseload data'!P:P,'caseload data'!$C:$C,'custody %'!$B$64,'caseload data'!$D:$D,"PO",'caseload data'!$B:$B,"custody")/SUMIFS('caseload data'!P:P,'caseload data'!$B:$B,"custody",'caseload data'!$C:$C,'custody %'!$B$64),"")</f>
        <v/>
      </c>
      <c r="O66" s="181" t="str">
        <f>IFERROR(SUMIFS('caseload data'!Q:Q,'caseload data'!$C:$C,'custody %'!$B$64,'caseload data'!$D:$D,"PO",'caseload data'!$B:$B,"custody")/SUMIFS('caseload data'!Q:Q,'caseload data'!$B:$B,"custody",'caseload data'!$C:$C,'custody %'!$B$64),"")</f>
        <v/>
      </c>
      <c r="P66" s="181" t="str">
        <f>IFERROR(SUMIFS('caseload data'!R:R,'caseload data'!$C:$C,'custody %'!$B$64,'caseload data'!$D:$D,"PO",'caseload data'!$B:$B,"custody")/SUMIFS('caseload data'!R:R,'caseload data'!$B:$B,"custody",'caseload data'!$C:$C,'custody %'!$B$64),"")</f>
        <v/>
      </c>
      <c r="Q66" s="181" t="str">
        <f>IFERROR(SUMIFS('caseload data'!S:S,'caseload data'!$C:$C,'custody %'!$B$64,'caseload data'!$D:$D,"PO",'caseload data'!$B:$B,"custody")/SUMIFS('caseload data'!S:S,'caseload data'!$B:$B,"custody",'caseload data'!$C:$C,'custody %'!$B$64),"")</f>
        <v/>
      </c>
      <c r="R66" s="181" t="str">
        <f>IFERROR(SUMIFS('caseload data'!T:T,'caseload data'!$C:$C,'custody %'!$B$64,'caseload data'!$D:$D,"PO",'caseload data'!$B:$B,"custody")/SUMIFS('caseload data'!T:T,'caseload data'!$B:$B,"custody",'caseload data'!$C:$C,'custody %'!$B$64),"")</f>
        <v/>
      </c>
      <c r="S66" s="73"/>
      <c r="T66" s="106" t="s">
        <v>911</v>
      </c>
      <c r="U66" s="181" t="str">
        <f>IFERROR(SUMIFS('caseload data'!E:E,'caseload data'!$C:$C,'custody %'!$T$64,'caseload data'!$D:$D,"PO",'caseload data'!$B:$B,"custody")/SUMIFS('caseload data'!E:E,'caseload data'!$B:$B,"custody",'caseload data'!$C:$C,'custody %'!$T$64),"")</f>
        <v/>
      </c>
      <c r="V66" s="181" t="str">
        <f>IFERROR(SUMIFS('caseload data'!F:F,'caseload data'!$C:$C,'custody %'!$T$64,'caseload data'!$D:$D,"PO",'caseload data'!$B:$B,"custody")/SUMIFS('caseload data'!F:F,'caseload data'!$B:$B,"custody",'caseload data'!$C:$C,'custody %'!$T$64),"")</f>
        <v/>
      </c>
      <c r="W66" s="181" t="str">
        <f>IFERROR(SUMIFS('caseload data'!G:G,'caseload data'!$C:$C,'custody %'!$T$64,'caseload data'!$D:$D,"PO",'caseload data'!$B:$B,"custody")/SUMIFS('caseload data'!G:G,'caseload data'!$B:$B,"custody",'caseload data'!$C:$C,'custody %'!$T$64),"")</f>
        <v/>
      </c>
      <c r="X66" s="181" t="str">
        <f>IFERROR(SUMIFS('caseload data'!H:H,'caseload data'!$C:$C,'custody %'!$T$64,'caseload data'!$D:$D,"PO",'caseload data'!$B:$B,"custody")/SUMIFS('caseload data'!H:H,'caseload data'!$B:$B,"custody",'caseload data'!$C:$C,'custody %'!$T$64),"")</f>
        <v/>
      </c>
      <c r="Y66" s="181" t="str">
        <f>IFERROR(SUMIFS('caseload data'!I:I,'caseload data'!$C:$C,'custody %'!$T$64,'caseload data'!$D:$D,"PO",'caseload data'!$B:$B,"custody")/SUMIFS('caseload data'!I:I,'caseload data'!$B:$B,"custody",'caseload data'!$C:$C,'custody %'!$T$64),"")</f>
        <v/>
      </c>
      <c r="Z66" s="181" t="str">
        <f>IFERROR(SUMIFS('caseload data'!J:J,'caseload data'!$C:$C,'custody %'!$T$64,'caseload data'!$D:$D,"PO",'caseload data'!$B:$B,"custody")/SUMIFS('caseload data'!J:J,'caseload data'!$B:$B,"custody",'caseload data'!$C:$C,'custody %'!$T$64),"")</f>
        <v/>
      </c>
      <c r="AA66" s="181" t="str">
        <f>IFERROR(SUMIFS('caseload data'!K:K,'caseload data'!$C:$C,'custody %'!$T$64,'caseload data'!$D:$D,"PO",'caseload data'!$B:$B,"custody")/SUMIFS('caseload data'!K:K,'caseload data'!$B:$B,"custody",'caseload data'!$C:$C,'custody %'!$T$64),"")</f>
        <v/>
      </c>
      <c r="AB66" s="181" t="str">
        <f>IFERROR(SUMIFS('caseload data'!L:L,'caseload data'!$C:$C,'custody %'!$T$64,'caseload data'!$D:$D,"PO",'caseload data'!$B:$B,"custody")/SUMIFS('caseload data'!L:L,'caseload data'!$B:$B,"custody",'caseload data'!$C:$C,'custody %'!$T$64),"")</f>
        <v/>
      </c>
      <c r="AC66" s="181" t="str">
        <f>IFERROR(SUMIFS('caseload data'!M:M,'caseload data'!$C:$C,'custody %'!$T$64,'caseload data'!$D:$D,"PO",'caseload data'!$B:$B,"custody")/SUMIFS('caseload data'!M:M,'caseload data'!$B:$B,"custody",'caseload data'!$C:$C,'custody %'!$T$64),"")</f>
        <v/>
      </c>
      <c r="AD66" s="181" t="str">
        <f>IFERROR(SUMIFS('caseload data'!N:N,'caseload data'!$C:$C,'custody %'!$T$64,'caseload data'!$D:$D,"PO",'caseload data'!$B:$B,"custody")/SUMIFS('caseload data'!N:N,'caseload data'!$B:$B,"custody",'caseload data'!$C:$C,'custody %'!$T$64),"")</f>
        <v/>
      </c>
      <c r="AE66" s="181" t="str">
        <f>IFERROR(SUMIFS('caseload data'!O:O,'caseload data'!$C:$C,'custody %'!$T$64,'caseload data'!$D:$D,"PO",'caseload data'!$B:$B,"custody")/SUMIFS('caseload data'!O:O,'caseload data'!$B:$B,"custody",'caseload data'!$C:$C,'custody %'!$T$64),"")</f>
        <v/>
      </c>
      <c r="AF66" s="181" t="str">
        <f>IFERROR(SUMIFS('caseload data'!P:P,'caseload data'!$C:$C,'custody %'!$T$64,'caseload data'!$D:$D,"PO",'caseload data'!$B:$B,"custody")/SUMIFS('caseload data'!P:P,'caseload data'!$B:$B,"custody",'caseload data'!$C:$C,'custody %'!$T$64),"")</f>
        <v/>
      </c>
      <c r="AG66" s="181" t="str">
        <f>IFERROR(SUMIFS('caseload data'!Q:Q,'caseload data'!$C:$C,'custody %'!$T$64,'caseload data'!$D:$D,"PO",'caseload data'!$B:$B,"custody")/SUMIFS('caseload data'!Q:Q,'caseload data'!$B:$B,"custody",'caseload data'!$C:$C,'custody %'!$T$64),"")</f>
        <v/>
      </c>
      <c r="AH66" s="181" t="str">
        <f>IFERROR(SUMIFS('caseload data'!R:R,'caseload data'!$C:$C,'custody %'!$T$64,'caseload data'!$D:$D,"PO",'caseload data'!$B:$B,"custody")/SUMIFS('caseload data'!R:R,'caseload data'!$B:$B,"custody",'caseload data'!$C:$C,'custody %'!$T$64),"")</f>
        <v/>
      </c>
      <c r="AI66" s="181"/>
      <c r="AJ66" s="181"/>
    </row>
    <row r="67" spans="2:36" x14ac:dyDescent="0.15">
      <c r="B67" s="107" t="s">
        <v>912</v>
      </c>
      <c r="C67" s="181" t="str">
        <f>IFERROR(SUMIFS('caseload data'!E:E,'caseload data'!$C:$C,'custody %'!$B$64,'caseload data'!$D:$D,"PSO",'caseload data'!$B:$B,"custody")/SUMIFS('caseload data'!E:E,'caseload data'!$B:$B,"custody",'caseload data'!$C:$C,'custody %'!$B$64),"")</f>
        <v/>
      </c>
      <c r="D67" s="181" t="str">
        <f>IFERROR(SUMIFS('caseload data'!F:F,'caseload data'!$C:$C,'custody %'!$B$64,'caseload data'!$D:$D,"PSO",'caseload data'!$B:$B,"custody")/SUMIFS('caseload data'!F:F,'caseload data'!$B:$B,"custody",'caseload data'!$C:$C,'custody %'!$B$64),"")</f>
        <v/>
      </c>
      <c r="E67" s="181" t="str">
        <f>IFERROR(SUMIFS('caseload data'!G:G,'caseload data'!$C:$C,'custody %'!$B$64,'caseload data'!$D:$D,"PSO",'caseload data'!$B:$B,"custody")/SUMIFS('caseload data'!G:G,'caseload data'!$B:$B,"custody",'caseload data'!$C:$C,'custody %'!$B$64),"")</f>
        <v/>
      </c>
      <c r="F67" s="181" t="str">
        <f>IFERROR(SUMIFS('caseload data'!H:H,'caseload data'!$C:$C,'custody %'!$B$64,'caseload data'!$D:$D,"PSO",'caseload data'!$B:$B,"custody")/SUMIFS('caseload data'!H:H,'caseload data'!$B:$B,"custody",'caseload data'!$C:$C,'custody %'!$B$64),"")</f>
        <v/>
      </c>
      <c r="G67" s="181" t="str">
        <f>IFERROR(SUMIFS('caseload data'!I:I,'caseload data'!$C:$C,'custody %'!$B$64,'caseload data'!$D:$D,"PSO",'caseload data'!$B:$B,"custody")/SUMIFS('caseload data'!I:I,'caseload data'!$B:$B,"custody",'caseload data'!$C:$C,'custody %'!$B$64),"")</f>
        <v/>
      </c>
      <c r="H67" s="181" t="str">
        <f>IFERROR(SUMIFS('caseload data'!J:J,'caseload data'!$C:$C,'custody %'!$B$64,'caseload data'!$D:$D,"PSO",'caseload data'!$B:$B,"custody")/SUMIFS('caseload data'!J:J,'caseload data'!$B:$B,"custody",'caseload data'!$C:$C,'custody %'!$B$64),"")</f>
        <v/>
      </c>
      <c r="I67" s="181" t="str">
        <f>IFERROR(SUMIFS('caseload data'!K:K,'caseload data'!$C:$C,'custody %'!$B$64,'caseload data'!$D:$D,"PSO",'caseload data'!$B:$B,"custody")/SUMIFS('caseload data'!K:K,'caseload data'!$B:$B,"custody",'caseload data'!$C:$C,'custody %'!$B$64),"")</f>
        <v/>
      </c>
      <c r="J67" s="181" t="str">
        <f>IFERROR(SUMIFS('caseload data'!L:L,'caseload data'!$C:$C,'custody %'!$B$64,'caseload data'!$D:$D,"PSO",'caseload data'!$B:$B,"custody")/SUMIFS('caseload data'!L:L,'caseload data'!$B:$B,"custody",'caseload data'!$C:$C,'custody %'!$B$64),"")</f>
        <v/>
      </c>
      <c r="K67" s="181" t="str">
        <f>IFERROR(SUMIFS('caseload data'!M:M,'caseload data'!$C:$C,'custody %'!$B$64,'caseload data'!$D:$D,"PSO",'caseload data'!$B:$B,"custody")/SUMIFS('caseload data'!M:M,'caseload data'!$B:$B,"custody",'caseload data'!$C:$C,'custody %'!$B$64),"")</f>
        <v/>
      </c>
      <c r="L67" s="181" t="str">
        <f>IFERROR(SUMIFS('caseload data'!N:N,'caseload data'!$C:$C,'custody %'!$B$64,'caseload data'!$D:$D,"PSO",'caseload data'!$B:$B,"custody")/SUMIFS('caseload data'!N:N,'caseload data'!$B:$B,"custody",'caseload data'!$C:$C,'custody %'!$B$64),"")</f>
        <v/>
      </c>
      <c r="M67" s="181" t="str">
        <f>IFERROR(SUMIFS('caseload data'!O:O,'caseload data'!$C:$C,'custody %'!$B$64,'caseload data'!$D:$D,"PSO",'caseload data'!$B:$B,"custody")/SUMIFS('caseload data'!O:O,'caseload data'!$B:$B,"custody",'caseload data'!$C:$C,'custody %'!$B$64),"")</f>
        <v/>
      </c>
      <c r="N67" s="181" t="str">
        <f>IFERROR(SUMIFS('caseload data'!P:P,'caseload data'!$C:$C,'custody %'!$B$64,'caseload data'!$D:$D,"PSO",'caseload data'!$B:$B,"custody")/SUMIFS('caseload data'!P:P,'caseload data'!$B:$B,"custody",'caseload data'!$C:$C,'custody %'!$B$64),"")</f>
        <v/>
      </c>
      <c r="O67" s="181" t="str">
        <f>IFERROR(SUMIFS('caseload data'!Q:Q,'caseload data'!$C:$C,'custody %'!$B$64,'caseload data'!$D:$D,"PSO",'caseload data'!$B:$B,"custody")/SUMIFS('caseload data'!Q:Q,'caseload data'!$B:$B,"custody",'caseload data'!$C:$C,'custody %'!$B$64),"")</f>
        <v/>
      </c>
      <c r="P67" s="181" t="str">
        <f>IFERROR(SUMIFS('caseload data'!R:R,'caseload data'!$C:$C,'custody %'!$B$64,'caseload data'!$D:$D,"PSO",'caseload data'!$B:$B,"custody")/SUMIFS('caseload data'!R:R,'caseload data'!$B:$B,"custody",'caseload data'!$C:$C,'custody %'!$B$64),"")</f>
        <v/>
      </c>
      <c r="Q67" s="181" t="str">
        <f>IFERROR(SUMIFS('caseload data'!S:S,'caseload data'!$C:$C,'custody %'!$B$64,'caseload data'!$D:$D,"PSO",'caseload data'!$B:$B,"custody")/SUMIFS('caseload data'!S:S,'caseload data'!$B:$B,"custody",'caseload data'!$C:$C,'custody %'!$B$64),"")</f>
        <v/>
      </c>
      <c r="R67" s="181" t="str">
        <f>IFERROR(SUMIFS('caseload data'!T:T,'caseload data'!$C:$C,'custody %'!$B$64,'caseload data'!$D:$D,"PSO",'caseload data'!$B:$B,"custody")/SUMIFS('caseload data'!T:T,'caseload data'!$B:$B,"custody",'caseload data'!$C:$C,'custody %'!$B$64),"")</f>
        <v/>
      </c>
      <c r="S67" s="73"/>
      <c r="T67" s="107" t="s">
        <v>912</v>
      </c>
      <c r="U67" s="181" t="str">
        <f>IFERROR(SUMIFS('caseload data'!E:E,'caseload data'!$C:$C,'custody %'!$T$64,'caseload data'!$D:$D,"PSO",'caseload data'!$B:$B,"custody")/SUMIFS('caseload data'!E:E,'caseload data'!$B:$B,"custody",'caseload data'!$C:$C,'custody %'!$T$64),"")</f>
        <v/>
      </c>
      <c r="V67" s="181" t="str">
        <f>IFERROR(SUMIFS('caseload data'!F:F,'caseload data'!$C:$C,'custody %'!$T$64,'caseload data'!$D:$D,"PSO",'caseload data'!$B:$B,"custody")/SUMIFS('caseload data'!F:F,'caseload data'!$B:$B,"custody",'caseload data'!$C:$C,'custody %'!$T$64),"")</f>
        <v/>
      </c>
      <c r="W67" s="181" t="str">
        <f>IFERROR(SUMIFS('caseload data'!G:G,'caseload data'!$C:$C,'custody %'!$T$64,'caseload data'!$D:$D,"PSO",'caseload data'!$B:$B,"custody")/SUMIFS('caseload data'!G:G,'caseload data'!$B:$B,"custody",'caseload data'!$C:$C,'custody %'!$T$64),"")</f>
        <v/>
      </c>
      <c r="X67" s="181" t="str">
        <f>IFERROR(SUMIFS('caseload data'!H:H,'caseload data'!$C:$C,'custody %'!$T$64,'caseload data'!$D:$D,"PSO",'caseload data'!$B:$B,"custody")/SUMIFS('caseload data'!H:H,'caseload data'!$B:$B,"custody",'caseload data'!$C:$C,'custody %'!$T$64),"")</f>
        <v/>
      </c>
      <c r="Y67" s="181" t="str">
        <f>IFERROR(SUMIFS('caseload data'!I:I,'caseload data'!$C:$C,'custody %'!$T$64,'caseload data'!$D:$D,"PSO",'caseload data'!$B:$B,"custody")/SUMIFS('caseload data'!I:I,'caseload data'!$B:$B,"custody",'caseload data'!$C:$C,'custody %'!$T$64),"")</f>
        <v/>
      </c>
      <c r="Z67" s="181" t="str">
        <f>IFERROR(SUMIFS('caseload data'!J:J,'caseload data'!$C:$C,'custody %'!$T$64,'caseload data'!$D:$D,"PSO",'caseload data'!$B:$B,"custody")/SUMIFS('caseload data'!J:J,'caseload data'!$B:$B,"custody",'caseload data'!$C:$C,'custody %'!$T$64),"")</f>
        <v/>
      </c>
      <c r="AA67" s="181" t="str">
        <f>IFERROR(SUMIFS('caseload data'!K:K,'caseload data'!$C:$C,'custody %'!$T$64,'caseload data'!$D:$D,"PSO",'caseload data'!$B:$B,"custody")/SUMIFS('caseload data'!K:K,'caseload data'!$B:$B,"custody",'caseload data'!$C:$C,'custody %'!$T$64),"")</f>
        <v/>
      </c>
      <c r="AB67" s="181" t="str">
        <f>IFERROR(SUMIFS('caseload data'!L:L,'caseload data'!$C:$C,'custody %'!$T$64,'caseload data'!$D:$D,"PSO",'caseload data'!$B:$B,"custody")/SUMIFS('caseload data'!L:L,'caseload data'!$B:$B,"custody",'caseload data'!$C:$C,'custody %'!$T$64),"")</f>
        <v/>
      </c>
      <c r="AC67" s="181" t="str">
        <f>IFERROR(SUMIFS('caseload data'!M:M,'caseload data'!$C:$C,'custody %'!$T$64,'caseload data'!$D:$D,"PSO",'caseload data'!$B:$B,"custody")/SUMIFS('caseload data'!M:M,'caseload data'!$B:$B,"custody",'caseload data'!$C:$C,'custody %'!$T$64),"")</f>
        <v/>
      </c>
      <c r="AD67" s="181" t="str">
        <f>IFERROR(SUMIFS('caseload data'!N:N,'caseload data'!$C:$C,'custody %'!$T$64,'caseload data'!$D:$D,"PSO",'caseload data'!$B:$B,"custody")/SUMIFS('caseload data'!N:N,'caseload data'!$B:$B,"custody",'caseload data'!$C:$C,'custody %'!$T$64),"")</f>
        <v/>
      </c>
      <c r="AE67" s="181" t="str">
        <f>IFERROR(SUMIFS('caseload data'!O:O,'caseload data'!$C:$C,'custody %'!$T$64,'caseload data'!$D:$D,"PSO",'caseload data'!$B:$B,"custody")/SUMIFS('caseload data'!O:O,'caseload data'!$B:$B,"custody",'caseload data'!$C:$C,'custody %'!$T$64),"")</f>
        <v/>
      </c>
      <c r="AF67" s="181" t="str">
        <f>IFERROR(SUMIFS('caseload data'!P:P,'caseload data'!$C:$C,'custody %'!$T$64,'caseload data'!$D:$D,"PSO",'caseload data'!$B:$B,"custody")/SUMIFS('caseload data'!P:P,'caseload data'!$B:$B,"custody",'caseload data'!$C:$C,'custody %'!$T$64),"")</f>
        <v/>
      </c>
      <c r="AG67" s="181" t="str">
        <f>IFERROR(SUMIFS('caseload data'!Q:Q,'caseload data'!$C:$C,'custody %'!$T$64,'caseload data'!$D:$D,"PSO",'caseload data'!$B:$B,"custody")/SUMIFS('caseload data'!Q:Q,'caseload data'!$B:$B,"custody",'caseload data'!$C:$C,'custody %'!$T$64),"")</f>
        <v/>
      </c>
      <c r="AH67" s="181" t="str">
        <f>IFERROR(SUMIFS('caseload data'!R:R,'caseload data'!$C:$C,'custody %'!$T$64,'caseload data'!$D:$D,"PSO",'caseload data'!$B:$B,"custody")/SUMIFS('caseload data'!R:R,'caseload data'!$B:$B,"custody",'caseload data'!$C:$C,'custody %'!$T$64),"")</f>
        <v/>
      </c>
      <c r="AI67" s="181"/>
      <c r="AJ67" s="181"/>
    </row>
    <row r="68" spans="2:36" x14ac:dyDescent="0.15">
      <c r="B68" s="107" t="s">
        <v>913</v>
      </c>
      <c r="C68" s="181" t="str">
        <f>IFERROR(SUMIFS('caseload data'!E:E,'caseload data'!$C:$C,'custody %'!$B$64,'caseload data'!$D:$D,"TPO",'caseload data'!$B:$B,"custody")/SUMIFS('caseload data'!E:E,'caseload data'!$B:$B,"custody",'caseload data'!$C:$C,'custody %'!$B$64),"")</f>
        <v/>
      </c>
      <c r="D68" s="181" t="str">
        <f>IFERROR(SUMIFS('caseload data'!F:F,'caseload data'!$C:$C,'custody %'!$B$64,'caseload data'!$D:$D,"TPO",'caseload data'!$B:$B,"custody")/SUMIFS('caseload data'!F:F,'caseload data'!$B:$B,"custody",'caseload data'!$C:$C,'custody %'!$B$64),"")</f>
        <v/>
      </c>
      <c r="E68" s="181" t="str">
        <f>IFERROR(SUMIFS('caseload data'!G:G,'caseload data'!$C:$C,'custody %'!$B$64,'caseload data'!$D:$D,"TPO",'caseload data'!$B:$B,"custody")/SUMIFS('caseload data'!G:G,'caseload data'!$B:$B,"custody",'caseload data'!$C:$C,'custody %'!$B$64),"")</f>
        <v/>
      </c>
      <c r="F68" s="181" t="str">
        <f>IFERROR(SUMIFS('caseload data'!H:H,'caseload data'!$C:$C,'custody %'!$B$64,'caseload data'!$D:$D,"TPO",'caseload data'!$B:$B,"custody")/SUMIFS('caseload data'!H:H,'caseload data'!$B:$B,"custody",'caseload data'!$C:$C,'custody %'!$B$64),"")</f>
        <v/>
      </c>
      <c r="G68" s="181" t="str">
        <f>IFERROR(SUMIFS('caseload data'!I:I,'caseload data'!$C:$C,'custody %'!$B$64,'caseload data'!$D:$D,"TPO",'caseload data'!$B:$B,"custody")/SUMIFS('caseload data'!I:I,'caseload data'!$B:$B,"custody",'caseload data'!$C:$C,'custody %'!$B$64),"")</f>
        <v/>
      </c>
      <c r="H68" s="181" t="str">
        <f>IFERROR(SUMIFS('caseload data'!J:J,'caseload data'!$C:$C,'custody %'!$B$64,'caseload data'!$D:$D,"TPO",'caseload data'!$B:$B,"custody")/SUMIFS('caseload data'!J:J,'caseload data'!$B:$B,"custody",'caseload data'!$C:$C,'custody %'!$B$64),"")</f>
        <v/>
      </c>
      <c r="I68" s="181" t="str">
        <f>IFERROR(SUMIFS('caseload data'!K:K,'caseload data'!$C:$C,'custody %'!$B$64,'caseload data'!$D:$D,"TPO",'caseload data'!$B:$B,"custody")/SUMIFS('caseload data'!K:K,'caseload data'!$B:$B,"custody",'caseload data'!$C:$C,'custody %'!$B$64),"")</f>
        <v/>
      </c>
      <c r="J68" s="181" t="str">
        <f>IFERROR(SUMIFS('caseload data'!L:L,'caseload data'!$C:$C,'custody %'!$B$64,'caseload data'!$D:$D,"TPO",'caseload data'!$B:$B,"custody")/SUMIFS('caseload data'!L:L,'caseload data'!$B:$B,"custody",'caseload data'!$C:$C,'custody %'!$B$64),"")</f>
        <v/>
      </c>
      <c r="K68" s="181" t="str">
        <f>IFERROR(SUMIFS('caseload data'!M:M,'caseload data'!$C:$C,'custody %'!$B$64,'caseload data'!$D:$D,"TPO",'caseload data'!$B:$B,"custody")/SUMIFS('caseload data'!M:M,'caseload data'!$B:$B,"custody",'caseload data'!$C:$C,'custody %'!$B$64),"")</f>
        <v/>
      </c>
      <c r="L68" s="181" t="str">
        <f>IFERROR(SUMIFS('caseload data'!N:N,'caseload data'!$C:$C,'custody %'!$B$64,'caseload data'!$D:$D,"TPO",'caseload data'!$B:$B,"custody")/SUMIFS('caseload data'!N:N,'caseload data'!$B:$B,"custody",'caseload data'!$C:$C,'custody %'!$B$64),"")</f>
        <v/>
      </c>
      <c r="M68" s="181" t="str">
        <f>IFERROR(SUMIFS('caseload data'!O:O,'caseload data'!$C:$C,'custody %'!$B$64,'caseload data'!$D:$D,"TPO",'caseload data'!$B:$B,"custody")/SUMIFS('caseload data'!O:O,'caseload data'!$B:$B,"custody",'caseload data'!$C:$C,'custody %'!$B$64),"")</f>
        <v/>
      </c>
      <c r="N68" s="181" t="str">
        <f>IFERROR(SUMIFS('caseload data'!P:P,'caseload data'!$C:$C,'custody %'!$B$64,'caseload data'!$D:$D,"TPO",'caseload data'!$B:$B,"custody")/SUMIFS('caseload data'!P:P,'caseload data'!$B:$B,"custody",'caseload data'!$C:$C,'custody %'!$B$64),"")</f>
        <v/>
      </c>
      <c r="O68" s="181" t="str">
        <f>IFERROR(SUMIFS('caseload data'!Q:Q,'caseload data'!$C:$C,'custody %'!$B$64,'caseload data'!$D:$D,"TPO",'caseload data'!$B:$B,"custody")/SUMIFS('caseload data'!Q:Q,'caseload data'!$B:$B,"custody",'caseload data'!$C:$C,'custody %'!$B$64),"")</f>
        <v/>
      </c>
      <c r="P68" s="181" t="str">
        <f>IFERROR(SUMIFS('caseload data'!R:R,'caseload data'!$C:$C,'custody %'!$B$64,'caseload data'!$D:$D,"TPO",'caseload data'!$B:$B,"custody")/SUMIFS('caseload data'!R:R,'caseload data'!$B:$B,"custody",'caseload data'!$C:$C,'custody %'!$B$64),"")</f>
        <v/>
      </c>
      <c r="Q68" s="181" t="str">
        <f>IFERROR(SUMIFS('caseload data'!S:S,'caseload data'!$C:$C,'custody %'!$B$64,'caseload data'!$D:$D,"TPO",'caseload data'!$B:$B,"custody")/SUMIFS('caseload data'!S:S,'caseload data'!$B:$B,"custody",'caseload data'!$C:$C,'custody %'!$B$64),"")</f>
        <v/>
      </c>
      <c r="R68" s="181" t="str">
        <f>IFERROR(SUMIFS('caseload data'!T:T,'caseload data'!$C:$C,'custody %'!$B$64,'caseload data'!$D:$D,"TPO",'caseload data'!$B:$B,"custody")/SUMIFS('caseload data'!T:T,'caseload data'!$B:$B,"custody",'caseload data'!$C:$C,'custody %'!$B$64),"")</f>
        <v/>
      </c>
      <c r="S68" s="73"/>
      <c r="T68" s="107" t="s">
        <v>913</v>
      </c>
      <c r="U68" s="181" t="str">
        <f>IFERROR(SUMIFS('caseload data'!E:E,'caseload data'!$C:$C,'custody %'!$T$64,'caseload data'!$D:$D,"TPO",'caseload data'!$B:$B,"custody")/SUMIFS('caseload data'!E:E,'caseload data'!$B:$B,"custody",'caseload data'!$C:$C,'custody %'!$T$64),"")</f>
        <v/>
      </c>
      <c r="V68" s="181" t="str">
        <f>IFERROR(SUMIFS('caseload data'!F:F,'caseload data'!$C:$C,'custody %'!$T$64,'caseload data'!$D:$D,"TPO",'caseload data'!$B:$B,"custody")/SUMIFS('caseload data'!F:F,'caseload data'!$B:$B,"custody",'caseload data'!$C:$C,'custody %'!$T$64),"")</f>
        <v/>
      </c>
      <c r="W68" s="181" t="str">
        <f>IFERROR(SUMIFS('caseload data'!G:G,'caseload data'!$C:$C,'custody %'!$T$64,'caseload data'!$D:$D,"TPO",'caseload data'!$B:$B,"custody")/SUMIFS('caseload data'!G:G,'caseload data'!$B:$B,"custody",'caseload data'!$C:$C,'custody %'!$T$64),"")</f>
        <v/>
      </c>
      <c r="X68" s="181" t="str">
        <f>IFERROR(SUMIFS('caseload data'!H:H,'caseload data'!$C:$C,'custody %'!$T$64,'caseload data'!$D:$D,"TPO",'caseload data'!$B:$B,"custody")/SUMIFS('caseload data'!H:H,'caseload data'!$B:$B,"custody",'caseload data'!$C:$C,'custody %'!$T$64),"")</f>
        <v/>
      </c>
      <c r="Y68" s="181" t="str">
        <f>IFERROR(SUMIFS('caseload data'!I:I,'caseload data'!$C:$C,'custody %'!$T$64,'caseload data'!$D:$D,"TPO",'caseload data'!$B:$B,"custody")/SUMIFS('caseload data'!I:I,'caseload data'!$B:$B,"custody",'caseload data'!$C:$C,'custody %'!$T$64),"")</f>
        <v/>
      </c>
      <c r="Z68" s="181" t="str">
        <f>IFERROR(SUMIFS('caseload data'!J:J,'caseload data'!$C:$C,'custody %'!$T$64,'caseload data'!$D:$D,"TPO",'caseload data'!$B:$B,"custody")/SUMIFS('caseload data'!J:J,'caseload data'!$B:$B,"custody",'caseload data'!$C:$C,'custody %'!$T$64),"")</f>
        <v/>
      </c>
      <c r="AA68" s="181" t="str">
        <f>IFERROR(SUMIFS('caseload data'!K:K,'caseload data'!$C:$C,'custody %'!$T$64,'caseload data'!$D:$D,"TPO",'caseload data'!$B:$B,"custody")/SUMIFS('caseload data'!K:K,'caseload data'!$B:$B,"custody",'caseload data'!$C:$C,'custody %'!$T$64),"")</f>
        <v/>
      </c>
      <c r="AB68" s="181" t="str">
        <f>IFERROR(SUMIFS('caseload data'!L:L,'caseload data'!$C:$C,'custody %'!$T$64,'caseload data'!$D:$D,"TPO",'caseload data'!$B:$B,"custody")/SUMIFS('caseload data'!L:L,'caseload data'!$B:$B,"custody",'caseload data'!$C:$C,'custody %'!$T$64),"")</f>
        <v/>
      </c>
      <c r="AC68" s="181" t="str">
        <f>IFERROR(SUMIFS('caseload data'!M:M,'caseload data'!$C:$C,'custody %'!$T$64,'caseload data'!$D:$D,"TPO",'caseload data'!$B:$B,"custody")/SUMIFS('caseload data'!M:M,'caseload data'!$B:$B,"custody",'caseload data'!$C:$C,'custody %'!$T$64),"")</f>
        <v/>
      </c>
      <c r="AD68" s="181" t="str">
        <f>IFERROR(SUMIFS('caseload data'!N:N,'caseload data'!$C:$C,'custody %'!$T$64,'caseload data'!$D:$D,"TPO",'caseload data'!$B:$B,"custody")/SUMIFS('caseload data'!N:N,'caseload data'!$B:$B,"custody",'caseload data'!$C:$C,'custody %'!$T$64),"")</f>
        <v/>
      </c>
      <c r="AE68" s="181" t="str">
        <f>IFERROR(SUMIFS('caseload data'!O:O,'caseload data'!$C:$C,'custody %'!$T$64,'caseload data'!$D:$D,"TPO",'caseload data'!$B:$B,"custody")/SUMIFS('caseload data'!O:O,'caseload data'!$B:$B,"custody",'caseload data'!$C:$C,'custody %'!$T$64),"")</f>
        <v/>
      </c>
      <c r="AF68" s="181" t="str">
        <f>IFERROR(SUMIFS('caseload data'!P:P,'caseload data'!$C:$C,'custody %'!$T$64,'caseload data'!$D:$D,"TPO",'caseload data'!$B:$B,"custody")/SUMIFS('caseload data'!P:P,'caseload data'!$B:$B,"custody",'caseload data'!$C:$C,'custody %'!$T$64),"")</f>
        <v/>
      </c>
      <c r="AG68" s="181" t="str">
        <f>IFERROR(SUMIFS('caseload data'!Q:Q,'caseload data'!$C:$C,'custody %'!$T$64,'caseload data'!$D:$D,"TPO",'caseload data'!$B:$B,"custody")/SUMIFS('caseload data'!Q:Q,'caseload data'!$B:$B,"custody",'caseload data'!$C:$C,'custody %'!$T$64),"")</f>
        <v/>
      </c>
      <c r="AH68" s="181" t="str">
        <f>IFERROR(SUMIFS('caseload data'!R:R,'caseload data'!$C:$C,'custody %'!$T$64,'caseload data'!$D:$D,"TPO",'caseload data'!$B:$B,"custody")/SUMIFS('caseload data'!R:R,'caseload data'!$B:$B,"custody",'caseload data'!$C:$C,'custody %'!$T$64),"")</f>
        <v/>
      </c>
      <c r="AI68" s="181"/>
      <c r="AJ68" s="181"/>
    </row>
    <row r="69" spans="2:36" x14ac:dyDescent="0.15">
      <c r="B69" s="108" t="s">
        <v>914</v>
      </c>
      <c r="C69" s="181" t="str">
        <f>IFERROR(SUMIFS('caseload data'!E:E,'caseload data'!$C:$C,'custody %'!$B$64,'caseload data'!$D:$D,"SPO",'caseload data'!$B:$B,"custody")/SUMIFS('caseload data'!E:E,'caseload data'!$B:$B,"custody",'caseload data'!$C:$C,'custody %'!$B$64),"")</f>
        <v/>
      </c>
      <c r="D69" s="181" t="str">
        <f>IFERROR(SUMIFS('caseload data'!F:F,'caseload data'!$C:$C,'custody %'!$B$64,'caseload data'!$D:$D,"SPO",'caseload data'!$B:$B,"custody")/SUMIFS('caseload data'!F:F,'caseload data'!$B:$B,"custody",'caseload data'!$C:$C,'custody %'!$B$64),"")</f>
        <v/>
      </c>
      <c r="E69" s="181" t="str">
        <f>IFERROR(SUMIFS('caseload data'!G:G,'caseload data'!$C:$C,'custody %'!$B$64,'caseload data'!$D:$D,"SPO",'caseload data'!$B:$B,"custody")/SUMIFS('caseload data'!G:G,'caseload data'!$B:$B,"custody",'caseload data'!$C:$C,'custody %'!$B$64),"")</f>
        <v/>
      </c>
      <c r="F69" s="181" t="str">
        <f>IFERROR(SUMIFS('caseload data'!H:H,'caseload data'!$C:$C,'custody %'!$B$64,'caseload data'!$D:$D,"SPO",'caseload data'!$B:$B,"custody")/SUMIFS('caseload data'!H:H,'caseload data'!$B:$B,"custody",'caseload data'!$C:$C,'custody %'!$B$64),"")</f>
        <v/>
      </c>
      <c r="G69" s="181" t="str">
        <f>IFERROR(SUMIFS('caseload data'!I:I,'caseload data'!$C:$C,'custody %'!$B$64,'caseload data'!$D:$D,"SPO",'caseload data'!$B:$B,"custody")/SUMIFS('caseload data'!I:I,'caseload data'!$B:$B,"custody",'caseload data'!$C:$C,'custody %'!$B$64),"")</f>
        <v/>
      </c>
      <c r="H69" s="181" t="str">
        <f>IFERROR(SUMIFS('caseload data'!J:J,'caseload data'!$C:$C,'custody %'!$B$64,'caseload data'!$D:$D,"SPO",'caseload data'!$B:$B,"custody")/SUMIFS('caseload data'!J:J,'caseload data'!$B:$B,"custody",'caseload data'!$C:$C,'custody %'!$B$64),"")</f>
        <v/>
      </c>
      <c r="I69" s="181" t="str">
        <f>IFERROR(SUMIFS('caseload data'!K:K,'caseload data'!$C:$C,'custody %'!$B$64,'caseload data'!$D:$D,"SPO",'caseload data'!$B:$B,"custody")/SUMIFS('caseload data'!K:K,'caseload data'!$B:$B,"custody",'caseload data'!$C:$C,'custody %'!$B$64),"")</f>
        <v/>
      </c>
      <c r="J69" s="181" t="str">
        <f>IFERROR(SUMIFS('caseload data'!L:L,'caseload data'!$C:$C,'custody %'!$B$64,'caseload data'!$D:$D,"SPO",'caseload data'!$B:$B,"custody")/SUMIFS('caseload data'!L:L,'caseload data'!$B:$B,"custody",'caseload data'!$C:$C,'custody %'!$B$64),"")</f>
        <v/>
      </c>
      <c r="K69" s="181" t="str">
        <f>IFERROR(SUMIFS('caseload data'!M:M,'caseload data'!$C:$C,'custody %'!$B$64,'caseload data'!$D:$D,"SPO",'caseload data'!$B:$B,"custody")/SUMIFS('caseload data'!M:M,'caseload data'!$B:$B,"custody",'caseload data'!$C:$C,'custody %'!$B$64),"")</f>
        <v/>
      </c>
      <c r="L69" s="181" t="str">
        <f>IFERROR(SUMIFS('caseload data'!N:N,'caseload data'!$C:$C,'custody %'!$B$64,'caseload data'!$D:$D,"SPO",'caseload data'!$B:$B,"custody")/SUMIFS('caseload data'!N:N,'caseload data'!$B:$B,"custody",'caseload data'!$C:$C,'custody %'!$B$64),"")</f>
        <v/>
      </c>
      <c r="M69" s="181" t="str">
        <f>IFERROR(SUMIFS('caseload data'!O:O,'caseload data'!$C:$C,'custody %'!$B$64,'caseload data'!$D:$D,"SPO",'caseload data'!$B:$B,"custody")/SUMIFS('caseload data'!O:O,'caseload data'!$B:$B,"custody",'caseload data'!$C:$C,'custody %'!$B$64),"")</f>
        <v/>
      </c>
      <c r="N69" s="181" t="str">
        <f>IFERROR(SUMIFS('caseload data'!P:P,'caseload data'!$C:$C,'custody %'!$B$64,'caseload data'!$D:$D,"SPO",'caseload data'!$B:$B,"custody")/SUMIFS('caseload data'!P:P,'caseload data'!$B:$B,"custody",'caseload data'!$C:$C,'custody %'!$B$64),"")</f>
        <v/>
      </c>
      <c r="O69" s="181" t="str">
        <f>IFERROR(SUMIFS('caseload data'!Q:Q,'caseload data'!$C:$C,'custody %'!$B$64,'caseload data'!$D:$D,"SPO",'caseload data'!$B:$B,"custody")/SUMIFS('caseload data'!Q:Q,'caseload data'!$B:$B,"custody",'caseload data'!$C:$C,'custody %'!$B$64),"")</f>
        <v/>
      </c>
      <c r="P69" s="181" t="str">
        <f>IFERROR(SUMIFS('caseload data'!R:R,'caseload data'!$C:$C,'custody %'!$B$64,'caseload data'!$D:$D,"SPO",'caseload data'!$B:$B,"custody")/SUMIFS('caseload data'!R:R,'caseload data'!$B:$B,"custody",'caseload data'!$C:$C,'custody %'!$B$64),"")</f>
        <v/>
      </c>
      <c r="Q69" s="181" t="str">
        <f>IFERROR(SUMIFS('caseload data'!S:S,'caseload data'!$C:$C,'custody %'!$B$64,'caseload data'!$D:$D,"SPO",'caseload data'!$B:$B,"custody")/SUMIFS('caseload data'!S:S,'caseload data'!$B:$B,"custody",'caseload data'!$C:$C,'custody %'!$B$64),"")</f>
        <v/>
      </c>
      <c r="R69" s="181" t="str">
        <f>IFERROR(SUMIFS('caseload data'!T:T,'caseload data'!$C:$C,'custody %'!$B$64,'caseload data'!$D:$D,"SPO",'caseload data'!$B:$B,"custody")/SUMIFS('caseload data'!T:T,'caseload data'!$B:$B,"custody",'caseload data'!$C:$C,'custody %'!$B$64),"")</f>
        <v/>
      </c>
      <c r="S69" s="73"/>
      <c r="T69" s="108" t="s">
        <v>914</v>
      </c>
      <c r="U69" s="181" t="str">
        <f>IFERROR(SUMIFS('caseload data'!E:E,'caseload data'!$C:$C,'custody %'!$T$64,'caseload data'!$D:$D,"SPO",'caseload data'!$B:$B,"custody")/SUMIFS('caseload data'!E:E,'caseload data'!$B:$B,"custody",'caseload data'!$C:$C,'custody %'!$T$64),"")</f>
        <v/>
      </c>
      <c r="V69" s="181" t="str">
        <f>IFERROR(SUMIFS('caseload data'!F:F,'caseload data'!$C:$C,'custody %'!$T$64,'caseload data'!$D:$D,"SPO",'caseload data'!$B:$B,"custody")/SUMIFS('caseload data'!F:F,'caseload data'!$B:$B,"custody",'caseload data'!$C:$C,'custody %'!$T$64),"")</f>
        <v/>
      </c>
      <c r="W69" s="181" t="str">
        <f>IFERROR(SUMIFS('caseload data'!G:G,'caseload data'!$C:$C,'custody %'!$T$64,'caseload data'!$D:$D,"SPO",'caseload data'!$B:$B,"custody")/SUMIFS('caseload data'!G:G,'caseload data'!$B:$B,"custody",'caseload data'!$C:$C,'custody %'!$T$64),"")</f>
        <v/>
      </c>
      <c r="X69" s="181" t="str">
        <f>IFERROR(SUMIFS('caseload data'!H:H,'caseload data'!$C:$C,'custody %'!$T$64,'caseload data'!$D:$D,"SPO",'caseload data'!$B:$B,"custody")/SUMIFS('caseload data'!H:H,'caseload data'!$B:$B,"custody",'caseload data'!$C:$C,'custody %'!$T$64),"")</f>
        <v/>
      </c>
      <c r="Y69" s="181" t="str">
        <f>IFERROR(SUMIFS('caseload data'!I:I,'caseload data'!$C:$C,'custody %'!$T$64,'caseload data'!$D:$D,"SPO",'caseload data'!$B:$B,"custody")/SUMIFS('caseload data'!I:I,'caseload data'!$B:$B,"custody",'caseload data'!$C:$C,'custody %'!$T$64),"")</f>
        <v/>
      </c>
      <c r="Z69" s="181" t="str">
        <f>IFERROR(SUMIFS('caseload data'!J:J,'caseload data'!$C:$C,'custody %'!$T$64,'caseload data'!$D:$D,"SPO",'caseload data'!$B:$B,"custody")/SUMIFS('caseload data'!J:J,'caseload data'!$B:$B,"custody",'caseload data'!$C:$C,'custody %'!$T$64),"")</f>
        <v/>
      </c>
      <c r="AA69" s="181" t="str">
        <f>IFERROR(SUMIFS('caseload data'!K:K,'caseload data'!$C:$C,'custody %'!$T$64,'caseload data'!$D:$D,"SPO",'caseload data'!$B:$B,"custody")/SUMIFS('caseload data'!K:K,'caseload data'!$B:$B,"custody",'caseload data'!$C:$C,'custody %'!$T$64),"")</f>
        <v/>
      </c>
      <c r="AB69" s="181" t="str">
        <f>IFERROR(SUMIFS('caseload data'!L:L,'caseload data'!$C:$C,'custody %'!$T$64,'caseload data'!$D:$D,"SPO",'caseload data'!$B:$B,"custody")/SUMIFS('caseload data'!L:L,'caseload data'!$B:$B,"custody",'caseload data'!$C:$C,'custody %'!$T$64),"")</f>
        <v/>
      </c>
      <c r="AC69" s="181" t="str">
        <f>IFERROR(SUMIFS('caseload data'!M:M,'caseload data'!$C:$C,'custody %'!$T$64,'caseload data'!$D:$D,"SPO",'caseload data'!$B:$B,"custody")/SUMIFS('caseload data'!M:M,'caseload data'!$B:$B,"custody",'caseload data'!$C:$C,'custody %'!$T$64),"")</f>
        <v/>
      </c>
      <c r="AD69" s="181" t="str">
        <f>IFERROR(SUMIFS('caseload data'!N:N,'caseload data'!$C:$C,'custody %'!$T$64,'caseload data'!$D:$D,"SPO",'caseload data'!$B:$B,"custody")/SUMIFS('caseload data'!N:N,'caseload data'!$B:$B,"custody",'caseload data'!$C:$C,'custody %'!$T$64),"")</f>
        <v/>
      </c>
      <c r="AE69" s="181" t="str">
        <f>IFERROR(SUMIFS('caseload data'!O:O,'caseload data'!$C:$C,'custody %'!$T$64,'caseload data'!$D:$D,"SPO",'caseload data'!$B:$B,"custody")/SUMIFS('caseload data'!O:O,'caseload data'!$B:$B,"custody",'caseload data'!$C:$C,'custody %'!$T$64),"")</f>
        <v/>
      </c>
      <c r="AF69" s="181" t="str">
        <f>IFERROR(SUMIFS('caseload data'!P:P,'caseload data'!$C:$C,'custody %'!$T$64,'caseload data'!$D:$D,"SPO",'caseload data'!$B:$B,"custody")/SUMIFS('caseload data'!P:P,'caseload data'!$B:$B,"custody",'caseload data'!$C:$C,'custody %'!$T$64),"")</f>
        <v/>
      </c>
      <c r="AG69" s="181" t="str">
        <f>IFERROR(SUMIFS('caseload data'!Q:Q,'caseload data'!$C:$C,'custody %'!$T$64,'caseload data'!$D:$D,"SPO",'caseload data'!$B:$B,"custody")/SUMIFS('caseload data'!Q:Q,'caseload data'!$B:$B,"custody",'caseload data'!$C:$C,'custody %'!$T$64),"")</f>
        <v/>
      </c>
      <c r="AH69" s="181" t="str">
        <f>IFERROR(SUMIFS('caseload data'!R:R,'caseload data'!$C:$C,'custody %'!$T$64,'caseload data'!$D:$D,"SPO",'caseload data'!$B:$B,"custody")/SUMIFS('caseload data'!R:R,'caseload data'!$B:$B,"custody",'caseload data'!$C:$C,'custody %'!$T$64),"")</f>
        <v/>
      </c>
      <c r="AI69" s="181"/>
      <c r="AJ69" s="181"/>
    </row>
    <row r="71" spans="2:36" x14ac:dyDescent="0.15">
      <c r="B71" s="156" t="str">
        <f>HLOOKUP($B$5,Region_Table,20,0)</f>
        <v>Redbridge and Waltham Forest</v>
      </c>
      <c r="C71" s="367" t="s">
        <v>1163</v>
      </c>
      <c r="D71" s="368"/>
      <c r="E71" s="368"/>
      <c r="F71" s="368"/>
      <c r="G71" s="368"/>
      <c r="H71" s="368"/>
      <c r="I71" s="368"/>
      <c r="J71" s="368"/>
      <c r="K71" s="368"/>
      <c r="L71" s="368"/>
      <c r="M71" s="377"/>
      <c r="N71" s="377"/>
      <c r="O71" s="378"/>
      <c r="P71" s="371">
        <f>SUMIF('caseload data'!$C:$C,'custody %'!B71,'caseload data'!V:V)</f>
        <v>0</v>
      </c>
      <c r="Q71" s="379"/>
      <c r="R71" s="380"/>
      <c r="T71" s="156" t="str">
        <f>HLOOKUP($B$5,Region_Table,21,0)</f>
        <v>Southwark - N07</v>
      </c>
      <c r="U71" s="367" t="s">
        <v>1163</v>
      </c>
      <c r="V71" s="368"/>
      <c r="W71" s="368"/>
      <c r="X71" s="368"/>
      <c r="Y71" s="368"/>
      <c r="Z71" s="368"/>
      <c r="AA71" s="368"/>
      <c r="AB71" s="368"/>
      <c r="AC71" s="377"/>
      <c r="AD71" s="377"/>
      <c r="AE71" s="378"/>
      <c r="AF71" s="371">
        <f>SUMIF('caseload data'!$C:$C,'custody %'!T71,'caseload data'!V:V)</f>
        <v>0</v>
      </c>
      <c r="AG71" s="379"/>
      <c r="AH71" s="380"/>
    </row>
    <row r="72" spans="2:36" x14ac:dyDescent="0.15">
      <c r="B72" s="105" t="s">
        <v>1065</v>
      </c>
      <c r="C72" s="41" t="s">
        <v>922</v>
      </c>
      <c r="D72" s="41" t="s">
        <v>923</v>
      </c>
      <c r="E72" s="41" t="s">
        <v>924</v>
      </c>
      <c r="F72" s="41" t="s">
        <v>925</v>
      </c>
      <c r="G72" s="41" t="s">
        <v>926</v>
      </c>
      <c r="H72" s="41" t="s">
        <v>927</v>
      </c>
      <c r="I72" s="41" t="s">
        <v>928</v>
      </c>
      <c r="J72" s="41" t="s">
        <v>929</v>
      </c>
      <c r="K72" s="41" t="s">
        <v>930</v>
      </c>
      <c r="L72" s="41" t="s">
        <v>931</v>
      </c>
      <c r="M72" s="41" t="s">
        <v>932</v>
      </c>
      <c r="N72" s="41" t="s">
        <v>933</v>
      </c>
      <c r="O72" s="41" t="s">
        <v>934</v>
      </c>
      <c r="P72" s="41" t="s">
        <v>935</v>
      </c>
      <c r="Q72" s="41" t="s">
        <v>936</v>
      </c>
      <c r="R72" s="41" t="s">
        <v>937</v>
      </c>
      <c r="T72" s="105" t="s">
        <v>1065</v>
      </c>
      <c r="U72" s="41" t="s">
        <v>922</v>
      </c>
      <c r="V72" s="41" t="s">
        <v>923</v>
      </c>
      <c r="W72" s="41" t="s">
        <v>924</v>
      </c>
      <c r="X72" s="41" t="s">
        <v>925</v>
      </c>
      <c r="Y72" s="41" t="s">
        <v>926</v>
      </c>
      <c r="Z72" s="41" t="s">
        <v>927</v>
      </c>
      <c r="AA72" s="41" t="s">
        <v>928</v>
      </c>
      <c r="AB72" s="41" t="s">
        <v>929</v>
      </c>
      <c r="AC72" s="41" t="s">
        <v>930</v>
      </c>
      <c r="AD72" s="41" t="s">
        <v>931</v>
      </c>
      <c r="AE72" s="41" t="s">
        <v>932</v>
      </c>
      <c r="AF72" s="41" t="s">
        <v>933</v>
      </c>
      <c r="AG72" s="41" t="s">
        <v>934</v>
      </c>
      <c r="AH72" s="41" t="s">
        <v>935</v>
      </c>
      <c r="AI72" s="41" t="s">
        <v>936</v>
      </c>
      <c r="AJ72" s="41" t="s">
        <v>937</v>
      </c>
    </row>
    <row r="73" spans="2:36" x14ac:dyDescent="0.15">
      <c r="B73" s="106" t="s">
        <v>911</v>
      </c>
      <c r="C73" s="181" t="str">
        <f>IFERROR(SUMIFS('caseload data'!E:E,'caseload data'!$C:$C,'custody %'!$B$71,'caseload data'!$D:$D,"PO",'caseload data'!$B:$B,"custody")/SUMIFS('caseload data'!E:E,'caseload data'!$B:$B,"custody",'caseload data'!$C:$C,'custody %'!$B$71),"")</f>
        <v/>
      </c>
      <c r="D73" s="181" t="str">
        <f>IFERROR(SUMIFS('caseload data'!F:F,'caseload data'!$C:$C,'custody %'!$B$71,'caseload data'!$D:$D,"PO",'caseload data'!$B:$B,"custody")/SUMIFS('caseload data'!F:F,'caseload data'!$B:$B,"custody",'caseload data'!$C:$C,'custody %'!$B$71),"")</f>
        <v/>
      </c>
      <c r="E73" s="181" t="str">
        <f>IFERROR(SUMIFS('caseload data'!G:G,'caseload data'!$C:$C,'custody %'!$B$71,'caseload data'!$D:$D,"PO",'caseload data'!$B:$B,"custody")/SUMIFS('caseload data'!G:G,'caseload data'!$B:$B,"custody",'caseload data'!$C:$C,'custody %'!$B$71),"")</f>
        <v/>
      </c>
      <c r="F73" s="181" t="str">
        <f>IFERROR(SUMIFS('caseload data'!H:H,'caseload data'!$C:$C,'custody %'!$B$71,'caseload data'!$D:$D,"PO",'caseload data'!$B:$B,"custody")/SUMIFS('caseload data'!H:H,'caseload data'!$B:$B,"custody",'caseload data'!$C:$C,'custody %'!$B$71),"")</f>
        <v/>
      </c>
      <c r="G73" s="181" t="str">
        <f>IFERROR(SUMIFS('caseload data'!I:I,'caseload data'!$C:$C,'custody %'!$B$71,'caseload data'!$D:$D,"PO",'caseload data'!$B:$B,"custody")/SUMIFS('caseload data'!I:I,'caseload data'!$B:$B,"custody",'caseload data'!$C:$C,'custody %'!$B$71),"")</f>
        <v/>
      </c>
      <c r="H73" s="181" t="str">
        <f>IFERROR(SUMIFS('caseload data'!J:J,'caseload data'!$C:$C,'custody %'!$B$71,'caseload data'!$D:$D,"PO",'caseload data'!$B:$B,"custody")/SUMIFS('caseload data'!J:J,'caseload data'!$B:$B,"custody",'caseload data'!$C:$C,'custody %'!$B$71),"")</f>
        <v/>
      </c>
      <c r="I73" s="181" t="str">
        <f>IFERROR(SUMIFS('caseload data'!K:K,'caseload data'!$C:$C,'custody %'!$B$71,'caseload data'!$D:$D,"PO",'caseload data'!$B:$B,"custody")/SUMIFS('caseload data'!K:K,'caseload data'!$B:$B,"custody",'caseload data'!$C:$C,'custody %'!$B$71),"")</f>
        <v/>
      </c>
      <c r="J73" s="181" t="str">
        <f>IFERROR(SUMIFS('caseload data'!L:L,'caseload data'!$C:$C,'custody %'!$B$71,'caseload data'!$D:$D,"PO",'caseload data'!$B:$B,"custody")/SUMIFS('caseload data'!L:L,'caseload data'!$B:$B,"custody",'caseload data'!$C:$C,'custody %'!$B$71),"")</f>
        <v/>
      </c>
      <c r="K73" s="181" t="str">
        <f>IFERROR(SUMIFS('caseload data'!M:M,'caseload data'!$C:$C,'custody %'!$B$71,'caseload data'!$D:$D,"PO",'caseload data'!$B:$B,"custody")/SUMIFS('caseload data'!M:M,'caseload data'!$B:$B,"custody",'caseload data'!$C:$C,'custody %'!$B$71),"")</f>
        <v/>
      </c>
      <c r="L73" s="181" t="str">
        <f>IFERROR(SUMIFS('caseload data'!N:N,'caseload data'!$C:$C,'custody %'!$B$71,'caseload data'!$D:$D,"PO",'caseload data'!$B:$B,"custody")/SUMIFS('caseload data'!N:N,'caseload data'!$B:$B,"custody",'caseload data'!$C:$C,'custody %'!$B$71),"")</f>
        <v/>
      </c>
      <c r="M73" s="181" t="str">
        <f>IFERROR(SUMIFS('caseload data'!O:O,'caseload data'!$C:$C,'custody %'!$B$71,'caseload data'!$D:$D,"PO",'caseload data'!$B:$B,"custody")/SUMIFS('caseload data'!O:O,'caseload data'!$B:$B,"custody",'caseload data'!$C:$C,'custody %'!$B$71),"")</f>
        <v/>
      </c>
      <c r="N73" s="181" t="str">
        <f>IFERROR(SUMIFS('caseload data'!P:P,'caseload data'!$C:$C,'custody %'!$B$71,'caseload data'!$D:$D,"PO",'caseload data'!$B:$B,"custody")/SUMIFS('caseload data'!P:P,'caseload data'!$B:$B,"custody",'caseload data'!$C:$C,'custody %'!$B$71),"")</f>
        <v/>
      </c>
      <c r="O73" s="181" t="str">
        <f>IFERROR(SUMIFS('caseload data'!Q:Q,'caseload data'!$C:$C,'custody %'!$B$71,'caseload data'!$D:$D,"PO",'caseload data'!$B:$B,"custody")/SUMIFS('caseload data'!Q:Q,'caseload data'!$B:$B,"custody",'caseload data'!$C:$C,'custody %'!$B$71),"")</f>
        <v/>
      </c>
      <c r="P73" s="181" t="str">
        <f>IFERROR(SUMIFS('caseload data'!R:R,'caseload data'!$C:$C,'custody %'!$B$71,'caseload data'!$D:$D,"PO",'caseload data'!$B:$B,"custody")/SUMIFS('caseload data'!R:R,'caseload data'!$B:$B,"custody",'caseload data'!$C:$C,'custody %'!$B$71),"")</f>
        <v/>
      </c>
      <c r="Q73" s="181" t="str">
        <f>IFERROR(SUMIFS('caseload data'!S:S,'caseload data'!$C:$C,'custody %'!$B$71,'caseload data'!$D:$D,"PO",'caseload data'!$B:$B,"custody")/SUMIFS('caseload data'!S:S,'caseload data'!$B:$B,"custody",'caseload data'!$C:$C,'custody %'!$B$71),"")</f>
        <v/>
      </c>
      <c r="R73" s="181" t="str">
        <f>IFERROR(SUMIFS('caseload data'!T:T,'caseload data'!$C:$C,'custody %'!$B$71,'caseload data'!$D:$D,"PO",'caseload data'!$B:$B,"custody")/SUMIFS('caseload data'!T:T,'caseload data'!$B:$B,"custody",'caseload data'!$C:$C,'custody %'!$B$71),"")</f>
        <v/>
      </c>
      <c r="T73" s="106" t="s">
        <v>911</v>
      </c>
      <c r="U73" s="181" t="str">
        <f>IFERROR(SUMIFS('caseload data'!E:E,'caseload data'!$C:$C,'custody %'!$T$71,'caseload data'!$D:$D,"PO",'caseload data'!$B:$B,"custody")/SUMIFS('caseload data'!E:E,'caseload data'!$B:$B,"custody",'caseload data'!$C:$C,'custody %'!$T$71),"")</f>
        <v/>
      </c>
      <c r="V73" s="181" t="str">
        <f>IFERROR(SUMIFS('caseload data'!F:F,'caseload data'!$C:$C,'custody %'!$T$71,'caseload data'!$D:$D,"PO",'caseload data'!$B:$B,"custody")/SUMIFS('caseload data'!F:F,'caseload data'!$B:$B,"custody",'caseload data'!$C:$C,'custody %'!$T$71),"")</f>
        <v/>
      </c>
      <c r="W73" s="181" t="str">
        <f>IFERROR(SUMIFS('caseload data'!G:G,'caseload data'!$C:$C,'custody %'!$T$71,'caseload data'!$D:$D,"PO",'caseload data'!$B:$B,"custody")/SUMIFS('caseload data'!G:G,'caseload data'!$B:$B,"custody",'caseload data'!$C:$C,'custody %'!$T$71),"")</f>
        <v/>
      </c>
      <c r="X73" s="181" t="str">
        <f>IFERROR(SUMIFS('caseload data'!H:H,'caseload data'!$C:$C,'custody %'!$T$71,'caseload data'!$D:$D,"PO",'caseload data'!$B:$B,"custody")/SUMIFS('caseload data'!H:H,'caseload data'!$B:$B,"custody",'caseload data'!$C:$C,'custody %'!$T$71),"")</f>
        <v/>
      </c>
      <c r="Y73" s="181" t="str">
        <f>IFERROR(SUMIFS('caseload data'!I:I,'caseload data'!$C:$C,'custody %'!$T$71,'caseload data'!$D:$D,"PO",'caseload data'!$B:$B,"custody")/SUMIFS('caseload data'!I:I,'caseload data'!$B:$B,"custody",'caseload data'!$C:$C,'custody %'!$T$71),"")</f>
        <v/>
      </c>
      <c r="Z73" s="181" t="str">
        <f>IFERROR(SUMIFS('caseload data'!J:J,'caseload data'!$C:$C,'custody %'!$T$71,'caseload data'!$D:$D,"PO",'caseload data'!$B:$B,"custody")/SUMIFS('caseload data'!J:J,'caseload data'!$B:$B,"custody",'caseload data'!$C:$C,'custody %'!$T$71),"")</f>
        <v/>
      </c>
      <c r="AA73" s="181" t="str">
        <f>IFERROR(SUMIFS('caseload data'!K:K,'caseload data'!$C:$C,'custody %'!$T$71,'caseload data'!$D:$D,"PO",'caseload data'!$B:$B,"custody")/SUMIFS('caseload data'!K:K,'caseload data'!$B:$B,"custody",'caseload data'!$C:$C,'custody %'!$T$71),"")</f>
        <v/>
      </c>
      <c r="AB73" s="181" t="str">
        <f>IFERROR(SUMIFS('caseload data'!L:L,'caseload data'!$C:$C,'custody %'!$T$71,'caseload data'!$D:$D,"PO",'caseload data'!$B:$B,"custody")/SUMIFS('caseload data'!L:L,'caseload data'!$B:$B,"custody",'caseload data'!$C:$C,'custody %'!$T$71),"")</f>
        <v/>
      </c>
      <c r="AC73" s="181" t="str">
        <f>IFERROR(SUMIFS('caseload data'!M:M,'caseload data'!$C:$C,'custody %'!$T$71,'caseload data'!$D:$D,"PO",'caseload data'!$B:$B,"custody")/SUMIFS('caseload data'!M:M,'caseload data'!$B:$B,"custody",'caseload data'!$C:$C,'custody %'!$T$71),"")</f>
        <v/>
      </c>
      <c r="AD73" s="181" t="str">
        <f>IFERROR(SUMIFS('caseload data'!N:N,'caseload data'!$C:$C,'custody %'!$T$71,'caseload data'!$D:$D,"PO",'caseload data'!$B:$B,"custody")/SUMIFS('caseload data'!N:N,'caseload data'!$B:$B,"custody",'caseload data'!$C:$C,'custody %'!$T$71),"")</f>
        <v/>
      </c>
      <c r="AE73" s="181" t="str">
        <f>IFERROR(SUMIFS('caseload data'!O:O,'caseload data'!$C:$C,'custody %'!$T$71,'caseload data'!$D:$D,"PO",'caseload data'!$B:$B,"custody")/SUMIFS('caseload data'!O:O,'caseload data'!$B:$B,"custody",'caseload data'!$C:$C,'custody %'!$T$71),"")</f>
        <v/>
      </c>
      <c r="AF73" s="181" t="str">
        <f>IFERROR(SUMIFS('caseload data'!P:P,'caseload data'!$C:$C,'custody %'!$T$71,'caseload data'!$D:$D,"PO",'caseload data'!$B:$B,"custody")/SUMIFS('caseload data'!P:P,'caseload data'!$B:$B,"custody",'caseload data'!$C:$C,'custody %'!$T$71),"")</f>
        <v/>
      </c>
      <c r="AG73" s="181" t="str">
        <f>IFERROR(SUMIFS('caseload data'!Q:Q,'caseload data'!$C:$C,'custody %'!$T$71,'caseload data'!$D:$D,"PO",'caseload data'!$B:$B,"custody")/SUMIFS('caseload data'!Q:Q,'caseload data'!$B:$B,"custody",'caseload data'!$C:$C,'custody %'!$T$71),"")</f>
        <v/>
      </c>
      <c r="AH73" s="181" t="str">
        <f>IFERROR(SUMIFS('caseload data'!R:R,'caseload data'!$C:$C,'custody %'!$T$71,'caseload data'!$D:$D,"PO",'caseload data'!$B:$B,"custody")/SUMIFS('caseload data'!R:R,'caseload data'!$B:$B,"custody",'caseload data'!$C:$C,'custody %'!$T$71),"")</f>
        <v/>
      </c>
      <c r="AI73" s="181"/>
      <c r="AJ73" s="181"/>
    </row>
    <row r="74" spans="2:36" x14ac:dyDescent="0.15">
      <c r="B74" s="107" t="s">
        <v>912</v>
      </c>
      <c r="C74" s="181" t="str">
        <f>IFERROR(SUMIFS('caseload data'!E:E,'caseload data'!$C:$C,'custody %'!$B$71,'caseload data'!$D:$D,"PSO",'caseload data'!$B:$B,"custody")/SUMIFS('caseload data'!E:E,'caseload data'!$B:$B,"custody",'caseload data'!$C:$C,'custody %'!$B$71),"")</f>
        <v/>
      </c>
      <c r="D74" s="181" t="str">
        <f>IFERROR(SUMIFS('caseload data'!F:F,'caseload data'!$C:$C,'custody %'!$B$71,'caseload data'!$D:$D,"PSO",'caseload data'!$B:$B,"custody")/SUMIFS('caseload data'!F:F,'caseload data'!$B:$B,"custody",'caseload data'!$C:$C,'custody %'!$B$71),"")</f>
        <v/>
      </c>
      <c r="E74" s="181" t="str">
        <f>IFERROR(SUMIFS('caseload data'!G:G,'caseload data'!$C:$C,'custody %'!$B$71,'caseload data'!$D:$D,"PSO",'caseload data'!$B:$B,"custody")/SUMIFS('caseload data'!G:G,'caseload data'!$B:$B,"custody",'caseload data'!$C:$C,'custody %'!$B$71),"")</f>
        <v/>
      </c>
      <c r="F74" s="181" t="str">
        <f>IFERROR(SUMIFS('caseload data'!H:H,'caseload data'!$C:$C,'custody %'!$B$71,'caseload data'!$D:$D,"PSO",'caseload data'!$B:$B,"custody")/SUMIFS('caseload data'!H:H,'caseload data'!$B:$B,"custody",'caseload data'!$C:$C,'custody %'!$B$71),"")</f>
        <v/>
      </c>
      <c r="G74" s="181" t="str">
        <f>IFERROR(SUMIFS('caseload data'!I:I,'caseload data'!$C:$C,'custody %'!$B$71,'caseload data'!$D:$D,"PSO",'caseload data'!$B:$B,"custody")/SUMIFS('caseload data'!I:I,'caseload data'!$B:$B,"custody",'caseload data'!$C:$C,'custody %'!$B$71),"")</f>
        <v/>
      </c>
      <c r="H74" s="181" t="str">
        <f>IFERROR(SUMIFS('caseload data'!J:J,'caseload data'!$C:$C,'custody %'!$B$71,'caseload data'!$D:$D,"PSO",'caseload data'!$B:$B,"custody")/SUMIFS('caseload data'!J:J,'caseload data'!$B:$B,"custody",'caseload data'!$C:$C,'custody %'!$B$71),"")</f>
        <v/>
      </c>
      <c r="I74" s="181" t="str">
        <f>IFERROR(SUMIFS('caseload data'!K:K,'caseload data'!$C:$C,'custody %'!$B$71,'caseload data'!$D:$D,"PSO",'caseload data'!$B:$B,"custody")/SUMIFS('caseload data'!K:K,'caseload data'!$B:$B,"custody",'caseload data'!$C:$C,'custody %'!$B$71),"")</f>
        <v/>
      </c>
      <c r="J74" s="181" t="str">
        <f>IFERROR(SUMIFS('caseload data'!L:L,'caseload data'!$C:$C,'custody %'!$B$71,'caseload data'!$D:$D,"PSO",'caseload data'!$B:$B,"custody")/SUMIFS('caseload data'!L:L,'caseload data'!$B:$B,"custody",'caseload data'!$C:$C,'custody %'!$B$71),"")</f>
        <v/>
      </c>
      <c r="K74" s="181" t="str">
        <f>IFERROR(SUMIFS('caseload data'!M:M,'caseload data'!$C:$C,'custody %'!$B$71,'caseload data'!$D:$D,"PSO",'caseload data'!$B:$B,"custody")/SUMIFS('caseload data'!M:M,'caseload data'!$B:$B,"custody",'caseload data'!$C:$C,'custody %'!$B$71),"")</f>
        <v/>
      </c>
      <c r="L74" s="181" t="str">
        <f>IFERROR(SUMIFS('caseload data'!N:N,'caseload data'!$C:$C,'custody %'!$B$71,'caseload data'!$D:$D,"PSO",'caseload data'!$B:$B,"custody")/SUMIFS('caseload data'!N:N,'caseload data'!$B:$B,"custody",'caseload data'!$C:$C,'custody %'!$B$71),"")</f>
        <v/>
      </c>
      <c r="M74" s="181" t="str">
        <f>IFERROR(SUMIFS('caseload data'!O:O,'caseload data'!$C:$C,'custody %'!$B$71,'caseload data'!$D:$D,"PSO",'caseload data'!$B:$B,"custody")/SUMIFS('caseload data'!O:O,'caseload data'!$B:$B,"custody",'caseload data'!$C:$C,'custody %'!$B$71),"")</f>
        <v/>
      </c>
      <c r="N74" s="181" t="str">
        <f>IFERROR(SUMIFS('caseload data'!P:P,'caseload data'!$C:$C,'custody %'!$B$71,'caseload data'!$D:$D,"PSO",'caseload data'!$B:$B,"custody")/SUMIFS('caseload data'!P:P,'caseload data'!$B:$B,"custody",'caseload data'!$C:$C,'custody %'!$B$71),"")</f>
        <v/>
      </c>
      <c r="O74" s="181" t="str">
        <f>IFERROR(SUMIFS('caseload data'!Q:Q,'caseload data'!$C:$C,'custody %'!$B$71,'caseload data'!$D:$D,"PSO",'caseload data'!$B:$B,"custody")/SUMIFS('caseload data'!Q:Q,'caseload data'!$B:$B,"custody",'caseload data'!$C:$C,'custody %'!$B$71),"")</f>
        <v/>
      </c>
      <c r="P74" s="181" t="str">
        <f>IFERROR(SUMIFS('caseload data'!R:R,'caseload data'!$C:$C,'custody %'!$B$71,'caseload data'!$D:$D,"PSO",'caseload data'!$B:$B,"custody")/SUMIFS('caseload data'!R:R,'caseload data'!$B:$B,"custody",'caseload data'!$C:$C,'custody %'!$B$71),"")</f>
        <v/>
      </c>
      <c r="Q74" s="181" t="str">
        <f>IFERROR(SUMIFS('caseload data'!S:S,'caseload data'!$C:$C,'custody %'!$B$71,'caseload data'!$D:$D,"PSO",'caseload data'!$B:$B,"custody")/SUMIFS('caseload data'!S:S,'caseload data'!$B:$B,"custody",'caseload data'!$C:$C,'custody %'!$B$71),"")</f>
        <v/>
      </c>
      <c r="R74" s="181" t="str">
        <f>IFERROR(SUMIFS('caseload data'!T:T,'caseload data'!$C:$C,'custody %'!$B$71,'caseload data'!$D:$D,"PSO",'caseload data'!$B:$B,"custody")/SUMIFS('caseload data'!T:T,'caseload data'!$B:$B,"custody",'caseload data'!$C:$C,'custody %'!$B$71),"")</f>
        <v/>
      </c>
      <c r="T74" s="107" t="s">
        <v>912</v>
      </c>
      <c r="U74" s="181" t="str">
        <f>IFERROR(SUMIFS('caseload data'!E:E,'caseload data'!$C:$C,'custody %'!$T$71,'caseload data'!$D:$D,"PSO",'caseload data'!$B:$B,"custody")/SUMIFS('caseload data'!E:E,'caseload data'!$B:$B,"custody",'caseload data'!$C:$C,'custody %'!$T$71),"")</f>
        <v/>
      </c>
      <c r="V74" s="181" t="str">
        <f>IFERROR(SUMIFS('caseload data'!F:F,'caseload data'!$C:$C,'custody %'!$T$71,'caseload data'!$D:$D,"PSO",'caseload data'!$B:$B,"custody")/SUMIFS('caseload data'!F:F,'caseload data'!$B:$B,"custody",'caseload data'!$C:$C,'custody %'!$T$71),"")</f>
        <v/>
      </c>
      <c r="W74" s="181" t="str">
        <f>IFERROR(SUMIFS('caseload data'!G:G,'caseload data'!$C:$C,'custody %'!$T$71,'caseload data'!$D:$D,"PSO",'caseload data'!$B:$B,"custody")/SUMIFS('caseload data'!G:G,'caseload data'!$B:$B,"custody",'caseload data'!$C:$C,'custody %'!$T$71),"")</f>
        <v/>
      </c>
      <c r="X74" s="181" t="str">
        <f>IFERROR(SUMIFS('caseload data'!H:H,'caseload data'!$C:$C,'custody %'!$T$71,'caseload data'!$D:$D,"PSO",'caseload data'!$B:$B,"custody")/SUMIFS('caseload data'!H:H,'caseload data'!$B:$B,"custody",'caseload data'!$C:$C,'custody %'!$T$71),"")</f>
        <v/>
      </c>
      <c r="Y74" s="181" t="str">
        <f>IFERROR(SUMIFS('caseload data'!I:I,'caseload data'!$C:$C,'custody %'!$T$71,'caseload data'!$D:$D,"PSO",'caseload data'!$B:$B,"custody")/SUMIFS('caseload data'!I:I,'caseload data'!$B:$B,"custody",'caseload data'!$C:$C,'custody %'!$T$71),"")</f>
        <v/>
      </c>
      <c r="Z74" s="181" t="str">
        <f>IFERROR(SUMIFS('caseload data'!J:J,'caseload data'!$C:$C,'custody %'!$T$71,'caseload data'!$D:$D,"PSO",'caseload data'!$B:$B,"custody")/SUMIFS('caseload data'!J:J,'caseload data'!$B:$B,"custody",'caseload data'!$C:$C,'custody %'!$T$71),"")</f>
        <v/>
      </c>
      <c r="AA74" s="181" t="str">
        <f>IFERROR(SUMIFS('caseload data'!K:K,'caseload data'!$C:$C,'custody %'!$T$71,'caseload data'!$D:$D,"PSO",'caseload data'!$B:$B,"custody")/SUMIFS('caseload data'!K:K,'caseload data'!$B:$B,"custody",'caseload data'!$C:$C,'custody %'!$T$71),"")</f>
        <v/>
      </c>
      <c r="AB74" s="181" t="str">
        <f>IFERROR(SUMIFS('caseload data'!L:L,'caseload data'!$C:$C,'custody %'!$T$71,'caseload data'!$D:$D,"PSO",'caseload data'!$B:$B,"custody")/SUMIFS('caseload data'!L:L,'caseload data'!$B:$B,"custody",'caseload data'!$C:$C,'custody %'!$T$71),"")</f>
        <v/>
      </c>
      <c r="AC74" s="181" t="str">
        <f>IFERROR(SUMIFS('caseload data'!M:M,'caseload data'!$C:$C,'custody %'!$T$71,'caseload data'!$D:$D,"PSO",'caseload data'!$B:$B,"custody")/SUMIFS('caseload data'!M:M,'caseload data'!$B:$B,"custody",'caseload data'!$C:$C,'custody %'!$T$71),"")</f>
        <v/>
      </c>
      <c r="AD74" s="181" t="str">
        <f>IFERROR(SUMIFS('caseload data'!N:N,'caseload data'!$C:$C,'custody %'!$T$71,'caseload data'!$D:$D,"PSO",'caseload data'!$B:$B,"custody")/SUMIFS('caseload data'!N:N,'caseload data'!$B:$B,"custody",'caseload data'!$C:$C,'custody %'!$T$71),"")</f>
        <v/>
      </c>
      <c r="AE74" s="181" t="str">
        <f>IFERROR(SUMIFS('caseload data'!O:O,'caseload data'!$C:$C,'custody %'!$T$71,'caseload data'!$D:$D,"PSO",'caseload data'!$B:$B,"custody")/SUMIFS('caseload data'!O:O,'caseload data'!$B:$B,"custody",'caseload data'!$C:$C,'custody %'!$T$71),"")</f>
        <v/>
      </c>
      <c r="AF74" s="181" t="str">
        <f>IFERROR(SUMIFS('caseload data'!P:P,'caseload data'!$C:$C,'custody %'!$T$71,'caseload data'!$D:$D,"PSO",'caseload data'!$B:$B,"custody")/SUMIFS('caseload data'!P:P,'caseload data'!$B:$B,"custody",'caseload data'!$C:$C,'custody %'!$T$71),"")</f>
        <v/>
      </c>
      <c r="AG74" s="181" t="str">
        <f>IFERROR(SUMIFS('caseload data'!Q:Q,'caseload data'!$C:$C,'custody %'!$T$71,'caseload data'!$D:$D,"PSO",'caseload data'!$B:$B,"custody")/SUMIFS('caseload data'!Q:Q,'caseload data'!$B:$B,"custody",'caseload data'!$C:$C,'custody %'!$T$71),"")</f>
        <v/>
      </c>
      <c r="AH74" s="181" t="str">
        <f>IFERROR(SUMIFS('caseload data'!R:R,'caseload data'!$C:$C,'custody %'!$T$71,'caseload data'!$D:$D,"PSO",'caseload data'!$B:$B,"custody")/SUMIFS('caseload data'!R:R,'caseload data'!$B:$B,"custody",'caseload data'!$C:$C,'custody %'!$T$71),"")</f>
        <v/>
      </c>
      <c r="AI74" s="181"/>
      <c r="AJ74" s="181"/>
    </row>
    <row r="75" spans="2:36" x14ac:dyDescent="0.15">
      <c r="B75" s="107" t="s">
        <v>913</v>
      </c>
      <c r="C75" s="181" t="str">
        <f>IFERROR(SUMIFS('caseload data'!E:E,'caseload data'!$C:$C,'custody %'!$B$71,'caseload data'!$D:$D,"TPO",'caseload data'!$B:$B,"custody")/SUMIFS('caseload data'!E:E,'caseload data'!$B:$B,"custody",'caseload data'!$C:$C,'custody %'!$B$71),"")</f>
        <v/>
      </c>
      <c r="D75" s="181" t="str">
        <f>IFERROR(SUMIFS('caseload data'!F:F,'caseload data'!$C:$C,'custody %'!$B$71,'caseload data'!$D:$D,"TPO",'caseload data'!$B:$B,"custody")/SUMIFS('caseload data'!F:F,'caseload data'!$B:$B,"custody",'caseload data'!$C:$C,'custody %'!$B$71),"")</f>
        <v/>
      </c>
      <c r="E75" s="181" t="str">
        <f>IFERROR(SUMIFS('caseload data'!G:G,'caseload data'!$C:$C,'custody %'!$B$71,'caseload data'!$D:$D,"TPO",'caseload data'!$B:$B,"custody")/SUMIFS('caseload data'!G:G,'caseload data'!$B:$B,"custody",'caseload data'!$C:$C,'custody %'!$B$71),"")</f>
        <v/>
      </c>
      <c r="F75" s="181" t="str">
        <f>IFERROR(SUMIFS('caseload data'!H:H,'caseload data'!$C:$C,'custody %'!$B$71,'caseload data'!$D:$D,"TPO",'caseload data'!$B:$B,"custody")/SUMIFS('caseload data'!H:H,'caseload data'!$B:$B,"custody",'caseload data'!$C:$C,'custody %'!$B$71),"")</f>
        <v/>
      </c>
      <c r="G75" s="181" t="str">
        <f>IFERROR(SUMIFS('caseload data'!I:I,'caseload data'!$C:$C,'custody %'!$B$71,'caseload data'!$D:$D,"TPO",'caseload data'!$B:$B,"custody")/SUMIFS('caseload data'!I:I,'caseload data'!$B:$B,"custody",'caseload data'!$C:$C,'custody %'!$B$71),"")</f>
        <v/>
      </c>
      <c r="H75" s="181" t="str">
        <f>IFERROR(SUMIFS('caseload data'!J:J,'caseload data'!$C:$C,'custody %'!$B$71,'caseload data'!$D:$D,"TPO",'caseload data'!$B:$B,"custody")/SUMIFS('caseload data'!J:J,'caseload data'!$B:$B,"custody",'caseload data'!$C:$C,'custody %'!$B$71),"")</f>
        <v/>
      </c>
      <c r="I75" s="181" t="str">
        <f>IFERROR(SUMIFS('caseload data'!K:K,'caseload data'!$C:$C,'custody %'!$B$71,'caseload data'!$D:$D,"TPO",'caseload data'!$B:$B,"custody")/SUMIFS('caseload data'!K:K,'caseload data'!$B:$B,"custody",'caseload data'!$C:$C,'custody %'!$B$71),"")</f>
        <v/>
      </c>
      <c r="J75" s="181" t="str">
        <f>IFERROR(SUMIFS('caseload data'!L:L,'caseload data'!$C:$C,'custody %'!$B$71,'caseload data'!$D:$D,"TPO",'caseload data'!$B:$B,"custody")/SUMIFS('caseload data'!L:L,'caseload data'!$B:$B,"custody",'caseload data'!$C:$C,'custody %'!$B$71),"")</f>
        <v/>
      </c>
      <c r="K75" s="181" t="str">
        <f>IFERROR(SUMIFS('caseload data'!M:M,'caseload data'!$C:$C,'custody %'!$B$71,'caseload data'!$D:$D,"TPO",'caseload data'!$B:$B,"custody")/SUMIFS('caseload data'!M:M,'caseload data'!$B:$B,"custody",'caseload data'!$C:$C,'custody %'!$B$71),"")</f>
        <v/>
      </c>
      <c r="L75" s="181" t="str">
        <f>IFERROR(SUMIFS('caseload data'!N:N,'caseload data'!$C:$C,'custody %'!$B$71,'caseload data'!$D:$D,"TPO",'caseload data'!$B:$B,"custody")/SUMIFS('caseload data'!N:N,'caseload data'!$B:$B,"custody",'caseload data'!$C:$C,'custody %'!$B$71),"")</f>
        <v/>
      </c>
      <c r="M75" s="181" t="str">
        <f>IFERROR(SUMIFS('caseload data'!O:O,'caseload data'!$C:$C,'custody %'!$B$71,'caseload data'!$D:$D,"TPO",'caseload data'!$B:$B,"custody")/SUMIFS('caseload data'!O:O,'caseload data'!$B:$B,"custody",'caseload data'!$C:$C,'custody %'!$B$71),"")</f>
        <v/>
      </c>
      <c r="N75" s="181" t="str">
        <f>IFERROR(SUMIFS('caseload data'!P:P,'caseload data'!$C:$C,'custody %'!$B$71,'caseload data'!$D:$D,"TPO",'caseload data'!$B:$B,"custody")/SUMIFS('caseload data'!P:P,'caseload data'!$B:$B,"custody",'caseload data'!$C:$C,'custody %'!$B$71),"")</f>
        <v/>
      </c>
      <c r="O75" s="181" t="str">
        <f>IFERROR(SUMIFS('caseload data'!Q:Q,'caseload data'!$C:$C,'custody %'!$B$71,'caseload data'!$D:$D,"TPO",'caseload data'!$B:$B,"custody")/SUMIFS('caseload data'!Q:Q,'caseload data'!$B:$B,"custody",'caseload data'!$C:$C,'custody %'!$B$71),"")</f>
        <v/>
      </c>
      <c r="P75" s="181" t="str">
        <f>IFERROR(SUMIFS('caseload data'!R:R,'caseload data'!$C:$C,'custody %'!$B$71,'caseload data'!$D:$D,"TPO",'caseload data'!$B:$B,"custody")/SUMIFS('caseload data'!R:R,'caseload data'!$B:$B,"custody",'caseload data'!$C:$C,'custody %'!$B$71),"")</f>
        <v/>
      </c>
      <c r="Q75" s="181" t="str">
        <f>IFERROR(SUMIFS('caseload data'!S:S,'caseload data'!$C:$C,'custody %'!$B$71,'caseload data'!$D:$D,"TPO",'caseload data'!$B:$B,"custody")/SUMIFS('caseload data'!S:S,'caseload data'!$B:$B,"custody",'caseload data'!$C:$C,'custody %'!$B$71),"")</f>
        <v/>
      </c>
      <c r="R75" s="181" t="str">
        <f>IFERROR(SUMIFS('caseload data'!T:T,'caseload data'!$C:$C,'custody %'!$B$71,'caseload data'!$D:$D,"TPO",'caseload data'!$B:$B,"custody")/SUMIFS('caseload data'!T:T,'caseload data'!$B:$B,"custody",'caseload data'!$C:$C,'custody %'!$B$71),"")</f>
        <v/>
      </c>
      <c r="T75" s="107" t="s">
        <v>913</v>
      </c>
      <c r="U75" s="181" t="str">
        <f>IFERROR(SUMIFS('caseload data'!E:E,'caseload data'!$C:$C,'custody %'!$T$71,'caseload data'!$D:$D,"TPO",'caseload data'!$B:$B,"custody")/SUMIFS('caseload data'!E:E,'caseload data'!$B:$B,"custody",'caseload data'!$C:$C,'custody %'!$T$71),"")</f>
        <v/>
      </c>
      <c r="V75" s="181" t="str">
        <f>IFERROR(SUMIFS('caseload data'!F:F,'caseload data'!$C:$C,'custody %'!$T$71,'caseload data'!$D:$D,"TPO",'caseload data'!$B:$B,"custody")/SUMIFS('caseload data'!F:F,'caseload data'!$B:$B,"custody",'caseload data'!$C:$C,'custody %'!$T$71),"")</f>
        <v/>
      </c>
      <c r="W75" s="181" t="str">
        <f>IFERROR(SUMIFS('caseload data'!G:G,'caseload data'!$C:$C,'custody %'!$T$71,'caseload data'!$D:$D,"TPO",'caseload data'!$B:$B,"custody")/SUMIFS('caseload data'!G:G,'caseload data'!$B:$B,"custody",'caseload data'!$C:$C,'custody %'!$T$71),"")</f>
        <v/>
      </c>
      <c r="X75" s="181" t="str">
        <f>IFERROR(SUMIFS('caseload data'!H:H,'caseload data'!$C:$C,'custody %'!$T$71,'caseload data'!$D:$D,"TPO",'caseload data'!$B:$B,"custody")/SUMIFS('caseload data'!H:H,'caseload data'!$B:$B,"custody",'caseload data'!$C:$C,'custody %'!$T$71),"")</f>
        <v/>
      </c>
      <c r="Y75" s="181" t="str">
        <f>IFERROR(SUMIFS('caseload data'!I:I,'caseload data'!$C:$C,'custody %'!$T$71,'caseload data'!$D:$D,"TPO",'caseload data'!$B:$B,"custody")/SUMIFS('caseload data'!I:I,'caseload data'!$B:$B,"custody",'caseload data'!$C:$C,'custody %'!$T$71),"")</f>
        <v/>
      </c>
      <c r="Z75" s="181" t="str">
        <f>IFERROR(SUMIFS('caseload data'!J:J,'caseload data'!$C:$C,'custody %'!$T$71,'caseload data'!$D:$D,"TPO",'caseload data'!$B:$B,"custody")/SUMIFS('caseload data'!J:J,'caseload data'!$B:$B,"custody",'caseload data'!$C:$C,'custody %'!$T$71),"")</f>
        <v/>
      </c>
      <c r="AA75" s="181" t="str">
        <f>IFERROR(SUMIFS('caseload data'!K:K,'caseload data'!$C:$C,'custody %'!$T$71,'caseload data'!$D:$D,"TPO",'caseload data'!$B:$B,"custody")/SUMIFS('caseload data'!K:K,'caseload data'!$B:$B,"custody",'caseload data'!$C:$C,'custody %'!$T$71),"")</f>
        <v/>
      </c>
      <c r="AB75" s="181" t="str">
        <f>IFERROR(SUMIFS('caseload data'!L:L,'caseload data'!$C:$C,'custody %'!$T$71,'caseload data'!$D:$D,"TPO",'caseload data'!$B:$B,"custody")/SUMIFS('caseload data'!L:L,'caseload data'!$B:$B,"custody",'caseload data'!$C:$C,'custody %'!$T$71),"")</f>
        <v/>
      </c>
      <c r="AC75" s="181" t="str">
        <f>IFERROR(SUMIFS('caseload data'!M:M,'caseload data'!$C:$C,'custody %'!$T$71,'caseload data'!$D:$D,"TPO",'caseload data'!$B:$B,"custody")/SUMIFS('caseload data'!M:M,'caseload data'!$B:$B,"custody",'caseload data'!$C:$C,'custody %'!$T$71),"")</f>
        <v/>
      </c>
      <c r="AD75" s="181" t="str">
        <f>IFERROR(SUMIFS('caseload data'!N:N,'caseload data'!$C:$C,'custody %'!$T$71,'caseload data'!$D:$D,"TPO",'caseload data'!$B:$B,"custody")/SUMIFS('caseload data'!N:N,'caseload data'!$B:$B,"custody",'caseload data'!$C:$C,'custody %'!$T$71),"")</f>
        <v/>
      </c>
      <c r="AE75" s="181" t="str">
        <f>IFERROR(SUMIFS('caseload data'!O:O,'caseload data'!$C:$C,'custody %'!$T$71,'caseload data'!$D:$D,"TPO",'caseload data'!$B:$B,"custody")/SUMIFS('caseload data'!O:O,'caseload data'!$B:$B,"custody",'caseload data'!$C:$C,'custody %'!$T$71),"")</f>
        <v/>
      </c>
      <c r="AF75" s="181" t="str">
        <f>IFERROR(SUMIFS('caseload data'!P:P,'caseload data'!$C:$C,'custody %'!$T$71,'caseload data'!$D:$D,"TPO",'caseload data'!$B:$B,"custody")/SUMIFS('caseload data'!P:P,'caseload data'!$B:$B,"custody",'caseload data'!$C:$C,'custody %'!$T$71),"")</f>
        <v/>
      </c>
      <c r="AG75" s="181" t="str">
        <f>IFERROR(SUMIFS('caseload data'!Q:Q,'caseload data'!$C:$C,'custody %'!$T$71,'caseload data'!$D:$D,"TPO",'caseload data'!$B:$B,"custody")/SUMIFS('caseload data'!Q:Q,'caseload data'!$B:$B,"custody",'caseload data'!$C:$C,'custody %'!$T$71),"")</f>
        <v/>
      </c>
      <c r="AH75" s="181" t="str">
        <f>IFERROR(SUMIFS('caseload data'!R:R,'caseload data'!$C:$C,'custody %'!$T$71,'caseload data'!$D:$D,"TPO",'caseload data'!$B:$B,"custody")/SUMIFS('caseload data'!R:R,'caseload data'!$B:$B,"custody",'caseload data'!$C:$C,'custody %'!$T$71),"")</f>
        <v/>
      </c>
      <c r="AI75" s="181"/>
      <c r="AJ75" s="181"/>
    </row>
    <row r="76" spans="2:36" x14ac:dyDescent="0.15">
      <c r="B76" s="108" t="s">
        <v>914</v>
      </c>
      <c r="C76" s="181" t="str">
        <f>IFERROR(SUMIFS('caseload data'!E:E,'caseload data'!$C:$C,'custody %'!$B$71,'caseload data'!$D:$D,"SPO",'caseload data'!$B:$B,"custody")/SUMIFS('caseload data'!E:E,'caseload data'!$B:$B,"custody",'caseload data'!$C:$C,'custody %'!$B$71),"")</f>
        <v/>
      </c>
      <c r="D76" s="181" t="str">
        <f>IFERROR(SUMIFS('caseload data'!F:F,'caseload data'!$C:$C,'custody %'!$B$71,'caseload data'!$D:$D,"SPO",'caseload data'!$B:$B,"custody")/SUMIFS('caseload data'!F:F,'caseload data'!$B:$B,"custody",'caseload data'!$C:$C,'custody %'!$B$71),"")</f>
        <v/>
      </c>
      <c r="E76" s="181" t="str">
        <f>IFERROR(SUMIFS('caseload data'!G:G,'caseload data'!$C:$C,'custody %'!$B$71,'caseload data'!$D:$D,"SPO",'caseload data'!$B:$B,"custody")/SUMIFS('caseload data'!G:G,'caseload data'!$B:$B,"custody",'caseload data'!$C:$C,'custody %'!$B$71),"")</f>
        <v/>
      </c>
      <c r="F76" s="181" t="str">
        <f>IFERROR(SUMIFS('caseload data'!H:H,'caseload data'!$C:$C,'custody %'!$B$71,'caseload data'!$D:$D,"SPO",'caseload data'!$B:$B,"custody")/SUMIFS('caseload data'!H:H,'caseload data'!$B:$B,"custody",'caseload data'!$C:$C,'custody %'!$B$71),"")</f>
        <v/>
      </c>
      <c r="G76" s="181" t="str">
        <f>IFERROR(SUMIFS('caseload data'!I:I,'caseload data'!$C:$C,'custody %'!$B$71,'caseload data'!$D:$D,"SPO",'caseload data'!$B:$B,"custody")/SUMIFS('caseload data'!I:I,'caseload data'!$B:$B,"custody",'caseload data'!$C:$C,'custody %'!$B$71),"")</f>
        <v/>
      </c>
      <c r="H76" s="181" t="str">
        <f>IFERROR(SUMIFS('caseload data'!J:J,'caseload data'!$C:$C,'custody %'!$B$71,'caseload data'!$D:$D,"SPO",'caseload data'!$B:$B,"custody")/SUMIFS('caseload data'!J:J,'caseload data'!$B:$B,"custody",'caseload data'!$C:$C,'custody %'!$B$71),"")</f>
        <v/>
      </c>
      <c r="I76" s="181" t="str">
        <f>IFERROR(SUMIFS('caseload data'!K:K,'caseload data'!$C:$C,'custody %'!$B$71,'caseload data'!$D:$D,"SPO",'caseload data'!$B:$B,"custody")/SUMIFS('caseload data'!K:K,'caseload data'!$B:$B,"custody",'caseload data'!$C:$C,'custody %'!$B$71),"")</f>
        <v/>
      </c>
      <c r="J76" s="181" t="str">
        <f>IFERROR(SUMIFS('caseload data'!L:L,'caseload data'!$C:$C,'custody %'!$B$71,'caseload data'!$D:$D,"SPO",'caseload data'!$B:$B,"custody")/SUMIFS('caseload data'!L:L,'caseload data'!$B:$B,"custody",'caseload data'!$C:$C,'custody %'!$B$71),"")</f>
        <v/>
      </c>
      <c r="K76" s="181" t="str">
        <f>IFERROR(SUMIFS('caseload data'!M:M,'caseload data'!$C:$C,'custody %'!$B$71,'caseload data'!$D:$D,"SPO",'caseload data'!$B:$B,"custody")/SUMIFS('caseload data'!M:M,'caseload data'!$B:$B,"custody",'caseload data'!$C:$C,'custody %'!$B$71),"")</f>
        <v/>
      </c>
      <c r="L76" s="181" t="str">
        <f>IFERROR(SUMIFS('caseload data'!N:N,'caseload data'!$C:$C,'custody %'!$B$71,'caseload data'!$D:$D,"TPO",'caseload data'!$B:$B,"custody")/SUMIFS('caseload data'!N:N,'caseload data'!$B:$B,"custody",'caseload data'!$C:$C,'custody %'!$B$71),"")</f>
        <v/>
      </c>
      <c r="M76" s="181" t="str">
        <f>IFERROR(SUMIFS('caseload data'!O:O,'caseload data'!$C:$C,'custody %'!$B$71,'caseload data'!$D:$D,"SPO",'caseload data'!$B:$B,"custody")/SUMIFS('caseload data'!O:O,'caseload data'!$B:$B,"custody",'caseload data'!$C:$C,'custody %'!$B$71),"")</f>
        <v/>
      </c>
      <c r="N76" s="181" t="str">
        <f>IFERROR(SUMIFS('caseload data'!P:P,'caseload data'!$C:$C,'custody %'!$B$71,'caseload data'!$D:$D,"SPO",'caseload data'!$B:$B,"custody")/SUMIFS('caseload data'!P:P,'caseload data'!$B:$B,"custody",'caseload data'!$C:$C,'custody %'!$B$71),"")</f>
        <v/>
      </c>
      <c r="O76" s="181" t="str">
        <f>IFERROR(SUMIFS('caseload data'!Q:Q,'caseload data'!$C:$C,'custody %'!$B$71,'caseload data'!$D:$D,"SPO",'caseload data'!$B:$B,"custody")/SUMIFS('caseload data'!Q:Q,'caseload data'!$B:$B,"custody",'caseload data'!$C:$C,'custody %'!$B$71),"")</f>
        <v/>
      </c>
      <c r="P76" s="181" t="str">
        <f>IFERROR(SUMIFS('caseload data'!R:R,'caseload data'!$C:$C,'custody %'!$B$71,'caseload data'!$D:$D,"SPO",'caseload data'!$B:$B,"custody")/SUMIFS('caseload data'!R:R,'caseload data'!$B:$B,"custody",'caseload data'!$C:$C,'custody %'!$B$71),"")</f>
        <v/>
      </c>
      <c r="Q76" s="181" t="str">
        <f>IFERROR(SUMIFS('caseload data'!S:S,'caseload data'!$C:$C,'custody %'!$B$71,'caseload data'!$D:$D,"SPO",'caseload data'!$B:$B,"custody")/SUMIFS('caseload data'!S:S,'caseload data'!$B:$B,"custody",'caseload data'!$C:$C,'custody %'!$B$71),"")</f>
        <v/>
      </c>
      <c r="R76" s="181" t="str">
        <f>IFERROR(SUMIFS('caseload data'!T:T,'caseload data'!$C:$C,'custody %'!$B$71,'caseload data'!$D:$D,"SPO",'caseload data'!$B:$B,"custody")/SUMIFS('caseload data'!T:T,'caseload data'!$B:$B,"custody",'caseload data'!$C:$C,'custody %'!$B$71),"")</f>
        <v/>
      </c>
      <c r="T76" s="108" t="s">
        <v>914</v>
      </c>
      <c r="U76" s="181" t="str">
        <f>IFERROR(SUMIFS('caseload data'!E:E,'caseload data'!$C:$C,'custody %'!$T$71,'caseload data'!$D:$D,"SPO",'caseload data'!$B:$B,"custody")/SUMIFS('caseload data'!E:E,'caseload data'!$B:$B,"custody",'caseload data'!$C:$C,'custody %'!$T$71),"")</f>
        <v/>
      </c>
      <c r="V76" s="181" t="str">
        <f>IFERROR(SUMIFS('caseload data'!F:F,'caseload data'!$C:$C,'custody %'!$T$71,'caseload data'!$D:$D,"SPO",'caseload data'!$B:$B,"custody")/SUMIFS('caseload data'!F:F,'caseload data'!$B:$B,"custody",'caseload data'!$C:$C,'custody %'!$T$71),"")</f>
        <v/>
      </c>
      <c r="W76" s="181" t="str">
        <f>IFERROR(SUMIFS('caseload data'!G:G,'caseload data'!$C:$C,'custody %'!$T$71,'caseload data'!$D:$D,"SPO",'caseload data'!$B:$B,"custody")/SUMIFS('caseload data'!G:G,'caseload data'!$B:$B,"custody",'caseload data'!$C:$C,'custody %'!$T$71),"")</f>
        <v/>
      </c>
      <c r="X76" s="181" t="str">
        <f>IFERROR(SUMIFS('caseload data'!H:H,'caseload data'!$C:$C,'custody %'!$T$71,'caseload data'!$D:$D,"SPO",'caseload data'!$B:$B,"custody")/SUMIFS('caseload data'!H:H,'caseload data'!$B:$B,"custody",'caseload data'!$C:$C,'custody %'!$T$71),"")</f>
        <v/>
      </c>
      <c r="Y76" s="181" t="str">
        <f>IFERROR(SUMIFS('caseload data'!I:I,'caseload data'!$C:$C,'custody %'!$T$71,'caseload data'!$D:$D,"SPO",'caseload data'!$B:$B,"custody")/SUMIFS('caseload data'!I:I,'caseload data'!$B:$B,"custody",'caseload data'!$C:$C,'custody %'!$T$71),"")</f>
        <v/>
      </c>
      <c r="Z76" s="181" t="str">
        <f>IFERROR(SUMIFS('caseload data'!J:J,'caseload data'!$C:$C,'custody %'!$T$71,'caseload data'!$D:$D,"SPO",'caseload data'!$B:$B,"custody")/SUMIFS('caseload data'!J:J,'caseload data'!$B:$B,"custody",'caseload data'!$C:$C,'custody %'!$T$71),"")</f>
        <v/>
      </c>
      <c r="AA76" s="181" t="str">
        <f>IFERROR(SUMIFS('caseload data'!K:K,'caseload data'!$C:$C,'custody %'!$T$71,'caseload data'!$D:$D,"SPO",'caseload data'!$B:$B,"custody")/SUMIFS('caseload data'!K:K,'caseload data'!$B:$B,"custody",'caseload data'!$C:$C,'custody %'!$T$71),"")</f>
        <v/>
      </c>
      <c r="AB76" s="181" t="str">
        <f>IFERROR(SUMIFS('caseload data'!L:L,'caseload data'!$C:$C,'custody %'!$T$71,'caseload data'!$D:$D,"SPO",'caseload data'!$B:$B,"custody")/SUMIFS('caseload data'!L:L,'caseload data'!$B:$B,"custody",'caseload data'!$C:$C,'custody %'!$T$71),"")</f>
        <v/>
      </c>
      <c r="AC76" s="181" t="str">
        <f>IFERROR(SUMIFS('caseload data'!M:M,'caseload data'!$C:$C,'custody %'!$T$71,'caseload data'!$D:$D,"SPO",'caseload data'!$B:$B,"custody")/SUMIFS('caseload data'!M:M,'caseload data'!$B:$B,"custody",'caseload data'!$C:$C,'custody %'!$T$71),"")</f>
        <v/>
      </c>
      <c r="AD76" s="181" t="str">
        <f>IFERROR(SUMIFS('caseload data'!N:N,'caseload data'!$C:$C,'custody %'!$T$71,'caseload data'!$D:$D,"SPO",'caseload data'!$B:$B,"custody")/SUMIFS('caseload data'!N:N,'caseload data'!$B:$B,"custody",'caseload data'!$C:$C,'custody %'!$T$71),"")</f>
        <v/>
      </c>
      <c r="AE76" s="181" t="str">
        <f>IFERROR(SUMIFS('caseload data'!O:O,'caseload data'!$C:$C,'custody %'!$T$71,'caseload data'!$D:$D,"SPO",'caseload data'!$B:$B,"custody")/SUMIFS('caseload data'!O:O,'caseload data'!$B:$B,"custody",'caseload data'!$C:$C,'custody %'!$T$71),"")</f>
        <v/>
      </c>
      <c r="AF76" s="181" t="str">
        <f>IFERROR(SUMIFS('caseload data'!P:P,'caseload data'!$C:$C,'custody %'!$T$71,'caseload data'!$D:$D,"SPO",'caseload data'!$B:$B,"custody")/SUMIFS('caseload data'!P:P,'caseload data'!$B:$B,"custody",'caseload data'!$C:$C,'custody %'!$T$71),"")</f>
        <v/>
      </c>
      <c r="AG76" s="181" t="str">
        <f>IFERROR(SUMIFS('caseload data'!Q:Q,'caseload data'!$C:$C,'custody %'!$T$71,'caseload data'!$D:$D,"SPO",'caseload data'!$B:$B,"custody")/SUMIFS('caseload data'!Q:Q,'caseload data'!$B:$B,"custody",'caseload data'!$C:$C,'custody %'!$T$71),"")</f>
        <v/>
      </c>
      <c r="AH76" s="181" t="str">
        <f>IFERROR(SUMIFS('caseload data'!R:R,'caseload data'!$C:$C,'custody %'!$T$71,'caseload data'!$D:$D,"SPO",'caseload data'!$B:$B,"custody")/SUMIFS('caseload data'!R:R,'caseload data'!$B:$B,"custody",'caseload data'!$C:$C,'custody %'!$T$71),"")</f>
        <v/>
      </c>
      <c r="AI76" s="181"/>
      <c r="AJ76" s="181"/>
    </row>
    <row r="78" spans="2:36" x14ac:dyDescent="0.15">
      <c r="B78" s="156" t="str">
        <f>HLOOKUP($B$5,Region_Table,22,0)</f>
        <v>Tower Hamlets</v>
      </c>
      <c r="C78" s="367" t="s">
        <v>1163</v>
      </c>
      <c r="D78" s="368"/>
      <c r="E78" s="368"/>
      <c r="F78" s="368"/>
      <c r="G78" s="368"/>
      <c r="H78" s="368"/>
      <c r="I78" s="368"/>
      <c r="J78" s="368"/>
      <c r="K78" s="368"/>
      <c r="L78" s="368"/>
      <c r="M78" s="377"/>
      <c r="N78" s="377"/>
      <c r="O78" s="378"/>
      <c r="P78" s="371">
        <f>SUMIF('caseload data'!$C:$C,'custody %'!B78,'caseload data'!V:V)</f>
        <v>0</v>
      </c>
      <c r="Q78" s="379"/>
      <c r="R78" s="380"/>
      <c r="T78" s="156" t="str">
        <f>HLOOKUP($B$5,Region_Table,23,0)</f>
        <v>Unallocated Level 2(N07)</v>
      </c>
      <c r="U78" s="367" t="s">
        <v>1163</v>
      </c>
      <c r="V78" s="368"/>
      <c r="W78" s="368"/>
      <c r="X78" s="368"/>
      <c r="Y78" s="368"/>
      <c r="Z78" s="368"/>
      <c r="AA78" s="368"/>
      <c r="AB78" s="368"/>
      <c r="AC78" s="377"/>
      <c r="AD78" s="377"/>
      <c r="AE78" s="378"/>
      <c r="AF78" s="371">
        <f>SUMIF('caseload data'!$C:$C,'custody %'!T78,'caseload data'!V:V)</f>
        <v>0</v>
      </c>
      <c r="AG78" s="379"/>
      <c r="AH78" s="380"/>
    </row>
    <row r="79" spans="2:36" x14ac:dyDescent="0.15">
      <c r="B79" s="105" t="s">
        <v>1065</v>
      </c>
      <c r="C79" s="41" t="s">
        <v>922</v>
      </c>
      <c r="D79" s="41" t="s">
        <v>923</v>
      </c>
      <c r="E79" s="41" t="s">
        <v>924</v>
      </c>
      <c r="F79" s="41" t="s">
        <v>925</v>
      </c>
      <c r="G79" s="41" t="s">
        <v>926</v>
      </c>
      <c r="H79" s="41" t="s">
        <v>927</v>
      </c>
      <c r="I79" s="41" t="s">
        <v>928</v>
      </c>
      <c r="J79" s="41" t="s">
        <v>929</v>
      </c>
      <c r="K79" s="41" t="s">
        <v>930</v>
      </c>
      <c r="L79" s="41" t="s">
        <v>931</v>
      </c>
      <c r="M79" s="41" t="s">
        <v>932</v>
      </c>
      <c r="N79" s="41" t="s">
        <v>933</v>
      </c>
      <c r="O79" s="41" t="s">
        <v>934</v>
      </c>
      <c r="P79" s="41" t="s">
        <v>935</v>
      </c>
      <c r="Q79" s="41" t="s">
        <v>936</v>
      </c>
      <c r="R79" s="41" t="s">
        <v>937</v>
      </c>
      <c r="T79" s="105" t="s">
        <v>1065</v>
      </c>
      <c r="U79" s="41" t="s">
        <v>922</v>
      </c>
      <c r="V79" s="41" t="s">
        <v>923</v>
      </c>
      <c r="W79" s="41" t="s">
        <v>924</v>
      </c>
      <c r="X79" s="41" t="s">
        <v>925</v>
      </c>
      <c r="Y79" s="41" t="s">
        <v>926</v>
      </c>
      <c r="Z79" s="41" t="s">
        <v>927</v>
      </c>
      <c r="AA79" s="41" t="s">
        <v>928</v>
      </c>
      <c r="AB79" s="41" t="s">
        <v>929</v>
      </c>
      <c r="AC79" s="41" t="s">
        <v>930</v>
      </c>
      <c r="AD79" s="41" t="s">
        <v>931</v>
      </c>
      <c r="AE79" s="41" t="s">
        <v>932</v>
      </c>
      <c r="AF79" s="41" t="s">
        <v>933</v>
      </c>
      <c r="AG79" s="41" t="s">
        <v>934</v>
      </c>
      <c r="AH79" s="41" t="s">
        <v>935</v>
      </c>
      <c r="AI79" s="41" t="s">
        <v>936</v>
      </c>
      <c r="AJ79" s="41" t="s">
        <v>937</v>
      </c>
    </row>
    <row r="80" spans="2:36" x14ac:dyDescent="0.15">
      <c r="B80" s="106" t="s">
        <v>911</v>
      </c>
      <c r="C80" s="181" t="str">
        <f>IFERROR(SUMIFS('caseload data'!E:E,'caseload data'!$C:$C,'custody %'!$B$78,'caseload data'!$D:$D,"PO",'caseload data'!$B:$B,"custody")/SUMIFS('caseload data'!E:E,'caseload data'!$B:$B,"custody",'caseload data'!$C:$C,'custody %'!$B$78),"")</f>
        <v/>
      </c>
      <c r="D80" s="181" t="str">
        <f>IFERROR(SUMIFS('caseload data'!F:F,'caseload data'!$C:$C,'custody %'!$B$78,'caseload data'!$D:$D,"PO",'caseload data'!$B:$B,"custody")/SUMIFS('caseload data'!F:F,'caseload data'!$B:$B,"custody",'caseload data'!$C:$C,'custody %'!$B$78),"")</f>
        <v/>
      </c>
      <c r="E80" s="181" t="str">
        <f>IFERROR(SUMIFS('caseload data'!G:G,'caseload data'!$C:$C,'custody %'!$B$78,'caseload data'!$D:$D,"PO",'caseload data'!$B:$B,"custody")/SUMIFS('caseload data'!G:G,'caseload data'!$B:$B,"custody",'caseload data'!$C:$C,'custody %'!$B$78),"")</f>
        <v/>
      </c>
      <c r="F80" s="181" t="str">
        <f>IFERROR(SUMIFS('caseload data'!H:H,'caseload data'!$C:$C,'custody %'!$B$78,'caseload data'!$D:$D,"PO",'caseload data'!$B:$B,"custody")/SUMIFS('caseload data'!H:H,'caseload data'!$B:$B,"custody",'caseload data'!$C:$C,'custody %'!$B$78),"")</f>
        <v/>
      </c>
      <c r="G80" s="181" t="str">
        <f>IFERROR(SUMIFS('caseload data'!I:I,'caseload data'!$C:$C,'custody %'!$B$78,'caseload data'!$D:$D,"PO",'caseload data'!$B:$B,"custody")/SUMIFS('caseload data'!I:I,'caseload data'!$B:$B,"custody",'caseload data'!$C:$C,'custody %'!$B$78),"")</f>
        <v/>
      </c>
      <c r="H80" s="181" t="str">
        <f>IFERROR(SUMIFS('caseload data'!J:J,'caseload data'!$C:$C,'custody %'!$B$78,'caseload data'!$D:$D,"PO",'caseload data'!$B:$B,"custody")/SUMIFS('caseload data'!J:J,'caseload data'!$B:$B,"custody",'caseload data'!$C:$C,'custody %'!$B$78),"")</f>
        <v/>
      </c>
      <c r="I80" s="181" t="str">
        <f>IFERROR(SUMIFS('caseload data'!K:K,'caseload data'!$C:$C,'custody %'!$B$78,'caseload data'!$D:$D,"PO",'caseload data'!$B:$B,"custody")/SUMIFS('caseload data'!K:K,'caseload data'!$B:$B,"custody",'caseload data'!$C:$C,'custody %'!$B$78),"")</f>
        <v/>
      </c>
      <c r="J80" s="181" t="str">
        <f>IFERROR(SUMIFS('caseload data'!L:L,'caseload data'!$C:$C,'custody %'!$B$78,'caseload data'!$D:$D,"PO",'caseload data'!$B:$B,"custody")/SUMIFS('caseload data'!L:L,'caseload data'!$B:$B,"custody",'caseload data'!$C:$C,'custody %'!$B$78),"")</f>
        <v/>
      </c>
      <c r="K80" s="181" t="str">
        <f>IFERROR(SUMIFS('caseload data'!M:M,'caseload data'!$C:$C,'custody %'!$B$78,'caseload data'!$D:$D,"PO",'caseload data'!$B:$B,"custody")/SUMIFS('caseload data'!M:M,'caseload data'!$B:$B,"custody",'caseload data'!$C:$C,'custody %'!$B$78),"")</f>
        <v/>
      </c>
      <c r="L80" s="181" t="str">
        <f>IFERROR(SUMIFS('caseload data'!N:N,'caseload data'!$C:$C,'custody %'!$B$78,'caseload data'!$D:$D,"PO",'caseload data'!$B:$B,"custody")/SUMIFS('caseload data'!N:N,'caseload data'!$B:$B,"custody",'caseload data'!$C:$C,'custody %'!$B$78),"")</f>
        <v/>
      </c>
      <c r="M80" s="181" t="str">
        <f>IFERROR(SUMIFS('caseload data'!O:O,'caseload data'!$C:$C,'custody %'!$B$78,'caseload data'!$D:$D,"PO",'caseload data'!$B:$B,"custody")/SUMIFS('caseload data'!O:O,'caseload data'!$B:$B,"custody",'caseload data'!$C:$C,'custody %'!$B$78),"")</f>
        <v/>
      </c>
      <c r="N80" s="181" t="str">
        <f>IFERROR(SUMIFS('caseload data'!P:P,'caseload data'!$C:$C,'custody %'!$B$78,'caseload data'!$D:$D,"PO",'caseload data'!$B:$B,"custody")/SUMIFS('caseload data'!P:P,'caseload data'!$B:$B,"custody",'caseload data'!$C:$C,'custody %'!$B$78),"")</f>
        <v/>
      </c>
      <c r="O80" s="181" t="str">
        <f>IFERROR(SUMIFS('caseload data'!Q:Q,'caseload data'!$C:$C,'custody %'!$B$78,'caseload data'!$D:$D,"PO",'caseload data'!$B:$B,"custody")/SUMIFS('caseload data'!Q:Q,'caseload data'!$B:$B,"custody",'caseload data'!$C:$C,'custody %'!$B$78),"")</f>
        <v/>
      </c>
      <c r="P80" s="181" t="str">
        <f>IFERROR(SUMIFS('caseload data'!R:R,'caseload data'!$C:$C,'custody %'!$B$78,'caseload data'!$D:$D,"PO",'caseload data'!$B:$B,"custody")/SUMIFS('caseload data'!R:R,'caseload data'!$B:$B,"custody",'caseload data'!$C:$C,'custody %'!$B$78),"")</f>
        <v/>
      </c>
      <c r="Q80" s="181" t="str">
        <f>IFERROR(SUMIFS('caseload data'!S:S,'caseload data'!$C:$C,'custody %'!$B$78,'caseload data'!$D:$D,"PO",'caseload data'!$B:$B,"custody")/SUMIFS('caseload data'!S:S,'caseload data'!$B:$B,"custody",'caseload data'!$C:$C,'custody %'!$B$78),"")</f>
        <v/>
      </c>
      <c r="R80" s="181" t="str">
        <f>IFERROR(SUMIFS('caseload data'!T:T,'caseload data'!$C:$C,'custody %'!$B$78,'caseload data'!$D:$D,"PO",'caseload data'!$B:$B,"custody")/SUMIFS('caseload data'!T:T,'caseload data'!$B:$B,"custody",'caseload data'!$C:$C,'custody %'!$B$78),"")</f>
        <v/>
      </c>
      <c r="T80" s="106" t="s">
        <v>911</v>
      </c>
      <c r="U80" s="181" t="str">
        <f>IFERROR(SUMIFS('caseload data'!E:E,'caseload data'!$C:$C,'custody %'!$T$78,'caseload data'!$D:$D,"PO",'caseload data'!$B:$B,"custody")/SUMIFS('caseload data'!E:E,'caseload data'!$B:$B,"custody",'caseload data'!$C:$C,'custody %'!$T$78),"")</f>
        <v/>
      </c>
      <c r="V80" s="181" t="str">
        <f>IFERROR(SUMIFS('caseload data'!F:F,'caseload data'!$C:$C,'custody %'!$T$78,'caseload data'!$D:$D,"PO",'caseload data'!$B:$B,"custody")/SUMIFS('caseload data'!F:F,'caseload data'!$B:$B,"custody",'caseload data'!$C:$C,'custody %'!$T$78),"")</f>
        <v/>
      </c>
      <c r="W80" s="181" t="str">
        <f>IFERROR(SUMIFS('caseload data'!G:G,'caseload data'!$C:$C,'custody %'!$T$78,'caseload data'!$D:$D,"PO",'caseload data'!$B:$B,"custody")/SUMIFS('caseload data'!G:G,'caseload data'!$B:$B,"custody",'caseload data'!$C:$C,'custody %'!$T$78),"")</f>
        <v/>
      </c>
      <c r="X80" s="181" t="str">
        <f>IFERROR(SUMIFS('caseload data'!H:H,'caseload data'!$C:$C,'custody %'!$T$78,'caseload data'!$D:$D,"PO",'caseload data'!$B:$B,"custody")/SUMIFS('caseload data'!H:H,'caseload data'!$B:$B,"custody",'caseload data'!$C:$C,'custody %'!$T$78),"")</f>
        <v/>
      </c>
      <c r="Y80" s="181" t="str">
        <f>IFERROR(SUMIFS('caseload data'!I:I,'caseload data'!$C:$C,'custody %'!$T$78,'caseload data'!$D:$D,"PO",'caseload data'!$B:$B,"custody")/SUMIFS('caseload data'!I:I,'caseload data'!$B:$B,"custody",'caseload data'!$C:$C,'custody %'!$T$78),"")</f>
        <v/>
      </c>
      <c r="Z80" s="181" t="str">
        <f>IFERROR(SUMIFS('caseload data'!J:J,'caseload data'!$C:$C,'custody %'!$T$78,'caseload data'!$D:$D,"PO",'caseload data'!$B:$B,"custody")/SUMIFS('caseload data'!J:J,'caseload data'!$B:$B,"custody",'caseload data'!$C:$C,'custody %'!$T$78),"")</f>
        <v/>
      </c>
      <c r="AA80" s="181" t="str">
        <f>IFERROR(SUMIFS('caseload data'!K:K,'caseload data'!$C:$C,'custody %'!$T$78,'caseload data'!$D:$D,"PO",'caseload data'!$B:$B,"custody")/SUMIFS('caseload data'!K:K,'caseload data'!$B:$B,"custody",'caseload data'!$C:$C,'custody %'!$T$78),"")</f>
        <v/>
      </c>
      <c r="AB80" s="181" t="str">
        <f>IFERROR(SUMIFS('caseload data'!L:L,'caseload data'!$C:$C,'custody %'!$T$78,'caseload data'!$D:$D,"PO",'caseload data'!$B:$B,"custody")/SUMIFS('caseload data'!L:L,'caseload data'!$B:$B,"custody",'caseload data'!$C:$C,'custody %'!$T$78),"")</f>
        <v/>
      </c>
      <c r="AC80" s="181" t="str">
        <f>IFERROR(SUMIFS('caseload data'!M:M,'caseload data'!$C:$C,'custody %'!$T$78,'caseload data'!$D:$D,"PO",'caseload data'!$B:$B,"custody")/SUMIFS('caseload data'!M:M,'caseload data'!$B:$B,"custody",'caseload data'!$C:$C,'custody %'!$T$78),"")</f>
        <v/>
      </c>
      <c r="AD80" s="181" t="str">
        <f>IFERROR(SUMIFS('caseload data'!N:N,'caseload data'!$C:$C,'custody %'!$T$78,'caseload data'!$D:$D,"PO",'caseload data'!$B:$B,"custody")/SUMIFS('caseload data'!N:N,'caseload data'!$B:$B,"custody",'caseload data'!$C:$C,'custody %'!$T$78),"")</f>
        <v/>
      </c>
      <c r="AE80" s="181" t="str">
        <f>IFERROR(SUMIFS('caseload data'!O:O,'caseload data'!$C:$C,'custody %'!$T$78,'caseload data'!$D:$D,"PO",'caseload data'!$B:$B,"custody")/SUMIFS('caseload data'!O:O,'caseload data'!$B:$B,"custody",'caseload data'!$C:$C,'custody %'!$T$78),"")</f>
        <v/>
      </c>
      <c r="AF80" s="181" t="str">
        <f>IFERROR(SUMIFS('caseload data'!P:P,'caseload data'!$C:$C,'custody %'!$T$78,'caseload data'!$D:$D,"PO",'caseload data'!$B:$B,"custody")/SUMIFS('caseload data'!P:P,'caseload data'!$B:$B,"custody",'caseload data'!$C:$C,'custody %'!$T$78),"")</f>
        <v/>
      </c>
      <c r="AG80" s="181" t="str">
        <f>IFERROR(SUMIFS('caseload data'!Q:Q,'caseload data'!$C:$C,'custody %'!$T$78,'caseload data'!$D:$D,"PO",'caseload data'!$B:$B,"custody")/SUMIFS('caseload data'!Q:Q,'caseload data'!$B:$B,"custody",'caseload data'!$C:$C,'custody %'!$T$78),"")</f>
        <v/>
      </c>
      <c r="AH80" s="181" t="str">
        <f>IFERROR(SUMIFS('caseload data'!R:R,'caseload data'!$C:$C,'custody %'!$T$78,'caseload data'!$D:$D,"PO",'caseload data'!$B:$B,"custody")/SUMIFS('caseload data'!R:R,'caseload data'!$B:$B,"custody",'caseload data'!$C:$C,'custody %'!$T$78),"")</f>
        <v/>
      </c>
      <c r="AI80" s="181"/>
      <c r="AJ80" s="181"/>
    </row>
    <row r="81" spans="2:36" x14ac:dyDescent="0.15">
      <c r="B81" s="107" t="s">
        <v>912</v>
      </c>
      <c r="C81" s="181" t="str">
        <f>IFERROR(SUMIFS('caseload data'!E:E,'caseload data'!$C:$C,'custody %'!$B$78,'caseload data'!$D:$D,"PSO",'caseload data'!$B:$B,"custody")/SUMIFS('caseload data'!E:E,'caseload data'!$B:$B,"custody",'caseload data'!$C:$C,'custody %'!$B$78),"")</f>
        <v/>
      </c>
      <c r="D81" s="181" t="str">
        <f>IFERROR(SUMIFS('caseload data'!F:F,'caseload data'!$C:$C,'custody %'!$B$78,'caseload data'!$D:$D,"PSO",'caseload data'!$B:$B,"custody")/SUMIFS('caseload data'!F:F,'caseload data'!$B:$B,"custody",'caseload data'!$C:$C,'custody %'!$B$78),"")</f>
        <v/>
      </c>
      <c r="E81" s="181" t="str">
        <f>IFERROR(SUMIFS('caseload data'!G:G,'caseload data'!$C:$C,'custody %'!$B$78,'caseload data'!$D:$D,"PSO",'caseload data'!$B:$B,"custody")/SUMIFS('caseload data'!G:G,'caseload data'!$B:$B,"custody",'caseload data'!$C:$C,'custody %'!$B$78),"")</f>
        <v/>
      </c>
      <c r="F81" s="181" t="str">
        <f>IFERROR(SUMIFS('caseload data'!H:H,'caseload data'!$C:$C,'custody %'!$B$78,'caseload data'!$D:$D,"PSO",'caseload data'!$B:$B,"custody")/SUMIFS('caseload data'!H:H,'caseload data'!$B:$B,"custody",'caseload data'!$C:$C,'custody %'!$B$78),"")</f>
        <v/>
      </c>
      <c r="G81" s="181" t="str">
        <f>IFERROR(SUMIFS('caseload data'!I:I,'caseload data'!$C:$C,'custody %'!$B$78,'caseload data'!$D:$D,"PSO",'caseload data'!$B:$B,"custody")/SUMIFS('caseload data'!I:I,'caseload data'!$B:$B,"custody",'caseload data'!$C:$C,'custody %'!$B$78),"")</f>
        <v/>
      </c>
      <c r="H81" s="181" t="str">
        <f>IFERROR(SUMIFS('caseload data'!J:J,'caseload data'!$C:$C,'custody %'!$B$78,'caseload data'!$D:$D,"PSO",'caseload data'!$B:$B,"custody")/SUMIFS('caseload data'!J:J,'caseload data'!$B:$B,"custody",'caseload data'!$C:$C,'custody %'!$B$78),"")</f>
        <v/>
      </c>
      <c r="I81" s="181" t="str">
        <f>IFERROR(SUMIFS('caseload data'!K:K,'caseload data'!$C:$C,'custody %'!$B$78,'caseload data'!$D:$D,"PSO",'caseload data'!$B:$B,"custody")/SUMIFS('caseload data'!K:K,'caseload data'!$B:$B,"custody",'caseload data'!$C:$C,'custody %'!$B$78),"")</f>
        <v/>
      </c>
      <c r="J81" s="181" t="str">
        <f>IFERROR(SUMIFS('caseload data'!L:L,'caseload data'!$C:$C,'custody %'!$B$78,'caseload data'!$D:$D,"PSO",'caseload data'!$B:$B,"custody")/SUMIFS('caseload data'!L:L,'caseload data'!$B:$B,"custody",'caseload data'!$C:$C,'custody %'!$B$78),"")</f>
        <v/>
      </c>
      <c r="K81" s="181" t="str">
        <f>IFERROR(SUMIFS('caseload data'!M:M,'caseload data'!$C:$C,'custody %'!$B$78,'caseload data'!$D:$D,"PSO",'caseload data'!$B:$B,"custody")/SUMIFS('caseload data'!M:M,'caseload data'!$B:$B,"custody",'caseload data'!$C:$C,'custody %'!$B$78),"")</f>
        <v/>
      </c>
      <c r="L81" s="181" t="str">
        <f>IFERROR(SUMIFS('caseload data'!N:N,'caseload data'!$C:$C,'custody %'!$B$78,'caseload data'!$D:$D,"PSO",'caseload data'!$B:$B,"custody")/SUMIFS('caseload data'!N:N,'caseload data'!$B:$B,"custody",'caseload data'!$C:$C,'custody %'!$B$78),"")</f>
        <v/>
      </c>
      <c r="M81" s="181" t="str">
        <f>IFERROR(SUMIFS('caseload data'!O:O,'caseload data'!$C:$C,'custody %'!$B$78,'caseload data'!$D:$D,"PSO",'caseload data'!$B:$B,"custody")/SUMIFS('caseload data'!O:O,'caseload data'!$B:$B,"custody",'caseload data'!$C:$C,'custody %'!$B$78),"")</f>
        <v/>
      </c>
      <c r="N81" s="181" t="str">
        <f>IFERROR(SUMIFS('caseload data'!P:P,'caseload data'!$C:$C,'custody %'!$B$78,'caseload data'!$D:$D,"PSO",'caseload data'!$B:$B,"custody")/SUMIFS('caseload data'!P:P,'caseload data'!$B:$B,"custody",'caseload data'!$C:$C,'custody %'!$B$78),"")</f>
        <v/>
      </c>
      <c r="O81" s="181" t="str">
        <f>IFERROR(SUMIFS('caseload data'!Q:Q,'caseload data'!$C:$C,'custody %'!$B$78,'caseload data'!$D:$D,"PSO",'caseload data'!$B:$B,"custody")/SUMIFS('caseload data'!Q:Q,'caseload data'!$B:$B,"custody",'caseload data'!$C:$C,'custody %'!$B$78),"")</f>
        <v/>
      </c>
      <c r="P81" s="181" t="str">
        <f>IFERROR(SUMIFS('caseload data'!R:R,'caseload data'!$C:$C,'custody %'!$B$78,'caseload data'!$D:$D,"PSO",'caseload data'!$B:$B,"custody")/SUMIFS('caseload data'!R:R,'caseload data'!$B:$B,"custody",'caseload data'!$C:$C,'custody %'!$B$78),"")</f>
        <v/>
      </c>
      <c r="Q81" s="181" t="str">
        <f>IFERROR(SUMIFS('caseload data'!S:S,'caseload data'!$C:$C,'custody %'!$B$78,'caseload data'!$D:$D,"PSO",'caseload data'!$B:$B,"custody")/SUMIFS('caseload data'!S:S,'caseload data'!$B:$B,"custody",'caseload data'!$C:$C,'custody %'!$B$78),"")</f>
        <v/>
      </c>
      <c r="R81" s="181" t="str">
        <f>IFERROR(SUMIFS('caseload data'!T:T,'caseload data'!$C:$C,'custody %'!$B$78,'caseload data'!$D:$D,"PSO",'caseload data'!$B:$B,"custody")/SUMIFS('caseload data'!T:T,'caseload data'!$B:$B,"custody",'caseload data'!$C:$C,'custody %'!$B$78),"")</f>
        <v/>
      </c>
      <c r="T81" s="107" t="s">
        <v>912</v>
      </c>
      <c r="U81" s="181" t="str">
        <f>IFERROR(SUMIFS('caseload data'!E:E,'caseload data'!$C:$C,'custody %'!$T$78,'caseload data'!$D:$D,"PSO",'caseload data'!$B:$B,"custody")/SUMIFS('caseload data'!E:E,'caseload data'!$B:$B,"custody",'caseload data'!$C:$C,'custody %'!$T$78),"")</f>
        <v/>
      </c>
      <c r="V81" s="181" t="str">
        <f>IFERROR(SUMIFS('caseload data'!F:F,'caseload data'!$C:$C,'custody %'!$T$78,'caseload data'!$D:$D,"PSO",'caseload data'!$B:$B,"custody")/SUMIFS('caseload data'!F:F,'caseload data'!$B:$B,"custody",'caseload data'!$C:$C,'custody %'!$T$78),"")</f>
        <v/>
      </c>
      <c r="W81" s="181" t="str">
        <f>IFERROR(SUMIFS('caseload data'!G:G,'caseload data'!$C:$C,'custody %'!$T$78,'caseload data'!$D:$D,"PSO",'caseload data'!$B:$B,"custody")/SUMIFS('caseload data'!G:G,'caseload data'!$B:$B,"custody",'caseload data'!$C:$C,'custody %'!$T$78),"")</f>
        <v/>
      </c>
      <c r="X81" s="181" t="str">
        <f>IFERROR(SUMIFS('caseload data'!H:H,'caseload data'!$C:$C,'custody %'!$T$78,'caseload data'!$D:$D,"PSO",'caseload data'!$B:$B,"custody")/SUMIFS('caseload data'!H:H,'caseload data'!$B:$B,"custody",'caseload data'!$C:$C,'custody %'!$T$78),"")</f>
        <v/>
      </c>
      <c r="Y81" s="181" t="str">
        <f>IFERROR(SUMIFS('caseload data'!I:I,'caseload data'!$C:$C,'custody %'!$T$78,'caseload data'!$D:$D,"PSO",'caseload data'!$B:$B,"custody")/SUMIFS('caseload data'!I:I,'caseload data'!$B:$B,"custody",'caseload data'!$C:$C,'custody %'!$T$78),"")</f>
        <v/>
      </c>
      <c r="Z81" s="181" t="str">
        <f>IFERROR(SUMIFS('caseload data'!J:J,'caseload data'!$C:$C,'custody %'!$T$78,'caseload data'!$D:$D,"PSO",'caseload data'!$B:$B,"custody")/SUMIFS('caseload data'!J:J,'caseload data'!$B:$B,"custody",'caseload data'!$C:$C,'custody %'!$T$78),"")</f>
        <v/>
      </c>
      <c r="AA81" s="181" t="str">
        <f>IFERROR(SUMIFS('caseload data'!K:K,'caseload data'!$C:$C,'custody %'!$T$78,'caseload data'!$D:$D,"PSO",'caseload data'!$B:$B,"custody")/SUMIFS('caseload data'!K:K,'caseload data'!$B:$B,"custody",'caseload data'!$C:$C,'custody %'!$T$78),"")</f>
        <v/>
      </c>
      <c r="AB81" s="181" t="str">
        <f>IFERROR(SUMIFS('caseload data'!L:L,'caseload data'!$C:$C,'custody %'!$T$78,'caseload data'!$D:$D,"PSO",'caseload data'!$B:$B,"custody")/SUMIFS('caseload data'!L:L,'caseload data'!$B:$B,"custody",'caseload data'!$C:$C,'custody %'!$T$78),"")</f>
        <v/>
      </c>
      <c r="AC81" s="181" t="str">
        <f>IFERROR(SUMIFS('caseload data'!M:M,'caseload data'!$C:$C,'custody %'!$T$78,'caseload data'!$D:$D,"PSO",'caseload data'!$B:$B,"custody")/SUMIFS('caseload data'!M:M,'caseload data'!$B:$B,"custody",'caseload data'!$C:$C,'custody %'!$T$78),"")</f>
        <v/>
      </c>
      <c r="AD81" s="181" t="str">
        <f>IFERROR(SUMIFS('caseload data'!N:N,'caseload data'!$C:$C,'custody %'!$T$78,'caseload data'!$D:$D,"PSO",'caseload data'!$B:$B,"custody")/SUMIFS('caseload data'!N:N,'caseload data'!$B:$B,"custody",'caseload data'!$C:$C,'custody %'!$T$78),"")</f>
        <v/>
      </c>
      <c r="AE81" s="181" t="str">
        <f>IFERROR(SUMIFS('caseload data'!O:O,'caseload data'!$C:$C,'custody %'!$T$78,'caseload data'!$D:$D,"PSO",'caseload data'!$B:$B,"custody")/SUMIFS('caseload data'!O:O,'caseload data'!$B:$B,"custody",'caseload data'!$C:$C,'custody %'!$T$78),"")</f>
        <v/>
      </c>
      <c r="AF81" s="181" t="str">
        <f>IFERROR(SUMIFS('caseload data'!P:P,'caseload data'!$C:$C,'custody %'!$T$78,'caseload data'!$D:$D,"PSO",'caseload data'!$B:$B,"custody")/SUMIFS('caseload data'!P:P,'caseload data'!$B:$B,"custody",'caseload data'!$C:$C,'custody %'!$T$78),"")</f>
        <v/>
      </c>
      <c r="AG81" s="181" t="str">
        <f>IFERROR(SUMIFS('caseload data'!Q:Q,'caseload data'!$C:$C,'custody %'!$T$78,'caseload data'!$D:$D,"PSO",'caseload data'!$B:$B,"custody")/SUMIFS('caseload data'!Q:Q,'caseload data'!$B:$B,"custody",'caseload data'!$C:$C,'custody %'!$T$78),"")</f>
        <v/>
      </c>
      <c r="AH81" s="181" t="str">
        <f>IFERROR(SUMIFS('caseload data'!R:R,'caseload data'!$C:$C,'custody %'!$T$78,'caseload data'!$D:$D,"PSO",'caseload data'!$B:$B,"custody")/SUMIFS('caseload data'!R:R,'caseload data'!$B:$B,"custody",'caseload data'!$C:$C,'custody %'!$T$78),"")</f>
        <v/>
      </c>
      <c r="AI81" s="181"/>
      <c r="AJ81" s="181"/>
    </row>
    <row r="82" spans="2:36" x14ac:dyDescent="0.15">
      <c r="B82" s="107" t="s">
        <v>913</v>
      </c>
      <c r="C82" s="181" t="str">
        <f>IFERROR(SUMIFS('caseload data'!E:E,'caseload data'!$C:$C,'custody %'!$B$78,'caseload data'!$D:$D,"TPO",'caseload data'!$B:$B,"custody")/SUMIFS('caseload data'!E:E,'caseload data'!$B:$B,"custody",'caseload data'!$C:$C,'custody %'!$B$78),"")</f>
        <v/>
      </c>
      <c r="D82" s="181" t="str">
        <f>IFERROR(SUMIFS('caseload data'!F:F,'caseload data'!$C:$C,'custody %'!$B$78,'caseload data'!$D:$D,"TPO",'caseload data'!$B:$B,"custody")/SUMIFS('caseload data'!F:F,'caseload data'!$B:$B,"custody",'caseload data'!$C:$C,'custody %'!$B$78),"")</f>
        <v/>
      </c>
      <c r="E82" s="181" t="str">
        <f>IFERROR(SUMIFS('caseload data'!G:G,'caseload data'!$C:$C,'custody %'!$B$78,'caseload data'!$D:$D,"TPO",'caseload data'!$B:$B,"custody")/SUMIFS('caseload data'!G:G,'caseload data'!$B:$B,"custody",'caseload data'!$C:$C,'custody %'!$B$78),"")</f>
        <v/>
      </c>
      <c r="F82" s="181" t="str">
        <f>IFERROR(SUMIFS('caseload data'!H:H,'caseload data'!$C:$C,'custody %'!$B$78,'caseload data'!$D:$D,"TPO",'caseload data'!$B:$B,"custody")/SUMIFS('caseload data'!H:H,'caseload data'!$B:$B,"custody",'caseload data'!$C:$C,'custody %'!$B$78),"")</f>
        <v/>
      </c>
      <c r="G82" s="181" t="str">
        <f>IFERROR(SUMIFS('caseload data'!I:I,'caseload data'!$C:$C,'custody %'!$B$78,'caseload data'!$D:$D,"TPO",'caseload data'!$B:$B,"custody")/SUMIFS('caseload data'!I:I,'caseload data'!$B:$B,"custody",'caseload data'!$C:$C,'custody %'!$B$78),"")</f>
        <v/>
      </c>
      <c r="H82" s="181" t="str">
        <f>IFERROR(SUMIFS('caseload data'!J:J,'caseload data'!$C:$C,'custody %'!$B$78,'caseload data'!$D:$D,"TPO",'caseload data'!$B:$B,"custody")/SUMIFS('caseload data'!J:J,'caseload data'!$B:$B,"custody",'caseload data'!$C:$C,'custody %'!$B$78),"")</f>
        <v/>
      </c>
      <c r="I82" s="181" t="str">
        <f>IFERROR(SUMIFS('caseload data'!K:K,'caseload data'!$C:$C,'custody %'!$B$78,'caseload data'!$D:$D,"TPO",'caseload data'!$B:$B,"custody")/SUMIFS('caseload data'!K:K,'caseload data'!$B:$B,"custody",'caseload data'!$C:$C,'custody %'!$B$78),"")</f>
        <v/>
      </c>
      <c r="J82" s="181" t="str">
        <f>IFERROR(SUMIFS('caseload data'!L:L,'caseload data'!$C:$C,'custody %'!$B$78,'caseload data'!$D:$D,"TPO",'caseload data'!$B:$B,"custody")/SUMIFS('caseload data'!L:L,'caseload data'!$B:$B,"custody",'caseload data'!$C:$C,'custody %'!$B$78),"")</f>
        <v/>
      </c>
      <c r="K82" s="181" t="str">
        <f>IFERROR(SUMIFS('caseload data'!M:M,'caseload data'!$C:$C,'custody %'!$B$78,'caseload data'!$D:$D,"TPO",'caseload data'!$B:$B,"custody")/SUMIFS('caseload data'!M:M,'caseload data'!$B:$B,"custody",'caseload data'!$C:$C,'custody %'!$B$78),"")</f>
        <v/>
      </c>
      <c r="L82" s="181" t="str">
        <f>IFERROR(SUMIFS('caseload data'!N:N,'caseload data'!$C:$C,'custody %'!$B$78,'caseload data'!$D:$D,"TPO",'caseload data'!$B:$B,"custody")/SUMIFS('caseload data'!N:N,'caseload data'!$B:$B,"custody",'caseload data'!$C:$C,'custody %'!$B$78),"")</f>
        <v/>
      </c>
      <c r="M82" s="181" t="str">
        <f>IFERROR(SUMIFS('caseload data'!O:O,'caseload data'!$C:$C,'custody %'!$B$78,'caseload data'!$D:$D,"TPO",'caseload data'!$B:$B,"custody")/SUMIFS('caseload data'!O:O,'caseload data'!$B:$B,"custody",'caseload data'!$C:$C,'custody %'!$B$78),"")</f>
        <v/>
      </c>
      <c r="N82" s="181" t="str">
        <f>IFERROR(SUMIFS('caseload data'!P:P,'caseload data'!$C:$C,'custody %'!$B$78,'caseload data'!$D:$D,"TPO",'caseload data'!$B:$B,"custody")/SUMIFS('caseload data'!P:P,'caseload data'!$B:$B,"custody",'caseload data'!$C:$C,'custody %'!$B$78),"")</f>
        <v/>
      </c>
      <c r="O82" s="181" t="str">
        <f>IFERROR(SUMIFS('caseload data'!Q:Q,'caseload data'!$C:$C,'custody %'!$B$78,'caseload data'!$D:$D,"TPO",'caseload data'!$B:$B,"custody")/SUMIFS('caseload data'!Q:Q,'caseload data'!$B:$B,"custody",'caseload data'!$C:$C,'custody %'!$B$78),"")</f>
        <v/>
      </c>
      <c r="P82" s="181" t="str">
        <f>IFERROR(SUMIFS('caseload data'!R:R,'caseload data'!$C:$C,'custody %'!$B$78,'caseload data'!$D:$D,"TPO",'caseload data'!$B:$B,"custody")/SUMIFS('caseload data'!R:R,'caseload data'!$B:$B,"custody",'caseload data'!$C:$C,'custody %'!$B$78),"")</f>
        <v/>
      </c>
      <c r="Q82" s="181" t="str">
        <f>IFERROR(SUMIFS('caseload data'!S:S,'caseload data'!$C:$C,'custody %'!$B$78,'caseload data'!$D:$D,"TPO",'caseload data'!$B:$B,"custody")/SUMIFS('caseload data'!S:S,'caseload data'!$B:$B,"custody",'caseload data'!$C:$C,'custody %'!$B$78),"")</f>
        <v/>
      </c>
      <c r="R82" s="181" t="str">
        <f>IFERROR(SUMIFS('caseload data'!T:T,'caseload data'!$C:$C,'custody %'!$B$78,'caseload data'!$D:$D,"TPO",'caseload data'!$B:$B,"custody")/SUMIFS('caseload data'!T:T,'caseload data'!$B:$B,"custody",'caseload data'!$C:$C,'custody %'!$B$78),"")</f>
        <v/>
      </c>
      <c r="T82" s="107" t="s">
        <v>913</v>
      </c>
      <c r="U82" s="181" t="str">
        <f>IFERROR(SUMIFS('caseload data'!E:E,'caseload data'!$C:$C,'custody %'!$T$78,'caseload data'!$D:$D,"TPO",'caseload data'!$B:$B,"custody")/SUMIFS('caseload data'!E:E,'caseload data'!$B:$B,"custody",'caseload data'!$C:$C,'custody %'!$T$78),"")</f>
        <v/>
      </c>
      <c r="V82" s="181" t="str">
        <f>IFERROR(SUMIFS('caseload data'!F:F,'caseload data'!$C:$C,'custody %'!$T$78,'caseload data'!$D:$D,"TPO",'caseload data'!$B:$B,"custody")/SUMIFS('caseload data'!F:F,'caseload data'!$B:$B,"custody",'caseload data'!$C:$C,'custody %'!$T$78),"")</f>
        <v/>
      </c>
      <c r="W82" s="181" t="str">
        <f>IFERROR(SUMIFS('caseload data'!G:G,'caseload data'!$C:$C,'custody %'!$T$78,'caseload data'!$D:$D,"TPO",'caseload data'!$B:$B,"custody")/SUMIFS('caseload data'!G:G,'caseload data'!$B:$B,"custody",'caseload data'!$C:$C,'custody %'!$T$78),"")</f>
        <v/>
      </c>
      <c r="X82" s="181" t="str">
        <f>IFERROR(SUMIFS('caseload data'!H:H,'caseload data'!$C:$C,'custody %'!$T$78,'caseload data'!$D:$D,"TPO",'caseload data'!$B:$B,"custody")/SUMIFS('caseload data'!H:H,'caseload data'!$B:$B,"custody",'caseload data'!$C:$C,'custody %'!$T$78),"")</f>
        <v/>
      </c>
      <c r="Y82" s="181" t="str">
        <f>IFERROR(SUMIFS('caseload data'!I:I,'caseload data'!$C:$C,'custody %'!$T$78,'caseload data'!$D:$D,"TPO",'caseload data'!$B:$B,"custody")/SUMIFS('caseload data'!I:I,'caseload data'!$B:$B,"custody",'caseload data'!$C:$C,'custody %'!$T$78),"")</f>
        <v/>
      </c>
      <c r="Z82" s="181" t="str">
        <f>IFERROR(SUMIFS('caseload data'!J:J,'caseload data'!$C:$C,'custody %'!$T$78,'caseload data'!$D:$D,"TPO",'caseload data'!$B:$B,"custody")/SUMIFS('caseload data'!J:J,'caseload data'!$B:$B,"custody",'caseload data'!$C:$C,'custody %'!$T$78),"")</f>
        <v/>
      </c>
      <c r="AA82" s="181" t="str">
        <f>IFERROR(SUMIFS('caseload data'!K:K,'caseload data'!$C:$C,'custody %'!$T$78,'caseload data'!$D:$D,"TPO",'caseload data'!$B:$B,"custody")/SUMIFS('caseload data'!K:K,'caseload data'!$B:$B,"custody",'caseload data'!$C:$C,'custody %'!$T$78),"")</f>
        <v/>
      </c>
      <c r="AB82" s="181" t="str">
        <f>IFERROR(SUMIFS('caseload data'!L:L,'caseload data'!$C:$C,'custody %'!$T$78,'caseload data'!$D:$D,"TPO",'caseload data'!$B:$B,"custody")/SUMIFS('caseload data'!L:L,'caseload data'!$B:$B,"custody",'caseload data'!$C:$C,'custody %'!$T$78),"")</f>
        <v/>
      </c>
      <c r="AC82" s="181" t="str">
        <f>IFERROR(SUMIFS('caseload data'!M:M,'caseload data'!$C:$C,'custody %'!$T$78,'caseload data'!$D:$D,"TPO",'caseload data'!$B:$B,"custody")/SUMIFS('caseload data'!M:M,'caseload data'!$B:$B,"custody",'caseload data'!$C:$C,'custody %'!$T$78),"")</f>
        <v/>
      </c>
      <c r="AD82" s="181" t="str">
        <f>IFERROR(SUMIFS('caseload data'!N:N,'caseload data'!$C:$C,'custody %'!$T$78,'caseload data'!$D:$D,"TPO",'caseload data'!$B:$B,"custody")/SUMIFS('caseload data'!N:N,'caseload data'!$B:$B,"custody",'caseload data'!$C:$C,'custody %'!$T$78),"")</f>
        <v/>
      </c>
      <c r="AE82" s="181" t="str">
        <f>IFERROR(SUMIFS('caseload data'!O:O,'caseload data'!$C:$C,'custody %'!$T$78,'caseload data'!$D:$D,"TPO",'caseload data'!$B:$B,"custody")/SUMIFS('caseload data'!O:O,'caseload data'!$B:$B,"custody",'caseload data'!$C:$C,'custody %'!$T$78),"")</f>
        <v/>
      </c>
      <c r="AF82" s="181" t="str">
        <f>IFERROR(SUMIFS('caseload data'!P:P,'caseload data'!$C:$C,'custody %'!$T$78,'caseload data'!$D:$D,"TPO",'caseload data'!$B:$B,"custody")/SUMIFS('caseload data'!P:P,'caseload data'!$B:$B,"custody",'caseload data'!$C:$C,'custody %'!$T$78),"")</f>
        <v/>
      </c>
      <c r="AG82" s="181" t="str">
        <f>IFERROR(SUMIFS('caseload data'!Q:Q,'caseload data'!$C:$C,'custody %'!$T$78,'caseload data'!$D:$D,"TPO",'caseload data'!$B:$B,"custody")/SUMIFS('caseload data'!Q:Q,'caseload data'!$B:$B,"custody",'caseload data'!$C:$C,'custody %'!$T$78),"")</f>
        <v/>
      </c>
      <c r="AH82" s="181" t="str">
        <f>IFERROR(SUMIFS('caseload data'!R:R,'caseload data'!$C:$C,'custody %'!$T$78,'caseload data'!$D:$D,"TPO",'caseload data'!$B:$B,"custody")/SUMIFS('caseload data'!R:R,'caseload data'!$B:$B,"custody",'caseload data'!$C:$C,'custody %'!$T$78),"")</f>
        <v/>
      </c>
      <c r="AI82" s="181"/>
      <c r="AJ82" s="181"/>
    </row>
    <row r="83" spans="2:36" x14ac:dyDescent="0.15">
      <c r="B83" s="108" t="s">
        <v>914</v>
      </c>
      <c r="C83" s="181" t="str">
        <f>IFERROR(SUMIFS('caseload data'!E:E,'caseload data'!$C:$C,'custody %'!$B$78,'caseload data'!$D:$D,"SPO",'caseload data'!$B:$B,"custody")/SUMIFS('caseload data'!E:E,'caseload data'!$B:$B,"custody",'caseload data'!$C:$C,'custody %'!$B$78),"")</f>
        <v/>
      </c>
      <c r="D83" s="181" t="str">
        <f>IFERROR(SUMIFS('caseload data'!F:F,'caseload data'!$C:$C,'custody %'!$B$78,'caseload data'!$D:$D,"SPO",'caseload data'!$B:$B,"custody")/SUMIFS('caseload data'!F:F,'caseload data'!$B:$B,"custody",'caseload data'!$C:$C,'custody %'!$B$78),"")</f>
        <v/>
      </c>
      <c r="E83" s="181" t="str">
        <f>IFERROR(SUMIFS('caseload data'!G:G,'caseload data'!$C:$C,'custody %'!$B$78,'caseload data'!$D:$D,"SPO",'caseload data'!$B:$B,"custody")/SUMIFS('caseload data'!G:G,'caseload data'!$B:$B,"custody",'caseload data'!$C:$C,'custody %'!$B$78),"")</f>
        <v/>
      </c>
      <c r="F83" s="181" t="str">
        <f>IFERROR(SUMIFS('caseload data'!H:H,'caseload data'!$C:$C,'custody %'!$B$78,'caseload data'!$D:$D,"SPO",'caseload data'!$B:$B,"custody")/SUMIFS('caseload data'!H:H,'caseload data'!$B:$B,"custody",'caseload data'!$C:$C,'custody %'!$B$78),"")</f>
        <v/>
      </c>
      <c r="G83" s="181" t="str">
        <f>IFERROR(SUMIFS('caseload data'!I:I,'caseload data'!$C:$C,'custody %'!$B$78,'caseload data'!$D:$D,"SPO",'caseload data'!$B:$B,"custody")/SUMIFS('caseload data'!I:I,'caseload data'!$B:$B,"custody",'caseload data'!$C:$C,'custody %'!$B$78),"")</f>
        <v/>
      </c>
      <c r="H83" s="181" t="str">
        <f>IFERROR(SUMIFS('caseload data'!J:J,'caseload data'!$C:$C,'custody %'!$B$78,'caseload data'!$D:$D,"SPO",'caseload data'!$B:$B,"custody")/SUMIFS('caseload data'!J:J,'caseload data'!$B:$B,"custody",'caseload data'!$C:$C,'custody %'!$B$78),"")</f>
        <v/>
      </c>
      <c r="I83" s="181" t="str">
        <f>IFERROR(SUMIFS('caseload data'!K:K,'caseload data'!$C:$C,'custody %'!$B$78,'caseload data'!$D:$D,"SPO",'caseload data'!$B:$B,"custody")/SUMIFS('caseload data'!K:K,'caseload data'!$B:$B,"custody",'caseload data'!$C:$C,'custody %'!$B$78),"")</f>
        <v/>
      </c>
      <c r="J83" s="181" t="str">
        <f>IFERROR(SUMIFS('caseload data'!L:L,'caseload data'!$C:$C,'custody %'!$B$78,'caseload data'!$D:$D,"SPO",'caseload data'!$B:$B,"custody")/SUMIFS('caseload data'!L:L,'caseload data'!$B:$B,"custody",'caseload data'!$C:$C,'custody %'!$B$78),"")</f>
        <v/>
      </c>
      <c r="K83" s="181" t="str">
        <f>IFERROR(SUMIFS('caseload data'!M:M,'caseload data'!$C:$C,'custody %'!$B$78,'caseload data'!$D:$D,"SPO",'caseload data'!$B:$B,"custody")/SUMIFS('caseload data'!M:M,'caseload data'!$B:$B,"custody",'caseload data'!$C:$C,'custody %'!$B$78),"")</f>
        <v/>
      </c>
      <c r="L83" s="181" t="str">
        <f>IFERROR(SUMIFS('caseload data'!N:N,'caseload data'!$C:$C,'custody %'!$B$78,'caseload data'!$D:$D,"SPO",'caseload data'!$B:$B,"custody")/SUMIFS('caseload data'!N:N,'caseload data'!$B:$B,"custody",'caseload data'!$C:$C,'custody %'!$B$78),"")</f>
        <v/>
      </c>
      <c r="M83" s="181" t="str">
        <f>IFERROR(SUMIFS('caseload data'!O:O,'caseload data'!$C:$C,'custody %'!$B$78,'caseload data'!$D:$D,"SPO",'caseload data'!$B:$B,"custody")/SUMIFS('caseload data'!O:O,'caseload data'!$B:$B,"custody",'caseload data'!$C:$C,'custody %'!$B$78),"")</f>
        <v/>
      </c>
      <c r="N83" s="181" t="str">
        <f>IFERROR(SUMIFS('caseload data'!P:P,'caseload data'!$C:$C,'custody %'!$B$78,'caseload data'!$D:$D,"SPO",'caseload data'!$B:$B,"custody")/SUMIFS('caseload data'!P:P,'caseload data'!$B:$B,"custody",'caseload data'!$C:$C,'custody %'!$B$78),"")</f>
        <v/>
      </c>
      <c r="O83" s="181" t="str">
        <f>IFERROR(SUMIFS('caseload data'!Q:Q,'caseload data'!$C:$C,'custody %'!$B$78,'caseload data'!$D:$D,"SPO",'caseload data'!$B:$B,"custody")/SUMIFS('caseload data'!Q:Q,'caseload data'!$B:$B,"custody",'caseload data'!$C:$C,'custody %'!$B$78),"")</f>
        <v/>
      </c>
      <c r="P83" s="181" t="str">
        <f>IFERROR(SUMIFS('caseload data'!R:R,'caseload data'!$C:$C,'custody %'!$B$78,'caseload data'!$D:$D,"SPO",'caseload data'!$B:$B,"custody")/SUMIFS('caseload data'!R:R,'caseload data'!$B:$B,"custody",'caseload data'!$C:$C,'custody %'!$B$78),"")</f>
        <v/>
      </c>
      <c r="Q83" s="181" t="str">
        <f>IFERROR(SUMIFS('caseload data'!S:S,'caseload data'!$C:$C,'custody %'!$B$78,'caseload data'!$D:$D,"SPO",'caseload data'!$B:$B,"custody")/SUMIFS('caseload data'!S:S,'caseload data'!$B:$B,"custody",'caseload data'!$C:$C,'custody %'!$B$78),"")</f>
        <v/>
      </c>
      <c r="R83" s="181" t="str">
        <f>IFERROR(SUMIFS('caseload data'!T:T,'caseload data'!$C:$C,'custody %'!$B$78,'caseload data'!$D:$D,"SPO",'caseload data'!$B:$B,"custody")/SUMIFS('caseload data'!T:T,'caseload data'!$B:$B,"custody",'caseload data'!$C:$C,'custody %'!$B$78),"")</f>
        <v/>
      </c>
      <c r="T83" s="108" t="s">
        <v>914</v>
      </c>
      <c r="U83" s="181" t="str">
        <f>IFERROR(SUMIFS('caseload data'!E:E,'caseload data'!$C:$C,'custody %'!$T$78,'caseload data'!$D:$D,"SPO",'caseload data'!$B:$B,"custody")/SUMIFS('caseload data'!E:E,'caseload data'!$B:$B,"custody",'caseload data'!$C:$C,'custody %'!$T$78),"")</f>
        <v/>
      </c>
      <c r="V83" s="181" t="str">
        <f>IFERROR(SUMIFS('caseload data'!F:F,'caseload data'!$C:$C,'custody %'!$T$78,'caseload data'!$D:$D,"SPO",'caseload data'!$B:$B,"custody")/SUMIFS('caseload data'!F:F,'caseload data'!$B:$B,"custody",'caseload data'!$C:$C,'custody %'!$T$78),"")</f>
        <v/>
      </c>
      <c r="W83" s="181" t="str">
        <f>IFERROR(SUMIFS('caseload data'!G:G,'caseload data'!$C:$C,'custody %'!$T$78,'caseload data'!$D:$D,"SPO",'caseload data'!$B:$B,"custody")/SUMIFS('caseload data'!G:G,'caseload data'!$B:$B,"custody",'caseload data'!$C:$C,'custody %'!$T$78),"")</f>
        <v/>
      </c>
      <c r="X83" s="181" t="str">
        <f>IFERROR(SUMIFS('caseload data'!H:H,'caseload data'!$C:$C,'custody %'!$T$78,'caseload data'!$D:$D,"SPO",'caseload data'!$B:$B,"custody")/SUMIFS('caseload data'!H:H,'caseload data'!$B:$B,"custody",'caseload data'!$C:$C,'custody %'!$T$78),"")</f>
        <v/>
      </c>
      <c r="Y83" s="181" t="str">
        <f>IFERROR(SUMIFS('caseload data'!I:I,'caseload data'!$C:$C,'custody %'!$T$78,'caseload data'!$D:$D,"SPO",'caseload data'!$B:$B,"custody")/SUMIFS('caseload data'!I:I,'caseload data'!$B:$B,"custody",'caseload data'!$C:$C,'custody %'!$T$78),"")</f>
        <v/>
      </c>
      <c r="Z83" s="181" t="str">
        <f>IFERROR(SUMIFS('caseload data'!J:J,'caseload data'!$C:$C,'custody %'!$T$78,'caseload data'!$D:$D,"SPO",'caseload data'!$B:$B,"custody")/SUMIFS('caseload data'!J:J,'caseload data'!$B:$B,"custody",'caseload data'!$C:$C,'custody %'!$T$78),"")</f>
        <v/>
      </c>
      <c r="AA83" s="181" t="str">
        <f>IFERROR(SUMIFS('caseload data'!K:K,'caseload data'!$C:$C,'custody %'!$T$78,'caseload data'!$D:$D,"SPO",'caseload data'!$B:$B,"custody")/SUMIFS('caseload data'!K:K,'caseload data'!$B:$B,"custody",'caseload data'!$C:$C,'custody %'!$T$78),"")</f>
        <v/>
      </c>
      <c r="AB83" s="181" t="str">
        <f>IFERROR(SUMIFS('caseload data'!L:L,'caseload data'!$C:$C,'custody %'!$T$78,'caseload data'!$D:$D,"SPO",'caseload data'!$B:$B,"custody")/SUMIFS('caseload data'!L:L,'caseload data'!$B:$B,"custody",'caseload data'!$C:$C,'custody %'!$T$78),"")</f>
        <v/>
      </c>
      <c r="AC83" s="181" t="str">
        <f>IFERROR(SUMIFS('caseload data'!M:M,'caseload data'!$C:$C,'custody %'!$T$78,'caseload data'!$D:$D,"SPO",'caseload data'!$B:$B,"custody")/SUMIFS('caseload data'!M:M,'caseload data'!$B:$B,"custody",'caseload data'!$C:$C,'custody %'!$T$78),"")</f>
        <v/>
      </c>
      <c r="AD83" s="181" t="str">
        <f>IFERROR(SUMIFS('caseload data'!N:N,'caseload data'!$C:$C,'custody %'!$T$78,'caseload data'!$D:$D,"SPO",'caseload data'!$B:$B,"custody")/SUMIFS('caseload data'!N:N,'caseload data'!$B:$B,"custody",'caseload data'!$C:$C,'custody %'!$T$78),"")</f>
        <v/>
      </c>
      <c r="AE83" s="181" t="str">
        <f>IFERROR(SUMIFS('caseload data'!O:O,'caseload data'!$C:$C,'custody %'!$T$78,'caseload data'!$D:$D,"SPO",'caseload data'!$B:$B,"custody")/SUMIFS('caseload data'!O:O,'caseload data'!$B:$B,"custody",'caseload data'!$C:$C,'custody %'!$T$78),"")</f>
        <v/>
      </c>
      <c r="AF83" s="181" t="str">
        <f>IFERROR(SUMIFS('caseload data'!P:P,'caseload data'!$C:$C,'custody %'!$T$78,'caseload data'!$D:$D,"SPO",'caseload data'!$B:$B,"custody")/SUMIFS('caseload data'!P:P,'caseload data'!$B:$B,"custody",'caseload data'!$C:$C,'custody %'!$T$78),"")</f>
        <v/>
      </c>
      <c r="AG83" s="181" t="str">
        <f>IFERROR(SUMIFS('caseload data'!Q:Q,'caseload data'!$C:$C,'custody %'!$T$78,'caseload data'!$D:$D,"SPO",'caseload data'!$B:$B,"custody")/SUMIFS('caseload data'!Q:Q,'caseload data'!$B:$B,"custody",'caseload data'!$C:$C,'custody %'!$T$78),"")</f>
        <v/>
      </c>
      <c r="AH83" s="181" t="str">
        <f>IFERROR(SUMIFS('caseload data'!R:R,'caseload data'!$C:$C,'custody %'!$T$78,'caseload data'!$D:$D,"SPO",'caseload data'!$B:$B,"custody")/SUMIFS('caseload data'!R:R,'caseload data'!$B:$B,"custody",'caseload data'!$C:$C,'custody %'!$T$78),"")</f>
        <v/>
      </c>
      <c r="AI83" s="181"/>
      <c r="AJ83" s="181"/>
    </row>
    <row r="85" spans="2:36" x14ac:dyDescent="0.15">
      <c r="B85" s="156" t="str">
        <f>HLOOKUP($B$5,Region_Table,24,0)</f>
        <v>Unpaid Work and Attendance Centres - N07</v>
      </c>
      <c r="C85" s="367" t="s">
        <v>1163</v>
      </c>
      <c r="D85" s="368"/>
      <c r="E85" s="368"/>
      <c r="F85" s="368"/>
      <c r="G85" s="368"/>
      <c r="H85" s="368"/>
      <c r="I85" s="368"/>
      <c r="J85" s="368"/>
      <c r="K85" s="368"/>
      <c r="L85" s="368"/>
      <c r="M85" s="377"/>
      <c r="N85" s="377"/>
      <c r="O85" s="378"/>
      <c r="P85" s="371">
        <f>SUMIF('caseload data'!$C:$C,'custody %'!B85,'caseload data'!V:V)</f>
        <v>0</v>
      </c>
      <c r="Q85" s="379"/>
      <c r="R85" s="380"/>
      <c r="T85" s="156" t="str">
        <f>HLOOKUP($B$5,Region_Table,25,0)</f>
        <v>Wandsworth, Merton and Sutton</v>
      </c>
      <c r="U85" s="367" t="s">
        <v>1163</v>
      </c>
      <c r="V85" s="368"/>
      <c r="W85" s="368"/>
      <c r="X85" s="368"/>
      <c r="Y85" s="368"/>
      <c r="Z85" s="368"/>
      <c r="AA85" s="368"/>
      <c r="AB85" s="368"/>
      <c r="AC85" s="377"/>
      <c r="AD85" s="377"/>
      <c r="AE85" s="378"/>
      <c r="AF85" s="371">
        <f>SUMIF('caseload data'!$C:$C,'custody %'!T85,'caseload data'!V:V)</f>
        <v>0</v>
      </c>
      <c r="AG85" s="379"/>
      <c r="AH85" s="380"/>
    </row>
    <row r="86" spans="2:36" x14ac:dyDescent="0.15">
      <c r="B86" s="105" t="s">
        <v>1065</v>
      </c>
      <c r="C86" s="41" t="s">
        <v>922</v>
      </c>
      <c r="D86" s="41" t="s">
        <v>923</v>
      </c>
      <c r="E86" s="41" t="s">
        <v>924</v>
      </c>
      <c r="F86" s="41" t="s">
        <v>925</v>
      </c>
      <c r="G86" s="41" t="s">
        <v>926</v>
      </c>
      <c r="H86" s="41" t="s">
        <v>927</v>
      </c>
      <c r="I86" s="41" t="s">
        <v>928</v>
      </c>
      <c r="J86" s="41" t="s">
        <v>929</v>
      </c>
      <c r="K86" s="41" t="s">
        <v>930</v>
      </c>
      <c r="L86" s="41" t="s">
        <v>931</v>
      </c>
      <c r="M86" s="41" t="s">
        <v>932</v>
      </c>
      <c r="N86" s="41" t="s">
        <v>933</v>
      </c>
      <c r="O86" s="41" t="s">
        <v>934</v>
      </c>
      <c r="P86" s="41" t="s">
        <v>935</v>
      </c>
      <c r="Q86" s="41" t="s">
        <v>936</v>
      </c>
      <c r="R86" s="41" t="s">
        <v>937</v>
      </c>
      <c r="T86" s="105" t="s">
        <v>1065</v>
      </c>
      <c r="U86" s="41" t="s">
        <v>922</v>
      </c>
      <c r="V86" s="41" t="s">
        <v>923</v>
      </c>
      <c r="W86" s="41" t="s">
        <v>924</v>
      </c>
      <c r="X86" s="41" t="s">
        <v>925</v>
      </c>
      <c r="Y86" s="41" t="s">
        <v>926</v>
      </c>
      <c r="Z86" s="41" t="s">
        <v>927</v>
      </c>
      <c r="AA86" s="41" t="s">
        <v>928</v>
      </c>
      <c r="AB86" s="41" t="s">
        <v>929</v>
      </c>
      <c r="AC86" s="41" t="s">
        <v>930</v>
      </c>
      <c r="AD86" s="41" t="s">
        <v>931</v>
      </c>
      <c r="AE86" s="41" t="s">
        <v>932</v>
      </c>
      <c r="AF86" s="41" t="s">
        <v>933</v>
      </c>
      <c r="AG86" s="41" t="s">
        <v>934</v>
      </c>
      <c r="AH86" s="41" t="s">
        <v>935</v>
      </c>
      <c r="AI86" s="41" t="s">
        <v>936</v>
      </c>
      <c r="AJ86" s="41" t="s">
        <v>937</v>
      </c>
    </row>
    <row r="87" spans="2:36" x14ac:dyDescent="0.15">
      <c r="B87" s="106" t="s">
        <v>911</v>
      </c>
      <c r="C87" s="181" t="str">
        <f>IFERROR(SUMIFS('caseload data'!E:E,'caseload data'!$C:$C,'custody %'!$B$85,'caseload data'!$D:$D,"PO",'caseload data'!$B:$B,"custody")/SUMIFS('caseload data'!E:E,'caseload data'!$B:$B,"custody",'caseload data'!$C:$C,'custody %'!$B$85),"")</f>
        <v/>
      </c>
      <c r="D87" s="181" t="str">
        <f>IFERROR(SUMIFS('caseload data'!F:F,'caseload data'!$C:$C,'custody %'!$B$85,'caseload data'!$D:$D,"PO",'caseload data'!$B:$B,"custody")/SUMIFS('caseload data'!F:F,'caseload data'!$B:$B,"custody",'caseload data'!$C:$C,'custody %'!$B$85),"")</f>
        <v/>
      </c>
      <c r="E87" s="181" t="str">
        <f>IFERROR(SUMIFS('caseload data'!G:G,'caseload data'!$C:$C,'custody %'!$B$85,'caseload data'!$D:$D,"PO",'caseload data'!$B:$B,"custody")/SUMIFS('caseload data'!G:G,'caseload data'!$B:$B,"custody",'caseload data'!$C:$C,'custody %'!$B$85),"")</f>
        <v/>
      </c>
      <c r="F87" s="181" t="str">
        <f>IFERROR(SUMIFS('caseload data'!H:H,'caseload data'!$C:$C,'custody %'!$B$85,'caseload data'!$D:$D,"PO",'caseload data'!$B:$B,"custody")/SUMIFS('caseload data'!H:H,'caseload data'!$B:$B,"custody",'caseload data'!$C:$C,'custody %'!$B$85),"")</f>
        <v/>
      </c>
      <c r="G87" s="181" t="str">
        <f>IFERROR(SUMIFS('caseload data'!I:I,'caseload data'!$C:$C,'custody %'!$B$85,'caseload data'!$D:$D,"PO",'caseload data'!$B:$B,"custody")/SUMIFS('caseload data'!I:I,'caseload data'!$B:$B,"custody",'caseload data'!$C:$C,'custody %'!$B$85),"")</f>
        <v/>
      </c>
      <c r="H87" s="181" t="str">
        <f>IFERROR(SUMIFS('caseload data'!J:J,'caseload data'!$C:$C,'custody %'!$B$85,'caseload data'!$D:$D,"PO",'caseload data'!$B:$B,"custody")/SUMIFS('caseload data'!J:J,'caseload data'!$B:$B,"custody",'caseload data'!$C:$C,'custody %'!$B$85),"")</f>
        <v/>
      </c>
      <c r="I87" s="181" t="str">
        <f>IFERROR(SUMIFS('caseload data'!K:K,'caseload data'!$C:$C,'custody %'!$B$85,'caseload data'!$D:$D,"PO",'caseload data'!$B:$B,"custody")/SUMIFS('caseload data'!K:K,'caseload data'!$B:$B,"custody",'caseload data'!$C:$C,'custody %'!$B$85),"")</f>
        <v/>
      </c>
      <c r="J87" s="181" t="str">
        <f>IFERROR(SUMIFS('caseload data'!L:L,'caseload data'!$C:$C,'custody %'!$B$85,'caseload data'!$D:$D,"PO",'caseload data'!$B:$B,"custody")/SUMIFS('caseload data'!L:L,'caseload data'!$B:$B,"custody",'caseload data'!$C:$C,'custody %'!$B$85),"")</f>
        <v/>
      </c>
      <c r="K87" s="181" t="str">
        <f>IFERROR(SUMIFS('caseload data'!M:M,'caseload data'!$C:$C,'custody %'!$B$85,'caseload data'!$D:$D,"PO",'caseload data'!$B:$B,"custody")/SUMIFS('caseload data'!M:M,'caseload data'!$B:$B,"custody",'caseload data'!$C:$C,'custody %'!$B$85),"")</f>
        <v/>
      </c>
      <c r="L87" s="181" t="str">
        <f>IFERROR(SUMIFS('caseload data'!N:N,'caseload data'!$C:$C,'custody %'!$B$85,'caseload data'!$D:$D,"PO",'caseload data'!$B:$B,"custody")/SUMIFS('caseload data'!N:N,'caseload data'!$B:$B,"custody",'caseload data'!$C:$C,'custody %'!$B$85),"")</f>
        <v/>
      </c>
      <c r="M87" s="181" t="str">
        <f>IFERROR(SUMIFS('caseload data'!O:O,'caseload data'!$C:$C,'custody %'!$B$85,'caseload data'!$D:$D,"PO",'caseload data'!$B:$B,"custody")/SUMIFS('caseload data'!O:O,'caseload data'!$B:$B,"custody",'caseload data'!$C:$C,'custody %'!$B$85),"")</f>
        <v/>
      </c>
      <c r="N87" s="181" t="str">
        <f>IFERROR(SUMIFS('caseload data'!P:P,'caseload data'!$C:$C,'custody %'!$B$85,'caseload data'!$D:$D,"PO",'caseload data'!$B:$B,"custody")/SUMIFS('caseload data'!P:P,'caseload data'!$B:$B,"custody",'caseload data'!$C:$C,'custody %'!$B$85),"")</f>
        <v/>
      </c>
      <c r="O87" s="181" t="str">
        <f>IFERROR(SUMIFS('caseload data'!Q:Q,'caseload data'!$C:$C,'custody %'!$B$85,'caseload data'!$D:$D,"PO",'caseload data'!$B:$B,"custody")/SUMIFS('caseload data'!Q:Q,'caseload data'!$B:$B,"custody",'caseload data'!$C:$C,'custody %'!$B$85),"")</f>
        <v/>
      </c>
      <c r="P87" s="181" t="str">
        <f>IFERROR(SUMIFS('caseload data'!R:R,'caseload data'!$C:$C,'custody %'!$B$85,'caseload data'!$D:$D,"PO",'caseload data'!$B:$B,"custody")/SUMIFS('caseload data'!R:R,'caseload data'!$B:$B,"custody",'caseload data'!$C:$C,'custody %'!$B$85),"")</f>
        <v/>
      </c>
      <c r="Q87" s="181" t="str">
        <f>IFERROR(SUMIFS('caseload data'!S:S,'caseload data'!$C:$C,'custody %'!$B$85,'caseload data'!$D:$D,"PO",'caseload data'!$B:$B,"custody")/SUMIFS('caseload data'!S:S,'caseload data'!$B:$B,"custody",'caseload data'!$C:$C,'custody %'!$B$85),"")</f>
        <v/>
      </c>
      <c r="R87" s="181" t="str">
        <f>IFERROR(SUMIFS('caseload data'!T:T,'caseload data'!$C:$C,'custody %'!$B$85,'caseload data'!$D:$D,"PO",'caseload data'!$B:$B,"custody")/SUMIFS('caseload data'!T:T,'caseload data'!$B:$B,"custody",'caseload data'!$C:$C,'custody %'!$B$85),"")</f>
        <v/>
      </c>
      <c r="T87" s="106" t="s">
        <v>911</v>
      </c>
      <c r="U87" s="181" t="str">
        <f>IFERROR(SUMIFS('caseload data'!E:E,'caseload data'!$C:$C,'custody %'!$T$85,'caseload data'!$D:$D,"PO",'caseload data'!$B:$B,"custody")/SUMIFS('caseload data'!E:E,'caseload data'!$B:$B,"custody",'caseload data'!$C:$C,'custody %'!$T$85),"")</f>
        <v/>
      </c>
      <c r="V87" s="181" t="str">
        <f>IFERROR(SUMIFS('caseload data'!F:F,'caseload data'!$C:$C,'custody %'!$T$85,'caseload data'!$D:$D,"PO",'caseload data'!$B:$B,"custody")/SUMIFS('caseload data'!F:F,'caseload data'!$B:$B,"custody",'caseload data'!$C:$C,'custody %'!$T$85),"")</f>
        <v/>
      </c>
      <c r="W87" s="181" t="str">
        <f>IFERROR(SUMIFS('caseload data'!G:G,'caseload data'!$C:$C,'custody %'!$T$85,'caseload data'!$D:$D,"PO",'caseload data'!$B:$B,"custody")/SUMIFS('caseload data'!G:G,'caseload data'!$B:$B,"custody",'caseload data'!$C:$C,'custody %'!$T$85),"")</f>
        <v/>
      </c>
      <c r="X87" s="181" t="str">
        <f>IFERROR(SUMIFS('caseload data'!H:H,'caseload data'!$C:$C,'custody %'!$T$85,'caseload data'!$D:$D,"PO",'caseload data'!$B:$B,"custody")/SUMIFS('caseload data'!H:H,'caseload data'!$B:$B,"custody",'caseload data'!$C:$C,'custody %'!$T$85),"")</f>
        <v/>
      </c>
      <c r="Y87" s="181" t="str">
        <f>IFERROR(SUMIFS('caseload data'!I:I,'caseload data'!$C:$C,'custody %'!$T$85,'caseload data'!$D:$D,"PO",'caseload data'!$B:$B,"custody")/SUMIFS('caseload data'!I:I,'caseload data'!$B:$B,"custody",'caseload data'!$C:$C,'custody %'!$T$85),"")</f>
        <v/>
      </c>
      <c r="Z87" s="181" t="str">
        <f>IFERROR(SUMIFS('caseload data'!J:J,'caseload data'!$C:$C,'custody %'!$T$85,'caseload data'!$D:$D,"PO",'caseload data'!$B:$B,"custody")/SUMIFS('caseload data'!J:J,'caseload data'!$B:$B,"custody",'caseload data'!$C:$C,'custody %'!$T$85),"")</f>
        <v/>
      </c>
      <c r="AA87" s="181" t="str">
        <f>IFERROR(SUMIFS('caseload data'!K:K,'caseload data'!$C:$C,'custody %'!$T$85,'caseload data'!$D:$D,"PO",'caseload data'!$B:$B,"custody")/SUMIFS('caseload data'!K:K,'caseload data'!$B:$B,"custody",'caseload data'!$C:$C,'custody %'!$T$85),"")</f>
        <v/>
      </c>
      <c r="AB87" s="181" t="str">
        <f>IFERROR(SUMIFS('caseload data'!L:L,'caseload data'!$C:$C,'custody %'!$T$85,'caseload data'!$D:$D,"PO",'caseload data'!$B:$B,"custody")/SUMIFS('caseload data'!L:L,'caseload data'!$B:$B,"custody",'caseload data'!$C:$C,'custody %'!$T$85),"")</f>
        <v/>
      </c>
      <c r="AC87" s="181" t="str">
        <f>IFERROR(SUMIFS('caseload data'!M:M,'caseload data'!$C:$C,'custody %'!$T$85,'caseload data'!$D:$D,"PO",'caseload data'!$B:$B,"custody")/SUMIFS('caseload data'!M:M,'caseload data'!$B:$B,"custody",'caseload data'!$C:$C,'custody %'!$T$85),"")</f>
        <v/>
      </c>
      <c r="AD87" s="181" t="str">
        <f>IFERROR(SUMIFS('caseload data'!N:N,'caseload data'!$C:$C,'custody %'!$T$85,'caseload data'!$D:$D,"PO",'caseload data'!$B:$B,"custody")/SUMIFS('caseload data'!N:N,'caseload data'!$B:$B,"custody",'caseload data'!$C:$C,'custody %'!$T$85),"")</f>
        <v/>
      </c>
      <c r="AE87" s="181" t="str">
        <f>IFERROR(SUMIFS('caseload data'!O:O,'caseload data'!$C:$C,'custody %'!$T$85,'caseload data'!$D:$D,"PO",'caseload data'!$B:$B,"custody")/SUMIFS('caseload data'!O:O,'caseload data'!$B:$B,"custody",'caseload data'!$C:$C,'custody %'!$T$85),"")</f>
        <v/>
      </c>
      <c r="AF87" s="181" t="str">
        <f>IFERROR(SUMIFS('caseload data'!P:P,'caseload data'!$C:$C,'custody %'!$T$85,'caseload data'!$D:$D,"PO",'caseload data'!$B:$B,"custody")/SUMIFS('caseload data'!P:P,'caseload data'!$B:$B,"custody",'caseload data'!$C:$C,'custody %'!$T$85),"")</f>
        <v/>
      </c>
      <c r="AG87" s="181" t="str">
        <f>IFERROR(SUMIFS('caseload data'!Q:Q,'caseload data'!$C:$C,'custody %'!$T$85,'caseload data'!$D:$D,"PO",'caseload data'!$B:$B,"custody")/SUMIFS('caseload data'!Q:Q,'caseload data'!$B:$B,"custody",'caseload data'!$C:$C,'custody %'!$T$85),"")</f>
        <v/>
      </c>
      <c r="AH87" s="181" t="str">
        <f>IFERROR(SUMIFS('caseload data'!R:R,'caseload data'!$C:$C,'custody %'!$T$85,'caseload data'!$D:$D,"PO",'caseload data'!$B:$B,"custody")/SUMIFS('caseload data'!R:R,'caseload data'!$B:$B,"custody",'caseload data'!$C:$C,'custody %'!$T$85),"")</f>
        <v/>
      </c>
      <c r="AI87" s="181"/>
      <c r="AJ87" s="181"/>
    </row>
    <row r="88" spans="2:36" x14ac:dyDescent="0.15">
      <c r="B88" s="107" t="s">
        <v>912</v>
      </c>
      <c r="C88" s="181" t="str">
        <f>IFERROR(SUMIFS('caseload data'!E:E,'caseload data'!$C:$C,'custody %'!$B$85,'caseload data'!$D:$D,"PSO",'caseload data'!$B:$B,"custody")/SUMIFS('caseload data'!E:E,'caseload data'!$B:$B,"custody",'caseload data'!$C:$C,'custody %'!$B$85),"")</f>
        <v/>
      </c>
      <c r="D88" s="181" t="str">
        <f>IFERROR(SUMIFS('caseload data'!F:F,'caseload data'!$C:$C,'custody %'!$B$85,'caseload data'!$D:$D,"PSO",'caseload data'!$B:$B,"custody")/SUMIFS('caseload data'!F:F,'caseload data'!$B:$B,"custody",'caseload data'!$C:$C,'custody %'!$B$85),"")</f>
        <v/>
      </c>
      <c r="E88" s="181" t="str">
        <f>IFERROR(SUMIFS('caseload data'!G:G,'caseload data'!$C:$C,'custody %'!$B$85,'caseload data'!$D:$D,"PSO",'caseload data'!$B:$B,"custody")/SUMIFS('caseload data'!G:G,'caseload data'!$B:$B,"custody",'caseload data'!$C:$C,'custody %'!$B$85),"")</f>
        <v/>
      </c>
      <c r="F88" s="181" t="str">
        <f>IFERROR(SUMIFS('caseload data'!H:H,'caseload data'!$C:$C,'custody %'!$B$85,'caseload data'!$D:$D,"PSO",'caseload data'!$B:$B,"custody")/SUMIFS('caseload data'!H:H,'caseload data'!$B:$B,"custody",'caseload data'!$C:$C,'custody %'!$B$85),"")</f>
        <v/>
      </c>
      <c r="G88" s="181" t="str">
        <f>IFERROR(SUMIFS('caseload data'!I:I,'caseload data'!$C:$C,'custody %'!$B$85,'caseload data'!$D:$D,"PSO",'caseload data'!$B:$B,"custody")/SUMIFS('caseload data'!I:I,'caseload data'!$B:$B,"custody",'caseload data'!$C:$C,'custody %'!$B$85),"")</f>
        <v/>
      </c>
      <c r="H88" s="181" t="str">
        <f>IFERROR(SUMIFS('caseload data'!J:J,'caseload data'!$C:$C,'custody %'!$B$85,'caseload data'!$D:$D,"PSO",'caseload data'!$B:$B,"custody")/SUMIFS('caseload data'!J:J,'caseload data'!$B:$B,"custody",'caseload data'!$C:$C,'custody %'!$B$85),"")</f>
        <v/>
      </c>
      <c r="I88" s="181" t="str">
        <f>IFERROR(SUMIFS('caseload data'!K:K,'caseload data'!$C:$C,'custody %'!$B$85,'caseload data'!$D:$D,"PSO",'caseload data'!$B:$B,"custody")/SUMIFS('caseload data'!K:K,'caseload data'!$B:$B,"custody",'caseload data'!$C:$C,'custody %'!$B$85),"")</f>
        <v/>
      </c>
      <c r="J88" s="181" t="str">
        <f>IFERROR(SUMIFS('caseload data'!L:L,'caseload data'!$C:$C,'custody %'!$B$85,'caseload data'!$D:$D,"PSO",'caseload data'!$B:$B,"custody")/SUMIFS('caseload data'!L:L,'caseload data'!$B:$B,"custody",'caseload data'!$C:$C,'custody %'!$B$85),"")</f>
        <v/>
      </c>
      <c r="K88" s="181" t="str">
        <f>IFERROR(SUMIFS('caseload data'!M:M,'caseload data'!$C:$C,'custody %'!$B$85,'caseload data'!$D:$D,"PSO",'caseload data'!$B:$B,"custody")/SUMIFS('caseload data'!M:M,'caseload data'!$B:$B,"custody",'caseload data'!$C:$C,'custody %'!$B$85),"")</f>
        <v/>
      </c>
      <c r="L88" s="181" t="str">
        <f>IFERROR(SUMIFS('caseload data'!N:N,'caseload data'!$C:$C,'custody %'!$B$85,'caseload data'!$D:$D,"PSO",'caseload data'!$B:$B,"custody")/SUMIFS('caseload data'!N:N,'caseload data'!$B:$B,"custody",'caseload data'!$C:$C,'custody %'!$B$85),"")</f>
        <v/>
      </c>
      <c r="M88" s="181" t="str">
        <f>IFERROR(SUMIFS('caseload data'!O:O,'caseload data'!$C:$C,'custody %'!$B$85,'caseload data'!$D:$D,"PSO",'caseload data'!$B:$B,"custody")/SUMIFS('caseload data'!O:O,'caseload data'!$B:$B,"custody",'caseload data'!$C:$C,'custody %'!$B$85),"")</f>
        <v/>
      </c>
      <c r="N88" s="181" t="str">
        <f>IFERROR(SUMIFS('caseload data'!P:P,'caseload data'!$C:$C,'custody %'!$B$85,'caseload data'!$D:$D,"PSO",'caseload data'!$B:$B,"custody")/SUMIFS('caseload data'!P:P,'caseload data'!$B:$B,"custody",'caseload data'!$C:$C,'custody %'!$B$85),"")</f>
        <v/>
      </c>
      <c r="O88" s="181" t="str">
        <f>IFERROR(SUMIFS('caseload data'!Q:Q,'caseload data'!$C:$C,'custody %'!$B$85,'caseload data'!$D:$D,"PSO",'caseload data'!$B:$B,"custody")/SUMIFS('caseload data'!Q:Q,'caseload data'!$B:$B,"custody",'caseload data'!$C:$C,'custody %'!$B$85),"")</f>
        <v/>
      </c>
      <c r="P88" s="181" t="str">
        <f>IFERROR(SUMIFS('caseload data'!R:R,'caseload data'!$C:$C,'custody %'!$B$85,'caseload data'!$D:$D,"PSO",'caseload data'!$B:$B,"custody")/SUMIFS('caseload data'!R:R,'caseload data'!$B:$B,"custody",'caseload data'!$C:$C,'custody %'!$B$85),"")</f>
        <v/>
      </c>
      <c r="Q88" s="181" t="str">
        <f>IFERROR(SUMIFS('caseload data'!S:S,'caseload data'!$C:$C,'custody %'!$B$85,'caseload data'!$D:$D,"PSO",'caseload data'!$B:$B,"custody")/SUMIFS('caseload data'!S:S,'caseload data'!$B:$B,"custody",'caseload data'!$C:$C,'custody %'!$B$85),"")</f>
        <v/>
      </c>
      <c r="R88" s="181" t="str">
        <f>IFERROR(SUMIFS('caseload data'!T:T,'caseload data'!$C:$C,'custody %'!$B$85,'caseload data'!$D:$D,"PSO",'caseload data'!$B:$B,"custody")/SUMIFS('caseload data'!T:T,'caseload data'!$B:$B,"custody",'caseload data'!$C:$C,'custody %'!$B$85),"")</f>
        <v/>
      </c>
      <c r="T88" s="107" t="s">
        <v>912</v>
      </c>
      <c r="U88" s="181" t="str">
        <f>IFERROR(SUMIFS('caseload data'!E:E,'caseload data'!$C:$C,'custody %'!$T$85,'caseload data'!$D:$D,"PSO",'caseload data'!$B:$B,"custody")/SUMIFS('caseload data'!E:E,'caseload data'!$B:$B,"custody",'caseload data'!$C:$C,'custody %'!$T$85),"")</f>
        <v/>
      </c>
      <c r="V88" s="181" t="str">
        <f>IFERROR(SUMIFS('caseload data'!F:F,'caseload data'!$C:$C,'custody %'!$T$85,'caseload data'!$D:$D,"PSO",'caseload data'!$B:$B,"custody")/SUMIFS('caseload data'!F:F,'caseload data'!$B:$B,"custody",'caseload data'!$C:$C,'custody %'!$T$85),"")</f>
        <v/>
      </c>
      <c r="W88" s="181" t="str">
        <f>IFERROR(SUMIFS('caseload data'!G:G,'caseload data'!$C:$C,'custody %'!$T$85,'caseload data'!$D:$D,"PSO",'caseload data'!$B:$B,"custody")/SUMIFS('caseload data'!G:G,'caseload data'!$B:$B,"custody",'caseload data'!$C:$C,'custody %'!$T$85),"")</f>
        <v/>
      </c>
      <c r="X88" s="181" t="str">
        <f>IFERROR(SUMIFS('caseload data'!H:H,'caseload data'!$C:$C,'custody %'!$T$85,'caseload data'!$D:$D,"PSO",'caseload data'!$B:$B,"custody")/SUMIFS('caseload data'!H:H,'caseload data'!$B:$B,"custody",'caseload data'!$C:$C,'custody %'!$T$85),"")</f>
        <v/>
      </c>
      <c r="Y88" s="181" t="str">
        <f>IFERROR(SUMIFS('caseload data'!I:I,'caseload data'!$C:$C,'custody %'!$T$85,'caseload data'!$D:$D,"PSO",'caseload data'!$B:$B,"custody")/SUMIFS('caseload data'!I:I,'caseload data'!$B:$B,"custody",'caseload data'!$C:$C,'custody %'!$T$85),"")</f>
        <v/>
      </c>
      <c r="Z88" s="181" t="str">
        <f>IFERROR(SUMIFS('caseload data'!J:J,'caseload data'!$C:$C,'custody %'!$T$85,'caseload data'!$D:$D,"PSO",'caseload data'!$B:$B,"custody")/SUMIFS('caseload data'!J:J,'caseload data'!$B:$B,"custody",'caseload data'!$C:$C,'custody %'!$T$85),"")</f>
        <v/>
      </c>
      <c r="AA88" s="181" t="str">
        <f>IFERROR(SUMIFS('caseload data'!K:K,'caseload data'!$C:$C,'custody %'!$T$85,'caseload data'!$D:$D,"PSO",'caseload data'!$B:$B,"custody")/SUMIFS('caseload data'!K:K,'caseload data'!$B:$B,"custody",'caseload data'!$C:$C,'custody %'!$T$85),"")</f>
        <v/>
      </c>
      <c r="AB88" s="181" t="str">
        <f>IFERROR(SUMIFS('caseload data'!L:L,'caseload data'!$C:$C,'custody %'!$T$85,'caseload data'!$D:$D,"PSO",'caseload data'!$B:$B,"custody")/SUMIFS('caseload data'!L:L,'caseload data'!$B:$B,"custody",'caseload data'!$C:$C,'custody %'!$T$85),"")</f>
        <v/>
      </c>
      <c r="AC88" s="181" t="str">
        <f>IFERROR(SUMIFS('caseload data'!M:M,'caseload data'!$C:$C,'custody %'!$T$85,'caseload data'!$D:$D,"PSO",'caseload data'!$B:$B,"custody")/SUMIFS('caseload data'!M:M,'caseload data'!$B:$B,"custody",'caseload data'!$C:$C,'custody %'!$T$85),"")</f>
        <v/>
      </c>
      <c r="AD88" s="181" t="str">
        <f>IFERROR(SUMIFS('caseload data'!N:N,'caseload data'!$C:$C,'custody %'!$T$85,'caseload data'!$D:$D,"PSO",'caseload data'!$B:$B,"custody")/SUMIFS('caseload data'!N:N,'caseload data'!$B:$B,"custody",'caseload data'!$C:$C,'custody %'!$T$85),"")</f>
        <v/>
      </c>
      <c r="AE88" s="181" t="str">
        <f>IFERROR(SUMIFS('caseload data'!O:O,'caseload data'!$C:$C,'custody %'!$T$85,'caseload data'!$D:$D,"PSO",'caseload data'!$B:$B,"custody")/SUMIFS('caseload data'!O:O,'caseload data'!$B:$B,"custody",'caseload data'!$C:$C,'custody %'!$T$85),"")</f>
        <v/>
      </c>
      <c r="AF88" s="181" t="str">
        <f>IFERROR(SUMIFS('caseload data'!P:P,'caseload data'!$C:$C,'custody %'!$T$85,'caseload data'!$D:$D,"PSO",'caseload data'!$B:$B,"custody")/SUMIFS('caseload data'!P:P,'caseload data'!$B:$B,"custody",'caseload data'!$C:$C,'custody %'!$T$85),"")</f>
        <v/>
      </c>
      <c r="AG88" s="181" t="str">
        <f>IFERROR(SUMIFS('caseload data'!Q:Q,'caseload data'!$C:$C,'custody %'!$T$85,'caseload data'!$D:$D,"PSO",'caseload data'!$B:$B,"custody")/SUMIFS('caseload data'!Q:Q,'caseload data'!$B:$B,"custody",'caseload data'!$C:$C,'custody %'!$T$85),"")</f>
        <v/>
      </c>
      <c r="AH88" s="181" t="str">
        <f>IFERROR(SUMIFS('caseload data'!R:R,'caseload data'!$C:$C,'custody %'!$T$85,'caseload data'!$D:$D,"PSO",'caseload data'!$B:$B,"custody")/SUMIFS('caseload data'!R:R,'caseload data'!$B:$B,"custody",'caseload data'!$C:$C,'custody %'!$T$85),"")</f>
        <v/>
      </c>
      <c r="AI88" s="181"/>
      <c r="AJ88" s="181"/>
    </row>
    <row r="89" spans="2:36" x14ac:dyDescent="0.15">
      <c r="B89" s="107" t="s">
        <v>913</v>
      </c>
      <c r="C89" s="181" t="str">
        <f>IFERROR(SUMIFS('caseload data'!E:E,'caseload data'!$C:$C,'custody %'!$B$85,'caseload data'!$D:$D,"TPO",'caseload data'!$B:$B,"custody")/SUMIFS('caseload data'!E:E,'caseload data'!$B:$B,"custody",'caseload data'!$C:$C,'custody %'!$B$85),"")</f>
        <v/>
      </c>
      <c r="D89" s="181" t="str">
        <f>IFERROR(SUMIFS('caseload data'!F:F,'caseload data'!$C:$C,'custody %'!$B$85,'caseload data'!$D:$D,"TPO",'caseload data'!$B:$B,"custody")/SUMIFS('caseload data'!F:F,'caseload data'!$B:$B,"custody",'caseload data'!$C:$C,'custody %'!$B$85),"")</f>
        <v/>
      </c>
      <c r="E89" s="181" t="str">
        <f>IFERROR(SUMIFS('caseload data'!G:G,'caseload data'!$C:$C,'custody %'!$B$85,'caseload data'!$D:$D,"TPO",'caseload data'!$B:$B,"custody")/SUMIFS('caseload data'!G:G,'caseload data'!$B:$B,"custody",'caseload data'!$C:$C,'custody %'!$B$85),"")</f>
        <v/>
      </c>
      <c r="F89" s="181" t="str">
        <f>IFERROR(SUMIFS('caseload data'!H:H,'caseload data'!$C:$C,'custody %'!$B$85,'caseload data'!$D:$D,"TPO",'caseload data'!$B:$B,"custody")/SUMIFS('caseload data'!H:H,'caseload data'!$B:$B,"custody",'caseload data'!$C:$C,'custody %'!$B$85),"")</f>
        <v/>
      </c>
      <c r="G89" s="181" t="str">
        <f>IFERROR(SUMIFS('caseload data'!I:I,'caseload data'!$C:$C,'custody %'!$B$85,'caseload data'!$D:$D,"TPO",'caseload data'!$B:$B,"custody")/SUMIFS('caseload data'!I:I,'caseload data'!$B:$B,"custody",'caseload data'!$C:$C,'custody %'!$B$85),"")</f>
        <v/>
      </c>
      <c r="H89" s="181" t="str">
        <f>IFERROR(SUMIFS('caseload data'!J:J,'caseload data'!$C:$C,'custody %'!$B$85,'caseload data'!$D:$D,"TPO",'caseload data'!$B:$B,"custody")/SUMIFS('caseload data'!J:J,'caseload data'!$B:$B,"custody",'caseload data'!$C:$C,'custody %'!$B$85),"")</f>
        <v/>
      </c>
      <c r="I89" s="181" t="str">
        <f>IFERROR(SUMIFS('caseload data'!K:K,'caseload data'!$C:$C,'custody %'!$B$85,'caseload data'!$D:$D,"TPO",'caseload data'!$B:$B,"custody")/SUMIFS('caseload data'!K:K,'caseload data'!$B:$B,"custody",'caseload data'!$C:$C,'custody %'!$B$85),"")</f>
        <v/>
      </c>
      <c r="J89" s="181" t="str">
        <f>IFERROR(SUMIFS('caseload data'!L:L,'caseload data'!$C:$C,'custody %'!$B$85,'caseload data'!$D:$D,"TPO",'caseload data'!$B:$B,"custody")/SUMIFS('caseload data'!L:L,'caseload data'!$B:$B,"custody",'caseload data'!$C:$C,'custody %'!$B$85),"")</f>
        <v/>
      </c>
      <c r="K89" s="181" t="str">
        <f>IFERROR(SUMIFS('caseload data'!M:M,'caseload data'!$C:$C,'custody %'!$B$85,'caseload data'!$D:$D,"TPO",'caseload data'!$B:$B,"custody")/SUMIFS('caseload data'!M:M,'caseload data'!$B:$B,"custody",'caseload data'!$C:$C,'custody %'!$B$85),"")</f>
        <v/>
      </c>
      <c r="L89" s="181" t="str">
        <f>IFERROR(SUMIFS('caseload data'!N:N,'caseload data'!$C:$C,'custody %'!$B$85,'caseload data'!$D:$D,"TPO",'caseload data'!$B:$B,"custody")/SUMIFS('caseload data'!N:N,'caseload data'!$B:$B,"custody",'caseload data'!$C:$C,'custody %'!$B$85),"")</f>
        <v/>
      </c>
      <c r="M89" s="181" t="str">
        <f>IFERROR(SUMIFS('caseload data'!O:O,'caseload data'!$C:$C,'custody %'!$B$85,'caseload data'!$D:$D,"TPO",'caseload data'!$B:$B,"custody")/SUMIFS('caseload data'!O:O,'caseload data'!$B:$B,"custody",'caseload data'!$C:$C,'custody %'!$B$85),"")</f>
        <v/>
      </c>
      <c r="N89" s="181" t="str">
        <f>IFERROR(SUMIFS('caseload data'!P:P,'caseload data'!$C:$C,'custody %'!$B$85,'caseload data'!$D:$D,"TPO",'caseload data'!$B:$B,"custody")/SUMIFS('caseload data'!P:P,'caseload data'!$B:$B,"custody",'caseload data'!$C:$C,'custody %'!$B$85),"")</f>
        <v/>
      </c>
      <c r="O89" s="181" t="str">
        <f>IFERROR(SUMIFS('caseload data'!Q:Q,'caseload data'!$C:$C,'custody %'!$B$85,'caseload data'!$D:$D,"TPO",'caseload data'!$B:$B,"custody")/SUMIFS('caseload data'!Q:Q,'caseload data'!$B:$B,"custody",'caseload data'!$C:$C,'custody %'!$B$85),"")</f>
        <v/>
      </c>
      <c r="P89" s="181" t="str">
        <f>IFERROR(SUMIFS('caseload data'!R:R,'caseload data'!$C:$C,'custody %'!$B$85,'caseload data'!$D:$D,"TPO",'caseload data'!$B:$B,"custody")/SUMIFS('caseload data'!R:R,'caseload data'!$B:$B,"custody",'caseload data'!$C:$C,'custody %'!$B$85),"")</f>
        <v/>
      </c>
      <c r="Q89" s="181" t="str">
        <f>IFERROR(SUMIFS('caseload data'!S:S,'caseload data'!$C:$C,'custody %'!$B$85,'caseload data'!$D:$D,"TPO",'caseload data'!$B:$B,"custody")/SUMIFS('caseload data'!S:S,'caseload data'!$B:$B,"custody",'caseload data'!$C:$C,'custody %'!$B$85),"")</f>
        <v/>
      </c>
      <c r="R89" s="181" t="str">
        <f>IFERROR(SUMIFS('caseload data'!T:T,'caseload data'!$C:$C,'custody %'!$B$85,'caseload data'!$D:$D,"TPO",'caseload data'!$B:$B,"custody")/SUMIFS('caseload data'!T:T,'caseload data'!$B:$B,"custody",'caseload data'!$C:$C,'custody %'!$B$85),"")</f>
        <v/>
      </c>
      <c r="T89" s="107" t="s">
        <v>913</v>
      </c>
      <c r="U89" s="181" t="str">
        <f>IFERROR(SUMIFS('caseload data'!E:E,'caseload data'!$C:$C,'custody %'!$T$85,'caseload data'!$D:$D,"TPO",'caseload data'!$B:$B,"custody")/SUMIFS('caseload data'!E:E,'caseload data'!$B:$B,"custody",'caseload data'!$C:$C,'custody %'!$T$85),"")</f>
        <v/>
      </c>
      <c r="V89" s="181" t="str">
        <f>IFERROR(SUMIFS('caseload data'!F:F,'caseload data'!$C:$C,'custody %'!$T$85,'caseload data'!$D:$D,"TPO",'caseload data'!$B:$B,"custody")/SUMIFS('caseload data'!F:F,'caseload data'!$B:$B,"custody",'caseload data'!$C:$C,'custody %'!$T$85),"")</f>
        <v/>
      </c>
      <c r="W89" s="181" t="str">
        <f>IFERROR(SUMIFS('caseload data'!G:G,'caseload data'!$C:$C,'custody %'!$T$85,'caseload data'!$D:$D,"TPO",'caseload data'!$B:$B,"custody")/SUMIFS('caseload data'!G:G,'caseload data'!$B:$B,"custody",'caseload data'!$C:$C,'custody %'!$T$85),"")</f>
        <v/>
      </c>
      <c r="X89" s="181" t="str">
        <f>IFERROR(SUMIFS('caseload data'!H:H,'caseload data'!$C:$C,'custody %'!$T$85,'caseload data'!$D:$D,"TPO",'caseload data'!$B:$B,"custody")/SUMIFS('caseload data'!H:H,'caseload data'!$B:$B,"custody",'caseload data'!$C:$C,'custody %'!$T$85),"")</f>
        <v/>
      </c>
      <c r="Y89" s="181" t="str">
        <f>IFERROR(SUMIFS('caseload data'!I:I,'caseload data'!$C:$C,'custody %'!$T$85,'caseload data'!$D:$D,"TPO",'caseload data'!$B:$B,"custody")/SUMIFS('caseload data'!I:I,'caseload data'!$B:$B,"custody",'caseload data'!$C:$C,'custody %'!$T$85),"")</f>
        <v/>
      </c>
      <c r="Z89" s="181" t="str">
        <f>IFERROR(SUMIFS('caseload data'!J:J,'caseload data'!$C:$C,'custody %'!$T$85,'caseload data'!$D:$D,"TPO",'caseload data'!$B:$B,"custody")/SUMIFS('caseload data'!J:J,'caseload data'!$B:$B,"custody",'caseload data'!$C:$C,'custody %'!$T$85),"")</f>
        <v/>
      </c>
      <c r="AA89" s="181" t="str">
        <f>IFERROR(SUMIFS('caseload data'!K:K,'caseload data'!$C:$C,'custody %'!$T$85,'caseload data'!$D:$D,"TPO",'caseload data'!$B:$B,"custody")/SUMIFS('caseload data'!K:K,'caseload data'!$B:$B,"custody",'caseload data'!$C:$C,'custody %'!$T$85),"")</f>
        <v/>
      </c>
      <c r="AB89" s="181" t="str">
        <f>IFERROR(SUMIFS('caseload data'!L:L,'caseload data'!$C:$C,'custody %'!$T$85,'caseload data'!$D:$D,"TPO",'caseload data'!$B:$B,"custody")/SUMIFS('caseload data'!L:L,'caseload data'!$B:$B,"custody",'caseload data'!$C:$C,'custody %'!$T$85),"")</f>
        <v/>
      </c>
      <c r="AC89" s="181" t="str">
        <f>IFERROR(SUMIFS('caseload data'!M:M,'caseload data'!$C:$C,'custody %'!$T$85,'caseload data'!$D:$D,"TPO",'caseload data'!$B:$B,"custody")/SUMIFS('caseload data'!M:M,'caseload data'!$B:$B,"custody",'caseload data'!$C:$C,'custody %'!$T$85),"")</f>
        <v/>
      </c>
      <c r="AD89" s="181" t="str">
        <f>IFERROR(SUMIFS('caseload data'!N:N,'caseload data'!$C:$C,'custody %'!$T$85,'caseload data'!$D:$D,"TPO",'caseload data'!$B:$B,"custody")/SUMIFS('caseload data'!N:N,'caseload data'!$B:$B,"custody",'caseload data'!$C:$C,'custody %'!$T$85),"")</f>
        <v/>
      </c>
      <c r="AE89" s="181" t="str">
        <f>IFERROR(SUMIFS('caseload data'!O:O,'caseload data'!$C:$C,'custody %'!$T$85,'caseload data'!$D:$D,"TPO",'caseload data'!$B:$B,"custody")/SUMIFS('caseload data'!O:O,'caseload data'!$B:$B,"custody",'caseload data'!$C:$C,'custody %'!$T$85),"")</f>
        <v/>
      </c>
      <c r="AF89" s="181" t="str">
        <f>IFERROR(SUMIFS('caseload data'!P:P,'caseload data'!$C:$C,'custody %'!$T$85,'caseload data'!$D:$D,"TPO",'caseload data'!$B:$B,"custody")/SUMIFS('caseload data'!P:P,'caseload data'!$B:$B,"custody",'caseload data'!$C:$C,'custody %'!$T$85),"")</f>
        <v/>
      </c>
      <c r="AG89" s="181" t="str">
        <f>IFERROR(SUMIFS('caseload data'!Q:Q,'caseload data'!$C:$C,'custody %'!$T$85,'caseload data'!$D:$D,"TPO",'caseload data'!$B:$B,"custody")/SUMIFS('caseload data'!Q:Q,'caseload data'!$B:$B,"custody",'caseload data'!$C:$C,'custody %'!$T$85),"")</f>
        <v/>
      </c>
      <c r="AH89" s="181" t="str">
        <f>IFERROR(SUMIFS('caseload data'!R:R,'caseload data'!$C:$C,'custody %'!$T$85,'caseload data'!$D:$D,"TPO",'caseload data'!$B:$B,"custody")/SUMIFS('caseload data'!R:R,'caseload data'!$B:$B,"custody",'caseload data'!$C:$C,'custody %'!$T$85),"")</f>
        <v/>
      </c>
      <c r="AI89" s="181"/>
      <c r="AJ89" s="181"/>
    </row>
    <row r="90" spans="2:36" x14ac:dyDescent="0.15">
      <c r="B90" s="108" t="s">
        <v>914</v>
      </c>
      <c r="C90" s="181" t="str">
        <f>IFERROR(SUMIFS('caseload data'!E:E,'caseload data'!$C:$C,'custody %'!$B$85,'caseload data'!$D:$D,"SPO",'caseload data'!$B:$B,"custody")/SUMIFS('caseload data'!E:E,'caseload data'!$B:$B,"custody",'caseload data'!$C:$C,'custody %'!$B$85),"")</f>
        <v/>
      </c>
      <c r="D90" s="181" t="str">
        <f>IFERROR(SUMIFS('caseload data'!F:F,'caseload data'!$C:$C,'custody %'!$B$85,'caseload data'!$D:$D,"SPO",'caseload data'!$B:$B,"custody")/SUMIFS('caseload data'!F:F,'caseload data'!$B:$B,"custody",'caseload data'!$C:$C,'custody %'!$B$85),"")</f>
        <v/>
      </c>
      <c r="E90" s="181" t="str">
        <f>IFERROR(SUMIFS('caseload data'!G:G,'caseload data'!$C:$C,'custody %'!$B$85,'caseload data'!$D:$D,"SPO",'caseload data'!$B:$B,"custody")/SUMIFS('caseload data'!G:G,'caseload data'!$B:$B,"custody",'caseload data'!$C:$C,'custody %'!$B$85),"")</f>
        <v/>
      </c>
      <c r="F90" s="181" t="str">
        <f>IFERROR(SUMIFS('caseload data'!H:H,'caseload data'!$C:$C,'custody %'!$B$85,'caseload data'!$D:$D,"SPO",'caseload data'!$B:$B,"custody")/SUMIFS('caseload data'!H:H,'caseload data'!$B:$B,"custody",'caseload data'!$C:$C,'custody %'!$B$85),"")</f>
        <v/>
      </c>
      <c r="G90" s="181" t="str">
        <f>IFERROR(SUMIFS('caseload data'!I:I,'caseload data'!$C:$C,'custody %'!$B$85,'caseload data'!$D:$D,"SPO",'caseload data'!$B:$B,"custody")/SUMIFS('caseload data'!I:I,'caseload data'!$B:$B,"custody",'caseload data'!$C:$C,'custody %'!$B$85),"")</f>
        <v/>
      </c>
      <c r="H90" s="181" t="str">
        <f>IFERROR(SUMIFS('caseload data'!J:J,'caseload data'!$C:$C,'custody %'!$B$85,'caseload data'!$D:$D,"SPO",'caseload data'!$B:$B,"custody")/SUMIFS('caseload data'!J:J,'caseload data'!$B:$B,"custody",'caseload data'!$C:$C,'custody %'!$B$85),"")</f>
        <v/>
      </c>
      <c r="I90" s="181" t="str">
        <f>IFERROR(SUMIFS('caseload data'!K:K,'caseload data'!$C:$C,'custody %'!$B$85,'caseload data'!$D:$D,"SPO",'caseload data'!$B:$B,"custody")/SUMIFS('caseload data'!K:K,'caseload data'!$B:$B,"custody",'caseload data'!$C:$C,'custody %'!$B$85),"")</f>
        <v/>
      </c>
      <c r="J90" s="181" t="str">
        <f>IFERROR(SUMIFS('caseload data'!L:L,'caseload data'!$C:$C,'custody %'!$B$85,'caseload data'!$D:$D,"SPO",'caseload data'!$B:$B,"custody")/SUMIFS('caseload data'!L:L,'caseload data'!$B:$B,"custody",'caseload data'!$C:$C,'custody %'!$B$85),"")</f>
        <v/>
      </c>
      <c r="K90" s="181" t="str">
        <f>IFERROR(SUMIFS('caseload data'!M:M,'caseload data'!$C:$C,'custody %'!$B$85,'caseload data'!$D:$D,"SPO",'caseload data'!$B:$B,"custody")/SUMIFS('caseload data'!M:M,'caseload data'!$B:$B,"custody",'caseload data'!$C:$C,'custody %'!$B$85),"")</f>
        <v/>
      </c>
      <c r="L90" s="181" t="str">
        <f>IFERROR(SUMIFS('caseload data'!N:N,'caseload data'!$C:$C,'custody %'!$B$85,'caseload data'!$D:$D,"SPO",'caseload data'!$B:$B,"custody")/SUMIFS('caseload data'!N:N,'caseload data'!$B:$B,"custody",'caseload data'!$C:$C,'custody %'!$B$85),"")</f>
        <v/>
      </c>
      <c r="M90" s="181" t="str">
        <f>IFERROR(SUMIFS('caseload data'!O:O,'caseload data'!$C:$C,'custody %'!$B$85,'caseload data'!$D:$D,"SPO",'caseload data'!$B:$B,"custody")/SUMIFS('caseload data'!O:O,'caseload data'!$B:$B,"custody",'caseload data'!$C:$C,'custody %'!$B$85),"")</f>
        <v/>
      </c>
      <c r="N90" s="181" t="str">
        <f>IFERROR(SUMIFS('caseload data'!P:P,'caseload data'!$C:$C,'custody %'!$B$85,'caseload data'!$D:$D,"SPO",'caseload data'!$B:$B,"custody")/SUMIFS('caseload data'!P:P,'caseload data'!$B:$B,"custody",'caseload data'!$C:$C,'custody %'!$B$85),"")</f>
        <v/>
      </c>
      <c r="O90" s="181" t="str">
        <f>IFERROR(SUMIFS('caseload data'!Q:Q,'caseload data'!$C:$C,'custody %'!$B$85,'caseload data'!$D:$D,"SPO",'caseload data'!$B:$B,"custody")/SUMIFS('caseload data'!Q:Q,'caseload data'!$B:$B,"custody",'caseload data'!$C:$C,'custody %'!$B$85),"")</f>
        <v/>
      </c>
      <c r="P90" s="181" t="str">
        <f>IFERROR(SUMIFS('caseload data'!R:R,'caseload data'!$C:$C,'custody %'!$B$85,'caseload data'!$D:$D,"SPO",'caseload data'!$B:$B,"custody")/SUMIFS('caseload data'!R:R,'caseload data'!$B:$B,"custody",'caseload data'!$C:$C,'custody %'!$B$85),"")</f>
        <v/>
      </c>
      <c r="Q90" s="181" t="str">
        <f>IFERROR(SUMIFS('caseload data'!S:S,'caseload data'!$C:$C,'custody %'!$B$85,'caseload data'!$D:$D,"SPO",'caseload data'!$B:$B,"custody")/SUMIFS('caseload data'!S:S,'caseload data'!$B:$B,"custody",'caseload data'!$C:$C,'custody %'!$B$85),"")</f>
        <v/>
      </c>
      <c r="R90" s="181" t="str">
        <f>IFERROR(SUMIFS('caseload data'!T:T,'caseload data'!$C:$C,'custody %'!$B$85,'caseload data'!$D:$D,"SPO",'caseload data'!$B:$B,"custody")/SUMIFS('caseload data'!T:T,'caseload data'!$B:$B,"custody",'caseload data'!$C:$C,'custody %'!$B$85),"")</f>
        <v/>
      </c>
      <c r="T90" s="108" t="s">
        <v>914</v>
      </c>
      <c r="U90" s="181" t="str">
        <f>IFERROR(SUMIFS('caseload data'!E:E,'caseload data'!$C:$C,'custody %'!$T$85,'caseload data'!$D:$D,"SPO",'caseload data'!$B:$B,"custody")/SUMIFS('caseload data'!E:E,'caseload data'!$B:$B,"custody",'caseload data'!$C:$C,'custody %'!$T$85),"")</f>
        <v/>
      </c>
      <c r="V90" s="181" t="str">
        <f>IFERROR(SUMIFS('caseload data'!F:F,'caseload data'!$C:$C,'custody %'!$T$85,'caseload data'!$D:$D,"SPO",'caseload data'!$B:$B,"custody")/SUMIFS('caseload data'!F:F,'caseload data'!$B:$B,"custody",'caseload data'!$C:$C,'custody %'!$T$85),"")</f>
        <v/>
      </c>
      <c r="W90" s="181" t="str">
        <f>IFERROR(SUMIFS('caseload data'!G:G,'caseload data'!$C:$C,'custody %'!$T$85,'caseload data'!$D:$D,"SPO",'caseload data'!$B:$B,"custody")/SUMIFS('caseload data'!G:G,'caseload data'!$B:$B,"custody",'caseload data'!$C:$C,'custody %'!$T$85),"")</f>
        <v/>
      </c>
      <c r="X90" s="181" t="str">
        <f>IFERROR(SUMIFS('caseload data'!H:H,'caseload data'!$C:$C,'custody %'!$T$85,'caseload data'!$D:$D,"SPO",'caseload data'!$B:$B,"custody")/SUMIFS('caseload data'!H:H,'caseload data'!$B:$B,"custody",'caseload data'!$C:$C,'custody %'!$T$85),"")</f>
        <v/>
      </c>
      <c r="Y90" s="181" t="str">
        <f>IFERROR(SUMIFS('caseload data'!I:I,'caseload data'!$C:$C,'custody %'!$T$85,'caseload data'!$D:$D,"SPO",'caseload data'!$B:$B,"custody")/SUMIFS('caseload data'!I:I,'caseload data'!$B:$B,"custody",'caseload data'!$C:$C,'custody %'!$T$85),"")</f>
        <v/>
      </c>
      <c r="Z90" s="181" t="str">
        <f>IFERROR(SUMIFS('caseload data'!J:J,'caseload data'!$C:$C,'custody %'!$T$85,'caseload data'!$D:$D,"SPO",'caseload data'!$B:$B,"custody")/SUMIFS('caseload data'!J:J,'caseload data'!$B:$B,"custody",'caseload data'!$C:$C,'custody %'!$T$85),"")</f>
        <v/>
      </c>
      <c r="AA90" s="181" t="str">
        <f>IFERROR(SUMIFS('caseload data'!K:K,'caseload data'!$C:$C,'custody %'!$T$85,'caseload data'!$D:$D,"SPO",'caseload data'!$B:$B,"custody")/SUMIFS('caseload data'!K:K,'caseload data'!$B:$B,"custody",'caseload data'!$C:$C,'custody %'!$T$85),"")</f>
        <v/>
      </c>
      <c r="AB90" s="181" t="str">
        <f>IFERROR(SUMIFS('caseload data'!L:L,'caseload data'!$C:$C,'custody %'!$T$85,'caseload data'!$D:$D,"SPO",'caseload data'!$B:$B,"custody")/SUMIFS('caseload data'!L:L,'caseload data'!$B:$B,"custody",'caseload data'!$C:$C,'custody %'!$T$85),"")</f>
        <v/>
      </c>
      <c r="AC90" s="181" t="str">
        <f>IFERROR(SUMIFS('caseload data'!M:M,'caseload data'!$C:$C,'custody %'!$T$85,'caseload data'!$D:$D,"SPO",'caseload data'!$B:$B,"custody")/SUMIFS('caseload data'!M:M,'caseload data'!$B:$B,"custody",'caseload data'!$C:$C,'custody %'!$T$85),"")</f>
        <v/>
      </c>
      <c r="AD90" s="181" t="str">
        <f>IFERROR(SUMIFS('caseload data'!N:N,'caseload data'!$C:$C,'custody %'!$T$85,'caseload data'!$D:$D,"SPO",'caseload data'!$B:$B,"custody")/SUMIFS('caseload data'!N:N,'caseload data'!$B:$B,"custody",'caseload data'!$C:$C,'custody %'!$T$85),"")</f>
        <v/>
      </c>
      <c r="AE90" s="181" t="str">
        <f>IFERROR(SUMIFS('caseload data'!O:O,'caseload data'!$C:$C,'custody %'!$T$85,'caseload data'!$D:$D,"SPO",'caseload data'!$B:$B,"custody")/SUMIFS('caseload data'!O:O,'caseload data'!$B:$B,"custody",'caseload data'!$C:$C,'custody %'!$T$85),"")</f>
        <v/>
      </c>
      <c r="AF90" s="181" t="str">
        <f>IFERROR(SUMIFS('caseload data'!P:P,'caseload data'!$C:$C,'custody %'!$T$85,'caseload data'!$D:$D,"SPO",'caseload data'!$B:$B,"custody")/SUMIFS('caseload data'!P:P,'caseload data'!$B:$B,"custody",'caseload data'!$C:$C,'custody %'!$T$85),"")</f>
        <v/>
      </c>
      <c r="AG90" s="181" t="str">
        <f>IFERROR(SUMIFS('caseload data'!Q:Q,'caseload data'!$C:$C,'custody %'!$T$85,'caseload data'!$D:$D,"SPO",'caseload data'!$B:$B,"custody")/SUMIFS('caseload data'!Q:Q,'caseload data'!$B:$B,"custody",'caseload data'!$C:$C,'custody %'!$T$85),"")</f>
        <v/>
      </c>
      <c r="AH90" s="181" t="str">
        <f>IFERROR(SUMIFS('caseload data'!R:R,'caseload data'!$C:$C,'custody %'!$T$85,'caseload data'!$D:$D,"SPO",'caseload data'!$B:$B,"custody")/SUMIFS('caseload data'!R:R,'caseload data'!$B:$B,"custody",'caseload data'!$C:$C,'custody %'!$T$85),"")</f>
        <v/>
      </c>
      <c r="AI90" s="181"/>
      <c r="AJ90" s="181"/>
    </row>
    <row r="92" spans="2:36" x14ac:dyDescent="0.15">
      <c r="B92" s="156">
        <f>HLOOKUP($B$5,Region_Table,26,0)</f>
        <v>0</v>
      </c>
      <c r="C92" s="367" t="s">
        <v>1163</v>
      </c>
      <c r="D92" s="368"/>
      <c r="E92" s="368"/>
      <c r="F92" s="368"/>
      <c r="G92" s="368"/>
      <c r="H92" s="368"/>
      <c r="I92" s="368"/>
      <c r="J92" s="368"/>
      <c r="K92" s="368"/>
      <c r="L92" s="368"/>
      <c r="M92" s="377"/>
      <c r="N92" s="377"/>
      <c r="O92" s="378"/>
      <c r="P92" s="371">
        <f>SUMIF('caseload data'!$C:$C,'custody %'!B92,'caseload data'!V:V)</f>
        <v>0</v>
      </c>
      <c r="Q92" s="379"/>
      <c r="R92" s="380"/>
      <c r="T92" s="156">
        <f>HLOOKUP($B$5,Region_Table,27,0)</f>
        <v>0</v>
      </c>
      <c r="U92" s="367" t="s">
        <v>1163</v>
      </c>
      <c r="V92" s="368"/>
      <c r="W92" s="368"/>
      <c r="X92" s="368"/>
      <c r="Y92" s="368"/>
      <c r="Z92" s="368"/>
      <c r="AA92" s="368"/>
      <c r="AB92" s="368"/>
      <c r="AC92" s="377"/>
      <c r="AD92" s="377"/>
      <c r="AE92" s="378"/>
      <c r="AF92" s="371">
        <f>SUMIF('caseload data'!$C:$C,'custody %'!T92,'caseload data'!V:V)</f>
        <v>0</v>
      </c>
      <c r="AG92" s="379"/>
      <c r="AH92" s="380"/>
    </row>
    <row r="93" spans="2:36" x14ac:dyDescent="0.15">
      <c r="B93" s="105" t="s">
        <v>1065</v>
      </c>
      <c r="C93" s="41" t="s">
        <v>922</v>
      </c>
      <c r="D93" s="41" t="s">
        <v>923</v>
      </c>
      <c r="E93" s="41" t="s">
        <v>924</v>
      </c>
      <c r="F93" s="41" t="s">
        <v>925</v>
      </c>
      <c r="G93" s="41" t="s">
        <v>926</v>
      </c>
      <c r="H93" s="41" t="s">
        <v>927</v>
      </c>
      <c r="I93" s="41" t="s">
        <v>928</v>
      </c>
      <c r="J93" s="41" t="s">
        <v>929</v>
      </c>
      <c r="K93" s="41" t="s">
        <v>930</v>
      </c>
      <c r="L93" s="41" t="s">
        <v>931</v>
      </c>
      <c r="M93" s="41" t="s">
        <v>932</v>
      </c>
      <c r="N93" s="41" t="s">
        <v>933</v>
      </c>
      <c r="O93" s="41" t="s">
        <v>934</v>
      </c>
      <c r="P93" s="41" t="s">
        <v>935</v>
      </c>
      <c r="Q93" s="41" t="s">
        <v>936</v>
      </c>
      <c r="R93" s="41" t="s">
        <v>937</v>
      </c>
      <c r="T93" s="105" t="s">
        <v>1065</v>
      </c>
      <c r="U93" s="41" t="s">
        <v>922</v>
      </c>
      <c r="V93" s="41" t="s">
        <v>923</v>
      </c>
      <c r="W93" s="41" t="s">
        <v>924</v>
      </c>
      <c r="X93" s="41" t="s">
        <v>925</v>
      </c>
      <c r="Y93" s="41" t="s">
        <v>926</v>
      </c>
      <c r="Z93" s="41" t="s">
        <v>927</v>
      </c>
      <c r="AA93" s="41" t="s">
        <v>928</v>
      </c>
      <c r="AB93" s="41" t="s">
        <v>929</v>
      </c>
      <c r="AC93" s="41" t="s">
        <v>930</v>
      </c>
      <c r="AD93" s="41" t="s">
        <v>931</v>
      </c>
      <c r="AE93" s="41" t="s">
        <v>932</v>
      </c>
      <c r="AF93" s="41" t="s">
        <v>933</v>
      </c>
      <c r="AG93" s="41" t="s">
        <v>934</v>
      </c>
      <c r="AH93" s="41" t="s">
        <v>935</v>
      </c>
      <c r="AI93" s="41" t="s">
        <v>936</v>
      </c>
      <c r="AJ93" s="41" t="s">
        <v>937</v>
      </c>
    </row>
    <row r="94" spans="2:36" x14ac:dyDescent="0.15">
      <c r="B94" s="106" t="s">
        <v>911</v>
      </c>
      <c r="C94" s="181" t="str">
        <f>IFERROR(SUMIFS('caseload data'!E:E,'caseload data'!$C:$C,'custody %'!$B$92,'caseload data'!$D:$D,"PO",'caseload data'!$B:$B,"custody")/SUMIFS('caseload data'!E:E,'caseload data'!$B:$B,"custody",'caseload data'!$C:$C,'custody %'!$B$92),"")</f>
        <v/>
      </c>
      <c r="D94" s="181" t="str">
        <f>IFERROR(SUMIFS('caseload data'!F:F,'caseload data'!$C:$C,'custody %'!$B$92,'caseload data'!$D:$D,"PO",'caseload data'!$B:$B,"custody")/SUMIFS('caseload data'!F:F,'caseload data'!$B:$B,"custody",'caseload data'!$C:$C,'custody %'!$B$92),"")</f>
        <v/>
      </c>
      <c r="E94" s="181" t="str">
        <f>IFERROR(SUMIFS('caseload data'!G:G,'caseload data'!$C:$C,'custody %'!$B$92,'caseload data'!$D:$D,"PO",'caseload data'!$B:$B,"custody")/SUMIFS('caseload data'!G:G,'caseload data'!$B:$B,"custody",'caseload data'!$C:$C,'custody %'!$B$92),"")</f>
        <v/>
      </c>
      <c r="F94" s="181" t="str">
        <f>IFERROR(SUMIFS('caseload data'!H:H,'caseload data'!$C:$C,'custody %'!$B$92,'caseload data'!$D:$D,"PO",'caseload data'!$B:$B,"custody")/SUMIFS('caseload data'!H:H,'caseload data'!$B:$B,"custody",'caseload data'!$C:$C,'custody %'!$B$92),"")</f>
        <v/>
      </c>
      <c r="G94" s="181" t="str">
        <f>IFERROR(SUMIFS('caseload data'!I:I,'caseload data'!$C:$C,'custody %'!$B$92,'caseload data'!$D:$D,"PO",'caseload data'!$B:$B,"custody")/SUMIFS('caseload data'!I:I,'caseload data'!$B:$B,"custody",'caseload data'!$C:$C,'custody %'!$B$92),"")</f>
        <v/>
      </c>
      <c r="H94" s="181" t="str">
        <f>IFERROR(SUMIFS('caseload data'!J:J,'caseload data'!$C:$C,'custody %'!$B$92,'caseload data'!$D:$D,"PO",'caseload data'!$B:$B,"custody")/SUMIFS('caseload data'!J:J,'caseload data'!$B:$B,"custody",'caseload data'!$C:$C,'custody %'!$B$92),"")</f>
        <v/>
      </c>
      <c r="I94" s="181" t="str">
        <f>IFERROR(SUMIFS('caseload data'!K:K,'caseload data'!$C:$C,'custody %'!$B$92,'caseload data'!$D:$D,"PO",'caseload data'!$B:$B,"custody")/SUMIFS('caseload data'!K:K,'caseload data'!$B:$B,"custody",'caseload data'!$C:$C,'custody %'!$B$92),"")</f>
        <v/>
      </c>
      <c r="J94" s="181" t="str">
        <f>IFERROR(SUMIFS('caseload data'!L:L,'caseload data'!$C:$C,'custody %'!$B$92,'caseload data'!$D:$D,"PO",'caseload data'!$B:$B,"custody")/SUMIFS('caseload data'!L:L,'caseload data'!$B:$B,"custody",'caseload data'!$C:$C,'custody %'!$B$92),"")</f>
        <v/>
      </c>
      <c r="K94" s="181" t="str">
        <f>IFERROR(SUMIFS('caseload data'!M:M,'caseload data'!$C:$C,'custody %'!$B$92,'caseload data'!$D:$D,"PO",'caseload data'!$B:$B,"custody")/SUMIFS('caseload data'!M:M,'caseload data'!$B:$B,"custody",'caseload data'!$C:$C,'custody %'!$B$92),"")</f>
        <v/>
      </c>
      <c r="L94" s="181" t="str">
        <f>IFERROR(SUMIFS('caseload data'!N:N,'caseload data'!$C:$C,'custody %'!$B$92,'caseload data'!$D:$D,"PO",'caseload data'!$B:$B,"custody")/SUMIFS('caseload data'!N:N,'caseload data'!$B:$B,"custody",'caseload data'!$C:$C,'custody %'!$B$92),"")</f>
        <v/>
      </c>
      <c r="M94" s="181" t="str">
        <f>IFERROR(SUMIFS('caseload data'!O:O,'caseload data'!$C:$C,'custody %'!$B$92,'caseload data'!$D:$D,"PO",'caseload data'!$B:$B,"custody")/SUMIFS('caseload data'!O:O,'caseload data'!$B:$B,"custody",'caseload data'!$C:$C,'custody %'!$B$92),"")</f>
        <v/>
      </c>
      <c r="N94" s="181" t="str">
        <f>IFERROR(SUMIFS('caseload data'!P:P,'caseload data'!$C:$C,'custody %'!$B$92,'caseload data'!$D:$D,"PO",'caseload data'!$B:$B,"custody")/SUMIFS('caseload data'!P:P,'caseload data'!$B:$B,"custody",'caseload data'!$C:$C,'custody %'!$B$92),"")</f>
        <v/>
      </c>
      <c r="O94" s="181" t="str">
        <f>IFERROR(SUMIFS('caseload data'!Q:Q,'caseload data'!$C:$C,'custody %'!$B$92,'caseload data'!$D:$D,"PO",'caseload data'!$B:$B,"custody")/SUMIFS('caseload data'!Q:Q,'caseload data'!$B:$B,"custody",'caseload data'!$C:$C,'custody %'!$B$92),"")</f>
        <v/>
      </c>
      <c r="P94" s="181" t="str">
        <f>IFERROR(SUMIFS('caseload data'!R:R,'caseload data'!$C:$C,'custody %'!$B$92,'caseload data'!$D:$D,"PO",'caseload data'!$B:$B,"custody")/SUMIFS('caseload data'!R:R,'caseload data'!$B:$B,"custody",'caseload data'!$C:$C,'custody %'!$B$92),"")</f>
        <v/>
      </c>
      <c r="Q94" s="181" t="str">
        <f>IFERROR(SUMIFS('caseload data'!S:S,'caseload data'!$C:$C,'custody %'!$B$92,'caseload data'!$D:$D,"PO",'caseload data'!$B:$B,"custody")/SUMIFS('caseload data'!S:S,'caseload data'!$B:$B,"custody",'caseload data'!$C:$C,'custody %'!$B$92),"")</f>
        <v/>
      </c>
      <c r="R94" s="181" t="str">
        <f>IFERROR(SUMIFS('caseload data'!T:T,'caseload data'!$C:$C,'custody %'!$B$92,'caseload data'!$D:$D,"PO",'caseload data'!$B:$B,"custody")/SUMIFS('caseload data'!T:T,'caseload data'!$B:$B,"custody",'caseload data'!$C:$C,'custody %'!$B$92),"")</f>
        <v/>
      </c>
      <c r="T94" s="106" t="s">
        <v>911</v>
      </c>
      <c r="U94" s="181" t="str">
        <f>IFERROR(SUMIFS('caseload data'!E:E,'caseload data'!$C:$C,'custody %'!$T$92,'caseload data'!$D:$D,"PO",'caseload data'!$B:$B,"custody")/SUMIFS('caseload data'!E:E,'caseload data'!$B:$B,"custody",'caseload data'!$C:$C,'custody %'!$T$92),"")</f>
        <v/>
      </c>
      <c r="V94" s="181" t="str">
        <f>IFERROR(SUMIFS('caseload data'!F:F,'caseload data'!$C:$C,'custody %'!$T$92,'caseload data'!$D:$D,"PO",'caseload data'!$B:$B,"custody")/SUMIFS('caseload data'!F:F,'caseload data'!$B:$B,"custody",'caseload data'!$C:$C,'custody %'!$T$92),"")</f>
        <v/>
      </c>
      <c r="W94" s="181" t="str">
        <f>IFERROR(SUMIFS('caseload data'!G:G,'caseload data'!$C:$C,'custody %'!$T$92,'caseload data'!$D:$D,"PO",'caseload data'!$B:$B,"custody")/SUMIFS('caseload data'!G:G,'caseload data'!$B:$B,"custody",'caseload data'!$C:$C,'custody %'!$T$92),"")</f>
        <v/>
      </c>
      <c r="X94" s="181" t="str">
        <f>IFERROR(SUMIFS('caseload data'!H:H,'caseload data'!$C:$C,'custody %'!$T$92,'caseload data'!$D:$D,"PO",'caseload data'!$B:$B,"custody")/SUMIFS('caseload data'!H:H,'caseload data'!$B:$B,"custody",'caseload data'!$C:$C,'custody %'!$T$92),"")</f>
        <v/>
      </c>
      <c r="Y94" s="181" t="str">
        <f>IFERROR(SUMIFS('caseload data'!I:I,'caseload data'!$C:$C,'custody %'!$T$92,'caseload data'!$D:$D,"PO",'caseload data'!$B:$B,"custody")/SUMIFS('caseload data'!I:I,'caseload data'!$B:$B,"custody",'caseload data'!$C:$C,'custody %'!$T$92),"")</f>
        <v/>
      </c>
      <c r="Z94" s="181" t="str">
        <f>IFERROR(SUMIFS('caseload data'!J:J,'caseload data'!$C:$C,'custody %'!$T$92,'caseload data'!$D:$D,"PO",'caseload data'!$B:$B,"custody")/SUMIFS('caseload data'!J:J,'caseload data'!$B:$B,"custody",'caseload data'!$C:$C,'custody %'!$T$92),"")</f>
        <v/>
      </c>
      <c r="AA94" s="181" t="str">
        <f>IFERROR(SUMIFS('caseload data'!K:K,'caseload data'!$C:$C,'custody %'!$T$92,'caseload data'!$D:$D,"PO",'caseload data'!$B:$B,"custody")/SUMIFS('caseload data'!K:K,'caseload data'!$B:$B,"custody",'caseload data'!$C:$C,'custody %'!$T$92),"")</f>
        <v/>
      </c>
      <c r="AB94" s="181" t="str">
        <f>IFERROR(SUMIFS('caseload data'!L:L,'caseload data'!$C:$C,'custody %'!$T$92,'caseload data'!$D:$D,"PO",'caseload data'!$B:$B,"custody")/SUMIFS('caseload data'!L:L,'caseload data'!$B:$B,"custody",'caseload data'!$C:$C,'custody %'!$T$92),"")</f>
        <v/>
      </c>
      <c r="AC94" s="181" t="str">
        <f>IFERROR(SUMIFS('caseload data'!M:M,'caseload data'!$C:$C,'custody %'!$T$92,'caseload data'!$D:$D,"PO",'caseload data'!$B:$B,"custody")/SUMIFS('caseload data'!M:M,'caseload data'!$B:$B,"custody",'caseload data'!$C:$C,'custody %'!$T$92),"")</f>
        <v/>
      </c>
      <c r="AD94" s="181" t="str">
        <f>IFERROR(SUMIFS('caseload data'!N:N,'caseload data'!$C:$C,'custody %'!$T$92,'caseload data'!$D:$D,"PO",'caseload data'!$B:$B,"custody")/SUMIFS('caseload data'!N:N,'caseload data'!$B:$B,"custody",'caseload data'!$C:$C,'custody %'!$T$92),"")</f>
        <v/>
      </c>
      <c r="AE94" s="181" t="str">
        <f>IFERROR(SUMIFS('caseload data'!O:O,'caseload data'!$C:$C,'custody %'!$T$92,'caseload data'!$D:$D,"PO",'caseload data'!$B:$B,"custody")/SUMIFS('caseload data'!O:O,'caseload data'!$B:$B,"custody",'caseload data'!$C:$C,'custody %'!$T$92),"")</f>
        <v/>
      </c>
      <c r="AF94" s="181" t="str">
        <f>IFERROR(SUMIFS('caseload data'!P:P,'caseload data'!$C:$C,'custody %'!$T$92,'caseload data'!$D:$D,"PO",'caseload data'!$B:$B,"custody")/SUMIFS('caseload data'!P:P,'caseload data'!$B:$B,"custody",'caseload data'!$C:$C,'custody %'!$T$92),"")</f>
        <v/>
      </c>
      <c r="AG94" s="181" t="str">
        <f>IFERROR(SUMIFS('caseload data'!Q:Q,'caseload data'!$C:$C,'custody %'!$T$92,'caseload data'!$D:$D,"PO",'caseload data'!$B:$B,"custody")/SUMIFS('caseload data'!Q:Q,'caseload data'!$B:$B,"custody",'caseload data'!$C:$C,'custody %'!$T$92),"")</f>
        <v/>
      </c>
      <c r="AH94" s="181" t="str">
        <f>IFERROR(SUMIFS('caseload data'!R:R,'caseload data'!$C:$C,'custody %'!$T$92,'caseload data'!$D:$D,"PO",'caseload data'!$B:$B,"custody")/SUMIFS('caseload data'!R:R,'caseload data'!$B:$B,"custody",'caseload data'!$C:$C,'custody %'!$T$92),"")</f>
        <v/>
      </c>
      <c r="AI94" s="181"/>
      <c r="AJ94" s="181"/>
    </row>
    <row r="95" spans="2:36" x14ac:dyDescent="0.15">
      <c r="B95" s="107" t="s">
        <v>912</v>
      </c>
      <c r="C95" s="181" t="str">
        <f>IFERROR(SUMIFS('caseload data'!E:E,'caseload data'!$C:$C,'custody %'!$B$92,'caseload data'!$D:$D,"PSO",'caseload data'!$B:$B,"custody")/SUMIFS('caseload data'!E:E,'caseload data'!$B:$B,"custody",'caseload data'!$C:$C,'custody %'!$B$92),"")</f>
        <v/>
      </c>
      <c r="D95" s="181" t="str">
        <f>IFERROR(SUMIFS('caseload data'!F:F,'caseload data'!$C:$C,'custody %'!$B$92,'caseload data'!$D:$D,"PSO",'caseload data'!$B:$B,"custody")/SUMIFS('caseload data'!F:F,'caseload data'!$B:$B,"custody",'caseload data'!$C:$C,'custody %'!$B$92),"")</f>
        <v/>
      </c>
      <c r="E95" s="181" t="str">
        <f>IFERROR(SUMIFS('caseload data'!G:G,'caseload data'!$C:$C,'custody %'!$B$92,'caseload data'!$D:$D,"PSO",'caseload data'!$B:$B,"custody")/SUMIFS('caseload data'!G:G,'caseload data'!$B:$B,"custody",'caseload data'!$C:$C,'custody %'!$B$92),"")</f>
        <v/>
      </c>
      <c r="F95" s="181" t="str">
        <f>IFERROR(SUMIFS('caseload data'!H:H,'caseload data'!$C:$C,'custody %'!$B$92,'caseload data'!$D:$D,"PSO",'caseload data'!$B:$B,"custody")/SUMIFS('caseload data'!H:H,'caseload data'!$B:$B,"custody",'caseload data'!$C:$C,'custody %'!$B$92),"")</f>
        <v/>
      </c>
      <c r="G95" s="181" t="str">
        <f>IFERROR(SUMIFS('caseload data'!I:I,'caseload data'!$C:$C,'custody %'!$B$92,'caseload data'!$D:$D,"PSO",'caseload data'!$B:$B,"custody")/SUMIFS('caseload data'!I:I,'caseload data'!$B:$B,"custody",'caseload data'!$C:$C,'custody %'!$B$92),"")</f>
        <v/>
      </c>
      <c r="H95" s="181" t="str">
        <f>IFERROR(SUMIFS('caseload data'!J:J,'caseload data'!$C:$C,'custody %'!$B$92,'caseload data'!$D:$D,"PSO",'caseload data'!$B:$B,"custody")/SUMIFS('caseload data'!J:J,'caseload data'!$B:$B,"custody",'caseload data'!$C:$C,'custody %'!$B$92),"")</f>
        <v/>
      </c>
      <c r="I95" s="181" t="str">
        <f>IFERROR(SUMIFS('caseload data'!K:K,'caseload data'!$C:$C,'custody %'!$B$92,'caseload data'!$D:$D,"PSO",'caseload data'!$B:$B,"custody")/SUMIFS('caseload data'!K:K,'caseload data'!$B:$B,"custody",'caseload data'!$C:$C,'custody %'!$B$92),"")</f>
        <v/>
      </c>
      <c r="J95" s="181" t="str">
        <f>IFERROR(SUMIFS('caseload data'!L:L,'caseload data'!$C:$C,'custody %'!$B$92,'caseload data'!$D:$D,"PSO",'caseload data'!$B:$B,"custody")/SUMIFS('caseload data'!L:L,'caseload data'!$B:$B,"custody",'caseload data'!$C:$C,'custody %'!$B$92),"")</f>
        <v/>
      </c>
      <c r="K95" s="181" t="str">
        <f>IFERROR(SUMIFS('caseload data'!M:M,'caseload data'!$C:$C,'custody %'!$B$92,'caseload data'!$D:$D,"PSO",'caseload data'!$B:$B,"custody")/SUMIFS('caseload data'!M:M,'caseload data'!$B:$B,"custody",'caseload data'!$C:$C,'custody %'!$B$92),"")</f>
        <v/>
      </c>
      <c r="L95" s="181" t="str">
        <f>IFERROR(SUMIFS('caseload data'!N:N,'caseload data'!$C:$C,'custody %'!$B$92,'caseload data'!$D:$D,"PSO",'caseload data'!$B:$B,"custody")/SUMIFS('caseload data'!N:N,'caseload data'!$B:$B,"custody",'caseload data'!$C:$C,'custody %'!$B$92),"")</f>
        <v/>
      </c>
      <c r="M95" s="181" t="str">
        <f>IFERROR(SUMIFS('caseload data'!O:O,'caseload data'!$C:$C,'custody %'!$B$92,'caseload data'!$D:$D,"PSO",'caseload data'!$B:$B,"custody")/SUMIFS('caseload data'!O:O,'caseload data'!$B:$B,"custody",'caseload data'!$C:$C,'custody %'!$B$92),"")</f>
        <v/>
      </c>
      <c r="N95" s="181" t="str">
        <f>IFERROR(SUMIFS('caseload data'!P:P,'caseload data'!$C:$C,'custody %'!$B$92,'caseload data'!$D:$D,"PSO",'caseload data'!$B:$B,"custody")/SUMIFS('caseload data'!P:P,'caseload data'!$B:$B,"custody",'caseload data'!$C:$C,'custody %'!$B$92),"")</f>
        <v/>
      </c>
      <c r="O95" s="181" t="str">
        <f>IFERROR(SUMIFS('caseload data'!Q:Q,'caseload data'!$C:$C,'custody %'!$B$92,'caseload data'!$D:$D,"PSO",'caseload data'!$B:$B,"custody")/SUMIFS('caseload data'!Q:Q,'caseload data'!$B:$B,"custody",'caseload data'!$C:$C,'custody %'!$B$92),"")</f>
        <v/>
      </c>
      <c r="P95" s="181" t="str">
        <f>IFERROR(SUMIFS('caseload data'!R:R,'caseload data'!$C:$C,'custody %'!$B$92,'caseload data'!$D:$D,"PSO",'caseload data'!$B:$B,"custody")/SUMIFS('caseload data'!R:R,'caseload data'!$B:$B,"custody",'caseload data'!$C:$C,'custody %'!$B$92),"")</f>
        <v/>
      </c>
      <c r="Q95" s="181" t="str">
        <f>IFERROR(SUMIFS('caseload data'!S:S,'caseload data'!$C:$C,'custody %'!$B$92,'caseload data'!$D:$D,"PSO",'caseload data'!$B:$B,"custody")/SUMIFS('caseload data'!S:S,'caseload data'!$B:$B,"custody",'caseload data'!$C:$C,'custody %'!$B$92),"")</f>
        <v/>
      </c>
      <c r="R95" s="181" t="str">
        <f>IFERROR(SUMIFS('caseload data'!T:T,'caseload data'!$C:$C,'custody %'!$B$92,'caseload data'!$D:$D,"PSO",'caseload data'!$B:$B,"custody")/SUMIFS('caseload data'!T:T,'caseload data'!$B:$B,"custody",'caseload data'!$C:$C,'custody %'!$B$92),"")</f>
        <v/>
      </c>
      <c r="T95" s="107" t="s">
        <v>912</v>
      </c>
      <c r="U95" s="181" t="str">
        <f>IFERROR(SUMIFS('caseload data'!E:E,'caseload data'!$C:$C,'custody %'!$T$92,'caseload data'!$D:$D,"PSO",'caseload data'!$B:$B,"custody")/SUMIFS('caseload data'!E:E,'caseload data'!$B:$B,"custody",'caseload data'!$C:$C,'custody %'!$T$92),"")</f>
        <v/>
      </c>
      <c r="V95" s="181" t="str">
        <f>IFERROR(SUMIFS('caseload data'!F:F,'caseload data'!$C:$C,'custody %'!$T$92,'caseload data'!$D:$D,"PSO",'caseload data'!$B:$B,"custody")/SUMIFS('caseload data'!F:F,'caseload data'!$B:$B,"custody",'caseload data'!$C:$C,'custody %'!$T$92),"")</f>
        <v/>
      </c>
      <c r="W95" s="181" t="str">
        <f>IFERROR(SUMIFS('caseload data'!G:G,'caseload data'!$C:$C,'custody %'!$T$92,'caseload data'!$D:$D,"PSO",'caseload data'!$B:$B,"custody")/SUMIFS('caseload data'!G:G,'caseload data'!$B:$B,"custody",'caseload data'!$C:$C,'custody %'!$T$92),"")</f>
        <v/>
      </c>
      <c r="X95" s="181" t="str">
        <f>IFERROR(SUMIFS('caseload data'!H:H,'caseload data'!$C:$C,'custody %'!$T$92,'caseload data'!$D:$D,"PSO",'caseload data'!$B:$B,"custody")/SUMIFS('caseload data'!H:H,'caseload data'!$B:$B,"custody",'caseload data'!$C:$C,'custody %'!$T$92),"")</f>
        <v/>
      </c>
      <c r="Y95" s="181" t="str">
        <f>IFERROR(SUMIFS('caseload data'!I:I,'caseload data'!$C:$C,'custody %'!$T$92,'caseload data'!$D:$D,"PSO",'caseload data'!$B:$B,"custody")/SUMIFS('caseload data'!I:I,'caseload data'!$B:$B,"custody",'caseload data'!$C:$C,'custody %'!$T$92),"")</f>
        <v/>
      </c>
      <c r="Z95" s="181" t="str">
        <f>IFERROR(SUMIFS('caseload data'!J:J,'caseload data'!$C:$C,'custody %'!$T$92,'caseload data'!$D:$D,"PSO",'caseload data'!$B:$B,"custody")/SUMIFS('caseload data'!J:J,'caseload data'!$B:$B,"custody",'caseload data'!$C:$C,'custody %'!$T$92),"")</f>
        <v/>
      </c>
      <c r="AA95" s="181" t="str">
        <f>IFERROR(SUMIFS('caseload data'!K:K,'caseload data'!$C:$C,'custody %'!$T$92,'caseload data'!$D:$D,"PSO",'caseload data'!$B:$B,"custody")/SUMIFS('caseload data'!K:K,'caseload data'!$B:$B,"custody",'caseload data'!$C:$C,'custody %'!$T$92),"")</f>
        <v/>
      </c>
      <c r="AB95" s="181" t="str">
        <f>IFERROR(SUMIFS('caseload data'!L:L,'caseload data'!$C:$C,'custody %'!$T$92,'caseload data'!$D:$D,"PSO",'caseload data'!$B:$B,"custody")/SUMIFS('caseload data'!L:L,'caseload data'!$B:$B,"custody",'caseload data'!$C:$C,'custody %'!$T$92),"")</f>
        <v/>
      </c>
      <c r="AC95" s="181" t="str">
        <f>IFERROR(SUMIFS('caseload data'!M:M,'caseload data'!$C:$C,'custody %'!$T$92,'caseload data'!$D:$D,"PSO",'caseload data'!$B:$B,"custody")/SUMIFS('caseload data'!M:M,'caseload data'!$B:$B,"custody",'caseload data'!$C:$C,'custody %'!$T$92),"")</f>
        <v/>
      </c>
      <c r="AD95" s="181" t="str">
        <f>IFERROR(SUMIFS('caseload data'!N:N,'caseload data'!$C:$C,'custody %'!$T$92,'caseload data'!$D:$D,"PSO",'caseload data'!$B:$B,"custody")/SUMIFS('caseload data'!N:N,'caseload data'!$B:$B,"custody",'caseload data'!$C:$C,'custody %'!$T$92),"")</f>
        <v/>
      </c>
      <c r="AE95" s="181" t="str">
        <f>IFERROR(SUMIFS('caseload data'!O:O,'caseload data'!$C:$C,'custody %'!$T$92,'caseload data'!$D:$D,"PSO",'caseload data'!$B:$B,"custody")/SUMIFS('caseload data'!O:O,'caseload data'!$B:$B,"custody",'caseload data'!$C:$C,'custody %'!$T$92),"")</f>
        <v/>
      </c>
      <c r="AF95" s="181" t="str">
        <f>IFERROR(SUMIFS('caseload data'!P:P,'caseload data'!$C:$C,'custody %'!$T$92,'caseload data'!$D:$D,"PSO",'caseload data'!$B:$B,"custody")/SUMIFS('caseload data'!P:P,'caseload data'!$B:$B,"custody",'caseload data'!$C:$C,'custody %'!$T$92),"")</f>
        <v/>
      </c>
      <c r="AG95" s="181" t="str">
        <f>IFERROR(SUMIFS('caseload data'!Q:Q,'caseload data'!$C:$C,'custody %'!$T$92,'caseload data'!$D:$D,"PSO",'caseload data'!$B:$B,"custody")/SUMIFS('caseload data'!Q:Q,'caseload data'!$B:$B,"custody",'caseload data'!$C:$C,'custody %'!$T$92),"")</f>
        <v/>
      </c>
      <c r="AH95" s="181" t="str">
        <f>IFERROR(SUMIFS('caseload data'!R:R,'caseload data'!$C:$C,'custody %'!$T$92,'caseload data'!$D:$D,"PSO",'caseload data'!$B:$B,"custody")/SUMIFS('caseload data'!R:R,'caseload data'!$B:$B,"custody",'caseload data'!$C:$C,'custody %'!$T$92),"")</f>
        <v/>
      </c>
      <c r="AI95" s="181"/>
      <c r="AJ95" s="181"/>
    </row>
    <row r="96" spans="2:36" x14ac:dyDescent="0.15">
      <c r="B96" s="107" t="s">
        <v>913</v>
      </c>
      <c r="C96" s="181" t="str">
        <f>IFERROR(SUMIFS('caseload data'!E:E,'caseload data'!$C:$C,'custody %'!$B$92,'caseload data'!$D:$D,"TPO",'caseload data'!$B:$B,"custody")/SUMIFS('caseload data'!E:E,'caseload data'!$B:$B,"custody",'caseload data'!$C:$C,'custody %'!$B$92),"")</f>
        <v/>
      </c>
      <c r="D96" s="181" t="str">
        <f>IFERROR(SUMIFS('caseload data'!F:F,'caseload data'!$C:$C,'custody %'!$B$92,'caseload data'!$D:$D,"TPO",'caseload data'!$B:$B,"custody")/SUMIFS('caseload data'!F:F,'caseload data'!$B:$B,"custody",'caseload data'!$C:$C,'custody %'!$B$92),"")</f>
        <v/>
      </c>
      <c r="E96" s="181" t="str">
        <f>IFERROR(SUMIFS('caseload data'!G:G,'caseload data'!$C:$C,'custody %'!$B$92,'caseload data'!$D:$D,"TPO",'caseload data'!$B:$B,"custody")/SUMIFS('caseload data'!G:G,'caseload data'!$B:$B,"custody",'caseload data'!$C:$C,'custody %'!$B$92),"")</f>
        <v/>
      </c>
      <c r="F96" s="181" t="str">
        <f>IFERROR(SUMIFS('caseload data'!H:H,'caseload data'!$C:$C,'custody %'!$B$92,'caseload data'!$D:$D,"TPO",'caseload data'!$B:$B,"custody")/SUMIFS('caseload data'!H:H,'caseload data'!$B:$B,"custody",'caseload data'!$C:$C,'custody %'!$B$92),"")</f>
        <v/>
      </c>
      <c r="G96" s="181" t="str">
        <f>IFERROR(SUMIFS('caseload data'!I:I,'caseload data'!$C:$C,'custody %'!$B$92,'caseload data'!$D:$D,"TPO",'caseload data'!$B:$B,"custody")/SUMIFS('caseload data'!I:I,'caseload data'!$B:$B,"custody",'caseload data'!$C:$C,'custody %'!$B$92),"")</f>
        <v/>
      </c>
      <c r="H96" s="181" t="str">
        <f>IFERROR(SUMIFS('caseload data'!J:J,'caseload data'!$C:$C,'custody %'!$B$92,'caseload data'!$D:$D,"TPO",'caseload data'!$B:$B,"custody")/SUMIFS('caseload data'!J:J,'caseload data'!$B:$B,"custody",'caseload data'!$C:$C,'custody %'!$B$92),"")</f>
        <v/>
      </c>
      <c r="I96" s="181" t="str">
        <f>IFERROR(SUMIFS('caseload data'!K:K,'caseload data'!$C:$C,'custody %'!$B$92,'caseload data'!$D:$D,"TPO",'caseload data'!$B:$B,"custody")/SUMIFS('caseload data'!K:K,'caseload data'!$B:$B,"custody",'caseload data'!$C:$C,'custody %'!$B$92),"")</f>
        <v/>
      </c>
      <c r="J96" s="181" t="str">
        <f>IFERROR(SUMIFS('caseload data'!L:L,'caseload data'!$C:$C,'custody %'!$B$92,'caseload data'!$D:$D,"TPO",'caseload data'!$B:$B,"custody")/SUMIFS('caseload data'!L:L,'caseload data'!$B:$B,"custody",'caseload data'!$C:$C,'custody %'!$B$92),"")</f>
        <v/>
      </c>
      <c r="K96" s="181" t="str">
        <f>IFERROR(SUMIFS('caseload data'!M:M,'caseload data'!$C:$C,'custody %'!$B$92,'caseload data'!$D:$D,"TPO",'caseload data'!$B:$B,"custody")/SUMIFS('caseload data'!M:M,'caseload data'!$B:$B,"custody",'caseload data'!$C:$C,'custody %'!$B$92),"")</f>
        <v/>
      </c>
      <c r="L96" s="181" t="str">
        <f>IFERROR(SUMIFS('caseload data'!N:N,'caseload data'!$C:$C,'custody %'!$B$92,'caseload data'!$D:$D,"TPO",'caseload data'!$B:$B,"custody")/SUMIFS('caseload data'!N:N,'caseload data'!$B:$B,"custody",'caseload data'!$C:$C,'custody %'!$B$92),"")</f>
        <v/>
      </c>
      <c r="M96" s="181" t="str">
        <f>IFERROR(SUMIFS('caseload data'!O:O,'caseload data'!$C:$C,'custody %'!$B$92,'caseload data'!$D:$D,"TPO",'caseload data'!$B:$B,"custody")/SUMIFS('caseload data'!O:O,'caseload data'!$B:$B,"custody",'caseload data'!$C:$C,'custody %'!$B$92),"")</f>
        <v/>
      </c>
      <c r="N96" s="181" t="str">
        <f>IFERROR(SUMIFS('caseload data'!P:P,'caseload data'!$C:$C,'custody %'!$B$92,'caseload data'!$D:$D,"TPO",'caseload data'!$B:$B,"custody")/SUMIFS('caseload data'!P:P,'caseload data'!$B:$B,"custody",'caseload data'!$C:$C,'custody %'!$B$92),"")</f>
        <v/>
      </c>
      <c r="O96" s="181" t="str">
        <f>IFERROR(SUMIFS('caseload data'!Q:Q,'caseload data'!$C:$C,'custody %'!$B$92,'caseload data'!$D:$D,"TPO",'caseload data'!$B:$B,"custody")/SUMIFS('caseload data'!Q:Q,'caseload data'!$B:$B,"custody",'caseload data'!$C:$C,'custody %'!$B$92),"")</f>
        <v/>
      </c>
      <c r="P96" s="181" t="str">
        <f>IFERROR(SUMIFS('caseload data'!R:R,'caseload data'!$C:$C,'custody %'!$B$92,'caseload data'!$D:$D,"TPO",'caseload data'!$B:$B,"custody")/SUMIFS('caseload data'!R:R,'caseload data'!$B:$B,"custody",'caseload data'!$C:$C,'custody %'!$B$92),"")</f>
        <v/>
      </c>
      <c r="Q96" s="181" t="str">
        <f>IFERROR(SUMIFS('caseload data'!S:S,'caseload data'!$C:$C,'custody %'!$B$92,'caseload data'!$D:$D,"TPO",'caseload data'!$B:$B,"custody")/SUMIFS('caseload data'!S:S,'caseload data'!$B:$B,"custody",'caseload data'!$C:$C,'custody %'!$B$92),"")</f>
        <v/>
      </c>
      <c r="R96" s="181" t="str">
        <f>IFERROR(SUMIFS('caseload data'!T:T,'caseload data'!$C:$C,'custody %'!$B$92,'caseload data'!$D:$D,"TPO",'caseload data'!$B:$B,"custody")/SUMIFS('caseload data'!T:T,'caseload data'!$B:$B,"custody",'caseload data'!$C:$C,'custody %'!$B$92),"")</f>
        <v/>
      </c>
      <c r="T96" s="107" t="s">
        <v>913</v>
      </c>
      <c r="U96" s="181" t="str">
        <f>IFERROR(SUMIFS('caseload data'!E:E,'caseload data'!$C:$C,'custody %'!$T$92,'caseload data'!$D:$D,"TPO",'caseload data'!$B:$B,"custody")/SUMIFS('caseload data'!E:E,'caseload data'!$B:$B,"custody",'caseload data'!$C:$C,'custody %'!$T$92),"")</f>
        <v/>
      </c>
      <c r="V96" s="181" t="str">
        <f>IFERROR(SUMIFS('caseload data'!F:F,'caseload data'!$C:$C,'custody %'!$T$92,'caseload data'!$D:$D,"TPO",'caseload data'!$B:$B,"custody")/SUMIFS('caseload data'!F:F,'caseload data'!$B:$B,"custody",'caseload data'!$C:$C,'custody %'!$T$92),"")</f>
        <v/>
      </c>
      <c r="W96" s="181" t="str">
        <f>IFERROR(SUMIFS('caseload data'!G:G,'caseload data'!$C:$C,'custody %'!$T$92,'caseload data'!$D:$D,"TPO",'caseload data'!$B:$B,"custody")/SUMIFS('caseload data'!G:G,'caseload data'!$B:$B,"custody",'caseload data'!$C:$C,'custody %'!$T$92),"")</f>
        <v/>
      </c>
      <c r="X96" s="181" t="str">
        <f>IFERROR(SUMIFS('caseload data'!H:H,'caseload data'!$C:$C,'custody %'!$T$92,'caseload data'!$D:$D,"TPO",'caseload data'!$B:$B,"custody")/SUMIFS('caseload data'!H:H,'caseload data'!$B:$B,"custody",'caseload data'!$C:$C,'custody %'!$T$92),"")</f>
        <v/>
      </c>
      <c r="Y96" s="181" t="str">
        <f>IFERROR(SUMIFS('caseload data'!I:I,'caseload data'!$C:$C,'custody %'!$T$92,'caseload data'!$D:$D,"TPO",'caseload data'!$B:$B,"custody")/SUMIFS('caseload data'!I:I,'caseload data'!$B:$B,"custody",'caseload data'!$C:$C,'custody %'!$T$92),"")</f>
        <v/>
      </c>
      <c r="Z96" s="181" t="str">
        <f>IFERROR(SUMIFS('caseload data'!J:J,'caseload data'!$C:$C,'custody %'!$T$92,'caseload data'!$D:$D,"TPO",'caseload data'!$B:$B,"custody")/SUMIFS('caseload data'!J:J,'caseload data'!$B:$B,"custody",'caseload data'!$C:$C,'custody %'!$T$92),"")</f>
        <v/>
      </c>
      <c r="AA96" s="181" t="str">
        <f>IFERROR(SUMIFS('caseload data'!K:K,'caseload data'!$C:$C,'custody %'!$T$92,'caseload data'!$D:$D,"TPO",'caseload data'!$B:$B,"custody")/SUMIFS('caseload data'!K:K,'caseload data'!$B:$B,"custody",'caseload data'!$C:$C,'custody %'!$T$92),"")</f>
        <v/>
      </c>
      <c r="AB96" s="181" t="str">
        <f>IFERROR(SUMIFS('caseload data'!L:L,'caseload data'!$C:$C,'custody %'!$T$92,'caseload data'!$D:$D,"TPO",'caseload data'!$B:$B,"custody")/SUMIFS('caseload data'!L:L,'caseload data'!$B:$B,"custody",'caseload data'!$C:$C,'custody %'!$T$92),"")</f>
        <v/>
      </c>
      <c r="AC96" s="181" t="str">
        <f>IFERROR(SUMIFS('caseload data'!M:M,'caseload data'!$C:$C,'custody %'!$T$92,'caseload data'!$D:$D,"TPO",'caseload data'!$B:$B,"custody")/SUMIFS('caseload data'!M:M,'caseload data'!$B:$B,"custody",'caseload data'!$C:$C,'custody %'!$T$92),"")</f>
        <v/>
      </c>
      <c r="AD96" s="181" t="str">
        <f>IFERROR(SUMIFS('caseload data'!N:N,'caseload data'!$C:$C,'custody %'!$T$92,'caseload data'!$D:$D,"TPO",'caseload data'!$B:$B,"custody")/SUMIFS('caseload data'!N:N,'caseload data'!$B:$B,"custody",'caseload data'!$C:$C,'custody %'!$T$92),"")</f>
        <v/>
      </c>
      <c r="AE96" s="181" t="str">
        <f>IFERROR(SUMIFS('caseload data'!O:O,'caseload data'!$C:$C,'custody %'!$T$92,'caseload data'!$D:$D,"TPO",'caseload data'!$B:$B,"custody")/SUMIFS('caseload data'!O:O,'caseload data'!$B:$B,"custody",'caseload data'!$C:$C,'custody %'!$T$92),"")</f>
        <v/>
      </c>
      <c r="AF96" s="181" t="str">
        <f>IFERROR(SUMIFS('caseload data'!P:P,'caseload data'!$C:$C,'custody %'!$T$92,'caseload data'!$D:$D,"TPO",'caseload data'!$B:$B,"custody")/SUMIFS('caseload data'!P:P,'caseload data'!$B:$B,"custody",'caseload data'!$C:$C,'custody %'!$T$92),"")</f>
        <v/>
      </c>
      <c r="AG96" s="181" t="str">
        <f>IFERROR(SUMIFS('caseload data'!Q:Q,'caseload data'!$C:$C,'custody %'!$T$92,'caseload data'!$D:$D,"TPO",'caseload data'!$B:$B,"custody")/SUMIFS('caseload data'!Q:Q,'caseload data'!$B:$B,"custody",'caseload data'!$C:$C,'custody %'!$T$92),"")</f>
        <v/>
      </c>
      <c r="AH96" s="181" t="str">
        <f>IFERROR(SUMIFS('caseload data'!R:R,'caseload data'!$C:$C,'custody %'!$T$92,'caseload data'!$D:$D,"TPO",'caseload data'!$B:$B,"custody")/SUMIFS('caseload data'!R:R,'caseload data'!$B:$B,"custody",'caseload data'!$C:$C,'custody %'!$T$92),"")</f>
        <v/>
      </c>
      <c r="AI96" s="181"/>
      <c r="AJ96" s="181"/>
    </row>
    <row r="97" spans="2:36" x14ac:dyDescent="0.15">
      <c r="B97" s="108" t="s">
        <v>914</v>
      </c>
      <c r="C97" s="181" t="str">
        <f>IFERROR(SUMIFS('caseload data'!E:E,'caseload data'!$C:$C,'custody %'!$B$92,'caseload data'!$D:$D,"SPO",'caseload data'!$B:$B,"custody")/SUMIFS('caseload data'!E:E,'caseload data'!$B:$B,"custody",'caseload data'!$C:$C,'custody %'!$B$92),"")</f>
        <v/>
      </c>
      <c r="D97" s="181" t="str">
        <f>IFERROR(SUMIFS('caseload data'!F:F,'caseload data'!$C:$C,'custody %'!$B$92,'caseload data'!$D:$D,"SPO",'caseload data'!$B:$B,"custody")/SUMIFS('caseload data'!F:F,'caseload data'!$B:$B,"custody",'caseload data'!$C:$C,'custody %'!$B$92),"")</f>
        <v/>
      </c>
      <c r="E97" s="181" t="str">
        <f>IFERROR(SUMIFS('caseload data'!G:G,'caseload data'!$C:$C,'custody %'!$B$92,'caseload data'!$D:$D,"SPO",'caseload data'!$B:$B,"custody")/SUMIFS('caseload data'!G:G,'caseload data'!$B:$B,"custody",'caseload data'!$C:$C,'custody %'!$B$92),"")</f>
        <v/>
      </c>
      <c r="F97" s="181" t="str">
        <f>IFERROR(SUMIFS('caseload data'!H:H,'caseload data'!$C:$C,'custody %'!$B$92,'caseload data'!$D:$D,"SPO",'caseload data'!$B:$B,"custody")/SUMIFS('caseload data'!H:H,'caseload data'!$B:$B,"custody",'caseload data'!$C:$C,'custody %'!$B$92),"")</f>
        <v/>
      </c>
      <c r="G97" s="181" t="str">
        <f>IFERROR(SUMIFS('caseload data'!I:I,'caseload data'!$C:$C,'custody %'!$B$92,'caseload data'!$D:$D,"SPO",'caseload data'!$B:$B,"custody")/SUMIFS('caseload data'!I:I,'caseload data'!$B:$B,"custody",'caseload data'!$C:$C,'custody %'!$B$92),"")</f>
        <v/>
      </c>
      <c r="H97" s="181" t="str">
        <f>IFERROR(SUMIFS('caseload data'!J:J,'caseload data'!$C:$C,'custody %'!$B$92,'caseload data'!$D:$D,"SPO",'caseload data'!$B:$B,"custody")/SUMIFS('caseload data'!J:J,'caseload data'!$B:$B,"custody",'caseload data'!$C:$C,'custody %'!$B$92),"")</f>
        <v/>
      </c>
      <c r="I97" s="181" t="str">
        <f>IFERROR(SUMIFS('caseload data'!K:K,'caseload data'!$C:$C,'custody %'!$B$92,'caseload data'!$D:$D,"SPO",'caseload data'!$B:$B,"custody")/SUMIFS('caseload data'!K:K,'caseload data'!$B:$B,"custody",'caseload data'!$C:$C,'custody %'!$B$92),"")</f>
        <v/>
      </c>
      <c r="J97" s="181" t="str">
        <f>IFERROR(SUMIFS('caseload data'!L:L,'caseload data'!$C:$C,'custody %'!$B$92,'caseload data'!$D:$D,"SPO",'caseload data'!$B:$B,"custody")/SUMIFS('caseload data'!L:L,'caseload data'!$B:$B,"custody",'caseload data'!$C:$C,'custody %'!$B$92),"")</f>
        <v/>
      </c>
      <c r="K97" s="181" t="str">
        <f>IFERROR(SUMIFS('caseload data'!M:M,'caseload data'!$C:$C,'custody %'!$B$92,'caseload data'!$D:$D,"SPO",'caseload data'!$B:$B,"custody")/SUMIFS('caseload data'!M:M,'caseload data'!$B:$B,"custody",'caseload data'!$C:$C,'custody %'!$B$92),"")</f>
        <v/>
      </c>
      <c r="L97" s="181" t="str">
        <f>IFERROR(SUMIFS('caseload data'!N:N,'caseload data'!$C:$C,'custody %'!$B$92,'caseload data'!$D:$D,"SPO",'caseload data'!$B:$B,"custody")/SUMIFS('caseload data'!N:N,'caseload data'!$B:$B,"custody",'caseload data'!$C:$C,'custody %'!$B$92),"")</f>
        <v/>
      </c>
      <c r="M97" s="181" t="str">
        <f>IFERROR(SUMIFS('caseload data'!O:O,'caseload data'!$C:$C,'custody %'!$B$92,'caseload data'!$D:$D,"SPO",'caseload data'!$B:$B,"custody")/SUMIFS('caseload data'!O:O,'caseload data'!$B:$B,"custody",'caseload data'!$C:$C,'custody %'!$B$92),"")</f>
        <v/>
      </c>
      <c r="N97" s="181" t="str">
        <f>IFERROR(SUMIFS('caseload data'!P:P,'caseload data'!$C:$C,'custody %'!$B$92,'caseload data'!$D:$D,"SPO",'caseload data'!$B:$B,"custody")/SUMIFS('caseload data'!P:P,'caseload data'!$B:$B,"custody",'caseload data'!$C:$C,'custody %'!$B$92),"")</f>
        <v/>
      </c>
      <c r="O97" s="181" t="str">
        <f>IFERROR(SUMIFS('caseload data'!Q:Q,'caseload data'!$C:$C,'custody %'!$B$92,'caseload data'!$D:$D,"SPO",'caseload data'!$B:$B,"custody")/SUMIFS('caseload data'!Q:Q,'caseload data'!$B:$B,"custody",'caseload data'!$C:$C,'custody %'!$B$92),"")</f>
        <v/>
      </c>
      <c r="P97" s="181" t="str">
        <f>IFERROR(SUMIFS('caseload data'!R:R,'caseload data'!$C:$C,'custody %'!$B$92,'caseload data'!$D:$D,"SPO",'caseload data'!$B:$B,"custody")/SUMIFS('caseload data'!R:R,'caseload data'!$B:$B,"custody",'caseload data'!$C:$C,'custody %'!$B$92),"")</f>
        <v/>
      </c>
      <c r="Q97" s="181" t="str">
        <f>IFERROR(SUMIFS('caseload data'!S:S,'caseload data'!$C:$C,'custody %'!$B$92,'caseload data'!$D:$D,"SPO",'caseload data'!$B:$B,"custody")/SUMIFS('caseload data'!S:S,'caseload data'!$B:$B,"custody",'caseload data'!$C:$C,'custody %'!$B$92),"")</f>
        <v/>
      </c>
      <c r="R97" s="181" t="str">
        <f>IFERROR(SUMIFS('caseload data'!T:T,'caseload data'!$C:$C,'custody %'!$B$92,'caseload data'!$D:$D,"SPO",'caseload data'!$B:$B,"custody")/SUMIFS('caseload data'!T:T,'caseload data'!$B:$B,"custody",'caseload data'!$C:$C,'custody %'!$B$92),"")</f>
        <v/>
      </c>
      <c r="T97" s="108" t="s">
        <v>914</v>
      </c>
      <c r="U97" s="181" t="str">
        <f>IFERROR(SUMIFS('caseload data'!E:E,'caseload data'!$C:$C,'custody %'!$T$92,'caseload data'!$D:$D,"SPO",'caseload data'!$B:$B,"custody")/SUMIFS('caseload data'!E:E,'caseload data'!$B:$B,"custody",'caseload data'!$C:$C,'custody %'!$T$92),"")</f>
        <v/>
      </c>
      <c r="V97" s="181" t="str">
        <f>IFERROR(SUMIFS('caseload data'!F:F,'caseload data'!$C:$C,'custody %'!$T$92,'caseload data'!$D:$D,"SPO",'caseload data'!$B:$B,"custody")/SUMIFS('caseload data'!F:F,'caseload data'!$B:$B,"custody",'caseload data'!$C:$C,'custody %'!$T$92),"")</f>
        <v/>
      </c>
      <c r="W97" s="181" t="str">
        <f>IFERROR(SUMIFS('caseload data'!G:G,'caseload data'!$C:$C,'custody %'!$T$92,'caseload data'!$D:$D,"SPO",'caseload data'!$B:$B,"custody")/SUMIFS('caseload data'!G:G,'caseload data'!$B:$B,"custody",'caseload data'!$C:$C,'custody %'!$T$92),"")</f>
        <v/>
      </c>
      <c r="X97" s="181" t="str">
        <f>IFERROR(SUMIFS('caseload data'!H:H,'caseload data'!$C:$C,'custody %'!$T$92,'caseload data'!$D:$D,"SPO",'caseload data'!$B:$B,"custody")/SUMIFS('caseload data'!H:H,'caseload data'!$B:$B,"custody",'caseload data'!$C:$C,'custody %'!$T$92),"")</f>
        <v/>
      </c>
      <c r="Y97" s="181" t="str">
        <f>IFERROR(SUMIFS('caseload data'!I:I,'caseload data'!$C:$C,'custody %'!$T$92,'caseload data'!$D:$D,"SPO",'caseload data'!$B:$B,"custody")/SUMIFS('caseload data'!I:I,'caseload data'!$B:$B,"custody",'caseload data'!$C:$C,'custody %'!$T$92),"")</f>
        <v/>
      </c>
      <c r="Z97" s="181" t="str">
        <f>IFERROR(SUMIFS('caseload data'!J:J,'caseload data'!$C:$C,'custody %'!$T$92,'caseload data'!$D:$D,"SPO",'caseload data'!$B:$B,"custody")/SUMIFS('caseload data'!J:J,'caseload data'!$B:$B,"custody",'caseload data'!$C:$C,'custody %'!$T$92),"")</f>
        <v/>
      </c>
      <c r="AA97" s="181" t="str">
        <f>IFERROR(SUMIFS('caseload data'!K:K,'caseload data'!$C:$C,'custody %'!$T$92,'caseload data'!$D:$D,"SPO",'caseload data'!$B:$B,"custody")/SUMIFS('caseload data'!K:K,'caseload data'!$B:$B,"custody",'caseload data'!$C:$C,'custody %'!$T$92),"")</f>
        <v/>
      </c>
      <c r="AB97" s="181" t="str">
        <f>IFERROR(SUMIFS('caseload data'!L:L,'caseload data'!$C:$C,'custody %'!$T$92,'caseload data'!$D:$D,"SPO",'caseload data'!$B:$B,"custody")/SUMIFS('caseload data'!L:L,'caseload data'!$B:$B,"custody",'caseload data'!$C:$C,'custody %'!$T$92),"")</f>
        <v/>
      </c>
      <c r="AC97" s="181" t="str">
        <f>IFERROR(SUMIFS('caseload data'!M:M,'caseload data'!$C:$C,'custody %'!$T$92,'caseload data'!$D:$D,"SPO",'caseload data'!$B:$B,"custody")/SUMIFS('caseload data'!M:M,'caseload data'!$B:$B,"custody",'caseload data'!$C:$C,'custody %'!$T$92),"")</f>
        <v/>
      </c>
      <c r="AD97" s="181" t="str">
        <f>IFERROR(SUMIFS('caseload data'!N:N,'caseload data'!$C:$C,'custody %'!$T$92,'caseload data'!$D:$D,"SPO",'caseload data'!$B:$B,"custody")/SUMIFS('caseload data'!N:N,'caseload data'!$B:$B,"custody",'caseload data'!$C:$C,'custody %'!$T$92),"")</f>
        <v/>
      </c>
      <c r="AE97" s="181" t="str">
        <f>IFERROR(SUMIFS('caseload data'!O:O,'caseload data'!$C:$C,'custody %'!$T$92,'caseload data'!$D:$D,"SPO",'caseload data'!$B:$B,"custody")/SUMIFS('caseload data'!O:O,'caseload data'!$B:$B,"custody",'caseload data'!$C:$C,'custody %'!$T$92),"")</f>
        <v/>
      </c>
      <c r="AF97" s="181" t="str">
        <f>IFERROR(SUMIFS('caseload data'!P:P,'caseload data'!$C:$C,'custody %'!$T$92,'caseload data'!$D:$D,"SPO",'caseload data'!$B:$B,"custody")/SUMIFS('caseload data'!P:P,'caseload data'!$B:$B,"custody",'caseload data'!$C:$C,'custody %'!$T$92),"")</f>
        <v/>
      </c>
      <c r="AG97" s="181" t="str">
        <f>IFERROR(SUMIFS('caseload data'!Q:Q,'caseload data'!$C:$C,'custody %'!$T$92,'caseload data'!$D:$D,"SPO",'caseload data'!$B:$B,"custody")/SUMIFS('caseload data'!Q:Q,'caseload data'!$B:$B,"custody",'caseload data'!$C:$C,'custody %'!$T$92),"")</f>
        <v/>
      </c>
      <c r="AH97" s="181" t="str">
        <f>IFERROR(SUMIFS('caseload data'!R:R,'caseload data'!$C:$C,'custody %'!$T$92,'caseload data'!$D:$D,"SPO",'caseload data'!$B:$B,"custody")/SUMIFS('caseload data'!R:R,'caseload data'!$B:$B,"custody",'caseload data'!$C:$C,'custody %'!$T$92),"")</f>
        <v/>
      </c>
      <c r="AI97" s="181"/>
      <c r="AJ97" s="181"/>
    </row>
    <row r="99" spans="2:36" x14ac:dyDescent="0.15">
      <c r="B99" s="156">
        <f>HLOOKUP($B$5,Region_Table,28,0)</f>
        <v>0</v>
      </c>
      <c r="C99" s="367" t="s">
        <v>1163</v>
      </c>
      <c r="D99" s="368"/>
      <c r="E99" s="368"/>
      <c r="F99" s="368"/>
      <c r="G99" s="368"/>
      <c r="H99" s="368"/>
      <c r="I99" s="368"/>
      <c r="J99" s="368"/>
      <c r="K99" s="368"/>
      <c r="L99" s="368"/>
      <c r="M99" s="377"/>
      <c r="N99" s="377"/>
      <c r="O99" s="378"/>
      <c r="P99" s="371">
        <f>SUMIF('caseload data'!$C:$C,'custody %'!B99,'caseload data'!V:V)</f>
        <v>0</v>
      </c>
      <c r="Q99" s="379"/>
      <c r="R99" s="380"/>
    </row>
    <row r="100" spans="2:36" x14ac:dyDescent="0.15">
      <c r="B100" s="105" t="s">
        <v>1065</v>
      </c>
      <c r="C100" s="41" t="s">
        <v>922</v>
      </c>
      <c r="D100" s="41" t="s">
        <v>923</v>
      </c>
      <c r="E100" s="41" t="s">
        <v>924</v>
      </c>
      <c r="F100" s="41" t="s">
        <v>925</v>
      </c>
      <c r="G100" s="41" t="s">
        <v>926</v>
      </c>
      <c r="H100" s="41" t="s">
        <v>927</v>
      </c>
      <c r="I100" s="41" t="s">
        <v>928</v>
      </c>
      <c r="J100" s="41" t="s">
        <v>929</v>
      </c>
      <c r="K100" s="41" t="s">
        <v>930</v>
      </c>
      <c r="L100" s="41" t="s">
        <v>931</v>
      </c>
      <c r="M100" s="41" t="s">
        <v>932</v>
      </c>
      <c r="N100" s="41" t="s">
        <v>933</v>
      </c>
      <c r="O100" s="41" t="s">
        <v>934</v>
      </c>
      <c r="P100" s="41" t="s">
        <v>935</v>
      </c>
      <c r="Q100" s="41" t="s">
        <v>936</v>
      </c>
      <c r="R100" s="41" t="s">
        <v>937</v>
      </c>
    </row>
    <row r="101" spans="2:36" x14ac:dyDescent="0.15">
      <c r="B101" s="106" t="s">
        <v>911</v>
      </c>
      <c r="C101" s="181" t="str">
        <f>IFERROR(SUMIFS('caseload data'!E:E,'caseload data'!$C:$C,'custody %'!$B$99,'caseload data'!$D:$D,"PO",'caseload data'!$B:$B,"custody")/SUMIFS('caseload data'!E:E,'caseload data'!$B:$B,"custody",'caseload data'!$C:$C,'custody %'!$B$99),"")</f>
        <v/>
      </c>
      <c r="D101" s="181" t="str">
        <f>IFERROR(SUMIFS('caseload data'!F:F,'caseload data'!$C:$C,'custody %'!$B$99,'caseload data'!$D:$D,"PO",'caseload data'!$B:$B,"custody")/SUMIFS('caseload data'!F:F,'caseload data'!$B:$B,"custody",'caseload data'!$C:$C,'custody %'!$B$99),"")</f>
        <v/>
      </c>
      <c r="E101" s="181" t="str">
        <f>IFERROR(SUMIFS('caseload data'!G:G,'caseload data'!$C:$C,'custody %'!$B$99,'caseload data'!$D:$D,"PO",'caseload data'!$B:$B,"custody")/SUMIFS('caseload data'!G:G,'caseload data'!$B:$B,"custody",'caseload data'!$C:$C,'custody %'!$B$99),"")</f>
        <v/>
      </c>
      <c r="F101" s="181" t="str">
        <f>IFERROR(SUMIFS('caseload data'!H:H,'caseload data'!$C:$C,'custody %'!$B$99,'caseload data'!$D:$D,"PO",'caseload data'!$B:$B,"custody")/SUMIFS('caseload data'!H:H,'caseload data'!$B:$B,"custody",'caseload data'!$C:$C,'custody %'!$B$99),"")</f>
        <v/>
      </c>
      <c r="G101" s="181" t="str">
        <f>IFERROR(SUMIFS('caseload data'!I:I,'caseload data'!$C:$C,'custody %'!$B$99,'caseload data'!$D:$D,"PO",'caseload data'!$B:$B,"custody")/SUMIFS('caseload data'!I:I,'caseload data'!$B:$B,"custody",'caseload data'!$C:$C,'custody %'!$B$99),"")</f>
        <v/>
      </c>
      <c r="H101" s="181" t="str">
        <f>IFERROR(SUMIFS('caseload data'!J:J,'caseload data'!$C:$C,'custody %'!$B$99,'caseload data'!$D:$D,"PO",'caseload data'!$B:$B,"custody")/SUMIFS('caseload data'!J:J,'caseload data'!$B:$B,"custody",'caseload data'!$C:$C,'custody %'!$B$99),"")</f>
        <v/>
      </c>
      <c r="I101" s="181" t="str">
        <f>IFERROR(SUMIFS('caseload data'!K:K,'caseload data'!$C:$C,'custody %'!$B$99,'caseload data'!$D:$D,"PO",'caseload data'!$B:$B,"custody")/SUMIFS('caseload data'!K:K,'caseload data'!$B:$B,"custody",'caseload data'!$C:$C,'custody %'!$B$99),"")</f>
        <v/>
      </c>
      <c r="J101" s="181" t="str">
        <f>IFERROR(SUMIFS('caseload data'!L:L,'caseload data'!$C:$C,'custody %'!$B$99,'caseload data'!$D:$D,"PO",'caseload data'!$B:$B,"custody")/SUMIFS('caseload data'!L:L,'caseload data'!$B:$B,"custody",'caseload data'!$C:$C,'custody %'!$B$99),"")</f>
        <v/>
      </c>
      <c r="K101" s="181" t="str">
        <f>IFERROR(SUMIFS('caseload data'!M:M,'caseload data'!$C:$C,'custody %'!$B$99,'caseload data'!$D:$D,"PO",'caseload data'!$B:$B,"custody")/SUMIFS('caseload data'!M:M,'caseload data'!$B:$B,"custody",'caseload data'!$C:$C,'custody %'!$B$99),"")</f>
        <v/>
      </c>
      <c r="L101" s="181" t="str">
        <f>IFERROR(SUMIFS('caseload data'!N:N,'caseload data'!$C:$C,'custody %'!$B$99,'caseload data'!$D:$D,"PO",'caseload data'!$B:$B,"custody")/SUMIFS('caseload data'!N:N,'caseload data'!$B:$B,"custody",'caseload data'!$C:$C,'custody %'!$B$99),"")</f>
        <v/>
      </c>
      <c r="M101" s="181" t="str">
        <f>IFERROR(SUMIFS('caseload data'!O:O,'caseload data'!$C:$C,'custody %'!$B$99,'caseload data'!$D:$D,"PO",'caseload data'!$B:$B,"custody")/SUMIFS('caseload data'!O:O,'caseload data'!$B:$B,"custody",'caseload data'!$C:$C,'custody %'!$B$99),"")</f>
        <v/>
      </c>
      <c r="N101" s="181" t="str">
        <f>IFERROR(SUMIFS('caseload data'!P:P,'caseload data'!$C:$C,'custody %'!$B$99,'caseload data'!$D:$D,"PO",'caseload data'!$B:$B,"custody")/SUMIFS('caseload data'!P:P,'caseload data'!$B:$B,"custody",'caseload data'!$C:$C,'custody %'!$B$99),"")</f>
        <v/>
      </c>
      <c r="O101" s="181" t="str">
        <f>IFERROR(SUMIFS('caseload data'!Q:Q,'caseload data'!$C:$C,'custody %'!$B$99,'caseload data'!$D:$D,"PO",'caseload data'!$B:$B,"custody")/SUMIFS('caseload data'!Q:Q,'caseload data'!$B:$B,"custody",'caseload data'!$C:$C,'custody %'!$B$99),"")</f>
        <v/>
      </c>
      <c r="P101" s="181" t="str">
        <f>IFERROR(SUMIFS('caseload data'!R:R,'caseload data'!$C:$C,'custody %'!$B$99,'caseload data'!$D:$D,"PO",'caseload data'!$B:$B,"custody")/SUMIFS('caseload data'!R:R,'caseload data'!$B:$B,"custody",'caseload data'!$C:$C,'custody %'!$B$99),"")</f>
        <v/>
      </c>
      <c r="Q101" s="181" t="str">
        <f>IFERROR(SUMIFS('caseload data'!S:S,'caseload data'!$C:$C,'custody %'!$B$99,'caseload data'!$D:$D,"PO",'caseload data'!$B:$B,"custody")/SUMIFS('caseload data'!S:S,'caseload data'!$B:$B,"custody",'caseload data'!$C:$C,'custody %'!$B$99),"")</f>
        <v/>
      </c>
      <c r="R101" s="181" t="str">
        <f>IFERROR(SUMIFS('caseload data'!T:T,'caseload data'!$C:$C,'custody %'!$B$99,'caseload data'!$D:$D,"PO",'caseload data'!$B:$B,"custody")/SUMIFS('caseload data'!T:T,'caseload data'!$B:$B,"custody",'caseload data'!$C:$C,'custody %'!$B$99),"")</f>
        <v/>
      </c>
    </row>
    <row r="102" spans="2:36" x14ac:dyDescent="0.15">
      <c r="B102" s="107" t="s">
        <v>912</v>
      </c>
      <c r="C102" s="181" t="str">
        <f>IFERROR(SUMIFS('caseload data'!E:E,'caseload data'!$C:$C,'custody %'!$B$99,'caseload data'!$D:$D,"PSO",'caseload data'!$B:$B,"custody")/SUMIFS('caseload data'!E:E,'caseload data'!$B:$B,"custody",'caseload data'!$C:$C,'custody %'!$B$99),"")</f>
        <v/>
      </c>
      <c r="D102" s="181" t="str">
        <f>IFERROR(SUMIFS('caseload data'!F:F,'caseload data'!$C:$C,'custody %'!$B$99,'caseload data'!$D:$D,"PSO",'caseload data'!$B:$B,"custody")/SUMIFS('caseload data'!F:F,'caseload data'!$B:$B,"custody",'caseload data'!$C:$C,'custody %'!$B$99),"")</f>
        <v/>
      </c>
      <c r="E102" s="181" t="str">
        <f>IFERROR(SUMIFS('caseload data'!G:G,'caseload data'!$C:$C,'custody %'!$B$99,'caseload data'!$D:$D,"PSO",'caseload data'!$B:$B,"custody")/SUMIFS('caseload data'!G:G,'caseload data'!$B:$B,"custody",'caseload data'!$C:$C,'custody %'!$B$99),"")</f>
        <v/>
      </c>
      <c r="F102" s="181" t="str">
        <f>IFERROR(SUMIFS('caseload data'!H:H,'caseload data'!$C:$C,'custody %'!$B$99,'caseload data'!$D:$D,"PSO",'caseload data'!$B:$B,"custody")/SUMIFS('caseload data'!H:H,'caseload data'!$B:$B,"custody",'caseload data'!$C:$C,'custody %'!$B$99),"")</f>
        <v/>
      </c>
      <c r="G102" s="181" t="str">
        <f>IFERROR(SUMIFS('caseload data'!I:I,'caseload data'!$C:$C,'custody %'!$B$99,'caseload data'!$D:$D,"PSO",'caseload data'!$B:$B,"custody")/SUMIFS('caseload data'!I:I,'caseload data'!$B:$B,"custody",'caseload data'!$C:$C,'custody %'!$B$99),"")</f>
        <v/>
      </c>
      <c r="H102" s="181" t="str">
        <f>IFERROR(SUMIFS('caseload data'!J:J,'caseload data'!$C:$C,'custody %'!$B$99,'caseload data'!$D:$D,"PSO",'caseload data'!$B:$B,"custody")/SUMIFS('caseload data'!J:J,'caseload data'!$B:$B,"custody",'caseload data'!$C:$C,'custody %'!$B$99),"")</f>
        <v/>
      </c>
      <c r="I102" s="181" t="str">
        <f>IFERROR(SUMIFS('caseload data'!K:K,'caseload data'!$C:$C,'custody %'!$B$99,'caseload data'!$D:$D,"PSO",'caseload data'!$B:$B,"custody")/SUMIFS('caseload data'!K:K,'caseload data'!$B:$B,"custody",'caseload data'!$C:$C,'custody %'!$B$99),"")</f>
        <v/>
      </c>
      <c r="J102" s="181" t="str">
        <f>IFERROR(SUMIFS('caseload data'!L:L,'caseload data'!$C:$C,'custody %'!$B$99,'caseload data'!$D:$D,"PSO",'caseload data'!$B:$B,"custody")/SUMIFS('caseload data'!L:L,'caseload data'!$B:$B,"custody",'caseload data'!$C:$C,'custody %'!$B$99),"")</f>
        <v/>
      </c>
      <c r="K102" s="181" t="str">
        <f>IFERROR(SUMIFS('caseload data'!M:M,'caseload data'!$C:$C,'custody %'!$B$99,'caseload data'!$D:$D,"PSO",'caseload data'!$B:$B,"custody")/SUMIFS('caseload data'!M:M,'caseload data'!$B:$B,"custody",'caseload data'!$C:$C,'custody %'!$B$99),"")</f>
        <v/>
      </c>
      <c r="L102" s="181" t="str">
        <f>IFERROR(SUMIFS('caseload data'!N:N,'caseload data'!$C:$C,'custody %'!$B$99,'caseload data'!$D:$D,"PSO",'caseload data'!$B:$B,"custody")/SUMIFS('caseload data'!N:N,'caseload data'!$B:$B,"custody",'caseload data'!$C:$C,'custody %'!$B$99),"")</f>
        <v/>
      </c>
      <c r="M102" s="181" t="str">
        <f>IFERROR(SUMIFS('caseload data'!O:O,'caseload data'!$C:$C,'custody %'!$B$99,'caseload data'!$D:$D,"PSO",'caseload data'!$B:$B,"custody")/SUMIFS('caseload data'!O:O,'caseload data'!$B:$B,"custody",'caseload data'!$C:$C,'custody %'!$B$99),"")</f>
        <v/>
      </c>
      <c r="N102" s="181" t="str">
        <f>IFERROR(SUMIFS('caseload data'!P:P,'caseload data'!$C:$C,'custody %'!$B$99,'caseload data'!$D:$D,"PSO",'caseload data'!$B:$B,"custody")/SUMIFS('caseload data'!P:P,'caseload data'!$B:$B,"custody",'caseload data'!$C:$C,'custody %'!$B$99),"")</f>
        <v/>
      </c>
      <c r="O102" s="181" t="str">
        <f>IFERROR(SUMIFS('caseload data'!Q:Q,'caseload data'!$C:$C,'custody %'!$B$99,'caseload data'!$D:$D,"PSO",'caseload data'!$B:$B,"custody")/SUMIFS('caseload data'!Q:Q,'caseload data'!$B:$B,"custody",'caseload data'!$C:$C,'custody %'!$B$99),"")</f>
        <v/>
      </c>
      <c r="P102" s="181" t="str">
        <f>IFERROR(SUMIFS('caseload data'!R:R,'caseload data'!$C:$C,'custody %'!$B$99,'caseload data'!$D:$D,"PSO",'caseload data'!$B:$B,"custody")/SUMIFS('caseload data'!R:R,'caseload data'!$B:$B,"custody",'caseload data'!$C:$C,'custody %'!$B$99),"")</f>
        <v/>
      </c>
      <c r="Q102" s="181" t="str">
        <f>IFERROR(SUMIFS('caseload data'!S:S,'caseload data'!$C:$C,'custody %'!$B$99,'caseload data'!$D:$D,"PSO",'caseload data'!$B:$B,"custody")/SUMIFS('caseload data'!S:S,'caseload data'!$B:$B,"custody",'caseload data'!$C:$C,'custody %'!$B$99),"")</f>
        <v/>
      </c>
      <c r="R102" s="181" t="str">
        <f>IFERROR(SUMIFS('caseload data'!T:T,'caseload data'!$C:$C,'custody %'!$B$99,'caseload data'!$D:$D,"PSO",'caseload data'!$B:$B,"custody")/SUMIFS('caseload data'!T:T,'caseload data'!$B:$B,"custody",'caseload data'!$C:$C,'custody %'!$B$99),"")</f>
        <v/>
      </c>
    </row>
    <row r="103" spans="2:36" x14ac:dyDescent="0.15">
      <c r="B103" s="107" t="s">
        <v>913</v>
      </c>
      <c r="C103" s="181" t="str">
        <f>IFERROR(SUMIFS('caseload data'!E:E,'caseload data'!$C:$C,'custody %'!$B$99,'caseload data'!$D:$D,"TPO",'caseload data'!$B:$B,"custody")/SUMIFS('caseload data'!E:E,'caseload data'!$B:$B,"custody",'caseload data'!$C:$C,'custody %'!$B$99),"")</f>
        <v/>
      </c>
      <c r="D103" s="181" t="str">
        <f>IFERROR(SUMIFS('caseload data'!F:F,'caseload data'!$C:$C,'custody %'!$B$99,'caseload data'!$D:$D,"TPO",'caseload data'!$B:$B,"custody")/SUMIFS('caseload data'!F:F,'caseload data'!$B:$B,"custody",'caseload data'!$C:$C,'custody %'!$B$99),"")</f>
        <v/>
      </c>
      <c r="E103" s="181" t="str">
        <f>IFERROR(SUMIFS('caseload data'!G:G,'caseload data'!$C:$C,'custody %'!$B$99,'caseload data'!$D:$D,"TPO",'caseload data'!$B:$B,"custody")/SUMIFS('caseload data'!G:G,'caseload data'!$B:$B,"custody",'caseload data'!$C:$C,'custody %'!$B$99),"")</f>
        <v/>
      </c>
      <c r="F103" s="181" t="str">
        <f>IFERROR(SUMIFS('caseload data'!H:H,'caseload data'!$C:$C,'custody %'!$B$99,'caseload data'!$D:$D,"TPO",'caseload data'!$B:$B,"custody")/SUMIFS('caseload data'!H:H,'caseload data'!$B:$B,"custody",'caseload data'!$C:$C,'custody %'!$B$99),"")</f>
        <v/>
      </c>
      <c r="G103" s="181" t="str">
        <f>IFERROR(SUMIFS('caseload data'!I:I,'caseload data'!$C:$C,'custody %'!$B$99,'caseload data'!$D:$D,"TPO",'caseload data'!$B:$B,"custody")/SUMIFS('caseload data'!I:I,'caseload data'!$B:$B,"custody",'caseload data'!$C:$C,'custody %'!$B$99),"")</f>
        <v/>
      </c>
      <c r="H103" s="181" t="str">
        <f>IFERROR(SUMIFS('caseload data'!J:J,'caseload data'!$C:$C,'custody %'!$B$99,'caseload data'!$D:$D,"TPO",'caseload data'!$B:$B,"custody")/SUMIFS('caseload data'!J:J,'caseload data'!$B:$B,"custody",'caseload data'!$C:$C,'custody %'!$B$99),"")</f>
        <v/>
      </c>
      <c r="I103" s="181" t="str">
        <f>IFERROR(SUMIFS('caseload data'!K:K,'caseload data'!$C:$C,'custody %'!$B$99,'caseload data'!$D:$D,"TPO",'caseload data'!$B:$B,"custody")/SUMIFS('caseload data'!K:K,'caseload data'!$B:$B,"custody",'caseload data'!$C:$C,'custody %'!$B$99),"")</f>
        <v/>
      </c>
      <c r="J103" s="181" t="str">
        <f>IFERROR(SUMIFS('caseload data'!L:L,'caseload data'!$C:$C,'custody %'!$B$99,'caseload data'!$D:$D,"TPO",'caseload data'!$B:$B,"custody")/SUMIFS('caseload data'!L:L,'caseload data'!$B:$B,"custody",'caseload data'!$C:$C,'custody %'!$B$99),"")</f>
        <v/>
      </c>
      <c r="K103" s="181" t="str">
        <f>IFERROR(SUMIFS('caseload data'!M:M,'caseload data'!$C:$C,'custody %'!$B$99,'caseload data'!$D:$D,"TPO",'caseload data'!$B:$B,"custody")/SUMIFS('caseload data'!M:M,'caseload data'!$B:$B,"custody",'caseload data'!$C:$C,'custody %'!$B$99),"")</f>
        <v/>
      </c>
      <c r="L103" s="181" t="str">
        <f>IFERROR(SUMIFS('caseload data'!N:N,'caseload data'!$C:$C,'custody %'!$B$99,'caseload data'!$D:$D,"TPO",'caseload data'!$B:$B,"custody")/SUMIFS('caseload data'!N:N,'caseload data'!$B:$B,"custody",'caseload data'!$C:$C,'custody %'!$B$99),"")</f>
        <v/>
      </c>
      <c r="M103" s="181" t="str">
        <f>IFERROR(SUMIFS('caseload data'!O:O,'caseload data'!$C:$C,'custody %'!$B$99,'caseload data'!$D:$D,"TPO",'caseload data'!$B:$B,"custody")/SUMIFS('caseload data'!O:O,'caseload data'!$B:$B,"custody",'caseload data'!$C:$C,'custody %'!$B$99),"")</f>
        <v/>
      </c>
      <c r="N103" s="181" t="str">
        <f>IFERROR(SUMIFS('caseload data'!P:P,'caseload data'!$C:$C,'custody %'!$B$99,'caseload data'!$D:$D,"TPO",'caseload data'!$B:$B,"custody")/SUMIFS('caseload data'!P:P,'caseload data'!$B:$B,"custody",'caseload data'!$C:$C,'custody %'!$B$99),"")</f>
        <v/>
      </c>
      <c r="O103" s="181" t="str">
        <f>IFERROR(SUMIFS('caseload data'!Q:Q,'caseload data'!$C:$C,'custody %'!$B$99,'caseload data'!$D:$D,"TPO",'caseload data'!$B:$B,"custody")/SUMIFS('caseload data'!Q:Q,'caseload data'!$B:$B,"custody",'caseload data'!$C:$C,'custody %'!$B$99),"")</f>
        <v/>
      </c>
      <c r="P103" s="181" t="str">
        <f>IFERROR(SUMIFS('caseload data'!R:R,'caseload data'!$C:$C,'custody %'!$B$99,'caseload data'!$D:$D,"TPO",'caseload data'!$B:$B,"custody")/SUMIFS('caseload data'!R:R,'caseload data'!$B:$B,"custody",'caseload data'!$C:$C,'custody %'!$B$99),"")</f>
        <v/>
      </c>
      <c r="Q103" s="181" t="str">
        <f>IFERROR(SUMIFS('caseload data'!S:S,'caseload data'!$C:$C,'custody %'!$B$99,'caseload data'!$D:$D,"TPO",'caseload data'!$B:$B,"custody")/SUMIFS('caseload data'!S:S,'caseload data'!$B:$B,"custody",'caseload data'!$C:$C,'custody %'!$B$99),"")</f>
        <v/>
      </c>
      <c r="R103" s="181" t="str">
        <f>IFERROR(SUMIFS('caseload data'!T:T,'caseload data'!$C:$C,'custody %'!$B$99,'caseload data'!$D:$D,"TPO",'caseload data'!$B:$B,"custody")/SUMIFS('caseload data'!T:T,'caseload data'!$B:$B,"custody",'caseload data'!$C:$C,'custody %'!$B$99),"")</f>
        <v/>
      </c>
    </row>
    <row r="104" spans="2:36" x14ac:dyDescent="0.15">
      <c r="B104" s="108" t="s">
        <v>914</v>
      </c>
      <c r="C104" s="181" t="str">
        <f>IFERROR(SUMIFS('caseload data'!E:E,'caseload data'!$C:$C,'custody %'!$B$99,'caseload data'!$D:$D,"SPO",'caseload data'!$B:$B,"custody")/SUMIFS('caseload data'!E:E,'caseload data'!$B:$B,"custody",'caseload data'!$C:$C,'custody %'!$B$99),"")</f>
        <v/>
      </c>
      <c r="D104" s="181" t="str">
        <f>IFERROR(SUMIFS('caseload data'!F:F,'caseload data'!$C:$C,'custody %'!$B$99,'caseload data'!$D:$D,"SPO",'caseload data'!$B:$B,"custody")/SUMIFS('caseload data'!F:F,'caseload data'!$B:$B,"custody",'caseload data'!$C:$C,'custody %'!$B$99),"")</f>
        <v/>
      </c>
      <c r="E104" s="181" t="str">
        <f>IFERROR(SUMIFS('caseload data'!G:G,'caseload data'!$C:$C,'custody %'!$B$99,'caseload data'!$D:$D,"SPO",'caseload data'!$B:$B,"custody")/SUMIFS('caseload data'!G:G,'caseload data'!$B:$B,"custody",'caseload data'!$C:$C,'custody %'!$B$99),"")</f>
        <v/>
      </c>
      <c r="F104" s="181" t="str">
        <f>IFERROR(SUMIFS('caseload data'!H:H,'caseload data'!$C:$C,'custody %'!$B$99,'caseload data'!$D:$D,"SPO",'caseload data'!$B:$B,"custody")/SUMIFS('caseload data'!H:H,'caseload data'!$B:$B,"custody",'caseload data'!$C:$C,'custody %'!$B$99),"")</f>
        <v/>
      </c>
      <c r="G104" s="181" t="str">
        <f>IFERROR(SUMIFS('caseload data'!I:I,'caseload data'!$C:$C,'custody %'!$B$99,'caseload data'!$D:$D,"SPO",'caseload data'!$B:$B,"custody")/SUMIFS('caseload data'!I:I,'caseload data'!$B:$B,"custody",'caseload data'!$C:$C,'custody %'!$B$99),"")</f>
        <v/>
      </c>
      <c r="H104" s="181" t="str">
        <f>IFERROR(SUMIFS('caseload data'!J:J,'caseload data'!$C:$C,'custody %'!$B$99,'caseload data'!$D:$D,"SPO",'caseload data'!$B:$B,"custody")/SUMIFS('caseload data'!J:J,'caseload data'!$B:$B,"custody",'caseload data'!$C:$C,'custody %'!$B$99),"")</f>
        <v/>
      </c>
      <c r="I104" s="181" t="str">
        <f>IFERROR(SUMIFS('caseload data'!K:K,'caseload data'!$C:$C,'custody %'!$B$99,'caseload data'!$D:$D,"SPO",'caseload data'!$B:$B,"custody")/SUMIFS('caseload data'!K:K,'caseload data'!$B:$B,"custody",'caseload data'!$C:$C,'custody %'!$B$99),"")</f>
        <v/>
      </c>
      <c r="J104" s="181" t="str">
        <f>IFERROR(SUMIFS('caseload data'!L:L,'caseload data'!$C:$C,'custody %'!$B$99,'caseload data'!$D:$D,"SPO",'caseload data'!$B:$B,"custody")/SUMIFS('caseload data'!L:L,'caseload data'!$B:$B,"custody",'caseload data'!$C:$C,'custody %'!$B$99),"")</f>
        <v/>
      </c>
      <c r="K104" s="181" t="str">
        <f>IFERROR(SUMIFS('caseload data'!M:M,'caseload data'!$C:$C,'custody %'!$B$99,'caseload data'!$D:$D,"SPO",'caseload data'!$B:$B,"custody")/SUMIFS('caseload data'!M:M,'caseload data'!$B:$B,"custody",'caseload data'!$C:$C,'custody %'!$B$99),"")</f>
        <v/>
      </c>
      <c r="L104" s="181" t="str">
        <f>IFERROR(SUMIFS('caseload data'!N:N,'caseload data'!$C:$C,'custody %'!$B$99,'caseload data'!$D:$D,"SPO",'caseload data'!$B:$B,"custody")/SUMIFS('caseload data'!N:N,'caseload data'!$B:$B,"custody",'caseload data'!$C:$C,'custody %'!$B$99),"")</f>
        <v/>
      </c>
      <c r="M104" s="181" t="str">
        <f>IFERROR(SUMIFS('caseload data'!O:O,'caseload data'!$C:$C,'custody %'!$B$99,'caseload data'!$D:$D,"SPO",'caseload data'!$B:$B,"custody")/SUMIFS('caseload data'!O:O,'caseload data'!$B:$B,"custody",'caseload data'!$C:$C,'custody %'!$B$99),"")</f>
        <v/>
      </c>
      <c r="N104" s="181" t="str">
        <f>IFERROR(SUMIFS('caseload data'!P:P,'caseload data'!$C:$C,'custody %'!$B$99,'caseload data'!$D:$D,"SPO",'caseload data'!$B:$B,"custody")/SUMIFS('caseload data'!P:P,'caseload data'!$B:$B,"custody",'caseload data'!$C:$C,'custody %'!$B$99),"")</f>
        <v/>
      </c>
      <c r="O104" s="181" t="str">
        <f>IFERROR(SUMIFS('caseload data'!Q:Q,'caseload data'!$C:$C,'custody %'!$B$99,'caseload data'!$D:$D,"SPO",'caseload data'!$B:$B,"custody")/SUMIFS('caseload data'!Q:Q,'caseload data'!$B:$B,"custody",'caseload data'!$C:$C,'custody %'!$B$99),"")</f>
        <v/>
      </c>
      <c r="P104" s="181" t="str">
        <f>IFERROR(SUMIFS('caseload data'!R:R,'caseload data'!$C:$C,'custody %'!$B$99,'caseload data'!$D:$D,"SPO",'caseload data'!$B:$B,"custody")/SUMIFS('caseload data'!R:R,'caseload data'!$B:$B,"custody",'caseload data'!$C:$C,'custody %'!$B$99),"")</f>
        <v/>
      </c>
      <c r="Q104" s="181" t="str">
        <f>IFERROR(SUMIFS('caseload data'!S:S,'caseload data'!$C:$C,'custody %'!$B$99,'caseload data'!$D:$D,"SPO",'caseload data'!$B:$B,"custody")/SUMIFS('caseload data'!S:S,'caseload data'!$B:$B,"custody",'caseload data'!$C:$C,'custody %'!$B$99),"")</f>
        <v/>
      </c>
      <c r="R104" s="181" t="str">
        <f>IFERROR(SUMIFS('caseload data'!T:T,'caseload data'!$C:$C,'custody %'!$B$99,'caseload data'!$D:$D,"SPO",'caseload data'!$B:$B,"custody")/SUMIFS('caseload data'!T:T,'caseload data'!$B:$B,"custody",'caseload data'!$C:$C,'custody %'!$B$99),"")</f>
        <v/>
      </c>
    </row>
  </sheetData>
  <mergeCells count="56">
    <mergeCell ref="AF78:AH78"/>
    <mergeCell ref="U85:AE85"/>
    <mergeCell ref="AF85:AH85"/>
    <mergeCell ref="U92:AE92"/>
    <mergeCell ref="AF92:AH92"/>
    <mergeCell ref="C99:O99"/>
    <mergeCell ref="P99:R99"/>
    <mergeCell ref="U71:AE71"/>
    <mergeCell ref="U78:AE78"/>
    <mergeCell ref="C78:O78"/>
    <mergeCell ref="P78:R78"/>
    <mergeCell ref="C85:O85"/>
    <mergeCell ref="P85:R85"/>
    <mergeCell ref="C92:O92"/>
    <mergeCell ref="P92:R92"/>
    <mergeCell ref="C64:O64"/>
    <mergeCell ref="P64:R64"/>
    <mergeCell ref="U64:AE64"/>
    <mergeCell ref="AF64:AH64"/>
    <mergeCell ref="C71:O71"/>
    <mergeCell ref="P71:R71"/>
    <mergeCell ref="AF71:AH71"/>
    <mergeCell ref="C8:O8"/>
    <mergeCell ref="P8:R8"/>
    <mergeCell ref="U8:AE8"/>
    <mergeCell ref="AF8:AH8"/>
    <mergeCell ref="A1:AW1"/>
    <mergeCell ref="A2:AV2"/>
    <mergeCell ref="C15:O15"/>
    <mergeCell ref="P15:R15"/>
    <mergeCell ref="U15:AE15"/>
    <mergeCell ref="AF15:AH15"/>
    <mergeCell ref="C22:O22"/>
    <mergeCell ref="P22:R22"/>
    <mergeCell ref="U22:AE22"/>
    <mergeCell ref="AF22:AH22"/>
    <mergeCell ref="C29:O29"/>
    <mergeCell ref="P29:R29"/>
    <mergeCell ref="U29:AE29"/>
    <mergeCell ref="AF29:AH29"/>
    <mergeCell ref="C36:O36"/>
    <mergeCell ref="P36:R36"/>
    <mergeCell ref="U36:AE36"/>
    <mergeCell ref="AF36:AH36"/>
    <mergeCell ref="C57:O57"/>
    <mergeCell ref="P57:R57"/>
    <mergeCell ref="U57:AE57"/>
    <mergeCell ref="AF57:AH57"/>
    <mergeCell ref="C43:O43"/>
    <mergeCell ref="P43:R43"/>
    <mergeCell ref="U43:AE43"/>
    <mergeCell ref="AF43:AH43"/>
    <mergeCell ref="C50:O50"/>
    <mergeCell ref="P50:R50"/>
    <mergeCell ref="U50:AE50"/>
    <mergeCell ref="AF50:AH50"/>
  </mergeCells>
  <conditionalFormatting sqref="C11:C12">
    <cfRule type="cellIs" dxfId="2185" priority="927" operator="equal">
      <formula>0</formula>
    </cfRule>
    <cfRule type="cellIs" dxfId="2184" priority="928" operator="notEqual">
      <formula>0</formula>
    </cfRule>
  </conditionalFormatting>
  <conditionalFormatting sqref="D11:D12">
    <cfRule type="cellIs" dxfId="2183" priority="925" operator="equal">
      <formula>0</formula>
    </cfRule>
    <cfRule type="cellIs" dxfId="2182" priority="926" operator="notEqual">
      <formula>0</formula>
    </cfRule>
  </conditionalFormatting>
  <conditionalFormatting sqref="E11:E12">
    <cfRule type="cellIs" dxfId="2181" priority="923" operator="equal">
      <formula>0</formula>
    </cfRule>
    <cfRule type="cellIs" dxfId="2180" priority="924" operator="notEqual">
      <formula>0</formula>
    </cfRule>
  </conditionalFormatting>
  <conditionalFormatting sqref="F11:F12">
    <cfRule type="cellIs" dxfId="2179" priority="921" operator="equal">
      <formula>0</formula>
    </cfRule>
    <cfRule type="cellIs" dxfId="2178" priority="922" operator="notEqual">
      <formula>0</formula>
    </cfRule>
  </conditionalFormatting>
  <conditionalFormatting sqref="G11:G12">
    <cfRule type="cellIs" dxfId="2177" priority="919" operator="equal">
      <formula>0</formula>
    </cfRule>
    <cfRule type="cellIs" dxfId="2176" priority="920" operator="notEqual">
      <formula>0</formula>
    </cfRule>
  </conditionalFormatting>
  <conditionalFormatting sqref="H11:H12">
    <cfRule type="cellIs" dxfId="2175" priority="917" operator="equal">
      <formula>0</formula>
    </cfRule>
    <cfRule type="cellIs" dxfId="2174" priority="918" operator="notEqual">
      <formula>0</formula>
    </cfRule>
  </conditionalFormatting>
  <conditionalFormatting sqref="I11:I12">
    <cfRule type="cellIs" dxfId="2173" priority="915" operator="equal">
      <formula>0</formula>
    </cfRule>
    <cfRule type="cellIs" dxfId="2172" priority="916" operator="notEqual">
      <formula>0</formula>
    </cfRule>
  </conditionalFormatting>
  <conditionalFormatting sqref="J11:J12">
    <cfRule type="cellIs" dxfId="2171" priority="913" operator="equal">
      <formula>0</formula>
    </cfRule>
    <cfRule type="cellIs" dxfId="2170" priority="914" operator="notEqual">
      <formula>0</formula>
    </cfRule>
  </conditionalFormatting>
  <conditionalFormatting sqref="O10">
    <cfRule type="cellIs" dxfId="2169" priority="911" operator="equal">
      <formula>0</formula>
    </cfRule>
    <cfRule type="cellIs" dxfId="2168" priority="912" operator="notEqual">
      <formula>0</formula>
    </cfRule>
  </conditionalFormatting>
  <conditionalFormatting sqref="O13">
    <cfRule type="cellIs" dxfId="2167" priority="909" operator="equal">
      <formula>0</formula>
    </cfRule>
    <cfRule type="cellIs" dxfId="2166" priority="910" operator="notEqual">
      <formula>0</formula>
    </cfRule>
  </conditionalFormatting>
  <conditionalFormatting sqref="P10">
    <cfRule type="cellIs" dxfId="2165" priority="907" operator="equal">
      <formula>0</formula>
    </cfRule>
    <cfRule type="cellIs" dxfId="2164" priority="908" operator="notEqual">
      <formula>0</formula>
    </cfRule>
  </conditionalFormatting>
  <conditionalFormatting sqref="P13">
    <cfRule type="cellIs" dxfId="2163" priority="905" operator="equal">
      <formula>0</formula>
    </cfRule>
    <cfRule type="cellIs" dxfId="2162" priority="906" operator="notEqual">
      <formula>0</formula>
    </cfRule>
  </conditionalFormatting>
  <conditionalFormatting sqref="Q10">
    <cfRule type="cellIs" dxfId="2161" priority="903" operator="equal">
      <formula>0</formula>
    </cfRule>
    <cfRule type="cellIs" dxfId="2160" priority="904" operator="notEqual">
      <formula>0</formula>
    </cfRule>
  </conditionalFormatting>
  <conditionalFormatting sqref="Q13">
    <cfRule type="cellIs" dxfId="2159" priority="901" operator="equal">
      <formula>0</formula>
    </cfRule>
    <cfRule type="cellIs" dxfId="2158" priority="902" operator="notEqual">
      <formula>0</formula>
    </cfRule>
  </conditionalFormatting>
  <conditionalFormatting sqref="R10">
    <cfRule type="cellIs" dxfId="2157" priority="899" operator="equal">
      <formula>0</formula>
    </cfRule>
    <cfRule type="cellIs" dxfId="2156" priority="900" operator="notEqual">
      <formula>0</formula>
    </cfRule>
  </conditionalFormatting>
  <conditionalFormatting sqref="R13">
    <cfRule type="cellIs" dxfId="2155" priority="897" operator="equal">
      <formula>0</formula>
    </cfRule>
    <cfRule type="cellIs" dxfId="2154" priority="898" operator="notEqual">
      <formula>0</formula>
    </cfRule>
  </conditionalFormatting>
  <conditionalFormatting sqref="C18:C19">
    <cfRule type="cellIs" dxfId="2153" priority="895" operator="equal">
      <formula>0</formula>
    </cfRule>
    <cfRule type="cellIs" dxfId="2152" priority="896" operator="notEqual">
      <formula>0</formula>
    </cfRule>
  </conditionalFormatting>
  <conditionalFormatting sqref="D18:D19">
    <cfRule type="cellIs" dxfId="2151" priority="893" operator="equal">
      <formula>0</formula>
    </cfRule>
    <cfRule type="cellIs" dxfId="2150" priority="894" operator="notEqual">
      <formula>0</formula>
    </cfRule>
  </conditionalFormatting>
  <conditionalFormatting sqref="E18:E19">
    <cfRule type="cellIs" dxfId="2149" priority="891" operator="equal">
      <formula>0</formula>
    </cfRule>
    <cfRule type="cellIs" dxfId="2148" priority="892" operator="notEqual">
      <formula>0</formula>
    </cfRule>
  </conditionalFormatting>
  <conditionalFormatting sqref="F18:F19">
    <cfRule type="cellIs" dxfId="2147" priority="889" operator="equal">
      <formula>0</formula>
    </cfRule>
    <cfRule type="cellIs" dxfId="2146" priority="890" operator="notEqual">
      <formula>0</formula>
    </cfRule>
  </conditionalFormatting>
  <conditionalFormatting sqref="G18:G19">
    <cfRule type="cellIs" dxfId="2145" priority="887" operator="equal">
      <formula>0</formula>
    </cfRule>
    <cfRule type="cellIs" dxfId="2144" priority="888" operator="notEqual">
      <formula>0</formula>
    </cfRule>
  </conditionalFormatting>
  <conditionalFormatting sqref="H18:H19">
    <cfRule type="cellIs" dxfId="2143" priority="885" operator="equal">
      <formula>0</formula>
    </cfRule>
    <cfRule type="cellIs" dxfId="2142" priority="886" operator="notEqual">
      <formula>0</formula>
    </cfRule>
  </conditionalFormatting>
  <conditionalFormatting sqref="I18:I19">
    <cfRule type="cellIs" dxfId="2141" priority="883" operator="equal">
      <formula>0</formula>
    </cfRule>
    <cfRule type="cellIs" dxfId="2140" priority="884" operator="notEqual">
      <formula>0</formula>
    </cfRule>
  </conditionalFormatting>
  <conditionalFormatting sqref="J18:J19">
    <cfRule type="cellIs" dxfId="2139" priority="881" operator="equal">
      <formula>0</formula>
    </cfRule>
    <cfRule type="cellIs" dxfId="2138" priority="882" operator="notEqual">
      <formula>0</formula>
    </cfRule>
  </conditionalFormatting>
  <conditionalFormatting sqref="O17">
    <cfRule type="cellIs" dxfId="2137" priority="879" operator="equal">
      <formula>0</formula>
    </cfRule>
    <cfRule type="cellIs" dxfId="2136" priority="880" operator="notEqual">
      <formula>0</formula>
    </cfRule>
  </conditionalFormatting>
  <conditionalFormatting sqref="O20">
    <cfRule type="cellIs" dxfId="2135" priority="877" operator="equal">
      <formula>0</formula>
    </cfRule>
    <cfRule type="cellIs" dxfId="2134" priority="878" operator="notEqual">
      <formula>0</formula>
    </cfRule>
  </conditionalFormatting>
  <conditionalFormatting sqref="P17">
    <cfRule type="cellIs" dxfId="2133" priority="875" operator="equal">
      <formula>0</formula>
    </cfRule>
    <cfRule type="cellIs" dxfId="2132" priority="876" operator="notEqual">
      <formula>0</formula>
    </cfRule>
  </conditionalFormatting>
  <conditionalFormatting sqref="P20">
    <cfRule type="cellIs" dxfId="2131" priority="873" operator="equal">
      <formula>0</formula>
    </cfRule>
    <cfRule type="cellIs" dxfId="2130" priority="874" operator="notEqual">
      <formula>0</formula>
    </cfRule>
  </conditionalFormatting>
  <conditionalFormatting sqref="Q17">
    <cfRule type="cellIs" dxfId="2129" priority="871" operator="equal">
      <formula>0</formula>
    </cfRule>
    <cfRule type="cellIs" dxfId="2128" priority="872" operator="notEqual">
      <formula>0</formula>
    </cfRule>
  </conditionalFormatting>
  <conditionalFormatting sqref="Q20">
    <cfRule type="cellIs" dxfId="2127" priority="869" operator="equal">
      <formula>0</formula>
    </cfRule>
    <cfRule type="cellIs" dxfId="2126" priority="870" operator="notEqual">
      <formula>0</formula>
    </cfRule>
  </conditionalFormatting>
  <conditionalFormatting sqref="R17">
    <cfRule type="cellIs" dxfId="2125" priority="867" operator="equal">
      <formula>0</formula>
    </cfRule>
    <cfRule type="cellIs" dxfId="2124" priority="868" operator="notEqual">
      <formula>0</formula>
    </cfRule>
  </conditionalFormatting>
  <conditionalFormatting sqref="R20">
    <cfRule type="cellIs" dxfId="2123" priority="865" operator="equal">
      <formula>0</formula>
    </cfRule>
    <cfRule type="cellIs" dxfId="2122" priority="866" operator="notEqual">
      <formula>0</formula>
    </cfRule>
  </conditionalFormatting>
  <conditionalFormatting sqref="C25:C26">
    <cfRule type="cellIs" dxfId="2121" priority="863" operator="equal">
      <formula>0</formula>
    </cfRule>
    <cfRule type="cellIs" dxfId="2120" priority="864" operator="notEqual">
      <formula>0</formula>
    </cfRule>
  </conditionalFormatting>
  <conditionalFormatting sqref="D25:D26">
    <cfRule type="cellIs" dxfId="2119" priority="861" operator="equal">
      <formula>0</formula>
    </cfRule>
    <cfRule type="cellIs" dxfId="2118" priority="862" operator="notEqual">
      <formula>0</formula>
    </cfRule>
  </conditionalFormatting>
  <conditionalFormatting sqref="E25:E26">
    <cfRule type="cellIs" dxfId="2117" priority="859" operator="equal">
      <formula>0</formula>
    </cfRule>
    <cfRule type="cellIs" dxfId="2116" priority="860" operator="notEqual">
      <formula>0</formula>
    </cfRule>
  </conditionalFormatting>
  <conditionalFormatting sqref="F25:F26">
    <cfRule type="cellIs" dxfId="2115" priority="857" operator="equal">
      <formula>0</formula>
    </cfRule>
    <cfRule type="cellIs" dxfId="2114" priority="858" operator="notEqual">
      <formula>0</formula>
    </cfRule>
  </conditionalFormatting>
  <conditionalFormatting sqref="G25:G26">
    <cfRule type="cellIs" dxfId="2113" priority="855" operator="equal">
      <formula>0</formula>
    </cfRule>
    <cfRule type="cellIs" dxfId="2112" priority="856" operator="notEqual">
      <formula>0</formula>
    </cfRule>
  </conditionalFormatting>
  <conditionalFormatting sqref="H25:H26">
    <cfRule type="cellIs" dxfId="2111" priority="853" operator="equal">
      <formula>0</formula>
    </cfRule>
    <cfRule type="cellIs" dxfId="2110" priority="854" operator="notEqual">
      <formula>0</formula>
    </cfRule>
  </conditionalFormatting>
  <conditionalFormatting sqref="I25:I26">
    <cfRule type="cellIs" dxfId="2109" priority="851" operator="equal">
      <formula>0</formula>
    </cfRule>
    <cfRule type="cellIs" dxfId="2108" priority="852" operator="notEqual">
      <formula>0</formula>
    </cfRule>
  </conditionalFormatting>
  <conditionalFormatting sqref="J25:J26">
    <cfRule type="cellIs" dxfId="2107" priority="849" operator="equal">
      <formula>0</formula>
    </cfRule>
    <cfRule type="cellIs" dxfId="2106" priority="850" operator="notEqual">
      <formula>0</formula>
    </cfRule>
  </conditionalFormatting>
  <conditionalFormatting sqref="O24">
    <cfRule type="cellIs" dxfId="2105" priority="847" operator="equal">
      <formula>0</formula>
    </cfRule>
    <cfRule type="cellIs" dxfId="2104" priority="848" operator="notEqual">
      <formula>0</formula>
    </cfRule>
  </conditionalFormatting>
  <conditionalFormatting sqref="O27">
    <cfRule type="cellIs" dxfId="2103" priority="845" operator="equal">
      <formula>0</formula>
    </cfRule>
    <cfRule type="cellIs" dxfId="2102" priority="846" operator="notEqual">
      <formula>0</formula>
    </cfRule>
  </conditionalFormatting>
  <conditionalFormatting sqref="P24">
    <cfRule type="cellIs" dxfId="2101" priority="843" operator="equal">
      <formula>0</formula>
    </cfRule>
    <cfRule type="cellIs" dxfId="2100" priority="844" operator="notEqual">
      <formula>0</formula>
    </cfRule>
  </conditionalFormatting>
  <conditionalFormatting sqref="P27">
    <cfRule type="cellIs" dxfId="2099" priority="841" operator="equal">
      <formula>0</formula>
    </cfRule>
    <cfRule type="cellIs" dxfId="2098" priority="842" operator="notEqual">
      <formula>0</formula>
    </cfRule>
  </conditionalFormatting>
  <conditionalFormatting sqref="Q24">
    <cfRule type="cellIs" dxfId="2097" priority="839" operator="equal">
      <formula>0</formula>
    </cfRule>
    <cfRule type="cellIs" dxfId="2096" priority="840" operator="notEqual">
      <formula>0</formula>
    </cfRule>
  </conditionalFormatting>
  <conditionalFormatting sqref="Q27">
    <cfRule type="cellIs" dxfId="2095" priority="837" operator="equal">
      <formula>0</formula>
    </cfRule>
    <cfRule type="cellIs" dxfId="2094" priority="838" operator="notEqual">
      <formula>0</formula>
    </cfRule>
  </conditionalFormatting>
  <conditionalFormatting sqref="R24">
    <cfRule type="cellIs" dxfId="2093" priority="835" operator="equal">
      <formula>0</formula>
    </cfRule>
    <cfRule type="cellIs" dxfId="2092" priority="836" operator="notEqual">
      <formula>0</formula>
    </cfRule>
  </conditionalFormatting>
  <conditionalFormatting sqref="R27">
    <cfRule type="cellIs" dxfId="2091" priority="833" operator="equal">
      <formula>0</formula>
    </cfRule>
    <cfRule type="cellIs" dxfId="2090" priority="834" operator="notEqual">
      <formula>0</formula>
    </cfRule>
  </conditionalFormatting>
  <conditionalFormatting sqref="C32:C33">
    <cfRule type="cellIs" dxfId="2089" priority="831" operator="equal">
      <formula>0</formula>
    </cfRule>
    <cfRule type="cellIs" dxfId="2088" priority="832" operator="notEqual">
      <formula>0</formula>
    </cfRule>
  </conditionalFormatting>
  <conditionalFormatting sqref="D32:D33">
    <cfRule type="cellIs" dxfId="2087" priority="829" operator="equal">
      <formula>0</formula>
    </cfRule>
    <cfRule type="cellIs" dxfId="2086" priority="830" operator="notEqual">
      <formula>0</formula>
    </cfRule>
  </conditionalFormatting>
  <conditionalFormatting sqref="E32:E33">
    <cfRule type="cellIs" dxfId="2085" priority="827" operator="equal">
      <formula>0</formula>
    </cfRule>
    <cfRule type="cellIs" dxfId="2084" priority="828" operator="notEqual">
      <formula>0</formula>
    </cfRule>
  </conditionalFormatting>
  <conditionalFormatting sqref="F32:F33">
    <cfRule type="cellIs" dxfId="2083" priority="825" operator="equal">
      <formula>0</formula>
    </cfRule>
    <cfRule type="cellIs" dxfId="2082" priority="826" operator="notEqual">
      <formula>0</formula>
    </cfRule>
  </conditionalFormatting>
  <conditionalFormatting sqref="G32:G33">
    <cfRule type="cellIs" dxfId="2081" priority="823" operator="equal">
      <formula>0</formula>
    </cfRule>
    <cfRule type="cellIs" dxfId="2080" priority="824" operator="notEqual">
      <formula>0</formula>
    </cfRule>
  </conditionalFormatting>
  <conditionalFormatting sqref="H32:H33">
    <cfRule type="cellIs" dxfId="2079" priority="821" operator="equal">
      <formula>0</formula>
    </cfRule>
    <cfRule type="cellIs" dxfId="2078" priority="822" operator="notEqual">
      <formula>0</formula>
    </cfRule>
  </conditionalFormatting>
  <conditionalFormatting sqref="I32:I33">
    <cfRule type="cellIs" dxfId="2077" priority="819" operator="equal">
      <formula>0</formula>
    </cfRule>
    <cfRule type="cellIs" dxfId="2076" priority="820" operator="notEqual">
      <formula>0</formula>
    </cfRule>
  </conditionalFormatting>
  <conditionalFormatting sqref="J32:J33">
    <cfRule type="cellIs" dxfId="2075" priority="817" operator="equal">
      <formula>0</formula>
    </cfRule>
    <cfRule type="cellIs" dxfId="2074" priority="818" operator="notEqual">
      <formula>0</formula>
    </cfRule>
  </conditionalFormatting>
  <conditionalFormatting sqref="O31">
    <cfRule type="cellIs" dxfId="2073" priority="815" operator="equal">
      <formula>0</formula>
    </cfRule>
    <cfRule type="cellIs" dxfId="2072" priority="816" operator="notEqual">
      <formula>0</formula>
    </cfRule>
  </conditionalFormatting>
  <conditionalFormatting sqref="O34">
    <cfRule type="cellIs" dxfId="2071" priority="813" operator="equal">
      <formula>0</formula>
    </cfRule>
    <cfRule type="cellIs" dxfId="2070" priority="814" operator="notEqual">
      <formula>0</formula>
    </cfRule>
  </conditionalFormatting>
  <conditionalFormatting sqref="P31">
    <cfRule type="cellIs" dxfId="2069" priority="811" operator="equal">
      <formula>0</formula>
    </cfRule>
    <cfRule type="cellIs" dxfId="2068" priority="812" operator="notEqual">
      <formula>0</formula>
    </cfRule>
  </conditionalFormatting>
  <conditionalFormatting sqref="P34">
    <cfRule type="cellIs" dxfId="2067" priority="809" operator="equal">
      <formula>0</formula>
    </cfRule>
    <cfRule type="cellIs" dxfId="2066" priority="810" operator="notEqual">
      <formula>0</formula>
    </cfRule>
  </conditionalFormatting>
  <conditionalFormatting sqref="Q31">
    <cfRule type="cellIs" dxfId="2065" priority="807" operator="equal">
      <formula>0</formula>
    </cfRule>
    <cfRule type="cellIs" dxfId="2064" priority="808" operator="notEqual">
      <formula>0</formula>
    </cfRule>
  </conditionalFormatting>
  <conditionalFormatting sqref="Q34">
    <cfRule type="cellIs" dxfId="2063" priority="805" operator="equal">
      <formula>0</formula>
    </cfRule>
    <cfRule type="cellIs" dxfId="2062" priority="806" operator="notEqual">
      <formula>0</formula>
    </cfRule>
  </conditionalFormatting>
  <conditionalFormatting sqref="R31">
    <cfRule type="cellIs" dxfId="2061" priority="803" operator="equal">
      <formula>0</formula>
    </cfRule>
    <cfRule type="cellIs" dxfId="2060" priority="804" operator="notEqual">
      <formula>0</formula>
    </cfRule>
  </conditionalFormatting>
  <conditionalFormatting sqref="R34">
    <cfRule type="cellIs" dxfId="2059" priority="801" operator="equal">
      <formula>0</formula>
    </cfRule>
    <cfRule type="cellIs" dxfId="2058" priority="802" operator="notEqual">
      <formula>0</formula>
    </cfRule>
  </conditionalFormatting>
  <conditionalFormatting sqref="C39:C40">
    <cfRule type="cellIs" dxfId="2057" priority="799" operator="equal">
      <formula>0</formula>
    </cfRule>
    <cfRule type="cellIs" dxfId="2056" priority="800" operator="notEqual">
      <formula>0</formula>
    </cfRule>
  </conditionalFormatting>
  <conditionalFormatting sqref="D39:D40">
    <cfRule type="cellIs" dxfId="2055" priority="797" operator="equal">
      <formula>0</formula>
    </cfRule>
    <cfRule type="cellIs" dxfId="2054" priority="798" operator="notEqual">
      <formula>0</formula>
    </cfRule>
  </conditionalFormatting>
  <conditionalFormatting sqref="E39:E40">
    <cfRule type="cellIs" dxfId="2053" priority="795" operator="equal">
      <formula>0</formula>
    </cfRule>
    <cfRule type="cellIs" dxfId="2052" priority="796" operator="notEqual">
      <formula>0</formula>
    </cfRule>
  </conditionalFormatting>
  <conditionalFormatting sqref="F39:F40">
    <cfRule type="cellIs" dxfId="2051" priority="793" operator="equal">
      <formula>0</formula>
    </cfRule>
    <cfRule type="cellIs" dxfId="2050" priority="794" operator="notEqual">
      <formula>0</formula>
    </cfRule>
  </conditionalFormatting>
  <conditionalFormatting sqref="G39:G40">
    <cfRule type="cellIs" dxfId="2049" priority="791" operator="equal">
      <formula>0</formula>
    </cfRule>
    <cfRule type="cellIs" dxfId="2048" priority="792" operator="notEqual">
      <formula>0</formula>
    </cfRule>
  </conditionalFormatting>
  <conditionalFormatting sqref="H39:H40">
    <cfRule type="cellIs" dxfId="2047" priority="789" operator="equal">
      <formula>0</formula>
    </cfRule>
    <cfRule type="cellIs" dxfId="2046" priority="790" operator="notEqual">
      <formula>0</formula>
    </cfRule>
  </conditionalFormatting>
  <conditionalFormatting sqref="I39:I40">
    <cfRule type="cellIs" dxfId="2045" priority="787" operator="equal">
      <formula>0</formula>
    </cfRule>
    <cfRule type="cellIs" dxfId="2044" priority="788" operator="notEqual">
      <formula>0</formula>
    </cfRule>
  </conditionalFormatting>
  <conditionalFormatting sqref="J39:J40">
    <cfRule type="cellIs" dxfId="2043" priority="785" operator="equal">
      <formula>0</formula>
    </cfRule>
    <cfRule type="cellIs" dxfId="2042" priority="786" operator="notEqual">
      <formula>0</formula>
    </cfRule>
  </conditionalFormatting>
  <conditionalFormatting sqref="O38">
    <cfRule type="cellIs" dxfId="2041" priority="783" operator="equal">
      <formula>0</formula>
    </cfRule>
    <cfRule type="cellIs" dxfId="2040" priority="784" operator="notEqual">
      <formula>0</formula>
    </cfRule>
  </conditionalFormatting>
  <conditionalFormatting sqref="O41">
    <cfRule type="cellIs" dxfId="2039" priority="781" operator="equal">
      <formula>0</formula>
    </cfRule>
    <cfRule type="cellIs" dxfId="2038" priority="782" operator="notEqual">
      <formula>0</formula>
    </cfRule>
  </conditionalFormatting>
  <conditionalFormatting sqref="P38">
    <cfRule type="cellIs" dxfId="2037" priority="779" operator="equal">
      <formula>0</formula>
    </cfRule>
    <cfRule type="cellIs" dxfId="2036" priority="780" operator="notEqual">
      <formula>0</formula>
    </cfRule>
  </conditionalFormatting>
  <conditionalFormatting sqref="P41">
    <cfRule type="cellIs" dxfId="2035" priority="777" operator="equal">
      <formula>0</formula>
    </cfRule>
    <cfRule type="cellIs" dxfId="2034" priority="778" operator="notEqual">
      <formula>0</formula>
    </cfRule>
  </conditionalFormatting>
  <conditionalFormatting sqref="Q38">
    <cfRule type="cellIs" dxfId="2033" priority="775" operator="equal">
      <formula>0</formula>
    </cfRule>
    <cfRule type="cellIs" dxfId="2032" priority="776" operator="notEqual">
      <formula>0</formula>
    </cfRule>
  </conditionalFormatting>
  <conditionalFormatting sqref="Q41">
    <cfRule type="cellIs" dxfId="2031" priority="773" operator="equal">
      <formula>0</formula>
    </cfRule>
    <cfRule type="cellIs" dxfId="2030" priority="774" operator="notEqual">
      <formula>0</formula>
    </cfRule>
  </conditionalFormatting>
  <conditionalFormatting sqref="R38">
    <cfRule type="cellIs" dxfId="2029" priority="771" operator="equal">
      <formula>0</formula>
    </cfRule>
    <cfRule type="cellIs" dxfId="2028" priority="772" operator="notEqual">
      <formula>0</formula>
    </cfRule>
  </conditionalFormatting>
  <conditionalFormatting sqref="R41">
    <cfRule type="cellIs" dxfId="2027" priority="769" operator="equal">
      <formula>0</formula>
    </cfRule>
    <cfRule type="cellIs" dxfId="2026" priority="770" operator="notEqual">
      <formula>0</formula>
    </cfRule>
  </conditionalFormatting>
  <conditionalFormatting sqref="C46:C47">
    <cfRule type="cellIs" dxfId="2025" priority="767" operator="equal">
      <formula>0</formula>
    </cfRule>
    <cfRule type="cellIs" dxfId="2024" priority="768" operator="notEqual">
      <formula>0</formula>
    </cfRule>
  </conditionalFormatting>
  <conditionalFormatting sqref="D46:D47">
    <cfRule type="cellIs" dxfId="2023" priority="765" operator="equal">
      <formula>0</formula>
    </cfRule>
    <cfRule type="cellIs" dxfId="2022" priority="766" operator="notEqual">
      <formula>0</formula>
    </cfRule>
  </conditionalFormatting>
  <conditionalFormatting sqref="E46:E47">
    <cfRule type="cellIs" dxfId="2021" priority="763" operator="equal">
      <formula>0</formula>
    </cfRule>
    <cfRule type="cellIs" dxfId="2020" priority="764" operator="notEqual">
      <formula>0</formula>
    </cfRule>
  </conditionalFormatting>
  <conditionalFormatting sqref="F46:F47">
    <cfRule type="cellIs" dxfId="2019" priority="761" operator="equal">
      <formula>0</formula>
    </cfRule>
    <cfRule type="cellIs" dxfId="2018" priority="762" operator="notEqual">
      <formula>0</formula>
    </cfRule>
  </conditionalFormatting>
  <conditionalFormatting sqref="G46:G47">
    <cfRule type="cellIs" dxfId="2017" priority="759" operator="equal">
      <formula>0</formula>
    </cfRule>
    <cfRule type="cellIs" dxfId="2016" priority="760" operator="notEqual">
      <formula>0</formula>
    </cfRule>
  </conditionalFormatting>
  <conditionalFormatting sqref="H46:H47">
    <cfRule type="cellIs" dxfId="2015" priority="757" operator="equal">
      <formula>0</formula>
    </cfRule>
    <cfRule type="cellIs" dxfId="2014" priority="758" operator="notEqual">
      <formula>0</formula>
    </cfRule>
  </conditionalFormatting>
  <conditionalFormatting sqref="I46:I47">
    <cfRule type="cellIs" dxfId="2013" priority="755" operator="equal">
      <formula>0</formula>
    </cfRule>
    <cfRule type="cellIs" dxfId="2012" priority="756" operator="notEqual">
      <formula>0</formula>
    </cfRule>
  </conditionalFormatting>
  <conditionalFormatting sqref="J46:J47">
    <cfRule type="cellIs" dxfId="2011" priority="753" operator="equal">
      <formula>0</formula>
    </cfRule>
    <cfRule type="cellIs" dxfId="2010" priority="754" operator="notEqual">
      <formula>0</formula>
    </cfRule>
  </conditionalFormatting>
  <conditionalFormatting sqref="O45">
    <cfRule type="cellIs" dxfId="2009" priority="751" operator="equal">
      <formula>0</formula>
    </cfRule>
    <cfRule type="cellIs" dxfId="2008" priority="752" operator="notEqual">
      <formula>0</formula>
    </cfRule>
  </conditionalFormatting>
  <conditionalFormatting sqref="O48">
    <cfRule type="cellIs" dxfId="2007" priority="749" operator="equal">
      <formula>0</formula>
    </cfRule>
    <cfRule type="cellIs" dxfId="2006" priority="750" operator="notEqual">
      <formula>0</formula>
    </cfRule>
  </conditionalFormatting>
  <conditionalFormatting sqref="P45">
    <cfRule type="cellIs" dxfId="2005" priority="747" operator="equal">
      <formula>0</formula>
    </cfRule>
    <cfRule type="cellIs" dxfId="2004" priority="748" operator="notEqual">
      <formula>0</formula>
    </cfRule>
  </conditionalFormatting>
  <conditionalFormatting sqref="P48">
    <cfRule type="cellIs" dxfId="2003" priority="745" operator="equal">
      <formula>0</formula>
    </cfRule>
    <cfRule type="cellIs" dxfId="2002" priority="746" operator="notEqual">
      <formula>0</formula>
    </cfRule>
  </conditionalFormatting>
  <conditionalFormatting sqref="Q45">
    <cfRule type="cellIs" dxfId="2001" priority="743" operator="equal">
      <formula>0</formula>
    </cfRule>
    <cfRule type="cellIs" dxfId="2000" priority="744" operator="notEqual">
      <formula>0</formula>
    </cfRule>
  </conditionalFormatting>
  <conditionalFormatting sqref="Q48">
    <cfRule type="cellIs" dxfId="1999" priority="741" operator="equal">
      <formula>0</formula>
    </cfRule>
    <cfRule type="cellIs" dxfId="1998" priority="742" operator="notEqual">
      <formula>0</formula>
    </cfRule>
  </conditionalFormatting>
  <conditionalFormatting sqref="R45">
    <cfRule type="cellIs" dxfId="1997" priority="739" operator="equal">
      <formula>0</formula>
    </cfRule>
    <cfRule type="cellIs" dxfId="1996" priority="740" operator="notEqual">
      <formula>0</formula>
    </cfRule>
  </conditionalFormatting>
  <conditionalFormatting sqref="R48">
    <cfRule type="cellIs" dxfId="1995" priority="737" operator="equal">
      <formula>0</formula>
    </cfRule>
    <cfRule type="cellIs" dxfId="1994" priority="738" operator="notEqual">
      <formula>0</formula>
    </cfRule>
  </conditionalFormatting>
  <conditionalFormatting sqref="C53:C54">
    <cfRule type="cellIs" dxfId="1993" priority="735" operator="equal">
      <formula>0</formula>
    </cfRule>
    <cfRule type="cellIs" dxfId="1992" priority="736" operator="notEqual">
      <formula>0</formula>
    </cfRule>
  </conditionalFormatting>
  <conditionalFormatting sqref="D53:D54">
    <cfRule type="cellIs" dxfId="1991" priority="733" operator="equal">
      <formula>0</formula>
    </cfRule>
    <cfRule type="cellIs" dxfId="1990" priority="734" operator="notEqual">
      <formula>0</formula>
    </cfRule>
  </conditionalFormatting>
  <conditionalFormatting sqref="E53:E54">
    <cfRule type="cellIs" dxfId="1989" priority="731" operator="equal">
      <formula>0</formula>
    </cfRule>
    <cfRule type="cellIs" dxfId="1988" priority="732" operator="notEqual">
      <formula>0</formula>
    </cfRule>
  </conditionalFormatting>
  <conditionalFormatting sqref="F53:F54">
    <cfRule type="cellIs" dxfId="1987" priority="729" operator="equal">
      <formula>0</formula>
    </cfRule>
    <cfRule type="cellIs" dxfId="1986" priority="730" operator="notEqual">
      <formula>0</formula>
    </cfRule>
  </conditionalFormatting>
  <conditionalFormatting sqref="G53:G54">
    <cfRule type="cellIs" dxfId="1985" priority="727" operator="equal">
      <formula>0</formula>
    </cfRule>
    <cfRule type="cellIs" dxfId="1984" priority="728" operator="notEqual">
      <formula>0</formula>
    </cfRule>
  </conditionalFormatting>
  <conditionalFormatting sqref="H53:H54">
    <cfRule type="cellIs" dxfId="1983" priority="725" operator="equal">
      <formula>0</formula>
    </cfRule>
    <cfRule type="cellIs" dxfId="1982" priority="726" operator="notEqual">
      <formula>0</formula>
    </cfRule>
  </conditionalFormatting>
  <conditionalFormatting sqref="I53:I54">
    <cfRule type="cellIs" dxfId="1981" priority="723" operator="equal">
      <formula>0</formula>
    </cfRule>
    <cfRule type="cellIs" dxfId="1980" priority="724" operator="notEqual">
      <formula>0</formula>
    </cfRule>
  </conditionalFormatting>
  <conditionalFormatting sqref="J53:J54">
    <cfRule type="cellIs" dxfId="1979" priority="721" operator="equal">
      <formula>0</formula>
    </cfRule>
    <cfRule type="cellIs" dxfId="1978" priority="722" operator="notEqual">
      <formula>0</formula>
    </cfRule>
  </conditionalFormatting>
  <conditionalFormatting sqref="O52">
    <cfRule type="cellIs" dxfId="1977" priority="719" operator="equal">
      <formula>0</formula>
    </cfRule>
    <cfRule type="cellIs" dxfId="1976" priority="720" operator="notEqual">
      <formula>0</formula>
    </cfRule>
  </conditionalFormatting>
  <conditionalFormatting sqref="O55">
    <cfRule type="cellIs" dxfId="1975" priority="717" operator="equal">
      <formula>0</formula>
    </cfRule>
    <cfRule type="cellIs" dxfId="1974" priority="718" operator="notEqual">
      <formula>0</formula>
    </cfRule>
  </conditionalFormatting>
  <conditionalFormatting sqref="P52">
    <cfRule type="cellIs" dxfId="1973" priority="715" operator="equal">
      <formula>0</formula>
    </cfRule>
    <cfRule type="cellIs" dxfId="1972" priority="716" operator="notEqual">
      <formula>0</formula>
    </cfRule>
  </conditionalFormatting>
  <conditionalFormatting sqref="P55">
    <cfRule type="cellIs" dxfId="1971" priority="713" operator="equal">
      <formula>0</formula>
    </cfRule>
    <cfRule type="cellIs" dxfId="1970" priority="714" operator="notEqual">
      <formula>0</formula>
    </cfRule>
  </conditionalFormatting>
  <conditionalFormatting sqref="Q52">
    <cfRule type="cellIs" dxfId="1969" priority="711" operator="equal">
      <formula>0</formula>
    </cfRule>
    <cfRule type="cellIs" dxfId="1968" priority="712" operator="notEqual">
      <formula>0</formula>
    </cfRule>
  </conditionalFormatting>
  <conditionalFormatting sqref="Q55">
    <cfRule type="cellIs" dxfId="1967" priority="709" operator="equal">
      <formula>0</formula>
    </cfRule>
    <cfRule type="cellIs" dxfId="1966" priority="710" operator="notEqual">
      <formula>0</formula>
    </cfRule>
  </conditionalFormatting>
  <conditionalFormatting sqref="R52">
    <cfRule type="cellIs" dxfId="1965" priority="707" operator="equal">
      <formula>0</formula>
    </cfRule>
    <cfRule type="cellIs" dxfId="1964" priority="708" operator="notEqual">
      <formula>0</formula>
    </cfRule>
  </conditionalFormatting>
  <conditionalFormatting sqref="R55">
    <cfRule type="cellIs" dxfId="1963" priority="705" operator="equal">
      <formula>0</formula>
    </cfRule>
    <cfRule type="cellIs" dxfId="1962" priority="706" operator="notEqual">
      <formula>0</formula>
    </cfRule>
  </conditionalFormatting>
  <conditionalFormatting sqref="C60:C61">
    <cfRule type="cellIs" dxfId="1961" priority="703" operator="equal">
      <formula>0</formula>
    </cfRule>
    <cfRule type="cellIs" dxfId="1960" priority="704" operator="notEqual">
      <formula>0</formula>
    </cfRule>
  </conditionalFormatting>
  <conditionalFormatting sqref="D60:D61">
    <cfRule type="cellIs" dxfId="1959" priority="701" operator="equal">
      <formula>0</formula>
    </cfRule>
    <cfRule type="cellIs" dxfId="1958" priority="702" operator="notEqual">
      <formula>0</formula>
    </cfRule>
  </conditionalFormatting>
  <conditionalFormatting sqref="E60:E61">
    <cfRule type="cellIs" dxfId="1957" priority="699" operator="equal">
      <formula>0</formula>
    </cfRule>
    <cfRule type="cellIs" dxfId="1956" priority="700" operator="notEqual">
      <formula>0</formula>
    </cfRule>
  </conditionalFormatting>
  <conditionalFormatting sqref="F60:F61">
    <cfRule type="cellIs" dxfId="1955" priority="697" operator="equal">
      <formula>0</formula>
    </cfRule>
    <cfRule type="cellIs" dxfId="1954" priority="698" operator="notEqual">
      <formula>0</formula>
    </cfRule>
  </conditionalFormatting>
  <conditionalFormatting sqref="G60:G61">
    <cfRule type="cellIs" dxfId="1953" priority="695" operator="equal">
      <formula>0</formula>
    </cfRule>
    <cfRule type="cellIs" dxfId="1952" priority="696" operator="notEqual">
      <formula>0</formula>
    </cfRule>
  </conditionalFormatting>
  <conditionalFormatting sqref="H60:H61">
    <cfRule type="cellIs" dxfId="1951" priority="693" operator="equal">
      <formula>0</formula>
    </cfRule>
    <cfRule type="cellIs" dxfId="1950" priority="694" operator="notEqual">
      <formula>0</formula>
    </cfRule>
  </conditionalFormatting>
  <conditionalFormatting sqref="I60:I61">
    <cfRule type="cellIs" dxfId="1949" priority="691" operator="equal">
      <formula>0</formula>
    </cfRule>
    <cfRule type="cellIs" dxfId="1948" priority="692" operator="notEqual">
      <formula>0</formula>
    </cfRule>
  </conditionalFormatting>
  <conditionalFormatting sqref="J60:J61">
    <cfRule type="cellIs" dxfId="1947" priority="689" operator="equal">
      <formula>0</formula>
    </cfRule>
    <cfRule type="cellIs" dxfId="1946" priority="690" operator="notEqual">
      <formula>0</formula>
    </cfRule>
  </conditionalFormatting>
  <conditionalFormatting sqref="O59">
    <cfRule type="cellIs" dxfId="1945" priority="687" operator="equal">
      <formula>0</formula>
    </cfRule>
    <cfRule type="cellIs" dxfId="1944" priority="688" operator="notEqual">
      <formula>0</formula>
    </cfRule>
  </conditionalFormatting>
  <conditionalFormatting sqref="O62">
    <cfRule type="cellIs" dxfId="1943" priority="685" operator="equal">
      <formula>0</formula>
    </cfRule>
    <cfRule type="cellIs" dxfId="1942" priority="686" operator="notEqual">
      <formula>0</formula>
    </cfRule>
  </conditionalFormatting>
  <conditionalFormatting sqref="P59">
    <cfRule type="cellIs" dxfId="1941" priority="683" operator="equal">
      <formula>0</formula>
    </cfRule>
    <cfRule type="cellIs" dxfId="1940" priority="684" operator="notEqual">
      <formula>0</formula>
    </cfRule>
  </conditionalFormatting>
  <conditionalFormatting sqref="P62">
    <cfRule type="cellIs" dxfId="1939" priority="681" operator="equal">
      <formula>0</formula>
    </cfRule>
    <cfRule type="cellIs" dxfId="1938" priority="682" operator="notEqual">
      <formula>0</formula>
    </cfRule>
  </conditionalFormatting>
  <conditionalFormatting sqref="Q59">
    <cfRule type="cellIs" dxfId="1937" priority="679" operator="equal">
      <formula>0</formula>
    </cfRule>
    <cfRule type="cellIs" dxfId="1936" priority="680" operator="notEqual">
      <formula>0</formula>
    </cfRule>
  </conditionalFormatting>
  <conditionalFormatting sqref="Q62">
    <cfRule type="cellIs" dxfId="1935" priority="677" operator="equal">
      <formula>0</formula>
    </cfRule>
    <cfRule type="cellIs" dxfId="1934" priority="678" operator="notEqual">
      <formula>0</formula>
    </cfRule>
  </conditionalFormatting>
  <conditionalFormatting sqref="R59">
    <cfRule type="cellIs" dxfId="1933" priority="675" operator="equal">
      <formula>0</formula>
    </cfRule>
    <cfRule type="cellIs" dxfId="1932" priority="676" operator="notEqual">
      <formula>0</formula>
    </cfRule>
  </conditionalFormatting>
  <conditionalFormatting sqref="R62">
    <cfRule type="cellIs" dxfId="1931" priority="673" operator="equal">
      <formula>0</formula>
    </cfRule>
    <cfRule type="cellIs" dxfId="1930" priority="674" operator="notEqual">
      <formula>0</formula>
    </cfRule>
  </conditionalFormatting>
  <conditionalFormatting sqref="C67:C68">
    <cfRule type="cellIs" dxfId="1929" priority="671" operator="equal">
      <formula>0</formula>
    </cfRule>
    <cfRule type="cellIs" dxfId="1928" priority="672" operator="notEqual">
      <formula>0</formula>
    </cfRule>
  </conditionalFormatting>
  <conditionalFormatting sqref="D67:D68">
    <cfRule type="cellIs" dxfId="1927" priority="669" operator="equal">
      <formula>0</formula>
    </cfRule>
    <cfRule type="cellIs" dxfId="1926" priority="670" operator="notEqual">
      <formula>0</formula>
    </cfRule>
  </conditionalFormatting>
  <conditionalFormatting sqref="E67:E68">
    <cfRule type="cellIs" dxfId="1925" priority="667" operator="equal">
      <formula>0</formula>
    </cfRule>
    <cfRule type="cellIs" dxfId="1924" priority="668" operator="notEqual">
      <formula>0</formula>
    </cfRule>
  </conditionalFormatting>
  <conditionalFormatting sqref="F67:F68">
    <cfRule type="cellIs" dxfId="1923" priority="665" operator="equal">
      <formula>0</formula>
    </cfRule>
    <cfRule type="cellIs" dxfId="1922" priority="666" operator="notEqual">
      <formula>0</formula>
    </cfRule>
  </conditionalFormatting>
  <conditionalFormatting sqref="G67:G68">
    <cfRule type="cellIs" dxfId="1921" priority="663" operator="equal">
      <formula>0</formula>
    </cfRule>
    <cfRule type="cellIs" dxfId="1920" priority="664" operator="notEqual">
      <formula>0</formula>
    </cfRule>
  </conditionalFormatting>
  <conditionalFormatting sqref="H67:H68">
    <cfRule type="cellIs" dxfId="1919" priority="661" operator="equal">
      <formula>0</formula>
    </cfRule>
    <cfRule type="cellIs" dxfId="1918" priority="662" operator="notEqual">
      <formula>0</formula>
    </cfRule>
  </conditionalFormatting>
  <conditionalFormatting sqref="I67:I68">
    <cfRule type="cellIs" dxfId="1917" priority="659" operator="equal">
      <formula>0</formula>
    </cfRule>
    <cfRule type="cellIs" dxfId="1916" priority="660" operator="notEqual">
      <formula>0</formula>
    </cfRule>
  </conditionalFormatting>
  <conditionalFormatting sqref="J67:J68">
    <cfRule type="cellIs" dxfId="1915" priority="657" operator="equal">
      <formula>0</formula>
    </cfRule>
    <cfRule type="cellIs" dxfId="1914" priority="658" operator="notEqual">
      <formula>0</formula>
    </cfRule>
  </conditionalFormatting>
  <conditionalFormatting sqref="O66">
    <cfRule type="cellIs" dxfId="1913" priority="655" operator="equal">
      <formula>0</formula>
    </cfRule>
    <cfRule type="cellIs" dxfId="1912" priority="656" operator="notEqual">
      <formula>0</formula>
    </cfRule>
  </conditionalFormatting>
  <conditionalFormatting sqref="O69">
    <cfRule type="cellIs" dxfId="1911" priority="653" operator="equal">
      <formula>0</formula>
    </cfRule>
    <cfRule type="cellIs" dxfId="1910" priority="654" operator="notEqual">
      <formula>0</formula>
    </cfRule>
  </conditionalFormatting>
  <conditionalFormatting sqref="P66">
    <cfRule type="cellIs" dxfId="1909" priority="651" operator="equal">
      <formula>0</formula>
    </cfRule>
    <cfRule type="cellIs" dxfId="1908" priority="652" operator="notEqual">
      <formula>0</formula>
    </cfRule>
  </conditionalFormatting>
  <conditionalFormatting sqref="P69">
    <cfRule type="cellIs" dxfId="1907" priority="649" operator="equal">
      <formula>0</formula>
    </cfRule>
    <cfRule type="cellIs" dxfId="1906" priority="650" operator="notEqual">
      <formula>0</formula>
    </cfRule>
  </conditionalFormatting>
  <conditionalFormatting sqref="Q66">
    <cfRule type="cellIs" dxfId="1905" priority="647" operator="equal">
      <formula>0</formula>
    </cfRule>
    <cfRule type="cellIs" dxfId="1904" priority="648" operator="notEqual">
      <formula>0</formula>
    </cfRule>
  </conditionalFormatting>
  <conditionalFormatting sqref="Q69">
    <cfRule type="cellIs" dxfId="1903" priority="645" operator="equal">
      <formula>0</formula>
    </cfRule>
    <cfRule type="cellIs" dxfId="1902" priority="646" operator="notEqual">
      <formula>0</formula>
    </cfRule>
  </conditionalFormatting>
  <conditionalFormatting sqref="R66">
    <cfRule type="cellIs" dxfId="1901" priority="643" operator="equal">
      <formula>0</formula>
    </cfRule>
    <cfRule type="cellIs" dxfId="1900" priority="644" operator="notEqual">
      <formula>0</formula>
    </cfRule>
  </conditionalFormatting>
  <conditionalFormatting sqref="R69">
    <cfRule type="cellIs" dxfId="1899" priority="641" operator="equal">
      <formula>0</formula>
    </cfRule>
    <cfRule type="cellIs" dxfId="1898" priority="642" operator="notEqual">
      <formula>0</formula>
    </cfRule>
  </conditionalFormatting>
  <conditionalFormatting sqref="C74:C75">
    <cfRule type="cellIs" dxfId="1897" priority="639" operator="equal">
      <formula>0</formula>
    </cfRule>
    <cfRule type="cellIs" dxfId="1896" priority="640" operator="notEqual">
      <formula>0</formula>
    </cfRule>
  </conditionalFormatting>
  <conditionalFormatting sqref="D74:D75">
    <cfRule type="cellIs" dxfId="1895" priority="637" operator="equal">
      <formula>0</formula>
    </cfRule>
    <cfRule type="cellIs" dxfId="1894" priority="638" operator="notEqual">
      <formula>0</formula>
    </cfRule>
  </conditionalFormatting>
  <conditionalFormatting sqref="E74:E75">
    <cfRule type="cellIs" dxfId="1893" priority="635" operator="equal">
      <formula>0</formula>
    </cfRule>
    <cfRule type="cellIs" dxfId="1892" priority="636" operator="notEqual">
      <formula>0</formula>
    </cfRule>
  </conditionalFormatting>
  <conditionalFormatting sqref="F74:F75">
    <cfRule type="cellIs" dxfId="1891" priority="633" operator="equal">
      <formula>0</formula>
    </cfRule>
    <cfRule type="cellIs" dxfId="1890" priority="634" operator="notEqual">
      <formula>0</formula>
    </cfRule>
  </conditionalFormatting>
  <conditionalFormatting sqref="G74:G75">
    <cfRule type="cellIs" dxfId="1889" priority="631" operator="equal">
      <formula>0</formula>
    </cfRule>
    <cfRule type="cellIs" dxfId="1888" priority="632" operator="notEqual">
      <formula>0</formula>
    </cfRule>
  </conditionalFormatting>
  <conditionalFormatting sqref="H74:H75">
    <cfRule type="cellIs" dxfId="1887" priority="629" operator="equal">
      <formula>0</formula>
    </cfRule>
    <cfRule type="cellIs" dxfId="1886" priority="630" operator="notEqual">
      <formula>0</formula>
    </cfRule>
  </conditionalFormatting>
  <conditionalFormatting sqref="I74:I75">
    <cfRule type="cellIs" dxfId="1885" priority="627" operator="equal">
      <formula>0</formula>
    </cfRule>
    <cfRule type="cellIs" dxfId="1884" priority="628" operator="notEqual">
      <formula>0</formula>
    </cfRule>
  </conditionalFormatting>
  <conditionalFormatting sqref="J74:J75">
    <cfRule type="cellIs" dxfId="1883" priority="625" operator="equal">
      <formula>0</formula>
    </cfRule>
    <cfRule type="cellIs" dxfId="1882" priority="626" operator="notEqual">
      <formula>0</formula>
    </cfRule>
  </conditionalFormatting>
  <conditionalFormatting sqref="O73">
    <cfRule type="cellIs" dxfId="1881" priority="623" operator="equal">
      <formula>0</formula>
    </cfRule>
    <cfRule type="cellIs" dxfId="1880" priority="624" operator="notEqual">
      <formula>0</formula>
    </cfRule>
  </conditionalFormatting>
  <conditionalFormatting sqref="O76">
    <cfRule type="cellIs" dxfId="1879" priority="621" operator="equal">
      <formula>0</formula>
    </cfRule>
    <cfRule type="cellIs" dxfId="1878" priority="622" operator="notEqual">
      <formula>0</formula>
    </cfRule>
  </conditionalFormatting>
  <conditionalFormatting sqref="P73">
    <cfRule type="cellIs" dxfId="1877" priority="619" operator="equal">
      <formula>0</formula>
    </cfRule>
    <cfRule type="cellIs" dxfId="1876" priority="620" operator="notEqual">
      <formula>0</formula>
    </cfRule>
  </conditionalFormatting>
  <conditionalFormatting sqref="P76">
    <cfRule type="cellIs" dxfId="1875" priority="617" operator="equal">
      <formula>0</formula>
    </cfRule>
    <cfRule type="cellIs" dxfId="1874" priority="618" operator="notEqual">
      <formula>0</formula>
    </cfRule>
  </conditionalFormatting>
  <conditionalFormatting sqref="Q73">
    <cfRule type="cellIs" dxfId="1873" priority="615" operator="equal">
      <formula>0</formula>
    </cfRule>
    <cfRule type="cellIs" dxfId="1872" priority="616" operator="notEqual">
      <formula>0</formula>
    </cfRule>
  </conditionalFormatting>
  <conditionalFormatting sqref="Q76">
    <cfRule type="cellIs" dxfId="1871" priority="613" operator="equal">
      <formula>0</formula>
    </cfRule>
    <cfRule type="cellIs" dxfId="1870" priority="614" operator="notEqual">
      <formula>0</formula>
    </cfRule>
  </conditionalFormatting>
  <conditionalFormatting sqref="R73">
    <cfRule type="cellIs" dxfId="1869" priority="611" operator="equal">
      <formula>0</formula>
    </cfRule>
    <cfRule type="cellIs" dxfId="1868" priority="612" operator="notEqual">
      <formula>0</formula>
    </cfRule>
  </conditionalFormatting>
  <conditionalFormatting sqref="R76">
    <cfRule type="cellIs" dxfId="1867" priority="609" operator="equal">
      <formula>0</formula>
    </cfRule>
    <cfRule type="cellIs" dxfId="1866" priority="610" operator="notEqual">
      <formula>0</formula>
    </cfRule>
  </conditionalFormatting>
  <conditionalFormatting sqref="U67:U68">
    <cfRule type="cellIs" dxfId="1865" priority="607" operator="equal">
      <formula>0</formula>
    </cfRule>
    <cfRule type="cellIs" dxfId="1864" priority="608" operator="notEqual">
      <formula>0</formula>
    </cfRule>
  </conditionalFormatting>
  <conditionalFormatting sqref="V67:V68">
    <cfRule type="cellIs" dxfId="1863" priority="605" operator="equal">
      <formula>0</formula>
    </cfRule>
    <cfRule type="cellIs" dxfId="1862" priority="606" operator="notEqual">
      <formula>0</formula>
    </cfRule>
  </conditionalFormatting>
  <conditionalFormatting sqref="W67:W68">
    <cfRule type="cellIs" dxfId="1861" priority="603" operator="equal">
      <formula>0</formula>
    </cfRule>
    <cfRule type="cellIs" dxfId="1860" priority="604" operator="notEqual">
      <formula>0</formula>
    </cfRule>
  </conditionalFormatting>
  <conditionalFormatting sqref="X67:X68">
    <cfRule type="cellIs" dxfId="1859" priority="601" operator="equal">
      <formula>0</formula>
    </cfRule>
    <cfRule type="cellIs" dxfId="1858" priority="602" operator="notEqual">
      <formula>0</formula>
    </cfRule>
  </conditionalFormatting>
  <conditionalFormatting sqref="Y67:Y68">
    <cfRule type="cellIs" dxfId="1857" priority="599" operator="equal">
      <formula>0</formula>
    </cfRule>
    <cfRule type="cellIs" dxfId="1856" priority="600" operator="notEqual">
      <formula>0</formula>
    </cfRule>
  </conditionalFormatting>
  <conditionalFormatting sqref="Z67:Z68">
    <cfRule type="cellIs" dxfId="1855" priority="597" operator="equal">
      <formula>0</formula>
    </cfRule>
    <cfRule type="cellIs" dxfId="1854" priority="598" operator="notEqual">
      <formula>0</formula>
    </cfRule>
  </conditionalFormatting>
  <conditionalFormatting sqref="AA67:AA68">
    <cfRule type="cellIs" dxfId="1853" priority="595" operator="equal">
      <formula>0</formula>
    </cfRule>
    <cfRule type="cellIs" dxfId="1852" priority="596" operator="notEqual">
      <formula>0</formula>
    </cfRule>
  </conditionalFormatting>
  <conditionalFormatting sqref="AB67:AB68">
    <cfRule type="cellIs" dxfId="1851" priority="593" operator="equal">
      <formula>0</formula>
    </cfRule>
    <cfRule type="cellIs" dxfId="1850" priority="594" operator="notEqual">
      <formula>0</formula>
    </cfRule>
  </conditionalFormatting>
  <conditionalFormatting sqref="AG66">
    <cfRule type="cellIs" dxfId="1849" priority="591" operator="equal">
      <formula>0</formula>
    </cfRule>
    <cfRule type="cellIs" dxfId="1848" priority="592" operator="notEqual">
      <formula>0</formula>
    </cfRule>
  </conditionalFormatting>
  <conditionalFormatting sqref="AG69">
    <cfRule type="cellIs" dxfId="1847" priority="589" operator="equal">
      <formula>0</formula>
    </cfRule>
    <cfRule type="cellIs" dxfId="1846" priority="590" operator="notEqual">
      <formula>0</formula>
    </cfRule>
  </conditionalFormatting>
  <conditionalFormatting sqref="AH66">
    <cfRule type="cellIs" dxfId="1845" priority="587" operator="equal">
      <formula>0</formula>
    </cfRule>
    <cfRule type="cellIs" dxfId="1844" priority="588" operator="notEqual">
      <formula>0</formula>
    </cfRule>
  </conditionalFormatting>
  <conditionalFormatting sqref="AH69">
    <cfRule type="cellIs" dxfId="1843" priority="585" operator="equal">
      <formula>0</formula>
    </cfRule>
    <cfRule type="cellIs" dxfId="1842" priority="586" operator="notEqual">
      <formula>0</formula>
    </cfRule>
  </conditionalFormatting>
  <conditionalFormatting sqref="AI66">
    <cfRule type="cellIs" dxfId="1841" priority="583" operator="equal">
      <formula>0</formula>
    </cfRule>
    <cfRule type="cellIs" dxfId="1840" priority="584" operator="notEqual">
      <formula>0</formula>
    </cfRule>
  </conditionalFormatting>
  <conditionalFormatting sqref="AI69">
    <cfRule type="cellIs" dxfId="1839" priority="581" operator="equal">
      <formula>0</formula>
    </cfRule>
    <cfRule type="cellIs" dxfId="1838" priority="582" operator="notEqual">
      <formula>0</formula>
    </cfRule>
  </conditionalFormatting>
  <conditionalFormatting sqref="AJ66">
    <cfRule type="cellIs" dxfId="1837" priority="579" operator="equal">
      <formula>0</formula>
    </cfRule>
    <cfRule type="cellIs" dxfId="1836" priority="580" operator="notEqual">
      <formula>0</formula>
    </cfRule>
  </conditionalFormatting>
  <conditionalFormatting sqref="AJ69">
    <cfRule type="cellIs" dxfId="1835" priority="577" operator="equal">
      <formula>0</formula>
    </cfRule>
    <cfRule type="cellIs" dxfId="1834" priority="578" operator="notEqual">
      <formula>0</formula>
    </cfRule>
  </conditionalFormatting>
  <conditionalFormatting sqref="U60:U61">
    <cfRule type="cellIs" dxfId="1833" priority="575" operator="equal">
      <formula>0</formula>
    </cfRule>
    <cfRule type="cellIs" dxfId="1832" priority="576" operator="notEqual">
      <formula>0</formula>
    </cfRule>
  </conditionalFormatting>
  <conditionalFormatting sqref="V60:V61">
    <cfRule type="cellIs" dxfId="1831" priority="573" operator="equal">
      <formula>0</formula>
    </cfRule>
    <cfRule type="cellIs" dxfId="1830" priority="574" operator="notEqual">
      <formula>0</formula>
    </cfRule>
  </conditionalFormatting>
  <conditionalFormatting sqref="W60:W61">
    <cfRule type="cellIs" dxfId="1829" priority="571" operator="equal">
      <formula>0</formula>
    </cfRule>
    <cfRule type="cellIs" dxfId="1828" priority="572" operator="notEqual">
      <formula>0</formula>
    </cfRule>
  </conditionalFormatting>
  <conditionalFormatting sqref="X60:X61">
    <cfRule type="cellIs" dxfId="1827" priority="569" operator="equal">
      <formula>0</formula>
    </cfRule>
    <cfRule type="cellIs" dxfId="1826" priority="570" operator="notEqual">
      <formula>0</formula>
    </cfRule>
  </conditionalFormatting>
  <conditionalFormatting sqref="Y60:Y61">
    <cfRule type="cellIs" dxfId="1825" priority="567" operator="equal">
      <formula>0</formula>
    </cfRule>
    <cfRule type="cellIs" dxfId="1824" priority="568" operator="notEqual">
      <formula>0</formula>
    </cfRule>
  </conditionalFormatting>
  <conditionalFormatting sqref="Z60:Z61">
    <cfRule type="cellIs" dxfId="1823" priority="565" operator="equal">
      <formula>0</formula>
    </cfRule>
    <cfRule type="cellIs" dxfId="1822" priority="566" operator="notEqual">
      <formula>0</formula>
    </cfRule>
  </conditionalFormatting>
  <conditionalFormatting sqref="AA60:AA61">
    <cfRule type="cellIs" dxfId="1821" priority="563" operator="equal">
      <formula>0</formula>
    </cfRule>
    <cfRule type="cellIs" dxfId="1820" priority="564" operator="notEqual">
      <formula>0</formula>
    </cfRule>
  </conditionalFormatting>
  <conditionalFormatting sqref="AB60:AB61">
    <cfRule type="cellIs" dxfId="1819" priority="561" operator="equal">
      <formula>0</formula>
    </cfRule>
    <cfRule type="cellIs" dxfId="1818" priority="562" operator="notEqual">
      <formula>0</formula>
    </cfRule>
  </conditionalFormatting>
  <conditionalFormatting sqref="AG59">
    <cfRule type="cellIs" dxfId="1817" priority="559" operator="equal">
      <formula>0</formula>
    </cfRule>
    <cfRule type="cellIs" dxfId="1816" priority="560" operator="notEqual">
      <formula>0</formula>
    </cfRule>
  </conditionalFormatting>
  <conditionalFormatting sqref="AG62">
    <cfRule type="cellIs" dxfId="1815" priority="557" operator="equal">
      <formula>0</formula>
    </cfRule>
    <cfRule type="cellIs" dxfId="1814" priority="558" operator="notEqual">
      <formula>0</formula>
    </cfRule>
  </conditionalFormatting>
  <conditionalFormatting sqref="AH59">
    <cfRule type="cellIs" dxfId="1813" priority="555" operator="equal">
      <formula>0</formula>
    </cfRule>
    <cfRule type="cellIs" dxfId="1812" priority="556" operator="notEqual">
      <formula>0</formula>
    </cfRule>
  </conditionalFormatting>
  <conditionalFormatting sqref="AH62">
    <cfRule type="cellIs" dxfId="1811" priority="553" operator="equal">
      <formula>0</formula>
    </cfRule>
    <cfRule type="cellIs" dxfId="1810" priority="554" operator="notEqual">
      <formula>0</formula>
    </cfRule>
  </conditionalFormatting>
  <conditionalFormatting sqref="AI59">
    <cfRule type="cellIs" dxfId="1809" priority="551" operator="equal">
      <formula>0</formula>
    </cfRule>
    <cfRule type="cellIs" dxfId="1808" priority="552" operator="notEqual">
      <formula>0</formula>
    </cfRule>
  </conditionalFormatting>
  <conditionalFormatting sqref="AI62">
    <cfRule type="cellIs" dxfId="1807" priority="549" operator="equal">
      <formula>0</formula>
    </cfRule>
    <cfRule type="cellIs" dxfId="1806" priority="550" operator="notEqual">
      <formula>0</formula>
    </cfRule>
  </conditionalFormatting>
  <conditionalFormatting sqref="AJ59">
    <cfRule type="cellIs" dxfId="1805" priority="547" operator="equal">
      <formula>0</formula>
    </cfRule>
    <cfRule type="cellIs" dxfId="1804" priority="548" operator="notEqual">
      <formula>0</formula>
    </cfRule>
  </conditionalFormatting>
  <conditionalFormatting sqref="AJ62">
    <cfRule type="cellIs" dxfId="1803" priority="545" operator="equal">
      <formula>0</formula>
    </cfRule>
    <cfRule type="cellIs" dxfId="1802" priority="546" operator="notEqual">
      <formula>0</formula>
    </cfRule>
  </conditionalFormatting>
  <conditionalFormatting sqref="U53:U54">
    <cfRule type="cellIs" dxfId="1801" priority="543" operator="equal">
      <formula>0</formula>
    </cfRule>
    <cfRule type="cellIs" dxfId="1800" priority="544" operator="notEqual">
      <formula>0</formula>
    </cfRule>
  </conditionalFormatting>
  <conditionalFormatting sqref="V53:V54">
    <cfRule type="cellIs" dxfId="1799" priority="541" operator="equal">
      <formula>0</formula>
    </cfRule>
    <cfRule type="cellIs" dxfId="1798" priority="542" operator="notEqual">
      <formula>0</formula>
    </cfRule>
  </conditionalFormatting>
  <conditionalFormatting sqref="W53:W54">
    <cfRule type="cellIs" dxfId="1797" priority="539" operator="equal">
      <formula>0</formula>
    </cfRule>
    <cfRule type="cellIs" dxfId="1796" priority="540" operator="notEqual">
      <formula>0</formula>
    </cfRule>
  </conditionalFormatting>
  <conditionalFormatting sqref="X53:X54">
    <cfRule type="cellIs" dxfId="1795" priority="537" operator="equal">
      <formula>0</formula>
    </cfRule>
    <cfRule type="cellIs" dxfId="1794" priority="538" operator="notEqual">
      <formula>0</formula>
    </cfRule>
  </conditionalFormatting>
  <conditionalFormatting sqref="Y53:Y54">
    <cfRule type="cellIs" dxfId="1793" priority="535" operator="equal">
      <formula>0</formula>
    </cfRule>
    <cfRule type="cellIs" dxfId="1792" priority="536" operator="notEqual">
      <formula>0</formula>
    </cfRule>
  </conditionalFormatting>
  <conditionalFormatting sqref="Z53:Z54">
    <cfRule type="cellIs" dxfId="1791" priority="533" operator="equal">
      <formula>0</formula>
    </cfRule>
    <cfRule type="cellIs" dxfId="1790" priority="534" operator="notEqual">
      <formula>0</formula>
    </cfRule>
  </conditionalFormatting>
  <conditionalFormatting sqref="AA53:AA54">
    <cfRule type="cellIs" dxfId="1789" priority="531" operator="equal">
      <formula>0</formula>
    </cfRule>
    <cfRule type="cellIs" dxfId="1788" priority="532" operator="notEqual">
      <formula>0</formula>
    </cfRule>
  </conditionalFormatting>
  <conditionalFormatting sqref="AB53:AB54">
    <cfRule type="cellIs" dxfId="1787" priority="529" operator="equal">
      <formula>0</formula>
    </cfRule>
    <cfRule type="cellIs" dxfId="1786" priority="530" operator="notEqual">
      <formula>0</formula>
    </cfRule>
  </conditionalFormatting>
  <conditionalFormatting sqref="AG52">
    <cfRule type="cellIs" dxfId="1785" priority="527" operator="equal">
      <formula>0</formula>
    </cfRule>
    <cfRule type="cellIs" dxfId="1784" priority="528" operator="notEqual">
      <formula>0</formula>
    </cfRule>
  </conditionalFormatting>
  <conditionalFormatting sqref="AG55">
    <cfRule type="cellIs" dxfId="1783" priority="525" operator="equal">
      <formula>0</formula>
    </cfRule>
    <cfRule type="cellIs" dxfId="1782" priority="526" operator="notEqual">
      <formula>0</formula>
    </cfRule>
  </conditionalFormatting>
  <conditionalFormatting sqref="AH52">
    <cfRule type="cellIs" dxfId="1781" priority="523" operator="equal">
      <formula>0</formula>
    </cfRule>
    <cfRule type="cellIs" dxfId="1780" priority="524" operator="notEqual">
      <formula>0</formula>
    </cfRule>
  </conditionalFormatting>
  <conditionalFormatting sqref="AH55">
    <cfRule type="cellIs" dxfId="1779" priority="521" operator="equal">
      <formula>0</formula>
    </cfRule>
    <cfRule type="cellIs" dxfId="1778" priority="522" operator="notEqual">
      <formula>0</formula>
    </cfRule>
  </conditionalFormatting>
  <conditionalFormatting sqref="AI52">
    <cfRule type="cellIs" dxfId="1777" priority="519" operator="equal">
      <formula>0</formula>
    </cfRule>
    <cfRule type="cellIs" dxfId="1776" priority="520" operator="notEqual">
      <formula>0</formula>
    </cfRule>
  </conditionalFormatting>
  <conditionalFormatting sqref="AI55">
    <cfRule type="cellIs" dxfId="1775" priority="517" operator="equal">
      <formula>0</formula>
    </cfRule>
    <cfRule type="cellIs" dxfId="1774" priority="518" operator="notEqual">
      <formula>0</formula>
    </cfRule>
  </conditionalFormatting>
  <conditionalFormatting sqref="AJ52">
    <cfRule type="cellIs" dxfId="1773" priority="515" operator="equal">
      <formula>0</formula>
    </cfRule>
    <cfRule type="cellIs" dxfId="1772" priority="516" operator="notEqual">
      <formula>0</formula>
    </cfRule>
  </conditionalFormatting>
  <conditionalFormatting sqref="AJ55">
    <cfRule type="cellIs" dxfId="1771" priority="513" operator="equal">
      <formula>0</formula>
    </cfRule>
    <cfRule type="cellIs" dxfId="1770" priority="514" operator="notEqual">
      <formula>0</formula>
    </cfRule>
  </conditionalFormatting>
  <conditionalFormatting sqref="U46:U47">
    <cfRule type="cellIs" dxfId="1769" priority="511" operator="equal">
      <formula>0</formula>
    </cfRule>
    <cfRule type="cellIs" dxfId="1768" priority="512" operator="notEqual">
      <formula>0</formula>
    </cfRule>
  </conditionalFormatting>
  <conditionalFormatting sqref="V46:V47">
    <cfRule type="cellIs" dxfId="1767" priority="509" operator="equal">
      <formula>0</formula>
    </cfRule>
    <cfRule type="cellIs" dxfId="1766" priority="510" operator="notEqual">
      <formula>0</formula>
    </cfRule>
  </conditionalFormatting>
  <conditionalFormatting sqref="W46:W47">
    <cfRule type="cellIs" dxfId="1765" priority="507" operator="equal">
      <formula>0</formula>
    </cfRule>
    <cfRule type="cellIs" dxfId="1764" priority="508" operator="notEqual">
      <formula>0</formula>
    </cfRule>
  </conditionalFormatting>
  <conditionalFormatting sqref="X46:X47">
    <cfRule type="cellIs" dxfId="1763" priority="505" operator="equal">
      <formula>0</formula>
    </cfRule>
    <cfRule type="cellIs" dxfId="1762" priority="506" operator="notEqual">
      <formula>0</formula>
    </cfRule>
  </conditionalFormatting>
  <conditionalFormatting sqref="Y46:Y47">
    <cfRule type="cellIs" dxfId="1761" priority="503" operator="equal">
      <formula>0</formula>
    </cfRule>
    <cfRule type="cellIs" dxfId="1760" priority="504" operator="notEqual">
      <formula>0</formula>
    </cfRule>
  </conditionalFormatting>
  <conditionalFormatting sqref="Z46:Z47">
    <cfRule type="cellIs" dxfId="1759" priority="501" operator="equal">
      <formula>0</formula>
    </cfRule>
    <cfRule type="cellIs" dxfId="1758" priority="502" operator="notEqual">
      <formula>0</formula>
    </cfRule>
  </conditionalFormatting>
  <conditionalFormatting sqref="AA46:AA47">
    <cfRule type="cellIs" dxfId="1757" priority="499" operator="equal">
      <formula>0</formula>
    </cfRule>
    <cfRule type="cellIs" dxfId="1756" priority="500" operator="notEqual">
      <formula>0</formula>
    </cfRule>
  </conditionalFormatting>
  <conditionalFormatting sqref="AB46:AB47">
    <cfRule type="cellIs" dxfId="1755" priority="497" operator="equal">
      <formula>0</formula>
    </cfRule>
    <cfRule type="cellIs" dxfId="1754" priority="498" operator="notEqual">
      <formula>0</formula>
    </cfRule>
  </conditionalFormatting>
  <conditionalFormatting sqref="AG45">
    <cfRule type="cellIs" dxfId="1753" priority="495" operator="equal">
      <formula>0</formula>
    </cfRule>
    <cfRule type="cellIs" dxfId="1752" priority="496" operator="notEqual">
      <formula>0</formula>
    </cfRule>
  </conditionalFormatting>
  <conditionalFormatting sqref="AG48">
    <cfRule type="cellIs" dxfId="1751" priority="493" operator="equal">
      <formula>0</formula>
    </cfRule>
    <cfRule type="cellIs" dxfId="1750" priority="494" operator="notEqual">
      <formula>0</formula>
    </cfRule>
  </conditionalFormatting>
  <conditionalFormatting sqref="AH45">
    <cfRule type="cellIs" dxfId="1749" priority="491" operator="equal">
      <formula>0</formula>
    </cfRule>
    <cfRule type="cellIs" dxfId="1748" priority="492" operator="notEqual">
      <formula>0</formula>
    </cfRule>
  </conditionalFormatting>
  <conditionalFormatting sqref="AH48">
    <cfRule type="cellIs" dxfId="1747" priority="489" operator="equal">
      <formula>0</formula>
    </cfRule>
    <cfRule type="cellIs" dxfId="1746" priority="490" operator="notEqual">
      <formula>0</formula>
    </cfRule>
  </conditionalFormatting>
  <conditionalFormatting sqref="AI45">
    <cfRule type="cellIs" dxfId="1745" priority="487" operator="equal">
      <formula>0</formula>
    </cfRule>
    <cfRule type="cellIs" dxfId="1744" priority="488" operator="notEqual">
      <formula>0</formula>
    </cfRule>
  </conditionalFormatting>
  <conditionalFormatting sqref="AI48">
    <cfRule type="cellIs" dxfId="1743" priority="485" operator="equal">
      <formula>0</formula>
    </cfRule>
    <cfRule type="cellIs" dxfId="1742" priority="486" operator="notEqual">
      <formula>0</formula>
    </cfRule>
  </conditionalFormatting>
  <conditionalFormatting sqref="AJ45">
    <cfRule type="cellIs" dxfId="1741" priority="483" operator="equal">
      <formula>0</formula>
    </cfRule>
    <cfRule type="cellIs" dxfId="1740" priority="484" operator="notEqual">
      <formula>0</formula>
    </cfRule>
  </conditionalFormatting>
  <conditionalFormatting sqref="AJ48">
    <cfRule type="cellIs" dxfId="1739" priority="481" operator="equal">
      <formula>0</formula>
    </cfRule>
    <cfRule type="cellIs" dxfId="1738" priority="482" operator="notEqual">
      <formula>0</formula>
    </cfRule>
  </conditionalFormatting>
  <conditionalFormatting sqref="U39:U40">
    <cfRule type="cellIs" dxfId="1737" priority="479" operator="equal">
      <formula>0</formula>
    </cfRule>
    <cfRule type="cellIs" dxfId="1736" priority="480" operator="notEqual">
      <formula>0</formula>
    </cfRule>
  </conditionalFormatting>
  <conditionalFormatting sqref="V39:V40">
    <cfRule type="cellIs" dxfId="1735" priority="477" operator="equal">
      <formula>0</formula>
    </cfRule>
    <cfRule type="cellIs" dxfId="1734" priority="478" operator="notEqual">
      <formula>0</formula>
    </cfRule>
  </conditionalFormatting>
  <conditionalFormatting sqref="W39:W40">
    <cfRule type="cellIs" dxfId="1733" priority="475" operator="equal">
      <formula>0</formula>
    </cfRule>
    <cfRule type="cellIs" dxfId="1732" priority="476" operator="notEqual">
      <formula>0</formula>
    </cfRule>
  </conditionalFormatting>
  <conditionalFormatting sqref="X39:X40">
    <cfRule type="cellIs" dxfId="1731" priority="473" operator="equal">
      <formula>0</formula>
    </cfRule>
    <cfRule type="cellIs" dxfId="1730" priority="474" operator="notEqual">
      <formula>0</formula>
    </cfRule>
  </conditionalFormatting>
  <conditionalFormatting sqref="Y39:Y40">
    <cfRule type="cellIs" dxfId="1729" priority="471" operator="equal">
      <formula>0</formula>
    </cfRule>
    <cfRule type="cellIs" dxfId="1728" priority="472" operator="notEqual">
      <formula>0</formula>
    </cfRule>
  </conditionalFormatting>
  <conditionalFormatting sqref="Z39:Z40">
    <cfRule type="cellIs" dxfId="1727" priority="469" operator="equal">
      <formula>0</formula>
    </cfRule>
    <cfRule type="cellIs" dxfId="1726" priority="470" operator="notEqual">
      <formula>0</formula>
    </cfRule>
  </conditionalFormatting>
  <conditionalFormatting sqref="AA39:AA40">
    <cfRule type="cellIs" dxfId="1725" priority="467" operator="equal">
      <formula>0</formula>
    </cfRule>
    <cfRule type="cellIs" dxfId="1724" priority="468" operator="notEqual">
      <formula>0</formula>
    </cfRule>
  </conditionalFormatting>
  <conditionalFormatting sqref="AB39:AB40">
    <cfRule type="cellIs" dxfId="1723" priority="465" operator="equal">
      <formula>0</formula>
    </cfRule>
    <cfRule type="cellIs" dxfId="1722" priority="466" operator="notEqual">
      <formula>0</formula>
    </cfRule>
  </conditionalFormatting>
  <conditionalFormatting sqref="AG38">
    <cfRule type="cellIs" dxfId="1721" priority="463" operator="equal">
      <formula>0</formula>
    </cfRule>
    <cfRule type="cellIs" dxfId="1720" priority="464" operator="notEqual">
      <formula>0</formula>
    </cfRule>
  </conditionalFormatting>
  <conditionalFormatting sqref="AG41">
    <cfRule type="cellIs" dxfId="1719" priority="461" operator="equal">
      <formula>0</formula>
    </cfRule>
    <cfRule type="cellIs" dxfId="1718" priority="462" operator="notEqual">
      <formula>0</formula>
    </cfRule>
  </conditionalFormatting>
  <conditionalFormatting sqref="AH38">
    <cfRule type="cellIs" dxfId="1717" priority="459" operator="equal">
      <formula>0</formula>
    </cfRule>
    <cfRule type="cellIs" dxfId="1716" priority="460" operator="notEqual">
      <formula>0</formula>
    </cfRule>
  </conditionalFormatting>
  <conditionalFormatting sqref="AH41">
    <cfRule type="cellIs" dxfId="1715" priority="457" operator="equal">
      <formula>0</formula>
    </cfRule>
    <cfRule type="cellIs" dxfId="1714" priority="458" operator="notEqual">
      <formula>0</formula>
    </cfRule>
  </conditionalFormatting>
  <conditionalFormatting sqref="AI38">
    <cfRule type="cellIs" dxfId="1713" priority="455" operator="equal">
      <formula>0</formula>
    </cfRule>
    <cfRule type="cellIs" dxfId="1712" priority="456" operator="notEqual">
      <formula>0</formula>
    </cfRule>
  </conditionalFormatting>
  <conditionalFormatting sqref="AI41">
    <cfRule type="cellIs" dxfId="1711" priority="453" operator="equal">
      <formula>0</formula>
    </cfRule>
    <cfRule type="cellIs" dxfId="1710" priority="454" operator="notEqual">
      <formula>0</formula>
    </cfRule>
  </conditionalFormatting>
  <conditionalFormatting sqref="AJ38">
    <cfRule type="cellIs" dxfId="1709" priority="451" operator="equal">
      <formula>0</formula>
    </cfRule>
    <cfRule type="cellIs" dxfId="1708" priority="452" operator="notEqual">
      <formula>0</formula>
    </cfRule>
  </conditionalFormatting>
  <conditionalFormatting sqref="AJ41">
    <cfRule type="cellIs" dxfId="1707" priority="449" operator="equal">
      <formula>0</formula>
    </cfRule>
    <cfRule type="cellIs" dxfId="1706" priority="450" operator="notEqual">
      <formula>0</formula>
    </cfRule>
  </conditionalFormatting>
  <conditionalFormatting sqref="U32:U33">
    <cfRule type="cellIs" dxfId="1705" priority="447" operator="equal">
      <formula>0</formula>
    </cfRule>
    <cfRule type="cellIs" dxfId="1704" priority="448" operator="notEqual">
      <formula>0</formula>
    </cfRule>
  </conditionalFormatting>
  <conditionalFormatting sqref="V32:V33">
    <cfRule type="cellIs" dxfId="1703" priority="445" operator="equal">
      <formula>0</formula>
    </cfRule>
    <cfRule type="cellIs" dxfId="1702" priority="446" operator="notEqual">
      <formula>0</formula>
    </cfRule>
  </conditionalFormatting>
  <conditionalFormatting sqref="W32:W33">
    <cfRule type="cellIs" dxfId="1701" priority="443" operator="equal">
      <formula>0</formula>
    </cfRule>
    <cfRule type="cellIs" dxfId="1700" priority="444" operator="notEqual">
      <formula>0</formula>
    </cfRule>
  </conditionalFormatting>
  <conditionalFormatting sqref="X32:X33">
    <cfRule type="cellIs" dxfId="1699" priority="441" operator="equal">
      <formula>0</formula>
    </cfRule>
    <cfRule type="cellIs" dxfId="1698" priority="442" operator="notEqual">
      <formula>0</formula>
    </cfRule>
  </conditionalFormatting>
  <conditionalFormatting sqref="Y32:Y33">
    <cfRule type="cellIs" dxfId="1697" priority="439" operator="equal">
      <formula>0</formula>
    </cfRule>
    <cfRule type="cellIs" dxfId="1696" priority="440" operator="notEqual">
      <formula>0</formula>
    </cfRule>
  </conditionalFormatting>
  <conditionalFormatting sqref="Z32:Z33">
    <cfRule type="cellIs" dxfId="1695" priority="437" operator="equal">
      <formula>0</formula>
    </cfRule>
    <cfRule type="cellIs" dxfId="1694" priority="438" operator="notEqual">
      <formula>0</formula>
    </cfRule>
  </conditionalFormatting>
  <conditionalFormatting sqref="AA32:AA33">
    <cfRule type="cellIs" dxfId="1693" priority="435" operator="equal">
      <formula>0</formula>
    </cfRule>
    <cfRule type="cellIs" dxfId="1692" priority="436" operator="notEqual">
      <formula>0</formula>
    </cfRule>
  </conditionalFormatting>
  <conditionalFormatting sqref="AB32:AB33">
    <cfRule type="cellIs" dxfId="1691" priority="433" operator="equal">
      <formula>0</formula>
    </cfRule>
    <cfRule type="cellIs" dxfId="1690" priority="434" operator="notEqual">
      <formula>0</formula>
    </cfRule>
  </conditionalFormatting>
  <conditionalFormatting sqref="AG31">
    <cfRule type="cellIs" dxfId="1689" priority="431" operator="equal">
      <formula>0</formula>
    </cfRule>
    <cfRule type="cellIs" dxfId="1688" priority="432" operator="notEqual">
      <formula>0</formula>
    </cfRule>
  </conditionalFormatting>
  <conditionalFormatting sqref="AG34">
    <cfRule type="cellIs" dxfId="1687" priority="429" operator="equal">
      <formula>0</formula>
    </cfRule>
    <cfRule type="cellIs" dxfId="1686" priority="430" operator="notEqual">
      <formula>0</formula>
    </cfRule>
  </conditionalFormatting>
  <conditionalFormatting sqref="AH31">
    <cfRule type="cellIs" dxfId="1685" priority="427" operator="equal">
      <formula>0</formula>
    </cfRule>
    <cfRule type="cellIs" dxfId="1684" priority="428" operator="notEqual">
      <formula>0</formula>
    </cfRule>
  </conditionalFormatting>
  <conditionalFormatting sqref="AH34">
    <cfRule type="cellIs" dxfId="1683" priority="425" operator="equal">
      <formula>0</formula>
    </cfRule>
    <cfRule type="cellIs" dxfId="1682" priority="426" operator="notEqual">
      <formula>0</formula>
    </cfRule>
  </conditionalFormatting>
  <conditionalFormatting sqref="AI31">
    <cfRule type="cellIs" dxfId="1681" priority="423" operator="equal">
      <formula>0</formula>
    </cfRule>
    <cfRule type="cellIs" dxfId="1680" priority="424" operator="notEqual">
      <formula>0</formula>
    </cfRule>
  </conditionalFormatting>
  <conditionalFormatting sqref="AI34">
    <cfRule type="cellIs" dxfId="1679" priority="421" operator="equal">
      <formula>0</formula>
    </cfRule>
    <cfRule type="cellIs" dxfId="1678" priority="422" operator="notEqual">
      <formula>0</formula>
    </cfRule>
  </conditionalFormatting>
  <conditionalFormatting sqref="AJ31">
    <cfRule type="cellIs" dxfId="1677" priority="419" operator="equal">
      <formula>0</formula>
    </cfRule>
    <cfRule type="cellIs" dxfId="1676" priority="420" operator="notEqual">
      <formula>0</formula>
    </cfRule>
  </conditionalFormatting>
  <conditionalFormatting sqref="AJ34">
    <cfRule type="cellIs" dxfId="1675" priority="417" operator="equal">
      <formula>0</formula>
    </cfRule>
    <cfRule type="cellIs" dxfId="1674" priority="418" operator="notEqual">
      <formula>0</formula>
    </cfRule>
  </conditionalFormatting>
  <conditionalFormatting sqref="U25:U26">
    <cfRule type="cellIs" dxfId="1673" priority="415" operator="equal">
      <formula>0</formula>
    </cfRule>
    <cfRule type="cellIs" dxfId="1672" priority="416" operator="notEqual">
      <formula>0</formula>
    </cfRule>
  </conditionalFormatting>
  <conditionalFormatting sqref="V25:V26">
    <cfRule type="cellIs" dxfId="1671" priority="413" operator="equal">
      <formula>0</formula>
    </cfRule>
    <cfRule type="cellIs" dxfId="1670" priority="414" operator="notEqual">
      <formula>0</formula>
    </cfRule>
  </conditionalFormatting>
  <conditionalFormatting sqref="W25:W26">
    <cfRule type="cellIs" dxfId="1669" priority="411" operator="equal">
      <formula>0</formula>
    </cfRule>
    <cfRule type="cellIs" dxfId="1668" priority="412" operator="notEqual">
      <formula>0</formula>
    </cfRule>
  </conditionalFormatting>
  <conditionalFormatting sqref="X25:X26">
    <cfRule type="cellIs" dxfId="1667" priority="409" operator="equal">
      <formula>0</formula>
    </cfRule>
    <cfRule type="cellIs" dxfId="1666" priority="410" operator="notEqual">
      <formula>0</formula>
    </cfRule>
  </conditionalFormatting>
  <conditionalFormatting sqref="Y25:Y26">
    <cfRule type="cellIs" dxfId="1665" priority="407" operator="equal">
      <formula>0</formula>
    </cfRule>
    <cfRule type="cellIs" dxfId="1664" priority="408" operator="notEqual">
      <formula>0</formula>
    </cfRule>
  </conditionalFormatting>
  <conditionalFormatting sqref="Z25:Z26">
    <cfRule type="cellIs" dxfId="1663" priority="405" operator="equal">
      <formula>0</formula>
    </cfRule>
    <cfRule type="cellIs" dxfId="1662" priority="406" operator="notEqual">
      <formula>0</formula>
    </cfRule>
  </conditionalFormatting>
  <conditionalFormatting sqref="AA25:AA26">
    <cfRule type="cellIs" dxfId="1661" priority="403" operator="equal">
      <formula>0</formula>
    </cfRule>
    <cfRule type="cellIs" dxfId="1660" priority="404" operator="notEqual">
      <formula>0</formula>
    </cfRule>
  </conditionalFormatting>
  <conditionalFormatting sqref="AB25:AB26">
    <cfRule type="cellIs" dxfId="1659" priority="401" operator="equal">
      <formula>0</formula>
    </cfRule>
    <cfRule type="cellIs" dxfId="1658" priority="402" operator="notEqual">
      <formula>0</formula>
    </cfRule>
  </conditionalFormatting>
  <conditionalFormatting sqref="AG24">
    <cfRule type="cellIs" dxfId="1657" priority="399" operator="equal">
      <formula>0</formula>
    </cfRule>
    <cfRule type="cellIs" dxfId="1656" priority="400" operator="notEqual">
      <formula>0</formula>
    </cfRule>
  </conditionalFormatting>
  <conditionalFormatting sqref="AG27">
    <cfRule type="cellIs" dxfId="1655" priority="397" operator="equal">
      <formula>0</formula>
    </cfRule>
    <cfRule type="cellIs" dxfId="1654" priority="398" operator="notEqual">
      <formula>0</formula>
    </cfRule>
  </conditionalFormatting>
  <conditionalFormatting sqref="AH24">
    <cfRule type="cellIs" dxfId="1653" priority="395" operator="equal">
      <formula>0</formula>
    </cfRule>
    <cfRule type="cellIs" dxfId="1652" priority="396" operator="notEqual">
      <formula>0</formula>
    </cfRule>
  </conditionalFormatting>
  <conditionalFormatting sqref="AH27">
    <cfRule type="cellIs" dxfId="1651" priority="393" operator="equal">
      <formula>0</formula>
    </cfRule>
    <cfRule type="cellIs" dxfId="1650" priority="394" operator="notEqual">
      <formula>0</formula>
    </cfRule>
  </conditionalFormatting>
  <conditionalFormatting sqref="AI24">
    <cfRule type="cellIs" dxfId="1649" priority="391" operator="equal">
      <formula>0</formula>
    </cfRule>
    <cfRule type="cellIs" dxfId="1648" priority="392" operator="notEqual">
      <formula>0</formula>
    </cfRule>
  </conditionalFormatting>
  <conditionalFormatting sqref="AI27">
    <cfRule type="cellIs" dxfId="1647" priority="389" operator="equal">
      <formula>0</formula>
    </cfRule>
    <cfRule type="cellIs" dxfId="1646" priority="390" operator="notEqual">
      <formula>0</formula>
    </cfRule>
  </conditionalFormatting>
  <conditionalFormatting sqref="AJ24">
    <cfRule type="cellIs" dxfId="1645" priority="387" operator="equal">
      <formula>0</formula>
    </cfRule>
    <cfRule type="cellIs" dxfId="1644" priority="388" operator="notEqual">
      <formula>0</formula>
    </cfRule>
  </conditionalFormatting>
  <conditionalFormatting sqref="AJ27">
    <cfRule type="cellIs" dxfId="1643" priority="385" operator="equal">
      <formula>0</formula>
    </cfRule>
    <cfRule type="cellIs" dxfId="1642" priority="386" operator="notEqual">
      <formula>0</formula>
    </cfRule>
  </conditionalFormatting>
  <conditionalFormatting sqref="U18:U19">
    <cfRule type="cellIs" dxfId="1641" priority="383" operator="equal">
      <formula>0</formula>
    </cfRule>
    <cfRule type="cellIs" dxfId="1640" priority="384" operator="notEqual">
      <formula>0</formula>
    </cfRule>
  </conditionalFormatting>
  <conditionalFormatting sqref="V18:V19">
    <cfRule type="cellIs" dxfId="1639" priority="381" operator="equal">
      <formula>0</formula>
    </cfRule>
    <cfRule type="cellIs" dxfId="1638" priority="382" operator="notEqual">
      <formula>0</formula>
    </cfRule>
  </conditionalFormatting>
  <conditionalFormatting sqref="W18:W19">
    <cfRule type="cellIs" dxfId="1637" priority="379" operator="equal">
      <formula>0</formula>
    </cfRule>
    <cfRule type="cellIs" dxfId="1636" priority="380" operator="notEqual">
      <formula>0</formula>
    </cfRule>
  </conditionalFormatting>
  <conditionalFormatting sqref="X18:X19">
    <cfRule type="cellIs" dxfId="1635" priority="377" operator="equal">
      <formula>0</formula>
    </cfRule>
    <cfRule type="cellIs" dxfId="1634" priority="378" operator="notEqual">
      <formula>0</formula>
    </cfRule>
  </conditionalFormatting>
  <conditionalFormatting sqref="Y18:Y19">
    <cfRule type="cellIs" dxfId="1633" priority="375" operator="equal">
      <formula>0</formula>
    </cfRule>
    <cfRule type="cellIs" dxfId="1632" priority="376" operator="notEqual">
      <formula>0</formula>
    </cfRule>
  </conditionalFormatting>
  <conditionalFormatting sqref="Z18:Z19">
    <cfRule type="cellIs" dxfId="1631" priority="373" operator="equal">
      <formula>0</formula>
    </cfRule>
    <cfRule type="cellIs" dxfId="1630" priority="374" operator="notEqual">
      <formula>0</formula>
    </cfRule>
  </conditionalFormatting>
  <conditionalFormatting sqref="AA18:AA19">
    <cfRule type="cellIs" dxfId="1629" priority="371" operator="equal">
      <formula>0</formula>
    </cfRule>
    <cfRule type="cellIs" dxfId="1628" priority="372" operator="notEqual">
      <formula>0</formula>
    </cfRule>
  </conditionalFormatting>
  <conditionalFormatting sqref="AB18:AB19">
    <cfRule type="cellIs" dxfId="1627" priority="369" operator="equal">
      <formula>0</formula>
    </cfRule>
    <cfRule type="cellIs" dxfId="1626" priority="370" operator="notEqual">
      <formula>0</formula>
    </cfRule>
  </conditionalFormatting>
  <conditionalFormatting sqref="AG17">
    <cfRule type="cellIs" dxfId="1625" priority="367" operator="equal">
      <formula>0</formula>
    </cfRule>
    <cfRule type="cellIs" dxfId="1624" priority="368" operator="notEqual">
      <formula>0</formula>
    </cfRule>
  </conditionalFormatting>
  <conditionalFormatting sqref="AG20">
    <cfRule type="cellIs" dxfId="1623" priority="365" operator="equal">
      <formula>0</formula>
    </cfRule>
    <cfRule type="cellIs" dxfId="1622" priority="366" operator="notEqual">
      <formula>0</formula>
    </cfRule>
  </conditionalFormatting>
  <conditionalFormatting sqref="AH17">
    <cfRule type="cellIs" dxfId="1621" priority="363" operator="equal">
      <formula>0</formula>
    </cfRule>
    <cfRule type="cellIs" dxfId="1620" priority="364" operator="notEqual">
      <formula>0</formula>
    </cfRule>
  </conditionalFormatting>
  <conditionalFormatting sqref="AH20">
    <cfRule type="cellIs" dxfId="1619" priority="361" operator="equal">
      <formula>0</formula>
    </cfRule>
    <cfRule type="cellIs" dxfId="1618" priority="362" operator="notEqual">
      <formula>0</formula>
    </cfRule>
  </conditionalFormatting>
  <conditionalFormatting sqref="AI17">
    <cfRule type="cellIs" dxfId="1617" priority="359" operator="equal">
      <formula>0</formula>
    </cfRule>
    <cfRule type="cellIs" dxfId="1616" priority="360" operator="notEqual">
      <formula>0</formula>
    </cfRule>
  </conditionalFormatting>
  <conditionalFormatting sqref="AI20">
    <cfRule type="cellIs" dxfId="1615" priority="357" operator="equal">
      <formula>0</formula>
    </cfRule>
    <cfRule type="cellIs" dxfId="1614" priority="358" operator="notEqual">
      <formula>0</formula>
    </cfRule>
  </conditionalFormatting>
  <conditionalFormatting sqref="AJ17">
    <cfRule type="cellIs" dxfId="1613" priority="355" operator="equal">
      <formula>0</formula>
    </cfRule>
    <cfRule type="cellIs" dxfId="1612" priority="356" operator="notEqual">
      <formula>0</formula>
    </cfRule>
  </conditionalFormatting>
  <conditionalFormatting sqref="AJ20">
    <cfRule type="cellIs" dxfId="1611" priority="353" operator="equal">
      <formula>0</formula>
    </cfRule>
    <cfRule type="cellIs" dxfId="1610" priority="354" operator="notEqual">
      <formula>0</formula>
    </cfRule>
  </conditionalFormatting>
  <conditionalFormatting sqref="U11:U12">
    <cfRule type="cellIs" dxfId="1609" priority="351" operator="equal">
      <formula>0</formula>
    </cfRule>
    <cfRule type="cellIs" dxfId="1608" priority="352" operator="notEqual">
      <formula>0</formula>
    </cfRule>
  </conditionalFormatting>
  <conditionalFormatting sqref="V11:V12">
    <cfRule type="cellIs" dxfId="1607" priority="349" operator="equal">
      <formula>0</formula>
    </cfRule>
    <cfRule type="cellIs" dxfId="1606" priority="350" operator="notEqual">
      <formula>0</formula>
    </cfRule>
  </conditionalFormatting>
  <conditionalFormatting sqref="W11:W12">
    <cfRule type="cellIs" dxfId="1605" priority="347" operator="equal">
      <formula>0</formula>
    </cfRule>
    <cfRule type="cellIs" dxfId="1604" priority="348" operator="notEqual">
      <formula>0</formula>
    </cfRule>
  </conditionalFormatting>
  <conditionalFormatting sqref="X11:X12">
    <cfRule type="cellIs" dxfId="1603" priority="345" operator="equal">
      <formula>0</formula>
    </cfRule>
    <cfRule type="cellIs" dxfId="1602" priority="346" operator="notEqual">
      <formula>0</formula>
    </cfRule>
  </conditionalFormatting>
  <conditionalFormatting sqref="Y11:Y12">
    <cfRule type="cellIs" dxfId="1601" priority="343" operator="equal">
      <formula>0</formula>
    </cfRule>
    <cfRule type="cellIs" dxfId="1600" priority="344" operator="notEqual">
      <formula>0</formula>
    </cfRule>
  </conditionalFormatting>
  <conditionalFormatting sqref="Z11:Z12">
    <cfRule type="cellIs" dxfId="1599" priority="341" operator="equal">
      <formula>0</formula>
    </cfRule>
    <cfRule type="cellIs" dxfId="1598" priority="342" operator="notEqual">
      <formula>0</formula>
    </cfRule>
  </conditionalFormatting>
  <conditionalFormatting sqref="AA11:AA12">
    <cfRule type="cellIs" dxfId="1597" priority="339" operator="equal">
      <formula>0</formula>
    </cfRule>
    <cfRule type="cellIs" dxfId="1596" priority="340" operator="notEqual">
      <formula>0</formula>
    </cfRule>
  </conditionalFormatting>
  <conditionalFormatting sqref="AB11:AB12">
    <cfRule type="cellIs" dxfId="1595" priority="337" operator="equal">
      <formula>0</formula>
    </cfRule>
    <cfRule type="cellIs" dxfId="1594" priority="338" operator="notEqual">
      <formula>0</formula>
    </cfRule>
  </conditionalFormatting>
  <conditionalFormatting sqref="AG10">
    <cfRule type="cellIs" dxfId="1593" priority="335" operator="equal">
      <formula>0</formula>
    </cfRule>
    <cfRule type="cellIs" dxfId="1592" priority="336" operator="notEqual">
      <formula>0</formula>
    </cfRule>
  </conditionalFormatting>
  <conditionalFormatting sqref="AG13">
    <cfRule type="cellIs" dxfId="1591" priority="333" operator="equal">
      <formula>0</formula>
    </cfRule>
    <cfRule type="cellIs" dxfId="1590" priority="334" operator="notEqual">
      <formula>0</formula>
    </cfRule>
  </conditionalFormatting>
  <conditionalFormatting sqref="AH10">
    <cfRule type="cellIs" dxfId="1589" priority="331" operator="equal">
      <formula>0</formula>
    </cfRule>
    <cfRule type="cellIs" dxfId="1588" priority="332" operator="notEqual">
      <formula>0</formula>
    </cfRule>
  </conditionalFormatting>
  <conditionalFormatting sqref="AH13">
    <cfRule type="cellIs" dxfId="1587" priority="329" operator="equal">
      <formula>0</formula>
    </cfRule>
    <cfRule type="cellIs" dxfId="1586" priority="330" operator="notEqual">
      <formula>0</formula>
    </cfRule>
  </conditionalFormatting>
  <conditionalFormatting sqref="AI10">
    <cfRule type="cellIs" dxfId="1585" priority="327" operator="equal">
      <formula>0</formula>
    </cfRule>
    <cfRule type="cellIs" dxfId="1584" priority="328" operator="notEqual">
      <formula>0</formula>
    </cfRule>
  </conditionalFormatting>
  <conditionalFormatting sqref="AI13">
    <cfRule type="cellIs" dxfId="1583" priority="325" operator="equal">
      <formula>0</formula>
    </cfRule>
    <cfRule type="cellIs" dxfId="1582" priority="326" operator="notEqual">
      <formula>0</formula>
    </cfRule>
  </conditionalFormatting>
  <conditionalFormatting sqref="AJ10">
    <cfRule type="cellIs" dxfId="1581" priority="323" operator="equal">
      <formula>0</formula>
    </cfRule>
    <cfRule type="cellIs" dxfId="1580" priority="324" operator="notEqual">
      <formula>0</formula>
    </cfRule>
  </conditionalFormatting>
  <conditionalFormatting sqref="AJ13">
    <cfRule type="cellIs" dxfId="1579" priority="321" operator="equal">
      <formula>0</formula>
    </cfRule>
    <cfRule type="cellIs" dxfId="1578" priority="322" operator="notEqual">
      <formula>0</formula>
    </cfRule>
  </conditionalFormatting>
  <conditionalFormatting sqref="C81:C82">
    <cfRule type="cellIs" dxfId="1577" priority="319" operator="equal">
      <formula>0</formula>
    </cfRule>
    <cfRule type="cellIs" dxfId="1576" priority="320" operator="notEqual">
      <formula>0</formula>
    </cfRule>
  </conditionalFormatting>
  <conditionalFormatting sqref="D81:D82">
    <cfRule type="cellIs" dxfId="1575" priority="317" operator="equal">
      <formula>0</formula>
    </cfRule>
    <cfRule type="cellIs" dxfId="1574" priority="318" operator="notEqual">
      <formula>0</formula>
    </cfRule>
  </conditionalFormatting>
  <conditionalFormatting sqref="E81:E82">
    <cfRule type="cellIs" dxfId="1573" priority="315" operator="equal">
      <formula>0</formula>
    </cfRule>
    <cfRule type="cellIs" dxfId="1572" priority="316" operator="notEqual">
      <formula>0</formula>
    </cfRule>
  </conditionalFormatting>
  <conditionalFormatting sqref="F81:F82">
    <cfRule type="cellIs" dxfId="1571" priority="313" operator="equal">
      <formula>0</formula>
    </cfRule>
    <cfRule type="cellIs" dxfId="1570" priority="314" operator="notEqual">
      <formula>0</formula>
    </cfRule>
  </conditionalFormatting>
  <conditionalFormatting sqref="G81:G82">
    <cfRule type="cellIs" dxfId="1569" priority="311" operator="equal">
      <formula>0</formula>
    </cfRule>
    <cfRule type="cellIs" dxfId="1568" priority="312" operator="notEqual">
      <formula>0</formula>
    </cfRule>
  </conditionalFormatting>
  <conditionalFormatting sqref="H81:H82">
    <cfRule type="cellIs" dxfId="1567" priority="309" operator="equal">
      <formula>0</formula>
    </cfRule>
    <cfRule type="cellIs" dxfId="1566" priority="310" operator="notEqual">
      <formula>0</formula>
    </cfRule>
  </conditionalFormatting>
  <conditionalFormatting sqref="I81:I82">
    <cfRule type="cellIs" dxfId="1565" priority="307" operator="equal">
      <formula>0</formula>
    </cfRule>
    <cfRule type="cellIs" dxfId="1564" priority="308" operator="notEqual">
      <formula>0</formula>
    </cfRule>
  </conditionalFormatting>
  <conditionalFormatting sqref="J81:J82">
    <cfRule type="cellIs" dxfId="1563" priority="305" operator="equal">
      <formula>0</formula>
    </cfRule>
    <cfRule type="cellIs" dxfId="1562" priority="306" operator="notEqual">
      <formula>0</formula>
    </cfRule>
  </conditionalFormatting>
  <conditionalFormatting sqref="O80">
    <cfRule type="cellIs" dxfId="1561" priority="303" operator="equal">
      <formula>0</formula>
    </cfRule>
    <cfRule type="cellIs" dxfId="1560" priority="304" operator="notEqual">
      <formula>0</formula>
    </cfRule>
  </conditionalFormatting>
  <conditionalFormatting sqref="O83">
    <cfRule type="cellIs" dxfId="1559" priority="301" operator="equal">
      <formula>0</formula>
    </cfRule>
    <cfRule type="cellIs" dxfId="1558" priority="302" operator="notEqual">
      <formula>0</formula>
    </cfRule>
  </conditionalFormatting>
  <conditionalFormatting sqref="P80">
    <cfRule type="cellIs" dxfId="1557" priority="299" operator="equal">
      <formula>0</formula>
    </cfRule>
    <cfRule type="cellIs" dxfId="1556" priority="300" operator="notEqual">
      <formula>0</formula>
    </cfRule>
  </conditionalFormatting>
  <conditionalFormatting sqref="P83">
    <cfRule type="cellIs" dxfId="1555" priority="297" operator="equal">
      <formula>0</formula>
    </cfRule>
    <cfRule type="cellIs" dxfId="1554" priority="298" operator="notEqual">
      <formula>0</formula>
    </cfRule>
  </conditionalFormatting>
  <conditionalFormatting sqref="Q80">
    <cfRule type="cellIs" dxfId="1553" priority="295" operator="equal">
      <formula>0</formula>
    </cfRule>
    <cfRule type="cellIs" dxfId="1552" priority="296" operator="notEqual">
      <formula>0</formula>
    </cfRule>
  </conditionalFormatting>
  <conditionalFormatting sqref="Q83">
    <cfRule type="cellIs" dxfId="1551" priority="293" operator="equal">
      <formula>0</formula>
    </cfRule>
    <cfRule type="cellIs" dxfId="1550" priority="294" operator="notEqual">
      <formula>0</formula>
    </cfRule>
  </conditionalFormatting>
  <conditionalFormatting sqref="R80">
    <cfRule type="cellIs" dxfId="1549" priority="291" operator="equal">
      <formula>0</formula>
    </cfRule>
    <cfRule type="cellIs" dxfId="1548" priority="292" operator="notEqual">
      <formula>0</formula>
    </cfRule>
  </conditionalFormatting>
  <conditionalFormatting sqref="R83">
    <cfRule type="cellIs" dxfId="1547" priority="289" operator="equal">
      <formula>0</formula>
    </cfRule>
    <cfRule type="cellIs" dxfId="1546" priority="290" operator="notEqual">
      <formula>0</formula>
    </cfRule>
  </conditionalFormatting>
  <conditionalFormatting sqref="C88:C89">
    <cfRule type="cellIs" dxfId="1545" priority="287" operator="equal">
      <formula>0</formula>
    </cfRule>
    <cfRule type="cellIs" dxfId="1544" priority="288" operator="notEqual">
      <formula>0</formula>
    </cfRule>
  </conditionalFormatting>
  <conditionalFormatting sqref="D88:D89">
    <cfRule type="cellIs" dxfId="1543" priority="285" operator="equal">
      <formula>0</formula>
    </cfRule>
    <cfRule type="cellIs" dxfId="1542" priority="286" operator="notEqual">
      <formula>0</formula>
    </cfRule>
  </conditionalFormatting>
  <conditionalFormatting sqref="E88:E89">
    <cfRule type="cellIs" dxfId="1541" priority="283" operator="equal">
      <formula>0</formula>
    </cfRule>
    <cfRule type="cellIs" dxfId="1540" priority="284" operator="notEqual">
      <formula>0</formula>
    </cfRule>
  </conditionalFormatting>
  <conditionalFormatting sqref="F88:F89">
    <cfRule type="cellIs" dxfId="1539" priority="281" operator="equal">
      <formula>0</formula>
    </cfRule>
    <cfRule type="cellIs" dxfId="1538" priority="282" operator="notEqual">
      <formula>0</formula>
    </cfRule>
  </conditionalFormatting>
  <conditionalFormatting sqref="G88:G89">
    <cfRule type="cellIs" dxfId="1537" priority="279" operator="equal">
      <formula>0</formula>
    </cfRule>
    <cfRule type="cellIs" dxfId="1536" priority="280" operator="notEqual">
      <formula>0</formula>
    </cfRule>
  </conditionalFormatting>
  <conditionalFormatting sqref="H88:H89">
    <cfRule type="cellIs" dxfId="1535" priority="277" operator="equal">
      <formula>0</formula>
    </cfRule>
    <cfRule type="cellIs" dxfId="1534" priority="278" operator="notEqual">
      <formula>0</formula>
    </cfRule>
  </conditionalFormatting>
  <conditionalFormatting sqref="I88:I89">
    <cfRule type="cellIs" dxfId="1533" priority="275" operator="equal">
      <formula>0</formula>
    </cfRule>
    <cfRule type="cellIs" dxfId="1532" priority="276" operator="notEqual">
      <formula>0</formula>
    </cfRule>
  </conditionalFormatting>
  <conditionalFormatting sqref="J88:J89">
    <cfRule type="cellIs" dxfId="1531" priority="273" operator="equal">
      <formula>0</formula>
    </cfRule>
    <cfRule type="cellIs" dxfId="1530" priority="274" operator="notEqual">
      <formula>0</formula>
    </cfRule>
  </conditionalFormatting>
  <conditionalFormatting sqref="O87">
    <cfRule type="cellIs" dxfId="1529" priority="271" operator="equal">
      <formula>0</formula>
    </cfRule>
    <cfRule type="cellIs" dxfId="1528" priority="272" operator="notEqual">
      <formula>0</formula>
    </cfRule>
  </conditionalFormatting>
  <conditionalFormatting sqref="O90">
    <cfRule type="cellIs" dxfId="1527" priority="269" operator="equal">
      <formula>0</formula>
    </cfRule>
    <cfRule type="cellIs" dxfId="1526" priority="270" operator="notEqual">
      <formula>0</formula>
    </cfRule>
  </conditionalFormatting>
  <conditionalFormatting sqref="P87">
    <cfRule type="cellIs" dxfId="1525" priority="267" operator="equal">
      <formula>0</formula>
    </cfRule>
    <cfRule type="cellIs" dxfId="1524" priority="268" operator="notEqual">
      <formula>0</formula>
    </cfRule>
  </conditionalFormatting>
  <conditionalFormatting sqref="P90">
    <cfRule type="cellIs" dxfId="1523" priority="265" operator="equal">
      <formula>0</formula>
    </cfRule>
    <cfRule type="cellIs" dxfId="1522" priority="266" operator="notEqual">
      <formula>0</formula>
    </cfRule>
  </conditionalFormatting>
  <conditionalFormatting sqref="Q87">
    <cfRule type="cellIs" dxfId="1521" priority="263" operator="equal">
      <formula>0</formula>
    </cfRule>
    <cfRule type="cellIs" dxfId="1520" priority="264" operator="notEqual">
      <formula>0</formula>
    </cfRule>
  </conditionalFormatting>
  <conditionalFormatting sqref="Q90">
    <cfRule type="cellIs" dxfId="1519" priority="261" operator="equal">
      <formula>0</formula>
    </cfRule>
    <cfRule type="cellIs" dxfId="1518" priority="262" operator="notEqual">
      <formula>0</formula>
    </cfRule>
  </conditionalFormatting>
  <conditionalFormatting sqref="R87">
    <cfRule type="cellIs" dxfId="1517" priority="259" operator="equal">
      <formula>0</formula>
    </cfRule>
    <cfRule type="cellIs" dxfId="1516" priority="260" operator="notEqual">
      <formula>0</formula>
    </cfRule>
  </conditionalFormatting>
  <conditionalFormatting sqref="R90">
    <cfRule type="cellIs" dxfId="1515" priority="257" operator="equal">
      <formula>0</formula>
    </cfRule>
    <cfRule type="cellIs" dxfId="1514" priority="258" operator="notEqual">
      <formula>0</formula>
    </cfRule>
  </conditionalFormatting>
  <conditionalFormatting sqref="C95:C96">
    <cfRule type="cellIs" dxfId="1513" priority="255" operator="equal">
      <formula>0</formula>
    </cfRule>
    <cfRule type="cellIs" dxfId="1512" priority="256" operator="notEqual">
      <formula>0</formula>
    </cfRule>
  </conditionalFormatting>
  <conditionalFormatting sqref="D95:D96">
    <cfRule type="cellIs" dxfId="1511" priority="253" operator="equal">
      <formula>0</formula>
    </cfRule>
    <cfRule type="cellIs" dxfId="1510" priority="254" operator="notEqual">
      <formula>0</formula>
    </cfRule>
  </conditionalFormatting>
  <conditionalFormatting sqref="E95:E96">
    <cfRule type="cellIs" dxfId="1509" priority="251" operator="equal">
      <formula>0</formula>
    </cfRule>
    <cfRule type="cellIs" dxfId="1508" priority="252" operator="notEqual">
      <formula>0</formula>
    </cfRule>
  </conditionalFormatting>
  <conditionalFormatting sqref="F95:F96">
    <cfRule type="cellIs" dxfId="1507" priority="249" operator="equal">
      <formula>0</formula>
    </cfRule>
    <cfRule type="cellIs" dxfId="1506" priority="250" operator="notEqual">
      <formula>0</formula>
    </cfRule>
  </conditionalFormatting>
  <conditionalFormatting sqref="G95:G96">
    <cfRule type="cellIs" dxfId="1505" priority="247" operator="equal">
      <formula>0</formula>
    </cfRule>
    <cfRule type="cellIs" dxfId="1504" priority="248" operator="notEqual">
      <formula>0</formula>
    </cfRule>
  </conditionalFormatting>
  <conditionalFormatting sqref="H95:H96">
    <cfRule type="cellIs" dxfId="1503" priority="245" operator="equal">
      <formula>0</formula>
    </cfRule>
    <cfRule type="cellIs" dxfId="1502" priority="246" operator="notEqual">
      <formula>0</formula>
    </cfRule>
  </conditionalFormatting>
  <conditionalFormatting sqref="I95:I96">
    <cfRule type="cellIs" dxfId="1501" priority="243" operator="equal">
      <formula>0</formula>
    </cfRule>
    <cfRule type="cellIs" dxfId="1500" priority="244" operator="notEqual">
      <formula>0</formula>
    </cfRule>
  </conditionalFormatting>
  <conditionalFormatting sqref="J95:J96">
    <cfRule type="cellIs" dxfId="1499" priority="241" operator="equal">
      <formula>0</formula>
    </cfRule>
    <cfRule type="cellIs" dxfId="1498" priority="242" operator="notEqual">
      <formula>0</formula>
    </cfRule>
  </conditionalFormatting>
  <conditionalFormatting sqref="O94">
    <cfRule type="cellIs" dxfId="1497" priority="239" operator="equal">
      <formula>0</formula>
    </cfRule>
    <cfRule type="cellIs" dxfId="1496" priority="240" operator="notEqual">
      <formula>0</formula>
    </cfRule>
  </conditionalFormatting>
  <conditionalFormatting sqref="O97">
    <cfRule type="cellIs" dxfId="1495" priority="237" operator="equal">
      <formula>0</formula>
    </cfRule>
    <cfRule type="cellIs" dxfId="1494" priority="238" operator="notEqual">
      <formula>0</formula>
    </cfRule>
  </conditionalFormatting>
  <conditionalFormatting sqref="P94">
    <cfRule type="cellIs" dxfId="1493" priority="235" operator="equal">
      <formula>0</formula>
    </cfRule>
    <cfRule type="cellIs" dxfId="1492" priority="236" operator="notEqual">
      <formula>0</formula>
    </cfRule>
  </conditionalFormatting>
  <conditionalFormatting sqref="P97">
    <cfRule type="cellIs" dxfId="1491" priority="233" operator="equal">
      <formula>0</formula>
    </cfRule>
    <cfRule type="cellIs" dxfId="1490" priority="234" operator="notEqual">
      <formula>0</formula>
    </cfRule>
  </conditionalFormatting>
  <conditionalFormatting sqref="Q94">
    <cfRule type="cellIs" dxfId="1489" priority="231" operator="equal">
      <formula>0</formula>
    </cfRule>
    <cfRule type="cellIs" dxfId="1488" priority="232" operator="notEqual">
      <formula>0</formula>
    </cfRule>
  </conditionalFormatting>
  <conditionalFormatting sqref="Q97">
    <cfRule type="cellIs" dxfId="1487" priority="229" operator="equal">
      <formula>0</formula>
    </cfRule>
    <cfRule type="cellIs" dxfId="1486" priority="230" operator="notEqual">
      <formula>0</formula>
    </cfRule>
  </conditionalFormatting>
  <conditionalFormatting sqref="R94">
    <cfRule type="cellIs" dxfId="1485" priority="227" operator="equal">
      <formula>0</formula>
    </cfRule>
    <cfRule type="cellIs" dxfId="1484" priority="228" operator="notEqual">
      <formula>0</formula>
    </cfRule>
  </conditionalFormatting>
  <conditionalFormatting sqref="R97">
    <cfRule type="cellIs" dxfId="1483" priority="225" operator="equal">
      <formula>0</formula>
    </cfRule>
    <cfRule type="cellIs" dxfId="1482" priority="226" operator="notEqual">
      <formula>0</formula>
    </cfRule>
  </conditionalFormatting>
  <conditionalFormatting sqref="C102:C103">
    <cfRule type="cellIs" dxfId="1481" priority="223" operator="equal">
      <formula>0</formula>
    </cfRule>
    <cfRule type="cellIs" dxfId="1480" priority="224" operator="notEqual">
      <formula>0</formula>
    </cfRule>
  </conditionalFormatting>
  <conditionalFormatting sqref="D102:D103">
    <cfRule type="cellIs" dxfId="1479" priority="221" operator="equal">
      <formula>0</formula>
    </cfRule>
    <cfRule type="cellIs" dxfId="1478" priority="222" operator="notEqual">
      <formula>0</formula>
    </cfRule>
  </conditionalFormatting>
  <conditionalFormatting sqref="E102:E103">
    <cfRule type="cellIs" dxfId="1477" priority="219" operator="equal">
      <formula>0</formula>
    </cfRule>
    <cfRule type="cellIs" dxfId="1476" priority="220" operator="notEqual">
      <formula>0</formula>
    </cfRule>
  </conditionalFormatting>
  <conditionalFormatting sqref="F102:F103">
    <cfRule type="cellIs" dxfId="1475" priority="217" operator="equal">
      <formula>0</formula>
    </cfRule>
    <cfRule type="cellIs" dxfId="1474" priority="218" operator="notEqual">
      <formula>0</formula>
    </cfRule>
  </conditionalFormatting>
  <conditionalFormatting sqref="G102:G103">
    <cfRule type="cellIs" dxfId="1473" priority="215" operator="equal">
      <formula>0</formula>
    </cfRule>
    <cfRule type="cellIs" dxfId="1472" priority="216" operator="notEqual">
      <formula>0</formula>
    </cfRule>
  </conditionalFormatting>
  <conditionalFormatting sqref="H102:H103">
    <cfRule type="cellIs" dxfId="1471" priority="213" operator="equal">
      <formula>0</formula>
    </cfRule>
    <cfRule type="cellIs" dxfId="1470" priority="214" operator="notEqual">
      <formula>0</formula>
    </cfRule>
  </conditionalFormatting>
  <conditionalFormatting sqref="I102:I103">
    <cfRule type="cellIs" dxfId="1469" priority="211" operator="equal">
      <formula>0</formula>
    </cfRule>
    <cfRule type="cellIs" dxfId="1468" priority="212" operator="notEqual">
      <formula>0</formula>
    </cfRule>
  </conditionalFormatting>
  <conditionalFormatting sqref="J102:J103">
    <cfRule type="cellIs" dxfId="1467" priority="209" operator="equal">
      <formula>0</formula>
    </cfRule>
    <cfRule type="cellIs" dxfId="1466" priority="210" operator="notEqual">
      <formula>0</formula>
    </cfRule>
  </conditionalFormatting>
  <conditionalFormatting sqref="O101">
    <cfRule type="cellIs" dxfId="1465" priority="207" operator="equal">
      <formula>0</formula>
    </cfRule>
    <cfRule type="cellIs" dxfId="1464" priority="208" operator="notEqual">
      <formula>0</formula>
    </cfRule>
  </conditionalFormatting>
  <conditionalFormatting sqref="O104">
    <cfRule type="cellIs" dxfId="1463" priority="205" operator="equal">
      <formula>0</formula>
    </cfRule>
    <cfRule type="cellIs" dxfId="1462" priority="206" operator="notEqual">
      <formula>0</formula>
    </cfRule>
  </conditionalFormatting>
  <conditionalFormatting sqref="P101">
    <cfRule type="cellIs" dxfId="1461" priority="203" operator="equal">
      <formula>0</formula>
    </cfRule>
    <cfRule type="cellIs" dxfId="1460" priority="204" operator="notEqual">
      <formula>0</formula>
    </cfRule>
  </conditionalFormatting>
  <conditionalFormatting sqref="P104">
    <cfRule type="cellIs" dxfId="1459" priority="201" operator="equal">
      <formula>0</formula>
    </cfRule>
    <cfRule type="cellIs" dxfId="1458" priority="202" operator="notEqual">
      <formula>0</formula>
    </cfRule>
  </conditionalFormatting>
  <conditionalFormatting sqref="Q101">
    <cfRule type="cellIs" dxfId="1457" priority="199" operator="equal">
      <formula>0</formula>
    </cfRule>
    <cfRule type="cellIs" dxfId="1456" priority="200" operator="notEqual">
      <formula>0</formula>
    </cfRule>
  </conditionalFormatting>
  <conditionalFormatting sqref="Q104">
    <cfRule type="cellIs" dxfId="1455" priority="197" operator="equal">
      <formula>0</formula>
    </cfRule>
    <cfRule type="cellIs" dxfId="1454" priority="198" operator="notEqual">
      <formula>0</formula>
    </cfRule>
  </conditionalFormatting>
  <conditionalFormatting sqref="R101">
    <cfRule type="cellIs" dxfId="1453" priority="195" operator="equal">
      <formula>0</formula>
    </cfRule>
    <cfRule type="cellIs" dxfId="1452" priority="196" operator="notEqual">
      <formula>0</formula>
    </cfRule>
  </conditionalFormatting>
  <conditionalFormatting sqref="R104">
    <cfRule type="cellIs" dxfId="1451" priority="193" operator="equal">
      <formula>0</formula>
    </cfRule>
    <cfRule type="cellIs" dxfId="1450" priority="194" operator="notEqual">
      <formula>0</formula>
    </cfRule>
  </conditionalFormatting>
  <conditionalFormatting sqref="U74:U75">
    <cfRule type="cellIs" dxfId="1449" priority="159" operator="equal">
      <formula>0</formula>
    </cfRule>
    <cfRule type="cellIs" dxfId="1448" priority="160" operator="notEqual">
      <formula>0</formula>
    </cfRule>
  </conditionalFormatting>
  <conditionalFormatting sqref="V74:V75">
    <cfRule type="cellIs" dxfId="1447" priority="157" operator="equal">
      <formula>0</formula>
    </cfRule>
    <cfRule type="cellIs" dxfId="1446" priority="158" operator="notEqual">
      <formula>0</formula>
    </cfRule>
  </conditionalFormatting>
  <conditionalFormatting sqref="W74:W75">
    <cfRule type="cellIs" dxfId="1445" priority="155" operator="equal">
      <formula>0</formula>
    </cfRule>
    <cfRule type="cellIs" dxfId="1444" priority="156" operator="notEqual">
      <formula>0</formula>
    </cfRule>
  </conditionalFormatting>
  <conditionalFormatting sqref="X74:X75">
    <cfRule type="cellIs" dxfId="1443" priority="153" operator="equal">
      <formula>0</formula>
    </cfRule>
    <cfRule type="cellIs" dxfId="1442" priority="154" operator="notEqual">
      <formula>0</formula>
    </cfRule>
  </conditionalFormatting>
  <conditionalFormatting sqref="Y74:Y75">
    <cfRule type="cellIs" dxfId="1441" priority="151" operator="equal">
      <formula>0</formula>
    </cfRule>
    <cfRule type="cellIs" dxfId="1440" priority="152" operator="notEqual">
      <formula>0</formula>
    </cfRule>
  </conditionalFormatting>
  <conditionalFormatting sqref="Z74:Z75">
    <cfRule type="cellIs" dxfId="1439" priority="149" operator="equal">
      <formula>0</formula>
    </cfRule>
    <cfRule type="cellIs" dxfId="1438" priority="150" operator="notEqual">
      <formula>0</formula>
    </cfRule>
  </conditionalFormatting>
  <conditionalFormatting sqref="AA74:AA75">
    <cfRule type="cellIs" dxfId="1437" priority="147" operator="equal">
      <formula>0</formula>
    </cfRule>
    <cfRule type="cellIs" dxfId="1436" priority="148" operator="notEqual">
      <formula>0</formula>
    </cfRule>
  </conditionalFormatting>
  <conditionalFormatting sqref="AB74:AB75">
    <cfRule type="cellIs" dxfId="1435" priority="145" operator="equal">
      <formula>0</formula>
    </cfRule>
    <cfRule type="cellIs" dxfId="1434" priority="146" operator="notEqual">
      <formula>0</formula>
    </cfRule>
  </conditionalFormatting>
  <conditionalFormatting sqref="AG73">
    <cfRule type="cellIs" dxfId="1433" priority="143" operator="equal">
      <formula>0</formula>
    </cfRule>
    <cfRule type="cellIs" dxfId="1432" priority="144" operator="notEqual">
      <formula>0</formula>
    </cfRule>
  </conditionalFormatting>
  <conditionalFormatting sqref="AG76">
    <cfRule type="cellIs" dxfId="1431" priority="141" operator="equal">
      <formula>0</formula>
    </cfRule>
    <cfRule type="cellIs" dxfId="1430" priority="142" operator="notEqual">
      <formula>0</formula>
    </cfRule>
  </conditionalFormatting>
  <conditionalFormatting sqref="AH73">
    <cfRule type="cellIs" dxfId="1429" priority="139" operator="equal">
      <formula>0</formula>
    </cfRule>
    <cfRule type="cellIs" dxfId="1428" priority="140" operator="notEqual">
      <formula>0</formula>
    </cfRule>
  </conditionalFormatting>
  <conditionalFormatting sqref="AH76">
    <cfRule type="cellIs" dxfId="1427" priority="137" operator="equal">
      <formula>0</formula>
    </cfRule>
    <cfRule type="cellIs" dxfId="1426" priority="138" operator="notEqual">
      <formula>0</formula>
    </cfRule>
  </conditionalFormatting>
  <conditionalFormatting sqref="AI73">
    <cfRule type="cellIs" dxfId="1425" priority="135" operator="equal">
      <formula>0</formula>
    </cfRule>
    <cfRule type="cellIs" dxfId="1424" priority="136" operator="notEqual">
      <formula>0</formula>
    </cfRule>
  </conditionalFormatting>
  <conditionalFormatting sqref="AI76">
    <cfRule type="cellIs" dxfId="1423" priority="133" operator="equal">
      <formula>0</formula>
    </cfRule>
    <cfRule type="cellIs" dxfId="1422" priority="134" operator="notEqual">
      <formula>0</formula>
    </cfRule>
  </conditionalFormatting>
  <conditionalFormatting sqref="AJ73">
    <cfRule type="cellIs" dxfId="1421" priority="131" operator="equal">
      <formula>0</formula>
    </cfRule>
    <cfRule type="cellIs" dxfId="1420" priority="132" operator="notEqual">
      <formula>0</formula>
    </cfRule>
  </conditionalFormatting>
  <conditionalFormatting sqref="AJ76">
    <cfRule type="cellIs" dxfId="1419" priority="129" operator="equal">
      <formula>0</formula>
    </cfRule>
    <cfRule type="cellIs" dxfId="1418" priority="130" operator="notEqual">
      <formula>0</formula>
    </cfRule>
  </conditionalFormatting>
  <conditionalFormatting sqref="U81:U82">
    <cfRule type="cellIs" dxfId="1417" priority="127" operator="equal">
      <formula>0</formula>
    </cfRule>
    <cfRule type="cellIs" dxfId="1416" priority="128" operator="notEqual">
      <formula>0</formula>
    </cfRule>
  </conditionalFormatting>
  <conditionalFormatting sqref="V81:V82">
    <cfRule type="cellIs" dxfId="1415" priority="125" operator="equal">
      <formula>0</formula>
    </cfRule>
    <cfRule type="cellIs" dxfId="1414" priority="126" operator="notEqual">
      <formula>0</formula>
    </cfRule>
  </conditionalFormatting>
  <conditionalFormatting sqref="W81:W82">
    <cfRule type="cellIs" dxfId="1413" priority="123" operator="equal">
      <formula>0</formula>
    </cfRule>
    <cfRule type="cellIs" dxfId="1412" priority="124" operator="notEqual">
      <formula>0</formula>
    </cfRule>
  </conditionalFormatting>
  <conditionalFormatting sqref="X81:X82">
    <cfRule type="cellIs" dxfId="1411" priority="121" operator="equal">
      <formula>0</formula>
    </cfRule>
    <cfRule type="cellIs" dxfId="1410" priority="122" operator="notEqual">
      <formula>0</formula>
    </cfRule>
  </conditionalFormatting>
  <conditionalFormatting sqref="Y81:Y82">
    <cfRule type="cellIs" dxfId="1409" priority="119" operator="equal">
      <formula>0</formula>
    </cfRule>
    <cfRule type="cellIs" dxfId="1408" priority="120" operator="notEqual">
      <formula>0</formula>
    </cfRule>
  </conditionalFormatting>
  <conditionalFormatting sqref="Z81:Z82">
    <cfRule type="cellIs" dxfId="1407" priority="117" operator="equal">
      <formula>0</formula>
    </cfRule>
    <cfRule type="cellIs" dxfId="1406" priority="118" operator="notEqual">
      <formula>0</formula>
    </cfRule>
  </conditionalFormatting>
  <conditionalFormatting sqref="AA81:AA82">
    <cfRule type="cellIs" dxfId="1405" priority="115" operator="equal">
      <formula>0</formula>
    </cfRule>
    <cfRule type="cellIs" dxfId="1404" priority="116" operator="notEqual">
      <formula>0</formula>
    </cfRule>
  </conditionalFormatting>
  <conditionalFormatting sqref="AB81:AB82">
    <cfRule type="cellIs" dxfId="1403" priority="113" operator="equal">
      <formula>0</formula>
    </cfRule>
    <cfRule type="cellIs" dxfId="1402" priority="114" operator="notEqual">
      <formula>0</formula>
    </cfRule>
  </conditionalFormatting>
  <conditionalFormatting sqref="AG80">
    <cfRule type="cellIs" dxfId="1401" priority="111" operator="equal">
      <formula>0</formula>
    </cfRule>
    <cfRule type="cellIs" dxfId="1400" priority="112" operator="notEqual">
      <formula>0</formula>
    </cfRule>
  </conditionalFormatting>
  <conditionalFormatting sqref="AG83">
    <cfRule type="cellIs" dxfId="1399" priority="109" operator="equal">
      <formula>0</formula>
    </cfRule>
    <cfRule type="cellIs" dxfId="1398" priority="110" operator="notEqual">
      <formula>0</formula>
    </cfRule>
  </conditionalFormatting>
  <conditionalFormatting sqref="AH80">
    <cfRule type="cellIs" dxfId="1397" priority="107" operator="equal">
      <formula>0</formula>
    </cfRule>
    <cfRule type="cellIs" dxfId="1396" priority="108" operator="notEqual">
      <formula>0</formula>
    </cfRule>
  </conditionalFormatting>
  <conditionalFormatting sqref="AH83">
    <cfRule type="cellIs" dxfId="1395" priority="105" operator="equal">
      <formula>0</formula>
    </cfRule>
    <cfRule type="cellIs" dxfId="1394" priority="106" operator="notEqual">
      <formula>0</formula>
    </cfRule>
  </conditionalFormatting>
  <conditionalFormatting sqref="AI80">
    <cfRule type="cellIs" dxfId="1393" priority="103" operator="equal">
      <formula>0</formula>
    </cfRule>
    <cfRule type="cellIs" dxfId="1392" priority="104" operator="notEqual">
      <formula>0</formula>
    </cfRule>
  </conditionalFormatting>
  <conditionalFormatting sqref="AI83">
    <cfRule type="cellIs" dxfId="1391" priority="101" operator="equal">
      <formula>0</formula>
    </cfRule>
    <cfRule type="cellIs" dxfId="1390" priority="102" operator="notEqual">
      <formula>0</formula>
    </cfRule>
  </conditionalFormatting>
  <conditionalFormatting sqref="AJ80">
    <cfRule type="cellIs" dxfId="1389" priority="99" operator="equal">
      <formula>0</formula>
    </cfRule>
    <cfRule type="cellIs" dxfId="1388" priority="100" operator="notEqual">
      <formula>0</formula>
    </cfRule>
  </conditionalFormatting>
  <conditionalFormatting sqref="AJ83">
    <cfRule type="cellIs" dxfId="1387" priority="97" operator="equal">
      <formula>0</formula>
    </cfRule>
    <cfRule type="cellIs" dxfId="1386" priority="98" operator="notEqual">
      <formula>0</formula>
    </cfRule>
  </conditionalFormatting>
  <conditionalFormatting sqref="U88:U89">
    <cfRule type="cellIs" dxfId="1385" priority="95" operator="equal">
      <formula>0</formula>
    </cfRule>
    <cfRule type="cellIs" dxfId="1384" priority="96" operator="notEqual">
      <formula>0</formula>
    </cfRule>
  </conditionalFormatting>
  <conditionalFormatting sqref="V88:V89">
    <cfRule type="cellIs" dxfId="1383" priority="93" operator="equal">
      <formula>0</formula>
    </cfRule>
    <cfRule type="cellIs" dxfId="1382" priority="94" operator="notEqual">
      <formula>0</formula>
    </cfRule>
  </conditionalFormatting>
  <conditionalFormatting sqref="W88:W89">
    <cfRule type="cellIs" dxfId="1381" priority="91" operator="equal">
      <formula>0</formula>
    </cfRule>
    <cfRule type="cellIs" dxfId="1380" priority="92" operator="notEqual">
      <formula>0</formula>
    </cfRule>
  </conditionalFormatting>
  <conditionalFormatting sqref="X88:X89">
    <cfRule type="cellIs" dxfId="1379" priority="89" operator="equal">
      <formula>0</formula>
    </cfRule>
    <cfRule type="cellIs" dxfId="1378" priority="90" operator="notEqual">
      <formula>0</formula>
    </cfRule>
  </conditionalFormatting>
  <conditionalFormatting sqref="Y88:Y89">
    <cfRule type="cellIs" dxfId="1377" priority="87" operator="equal">
      <formula>0</formula>
    </cfRule>
    <cfRule type="cellIs" dxfId="1376" priority="88" operator="notEqual">
      <formula>0</formula>
    </cfRule>
  </conditionalFormatting>
  <conditionalFormatting sqref="Z88:Z89">
    <cfRule type="cellIs" dxfId="1375" priority="85" operator="equal">
      <formula>0</formula>
    </cfRule>
    <cfRule type="cellIs" dxfId="1374" priority="86" operator="notEqual">
      <formula>0</formula>
    </cfRule>
  </conditionalFormatting>
  <conditionalFormatting sqref="AA88:AA89">
    <cfRule type="cellIs" dxfId="1373" priority="83" operator="equal">
      <formula>0</formula>
    </cfRule>
    <cfRule type="cellIs" dxfId="1372" priority="84" operator="notEqual">
      <formula>0</formula>
    </cfRule>
  </conditionalFormatting>
  <conditionalFormatting sqref="AB88:AB89">
    <cfRule type="cellIs" dxfId="1371" priority="81" operator="equal">
      <formula>0</formula>
    </cfRule>
    <cfRule type="cellIs" dxfId="1370" priority="82" operator="notEqual">
      <formula>0</formula>
    </cfRule>
  </conditionalFormatting>
  <conditionalFormatting sqref="AG87">
    <cfRule type="cellIs" dxfId="1369" priority="79" operator="equal">
      <formula>0</formula>
    </cfRule>
    <cfRule type="cellIs" dxfId="1368" priority="80" operator="notEqual">
      <formula>0</formula>
    </cfRule>
  </conditionalFormatting>
  <conditionalFormatting sqref="AG90">
    <cfRule type="cellIs" dxfId="1367" priority="77" operator="equal">
      <formula>0</formula>
    </cfRule>
    <cfRule type="cellIs" dxfId="1366" priority="78" operator="notEqual">
      <formula>0</formula>
    </cfRule>
  </conditionalFormatting>
  <conditionalFormatting sqref="AH87">
    <cfRule type="cellIs" dxfId="1365" priority="75" operator="equal">
      <formula>0</formula>
    </cfRule>
    <cfRule type="cellIs" dxfId="1364" priority="76" operator="notEqual">
      <formula>0</formula>
    </cfRule>
  </conditionalFormatting>
  <conditionalFormatting sqref="AH90">
    <cfRule type="cellIs" dxfId="1363" priority="73" operator="equal">
      <formula>0</formula>
    </cfRule>
    <cfRule type="cellIs" dxfId="1362" priority="74" operator="notEqual">
      <formula>0</formula>
    </cfRule>
  </conditionalFormatting>
  <conditionalFormatting sqref="AI87">
    <cfRule type="cellIs" dxfId="1361" priority="71" operator="equal">
      <formula>0</formula>
    </cfRule>
    <cfRule type="cellIs" dxfId="1360" priority="72" operator="notEqual">
      <formula>0</formula>
    </cfRule>
  </conditionalFormatting>
  <conditionalFormatting sqref="AI90">
    <cfRule type="cellIs" dxfId="1359" priority="69" operator="equal">
      <formula>0</formula>
    </cfRule>
    <cfRule type="cellIs" dxfId="1358" priority="70" operator="notEqual">
      <formula>0</formula>
    </cfRule>
  </conditionalFormatting>
  <conditionalFormatting sqref="AJ87">
    <cfRule type="cellIs" dxfId="1357" priority="67" operator="equal">
      <formula>0</formula>
    </cfRule>
    <cfRule type="cellIs" dxfId="1356" priority="68" operator="notEqual">
      <formula>0</formula>
    </cfRule>
  </conditionalFormatting>
  <conditionalFormatting sqref="AJ90">
    <cfRule type="cellIs" dxfId="1355" priority="65" operator="equal">
      <formula>0</formula>
    </cfRule>
    <cfRule type="cellIs" dxfId="1354" priority="66" operator="notEqual">
      <formula>0</formula>
    </cfRule>
  </conditionalFormatting>
  <conditionalFormatting sqref="U95:U96">
    <cfRule type="cellIs" dxfId="1353" priority="63" operator="equal">
      <formula>0</formula>
    </cfRule>
    <cfRule type="cellIs" dxfId="1352" priority="64" operator="notEqual">
      <formula>0</formula>
    </cfRule>
  </conditionalFormatting>
  <conditionalFormatting sqref="V95:V96">
    <cfRule type="cellIs" dxfId="1351" priority="61" operator="equal">
      <formula>0</formula>
    </cfRule>
    <cfRule type="cellIs" dxfId="1350" priority="62" operator="notEqual">
      <formula>0</formula>
    </cfRule>
  </conditionalFormatting>
  <conditionalFormatting sqref="W95:W96">
    <cfRule type="cellIs" dxfId="1349" priority="59" operator="equal">
      <formula>0</formula>
    </cfRule>
    <cfRule type="cellIs" dxfId="1348" priority="60" operator="notEqual">
      <formula>0</formula>
    </cfRule>
  </conditionalFormatting>
  <conditionalFormatting sqref="X95:X96">
    <cfRule type="cellIs" dxfId="1347" priority="57" operator="equal">
      <formula>0</formula>
    </cfRule>
    <cfRule type="cellIs" dxfId="1346" priority="58" operator="notEqual">
      <formula>0</formula>
    </cfRule>
  </conditionalFormatting>
  <conditionalFormatting sqref="Y95:Y96">
    <cfRule type="cellIs" dxfId="1345" priority="55" operator="equal">
      <formula>0</formula>
    </cfRule>
    <cfRule type="cellIs" dxfId="1344" priority="56" operator="notEqual">
      <formula>0</formula>
    </cfRule>
  </conditionalFormatting>
  <conditionalFormatting sqref="Z95:Z96">
    <cfRule type="cellIs" dxfId="1343" priority="53" operator="equal">
      <formula>0</formula>
    </cfRule>
    <cfRule type="cellIs" dxfId="1342" priority="54" operator="notEqual">
      <formula>0</formula>
    </cfRule>
  </conditionalFormatting>
  <conditionalFormatting sqref="AA95:AA96">
    <cfRule type="cellIs" dxfId="1341" priority="51" operator="equal">
      <formula>0</formula>
    </cfRule>
    <cfRule type="cellIs" dxfId="1340" priority="52" operator="notEqual">
      <formula>0</formula>
    </cfRule>
  </conditionalFormatting>
  <conditionalFormatting sqref="AB95:AB96">
    <cfRule type="cellIs" dxfId="1339" priority="49" operator="equal">
      <formula>0</formula>
    </cfRule>
    <cfRule type="cellIs" dxfId="1338" priority="50" operator="notEqual">
      <formula>0</formula>
    </cfRule>
  </conditionalFormatting>
  <conditionalFormatting sqref="AG94">
    <cfRule type="cellIs" dxfId="1337" priority="47" operator="equal">
      <formula>0</formula>
    </cfRule>
    <cfRule type="cellIs" dxfId="1336" priority="48" operator="notEqual">
      <formula>0</formula>
    </cfRule>
  </conditionalFormatting>
  <conditionalFormatting sqref="AG97">
    <cfRule type="cellIs" dxfId="1335" priority="45" operator="equal">
      <formula>0</formula>
    </cfRule>
    <cfRule type="cellIs" dxfId="1334" priority="46" operator="notEqual">
      <formula>0</formula>
    </cfRule>
  </conditionalFormatting>
  <conditionalFormatting sqref="AH94">
    <cfRule type="cellIs" dxfId="1333" priority="43" operator="equal">
      <formula>0</formula>
    </cfRule>
    <cfRule type="cellIs" dxfId="1332" priority="44" operator="notEqual">
      <formula>0</formula>
    </cfRule>
  </conditionalFormatting>
  <conditionalFormatting sqref="AH97">
    <cfRule type="cellIs" dxfId="1331" priority="41" operator="equal">
      <formula>0</formula>
    </cfRule>
    <cfRule type="cellIs" dxfId="1330" priority="42" operator="notEqual">
      <formula>0</formula>
    </cfRule>
  </conditionalFormatting>
  <conditionalFormatting sqref="AI94">
    <cfRule type="cellIs" dxfId="1329" priority="39" operator="equal">
      <formula>0</formula>
    </cfRule>
    <cfRule type="cellIs" dxfId="1328" priority="40" operator="notEqual">
      <formula>0</formula>
    </cfRule>
  </conditionalFormatting>
  <conditionalFormatting sqref="AI97">
    <cfRule type="cellIs" dxfId="1327" priority="37" operator="equal">
      <formula>0</formula>
    </cfRule>
    <cfRule type="cellIs" dxfId="1326" priority="38" operator="notEqual">
      <formula>0</formula>
    </cfRule>
  </conditionalFormatting>
  <conditionalFormatting sqref="AJ94">
    <cfRule type="cellIs" dxfId="1325" priority="35" operator="equal">
      <formula>0</formula>
    </cfRule>
    <cfRule type="cellIs" dxfId="1324" priority="36" operator="notEqual">
      <formula>0</formula>
    </cfRule>
  </conditionalFormatting>
  <conditionalFormatting sqref="AJ97">
    <cfRule type="cellIs" dxfId="1323" priority="33" operator="equal">
      <formula>0</formula>
    </cfRule>
    <cfRule type="cellIs" dxfId="1322" priority="34" operator="notEqual">
      <formula>0</formula>
    </cfRule>
  </conditionalFormatting>
  <dataValidations count="1">
    <dataValidation type="list" allowBlank="1" showInputMessage="1" showErrorMessage="1" sqref="B5" xr:uid="{84235E3F-D3EF-47AD-B75A-682C1386A5B2}">
      <formula1>Regions</formula1>
    </dataValidation>
  </dataValidation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7"/>
  <dimension ref="A1:AX104"/>
  <sheetViews>
    <sheetView showGridLines="0" topLeftCell="A81" zoomScale="70" zoomScaleNormal="70" workbookViewId="0">
      <selection activeCell="AJ94" sqref="U94:AJ97"/>
    </sheetView>
  </sheetViews>
  <sheetFormatPr baseColWidth="10" defaultColWidth="9.1640625" defaultRowHeight="14" x14ac:dyDescent="0.15"/>
  <cols>
    <col min="1" max="1" width="3.1640625" customWidth="1"/>
    <col min="2" max="2" width="36.1640625" customWidth="1"/>
    <col min="20" max="20" width="33" customWidth="1"/>
  </cols>
  <sheetData>
    <row r="1" spans="1:50" ht="67.5" customHeight="1" x14ac:dyDescent="0.15">
      <c r="A1" s="63"/>
      <c r="B1" s="391" t="s">
        <v>1166</v>
      </c>
      <c r="C1" s="392"/>
      <c r="D1" s="392"/>
      <c r="E1" s="392"/>
      <c r="F1" s="392"/>
      <c r="G1" s="392"/>
      <c r="H1" s="392"/>
      <c r="I1" s="392"/>
      <c r="J1" s="392"/>
      <c r="K1" s="392"/>
      <c r="L1" s="392"/>
      <c r="M1" s="392"/>
      <c r="N1" s="392"/>
      <c r="O1" s="392"/>
      <c r="P1" s="392"/>
      <c r="Q1" s="392"/>
      <c r="R1" s="392"/>
      <c r="S1" s="392"/>
      <c r="T1" s="392"/>
      <c r="U1" s="392"/>
      <c r="V1" s="392"/>
      <c r="W1" s="392"/>
      <c r="X1" s="392"/>
      <c r="Y1" s="392"/>
      <c r="Z1" s="392"/>
      <c r="AA1" s="392"/>
      <c r="AB1" s="392"/>
      <c r="AC1" s="392"/>
      <c r="AD1" s="392"/>
      <c r="AE1" s="392"/>
      <c r="AF1" s="392"/>
      <c r="AG1" s="392"/>
      <c r="AH1" s="392"/>
      <c r="AI1" s="392"/>
      <c r="AJ1" s="392"/>
      <c r="AK1" s="392"/>
      <c r="AL1" s="392"/>
      <c r="AM1" s="392"/>
      <c r="AN1" s="392"/>
      <c r="AO1" s="392"/>
      <c r="AP1" s="392"/>
      <c r="AQ1" s="392"/>
      <c r="AR1" s="392"/>
      <c r="AS1" s="392"/>
      <c r="AT1" s="392"/>
      <c r="AU1" s="392"/>
      <c r="AV1" s="392"/>
      <c r="AW1" s="392"/>
      <c r="AX1" s="392"/>
    </row>
    <row r="2" spans="1:50" ht="49.5" customHeight="1" x14ac:dyDescent="0.15">
      <c r="A2" s="62"/>
      <c r="B2" s="393"/>
      <c r="C2" s="393"/>
      <c r="D2" s="393"/>
      <c r="E2" s="393"/>
      <c r="F2" s="393"/>
      <c r="G2" s="393"/>
      <c r="H2" s="393"/>
      <c r="I2" s="393"/>
      <c r="J2" s="393"/>
      <c r="K2" s="393"/>
      <c r="L2" s="393"/>
      <c r="M2" s="393"/>
      <c r="N2" s="393"/>
      <c r="O2" s="393"/>
      <c r="P2" s="393"/>
      <c r="Q2" s="393"/>
      <c r="R2" s="393"/>
      <c r="S2" s="393"/>
      <c r="T2" s="393"/>
      <c r="U2" s="393"/>
      <c r="V2" s="393"/>
      <c r="W2" s="393"/>
      <c r="X2" s="393"/>
      <c r="Y2" s="393"/>
      <c r="Z2" s="393"/>
      <c r="AA2" s="393"/>
      <c r="AB2" s="393"/>
      <c r="AC2" s="393"/>
      <c r="AD2" s="393"/>
      <c r="AE2" s="393"/>
      <c r="AF2" s="393"/>
      <c r="AG2" s="393"/>
      <c r="AH2" s="393"/>
      <c r="AI2" s="393"/>
      <c r="AJ2" s="393"/>
      <c r="AK2" s="393"/>
      <c r="AL2" s="393"/>
      <c r="AM2" s="393"/>
      <c r="AN2" s="393"/>
      <c r="AO2" s="393"/>
      <c r="AP2" s="393"/>
      <c r="AQ2" s="393"/>
      <c r="AR2" s="393"/>
      <c r="AS2" s="393"/>
      <c r="AT2" s="393"/>
      <c r="AU2" s="393"/>
      <c r="AV2" s="393"/>
      <c r="AW2" s="393"/>
      <c r="AX2" s="393"/>
    </row>
    <row r="3" spans="1:50" s="54" customFormat="1" ht="16" x14ac:dyDescent="0.15">
      <c r="B3" s="53"/>
      <c r="C3" s="53"/>
      <c r="D3" s="53"/>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row>
    <row r="4" spans="1:50" ht="30" x14ac:dyDescent="0.15">
      <c r="B4" s="39" t="s">
        <v>999</v>
      </c>
    </row>
    <row r="5" spans="1:50" ht="15" x14ac:dyDescent="0.15">
      <c r="B5" s="60" t="s">
        <v>24</v>
      </c>
      <c r="P5" s="43"/>
      <c r="Q5" s="43"/>
    </row>
    <row r="6" spans="1:50" x14ac:dyDescent="0.15">
      <c r="B6" s="52"/>
    </row>
    <row r="8" spans="1:50" ht="47.25" customHeight="1" x14ac:dyDescent="0.15">
      <c r="B8" s="156" t="str">
        <f>HLOOKUP($B$5,Region_Table,2,0)</f>
        <v>Barking and Dagenham and Havering</v>
      </c>
      <c r="C8" s="367" t="s">
        <v>1167</v>
      </c>
      <c r="D8" s="368"/>
      <c r="E8" s="368"/>
      <c r="F8" s="368"/>
      <c r="G8" s="368"/>
      <c r="H8" s="368"/>
      <c r="I8" s="368"/>
      <c r="J8" s="368"/>
      <c r="K8" s="368"/>
      <c r="L8" s="368"/>
      <c r="M8" s="377"/>
      <c r="N8" s="377"/>
      <c r="O8" s="378"/>
      <c r="P8" s="371">
        <f>SUM(SUMIFS('caseload data'!V:V,'caseload data'!B:B,{"licence","community"},'caseload data'!C:C,'community caseload'!B8))</f>
        <v>0</v>
      </c>
      <c r="Q8" s="379"/>
      <c r="R8" s="380"/>
      <c r="S8" s="73"/>
      <c r="T8" s="156" t="str">
        <f>HLOOKUP($B$5,Region_Table,3,0)</f>
        <v>Brent - N07</v>
      </c>
      <c r="U8" s="367" t="s">
        <v>1167</v>
      </c>
      <c r="V8" s="368"/>
      <c r="W8" s="368"/>
      <c r="X8" s="368"/>
      <c r="Y8" s="368"/>
      <c r="Z8" s="368"/>
      <c r="AA8" s="368"/>
      <c r="AB8" s="368"/>
      <c r="AC8" s="368"/>
      <c r="AD8" s="368"/>
      <c r="AE8" s="377"/>
      <c r="AF8" s="377"/>
      <c r="AG8" s="378"/>
      <c r="AH8" s="371">
        <f>SUM(SUMIFS('caseload data'!V:V,'caseload data'!B:B,{"licence","community"},'caseload data'!C:C,'community caseload'!T8))</f>
        <v>0</v>
      </c>
      <c r="AI8" s="379"/>
      <c r="AJ8" s="380"/>
    </row>
    <row r="9" spans="1:50" x14ac:dyDescent="0.15">
      <c r="B9" s="105" t="s">
        <v>1065</v>
      </c>
      <c r="C9" s="41" t="s">
        <v>922</v>
      </c>
      <c r="D9" s="41" t="s">
        <v>923</v>
      </c>
      <c r="E9" s="41" t="s">
        <v>924</v>
      </c>
      <c r="F9" s="41" t="s">
        <v>925</v>
      </c>
      <c r="G9" s="41" t="s">
        <v>926</v>
      </c>
      <c r="H9" s="41" t="s">
        <v>927</v>
      </c>
      <c r="I9" s="41" t="s">
        <v>928</v>
      </c>
      <c r="J9" s="41" t="s">
        <v>929</v>
      </c>
      <c r="K9" s="41" t="s">
        <v>930</v>
      </c>
      <c r="L9" s="41" t="s">
        <v>931</v>
      </c>
      <c r="M9" s="41" t="s">
        <v>932</v>
      </c>
      <c r="N9" s="41" t="s">
        <v>933</v>
      </c>
      <c r="O9" s="41" t="s">
        <v>934</v>
      </c>
      <c r="P9" s="41" t="s">
        <v>935</v>
      </c>
      <c r="Q9" s="41" t="s">
        <v>936</v>
      </c>
      <c r="R9" s="41" t="s">
        <v>937</v>
      </c>
      <c r="S9" s="73"/>
      <c r="T9" s="105" t="s">
        <v>1065</v>
      </c>
      <c r="U9" s="41" t="s">
        <v>922</v>
      </c>
      <c r="V9" s="41" t="s">
        <v>923</v>
      </c>
      <c r="W9" s="41" t="s">
        <v>924</v>
      </c>
      <c r="X9" s="41" t="s">
        <v>925</v>
      </c>
      <c r="Y9" s="41" t="s">
        <v>926</v>
      </c>
      <c r="Z9" s="41" t="s">
        <v>927</v>
      </c>
      <c r="AA9" s="41" t="s">
        <v>928</v>
      </c>
      <c r="AB9" s="41" t="s">
        <v>929</v>
      </c>
      <c r="AC9" s="41" t="s">
        <v>930</v>
      </c>
      <c r="AD9" s="41" t="s">
        <v>931</v>
      </c>
      <c r="AE9" s="41" t="s">
        <v>932</v>
      </c>
      <c r="AF9" s="41" t="s">
        <v>933</v>
      </c>
      <c r="AG9" s="41" t="s">
        <v>934</v>
      </c>
      <c r="AH9" s="41" t="s">
        <v>935</v>
      </c>
      <c r="AI9" s="41" t="s">
        <v>936</v>
      </c>
      <c r="AJ9" s="41" t="s">
        <v>937</v>
      </c>
    </row>
    <row r="10" spans="1:50" x14ac:dyDescent="0.15">
      <c r="B10" s="106" t="s">
        <v>911</v>
      </c>
      <c r="C10" s="104">
        <f>SUM(SUMIFS('caseload data'!E:E,'caseload data'!$D:$D,"PO",'caseload data'!$C:$C,'community caseload'!$B$8,'caseload data'!$B:$B,{"licence","community"}))</f>
        <v>0</v>
      </c>
      <c r="D10" s="104">
        <f>SUM(SUMIFS('caseload data'!F:F,'caseload data'!$D:$D,"PO",'caseload data'!$C:$C,'community caseload'!$B$8,'caseload data'!$B:$B,{"licence","community"}))</f>
        <v>0</v>
      </c>
      <c r="E10" s="104">
        <f>SUM(SUMIFS('caseload data'!G:G,'caseload data'!$D:$D,"PO",'caseload data'!$C:$C,'community caseload'!$B$8,'caseload data'!$B:$B,{"licence","community"}))</f>
        <v>0</v>
      </c>
      <c r="F10" s="104">
        <f>SUM(SUMIFS('caseload data'!H:H,'caseload data'!$D:$D,"PO",'caseload data'!$C:$C,'community caseload'!$B$8,'caseload data'!$B:$B,{"licence","community"}))</f>
        <v>0</v>
      </c>
      <c r="G10" s="104">
        <f>SUM(SUMIFS('caseload data'!I:I,'caseload data'!$D:$D,"PO",'caseload data'!$C:$C,'community caseload'!$B$8,'caseload data'!$B:$B,{"licence","community"}))</f>
        <v>0</v>
      </c>
      <c r="H10" s="104">
        <f>SUM(SUMIFS('caseload data'!J:J,'caseload data'!$D:$D,"PO",'caseload data'!$C:$C,'community caseload'!$B$8,'caseload data'!$B:$B,{"licence","community"}))</f>
        <v>0</v>
      </c>
      <c r="I10" s="104">
        <f>SUM(SUMIFS('caseload data'!K:K,'caseload data'!$D:$D,"PO",'caseload data'!$C:$C,'community caseload'!$B$8,'caseload data'!$B:$B,{"licence","community"}))</f>
        <v>0</v>
      </c>
      <c r="J10" s="104">
        <f>SUM(SUMIFS('caseload data'!L:L,'caseload data'!$D:$D,"PO",'caseload data'!$C:$C,'community caseload'!$B$8,'caseload data'!$B:$B,{"licence","community"}))</f>
        <v>0</v>
      </c>
      <c r="K10" s="104">
        <f>SUM(SUMIFS('caseload data'!M:M,'caseload data'!$D:$D,"PO",'caseload data'!$C:$C,'community caseload'!$B$8,'caseload data'!$B:$B,{"licence","community"}))</f>
        <v>0</v>
      </c>
      <c r="L10" s="104">
        <f>SUM(SUMIFS('caseload data'!N:N,'caseload data'!$D:$D,"PO",'caseload data'!$C:$C,'community caseload'!$B$8,'caseload data'!$B:$B,{"licence","community"}))</f>
        <v>0</v>
      </c>
      <c r="M10" s="104">
        <f>SUM(SUMIFS('caseload data'!O:O,'caseload data'!$D:$D,"PO",'caseload data'!$C:$C,'community caseload'!$B$8,'caseload data'!$B:$B,{"licence","community"}))</f>
        <v>0</v>
      </c>
      <c r="N10" s="104">
        <f>SUM(SUMIFS('caseload data'!P:P,'caseload data'!$D:$D,"PO",'caseload data'!$C:$C,'community caseload'!$B$8,'caseload data'!$B:$B,{"licence","community"}))</f>
        <v>0</v>
      </c>
      <c r="O10" s="104">
        <f>SUM(SUMIFS('caseload data'!Q:Q,'caseload data'!$D:$D,"PO",'caseload data'!$C:$C,'community caseload'!$B$8,'caseload data'!$B:$B,{"licence","community"}))</f>
        <v>0</v>
      </c>
      <c r="P10" s="104">
        <f>SUM(SUMIFS('caseload data'!R:R,'caseload data'!$D:$D,"PO",'caseload data'!$C:$C,'community caseload'!$B$8,'caseload data'!$B:$B,{"licence","community"}))</f>
        <v>0</v>
      </c>
      <c r="Q10" s="104">
        <f>SUM(SUMIFS('caseload data'!S:S,'caseload data'!$D:$D,"PO",'caseload data'!$C:$C,'community caseload'!$B$8,'caseload data'!$B:$B,{"licence","community"}))</f>
        <v>0</v>
      </c>
      <c r="R10" s="104">
        <f>SUM(SUMIFS('caseload data'!T:T,'caseload data'!$D:$D,"PO",'caseload data'!$C:$C,'community caseload'!$B$8,'caseload data'!$B:$B,{"licence","community"}))</f>
        <v>0</v>
      </c>
      <c r="S10" s="73"/>
      <c r="T10" s="106" t="s">
        <v>911</v>
      </c>
      <c r="U10" s="104">
        <f>SUM(SUMIFS('caseload data'!E:E,'caseload data'!$D:$D,"PO",'caseload data'!$C:$C,'community caseload'!$T$8,'caseload data'!$B:$B,{"licence","community"}))</f>
        <v>0</v>
      </c>
      <c r="V10" s="104"/>
      <c r="W10" s="104"/>
      <c r="X10" s="104"/>
      <c r="Y10" s="104"/>
      <c r="Z10" s="104"/>
      <c r="AA10" s="104"/>
      <c r="AB10" s="104"/>
      <c r="AC10" s="104"/>
      <c r="AD10" s="104"/>
      <c r="AE10" s="104">
        <f>SUM(SUMIFS('caseload data'!J:J,'caseload data'!$D:$D,"PO",'caseload data'!$C:$C,'community caseload'!$T$8,'caseload data'!$B:$B,{"licence","community"}))</f>
        <v>0</v>
      </c>
      <c r="AF10" s="104">
        <f>SUM(SUMIFS('caseload data'!K:K,'caseload data'!$D:$D,"PO",'caseload data'!$C:$C,'community caseload'!$T$8,'caseload data'!$B:$B,{"licence","community"}))</f>
        <v>0</v>
      </c>
      <c r="AG10" s="104">
        <f>SUM(SUMIFS('caseload data'!N:N,'caseload data'!$D:$D,"PO",'caseload data'!$C:$C,'community caseload'!$T$8,'caseload data'!$B:$B,{"licence","community"}))</f>
        <v>0</v>
      </c>
      <c r="AH10" s="104">
        <f>SUM(SUMIFS('caseload data'!O:O,'caseload data'!$D:$D,"PO",'caseload data'!$C:$C,'community caseload'!$T$8,'caseload data'!$B:$B,{"licence","community"}))</f>
        <v>0</v>
      </c>
      <c r="AI10" s="104">
        <f>SUM(SUMIFS('caseload data'!R:R,'caseload data'!$D:$D,"PO",'caseload data'!$C:$C,'community caseload'!$T$8,'caseload data'!$B:$B,{"licence","community"}))</f>
        <v>0</v>
      </c>
      <c r="AJ10" s="104">
        <f>SUM(SUMIFS('caseload data'!S:S,'caseload data'!$D:$D,"PO",'caseload data'!$C:$C,'community caseload'!$T$8,'caseload data'!$B:$B,{"licence","community"}))</f>
        <v>0</v>
      </c>
    </row>
    <row r="11" spans="1:50" x14ac:dyDescent="0.15">
      <c r="B11" s="107" t="s">
        <v>912</v>
      </c>
      <c r="C11" s="104">
        <f>SUM(SUMIFS('caseload data'!E:E,'caseload data'!$D:$D,"PSO",'caseload data'!$C:$C,'community caseload'!$B$8,'caseload data'!$B:$B,{"licence","community"}))</f>
        <v>0</v>
      </c>
      <c r="D11" s="104">
        <f>SUM(SUMIFS('caseload data'!F:F,'caseload data'!$D:$D,"PSO",'caseload data'!$C:$C,'community caseload'!$B$8,'caseload data'!$B:$B,{"licence","community"}))</f>
        <v>0</v>
      </c>
      <c r="E11" s="104">
        <f>SUM(SUMIFS('caseload data'!G:G,'caseload data'!$D:$D,"PSO",'caseload data'!$C:$C,'community caseload'!$B$8,'caseload data'!$B:$B,{"licence","community"}))</f>
        <v>0</v>
      </c>
      <c r="F11" s="104">
        <f>SUM(SUMIFS('caseload data'!H:H,'caseload data'!$D:$D,"PSO",'caseload data'!$C:$C,'community caseload'!$B$8,'caseload data'!$B:$B,{"licence","community"}))</f>
        <v>0</v>
      </c>
      <c r="G11" s="104">
        <f>SUM(SUMIFS('caseload data'!I:I,'caseload data'!$D:$D,"PSO",'caseload data'!$C:$C,'community caseload'!$B$8,'caseload data'!$B:$B,{"licence","community"}))</f>
        <v>0</v>
      </c>
      <c r="H11" s="104">
        <f>SUM(SUMIFS('caseload data'!J:J,'caseload data'!$D:$D,"PSO",'caseload data'!$C:$C,'community caseload'!$B$8,'caseload data'!$B:$B,{"licence","community"}))</f>
        <v>0</v>
      </c>
      <c r="I11" s="104">
        <f>SUM(SUMIFS('caseload data'!K:K,'caseload data'!$D:$D,"PSO",'caseload data'!$C:$C,'community caseload'!$B$8,'caseload data'!$B:$B,{"licence","community"}))</f>
        <v>0</v>
      </c>
      <c r="J11" s="104">
        <f>SUM(SUMIFS('caseload data'!L:L,'caseload data'!$D:$D,"PSO",'caseload data'!$C:$C,'community caseload'!$B$8,'caseload data'!$B:$B,{"licence","community"}))</f>
        <v>0</v>
      </c>
      <c r="K11" s="104">
        <f>SUM(SUMIFS('caseload data'!M:M,'caseload data'!$D:$D,"PSO",'caseload data'!$C:$C,'community caseload'!$B$8,'caseload data'!$B:$B,{"licence","community"}))</f>
        <v>0</v>
      </c>
      <c r="L11" s="104">
        <f>SUM(SUMIFS('caseload data'!N:N,'caseload data'!$D:$D,"PSO",'caseload data'!$C:$C,'community caseload'!$B$8,'caseload data'!$B:$B,{"licence","community"}))</f>
        <v>0</v>
      </c>
      <c r="M11" s="104">
        <f>SUM(SUMIFS('caseload data'!O:O,'caseload data'!$D:$D,"PSO",'caseload data'!$C:$C,'community caseload'!$B$8,'caseload data'!$B:$B,{"licence","community"}))</f>
        <v>0</v>
      </c>
      <c r="N11" s="104">
        <f>SUM(SUMIFS('caseload data'!P:P,'caseload data'!$D:$D,"PSO",'caseload data'!$C:$C,'community caseload'!$B$8,'caseload data'!$B:$B,{"licence","community"}))</f>
        <v>0</v>
      </c>
      <c r="O11" s="104">
        <f>SUM(SUMIFS('caseload data'!Q:Q,'caseload data'!$D:$D,"PSO",'caseload data'!$C:$C,'community caseload'!$B$8,'caseload data'!$B:$B,{"licence","community"}))</f>
        <v>0</v>
      </c>
      <c r="P11" s="104">
        <f>SUM(SUMIFS('caseload data'!R:R,'caseload data'!$D:$D,"PSO",'caseload data'!$C:$C,'community caseload'!$B$8,'caseload data'!$B:$B,{"licence","community"}))</f>
        <v>0</v>
      </c>
      <c r="Q11" s="104">
        <f>SUM(SUMIFS('caseload data'!S:S,'caseload data'!$D:$D,"PSO",'caseload data'!$C:$C,'community caseload'!$B$8,'caseload data'!$B:$B,{"licence","community"}))</f>
        <v>0</v>
      </c>
      <c r="R11" s="104">
        <f>SUM(SUMIFS('caseload data'!T:T,'caseload data'!$D:$D,"PSO",'caseload data'!$C:$C,'community caseload'!$B$8,'caseload data'!$B:$B,{"licence","community"}))</f>
        <v>0</v>
      </c>
      <c r="S11" s="73"/>
      <c r="T11" s="107" t="s">
        <v>912</v>
      </c>
      <c r="U11" s="104">
        <f>SUM(SUMIFS('caseload data'!E:E,'caseload data'!$D:$D,"PSO",'caseload data'!$C:$C,'community caseload'!$T$8,'caseload data'!$B:$B,{"licence","community"}))</f>
        <v>0</v>
      </c>
      <c r="V11" s="104"/>
      <c r="W11" s="104"/>
      <c r="X11" s="104"/>
      <c r="Y11" s="104"/>
      <c r="Z11" s="104"/>
      <c r="AA11" s="104"/>
      <c r="AB11" s="104"/>
      <c r="AC11" s="104"/>
      <c r="AD11" s="104"/>
      <c r="AE11" s="104">
        <f>SUM(SUMIFS('caseload data'!J:J,'caseload data'!$D:$D,"PSO",'caseload data'!$C:$C,'community caseload'!$T$8,'caseload data'!$B:$B,{"licence","community"}))</f>
        <v>0</v>
      </c>
      <c r="AF11" s="104">
        <f>SUM(SUMIFS('caseload data'!K:K,'caseload data'!$D:$D,"PSO",'caseload data'!$C:$C,'community caseload'!$T$8,'caseload data'!$B:$B,{"licence","community"}))</f>
        <v>0</v>
      </c>
      <c r="AG11" s="104">
        <f>SUM(SUMIFS('caseload data'!N:N,'caseload data'!$D:$D,"PSO",'caseload data'!$C:$C,'community caseload'!$T$8,'caseload data'!$B:$B,{"licence","community"}))</f>
        <v>0</v>
      </c>
      <c r="AH11" s="104">
        <f>SUM(SUMIFS('caseload data'!O:O,'caseload data'!$D:$D,"PSO",'caseload data'!$C:$C,'community caseload'!$T$8,'caseload data'!$B:$B,{"licence","community"}))</f>
        <v>0</v>
      </c>
      <c r="AI11" s="104">
        <f>SUM(SUMIFS('caseload data'!R:R,'caseload data'!$D:$D,"PSO",'caseload data'!$C:$C,'community caseload'!$T$8,'caseload data'!$B:$B,{"licence","community"}))</f>
        <v>0</v>
      </c>
      <c r="AJ11" s="104">
        <f>SUM(SUMIFS('caseload data'!S:S,'caseload data'!$D:$D,"PSO",'caseload data'!$C:$C,'community caseload'!$T$8,'caseload data'!$B:$B,{"licence","community"}))</f>
        <v>0</v>
      </c>
    </row>
    <row r="12" spans="1:50" x14ac:dyDescent="0.15">
      <c r="B12" s="107" t="s">
        <v>913</v>
      </c>
      <c r="C12" s="104">
        <f>SUM(SUMIFS('caseload data'!E:E,'caseload data'!$D:$D,"TPO",'caseload data'!$C:$C,'community caseload'!$B$8,'caseload data'!$B:$B,{"licence","community"}))</f>
        <v>0</v>
      </c>
      <c r="D12" s="104">
        <f>SUM(SUMIFS('caseload data'!F:F,'caseload data'!$D:$D,"TPO",'caseload data'!$C:$C,'community caseload'!$B$8,'caseload data'!$B:$B,{"licence","community"}))</f>
        <v>0</v>
      </c>
      <c r="E12" s="104">
        <f>SUM(SUMIFS('caseload data'!G:G,'caseload data'!$D:$D,"TPO",'caseload data'!$C:$C,'community caseload'!$B$8,'caseload data'!$B:$B,{"licence","community"}))</f>
        <v>0</v>
      </c>
      <c r="F12" s="104">
        <f>SUM(SUMIFS('caseload data'!H:H,'caseload data'!$D:$D,"TPO",'caseload data'!$C:$C,'community caseload'!$B$8,'caseload data'!$B:$B,{"licence","community"}))</f>
        <v>0</v>
      </c>
      <c r="G12" s="104">
        <f>SUM(SUMIFS('caseload data'!I:I,'caseload data'!$D:$D,"TPO",'caseload data'!$C:$C,'community caseload'!$B$8,'caseload data'!$B:$B,{"licence","community"}))</f>
        <v>0</v>
      </c>
      <c r="H12" s="104">
        <f>SUM(SUMIFS('caseload data'!J:J,'caseload data'!$D:$D,"TPO",'caseload data'!$C:$C,'community caseload'!$B$8,'caseload data'!$B:$B,{"licence","community"}))</f>
        <v>0</v>
      </c>
      <c r="I12" s="104">
        <f>SUM(SUMIFS('caseload data'!K:K,'caseload data'!$D:$D,"TPO",'caseload data'!$C:$C,'community caseload'!$B$8,'caseload data'!$B:$B,{"licence","community"}))</f>
        <v>0</v>
      </c>
      <c r="J12" s="104">
        <f>SUM(SUMIFS('caseload data'!L:L,'caseload data'!$D:$D,"TPO",'caseload data'!$C:$C,'community caseload'!$B$8,'caseload data'!$B:$B,{"licence","community"}))</f>
        <v>0</v>
      </c>
      <c r="K12" s="104">
        <f>SUM(SUMIFS('caseload data'!M:M,'caseload data'!$D:$D,"TPO",'caseload data'!$C:$C,'community caseload'!$B$8,'caseload data'!$B:$B,{"licence","community"}))</f>
        <v>0</v>
      </c>
      <c r="L12" s="104">
        <f>SUM(SUMIFS('caseload data'!N:N,'caseload data'!$D:$D,"TPO",'caseload data'!$C:$C,'community caseload'!$B$8,'caseload data'!$B:$B,{"licence","community"}))</f>
        <v>0</v>
      </c>
      <c r="M12" s="104">
        <f>SUM(SUMIFS('caseload data'!O:O,'caseload data'!$D:$D,"TPO",'caseload data'!$C:$C,'community caseload'!$B$8,'caseload data'!$B:$B,{"licence","community"}))</f>
        <v>0</v>
      </c>
      <c r="N12" s="104">
        <f>SUM(SUMIFS('caseload data'!P:P,'caseload data'!$D:$D,"TPO",'caseload data'!$C:$C,'community caseload'!$B$8,'caseload data'!$B:$B,{"licence","community"}))</f>
        <v>0</v>
      </c>
      <c r="O12" s="104">
        <f>SUM(SUMIFS('caseload data'!Q:Q,'caseload data'!$D:$D,"TPO",'caseload data'!$C:$C,'community caseload'!$B$8,'caseload data'!$B:$B,{"licence","community"}))</f>
        <v>0</v>
      </c>
      <c r="P12" s="104">
        <f>SUM(SUMIFS('caseload data'!R:R,'caseload data'!$D:$D,"TPO",'caseload data'!$C:$C,'community caseload'!$B$8,'caseload data'!$B:$B,{"licence","community"}))</f>
        <v>0</v>
      </c>
      <c r="Q12" s="104">
        <f>SUM(SUMIFS('caseload data'!S:S,'caseload data'!$D:$D,"TPO",'caseload data'!$C:$C,'community caseload'!$B$8,'caseload data'!$B:$B,{"licence","community"}))</f>
        <v>0</v>
      </c>
      <c r="R12" s="104">
        <f>SUM(SUMIFS('caseload data'!T:T,'caseload data'!$D:$D,"TPO",'caseload data'!$C:$C,'community caseload'!$B$8,'caseload data'!$B:$B,{"licence","community"}))</f>
        <v>0</v>
      </c>
      <c r="S12" s="73"/>
      <c r="T12" s="107" t="s">
        <v>913</v>
      </c>
      <c r="U12" s="104">
        <f>SUM(SUMIFS('caseload data'!E:E,'caseload data'!$D:$D,"TPO",'caseload data'!$C:$C,'community caseload'!$T$8,'caseload data'!$B:$B,{"licence","community"}))</f>
        <v>0</v>
      </c>
      <c r="V12" s="104"/>
      <c r="W12" s="104"/>
      <c r="X12" s="104"/>
      <c r="Y12" s="104"/>
      <c r="Z12" s="104"/>
      <c r="AA12" s="104"/>
      <c r="AB12" s="104"/>
      <c r="AC12" s="104"/>
      <c r="AD12" s="104"/>
      <c r="AE12" s="104">
        <f>SUM(SUMIFS('caseload data'!J:J,'caseload data'!$D:$D,"TPO",'caseload data'!$C:$C,'community caseload'!$T$8,'caseload data'!$B:$B,{"licence","community"}))</f>
        <v>0</v>
      </c>
      <c r="AF12" s="104">
        <f>SUM(SUMIFS('caseload data'!K:K,'caseload data'!$D:$D,"TPO",'caseload data'!$C:$C,'community caseload'!$T$8,'caseload data'!$B:$B,{"licence","community"}))</f>
        <v>0</v>
      </c>
      <c r="AG12" s="104">
        <f>SUM(SUMIFS('caseload data'!N:N,'caseload data'!$D:$D,"TPO",'caseload data'!$C:$C,'community caseload'!$T$8,'caseload data'!$B:$B,{"licence","community"}))</f>
        <v>0</v>
      </c>
      <c r="AH12" s="104">
        <f>SUM(SUMIFS('caseload data'!O:O,'caseload data'!$D:$D,"TPO",'caseload data'!$C:$C,'community caseload'!$T$8,'caseload data'!$B:$B,{"licence","community"}))</f>
        <v>0</v>
      </c>
      <c r="AI12" s="104">
        <f>SUM(SUMIFS('caseload data'!R:R,'caseload data'!$D:$D,"TPO",'caseload data'!$C:$C,'community caseload'!$T$8,'caseload data'!$B:$B,{"licence","community"}))</f>
        <v>0</v>
      </c>
      <c r="AJ12" s="104">
        <f>SUM(SUMIFS('caseload data'!S:S,'caseload data'!$D:$D,"TPO",'caseload data'!$C:$C,'community caseload'!$T$8,'caseload data'!$B:$B,{"licence","community"}))</f>
        <v>0</v>
      </c>
    </row>
    <row r="13" spans="1:50" x14ac:dyDescent="0.15">
      <c r="B13" s="108" t="s">
        <v>914</v>
      </c>
      <c r="C13" s="104">
        <f>SUM(SUMIFS('caseload data'!E:E,'caseload data'!$D:$D,"SPO",'caseload data'!$C:$C,'community caseload'!$B$8,'caseload data'!$B:$B,{"licence","community"}))</f>
        <v>0</v>
      </c>
      <c r="D13" s="104">
        <f>SUM(SUMIFS('caseload data'!F:F,'caseload data'!$D:$D,"SPO",'caseload data'!$C:$C,'community caseload'!$B$8,'caseload data'!$B:$B,{"licence","community"}))</f>
        <v>0</v>
      </c>
      <c r="E13" s="104">
        <f>SUM(SUMIFS('caseload data'!G:G,'caseload data'!$D:$D,"SPO",'caseload data'!$C:$C,'community caseload'!$B$8,'caseload data'!$B:$B,{"licence","community"}))</f>
        <v>0</v>
      </c>
      <c r="F13" s="104">
        <f>SUM(SUMIFS('caseload data'!H:H,'caseload data'!$D:$D,"SPO",'caseload data'!$C:$C,'community caseload'!$B$8,'caseload data'!$B:$B,{"licence","community"}))</f>
        <v>0</v>
      </c>
      <c r="G13" s="104">
        <f>SUM(SUMIFS('caseload data'!I:I,'caseload data'!$D:$D,"SPO",'caseload data'!$C:$C,'community caseload'!$B$8,'caseload data'!$B:$B,{"licence","community"}))</f>
        <v>0</v>
      </c>
      <c r="H13" s="104">
        <f>SUM(SUMIFS('caseload data'!J:J,'caseload data'!$D:$D,"SPO",'caseload data'!$C:$C,'community caseload'!$B$8,'caseload data'!$B:$B,{"licence","community"}))</f>
        <v>0</v>
      </c>
      <c r="I13" s="104">
        <f>SUM(SUMIFS('caseload data'!K:K,'caseload data'!$D:$D,"SPO",'caseload data'!$C:$C,'community caseload'!$B$8,'caseload data'!$B:$B,{"licence","community"}))</f>
        <v>0</v>
      </c>
      <c r="J13" s="104">
        <f>SUM(SUMIFS('caseload data'!L:L,'caseload data'!$D:$D,"SPO",'caseload data'!$C:$C,'community caseload'!$B$8,'caseload data'!$B:$B,{"licence","community"}))</f>
        <v>0</v>
      </c>
      <c r="K13" s="104">
        <f>SUM(SUMIFS('caseload data'!M:M,'caseload data'!$D:$D,"SPO",'caseload data'!$C:$C,'community caseload'!$B$8,'caseload data'!$B:$B,{"licence","community"}))</f>
        <v>0</v>
      </c>
      <c r="L13" s="104">
        <f>SUM(SUMIFS('caseload data'!N:N,'caseload data'!$D:$D,"SPO",'caseload data'!$C:$C,'community caseload'!$B$8,'caseload data'!$B:$B,{"licence","community"}))</f>
        <v>0</v>
      </c>
      <c r="M13" s="104">
        <f>SUM(SUMIFS('caseload data'!O:O,'caseload data'!$D:$D,"SPO",'caseload data'!$C:$C,'community caseload'!$B$8,'caseload data'!$B:$B,{"licence","community"}))</f>
        <v>0</v>
      </c>
      <c r="N13" s="104">
        <f>SUM(SUMIFS('caseload data'!P:P,'caseload data'!$D:$D,"SPO",'caseload data'!$C:$C,'community caseload'!$B$8,'caseload data'!$B:$B,{"licence","community"}))</f>
        <v>0</v>
      </c>
      <c r="O13" s="104">
        <f>SUM(SUMIFS('caseload data'!Q:Q,'caseload data'!$D:$D,"SPO",'caseload data'!$C:$C,'community caseload'!$B$8,'caseload data'!$B:$B,{"licence","community"}))</f>
        <v>0</v>
      </c>
      <c r="P13" s="104">
        <f>SUM(SUMIFS('caseload data'!R:R,'caseload data'!$D:$D,"SPO",'caseload data'!$C:$C,'community caseload'!$B$8,'caseload data'!$B:$B,{"licence","community"}))</f>
        <v>0</v>
      </c>
      <c r="Q13" s="104">
        <f>SUM(SUMIFS('caseload data'!S:S,'caseload data'!$D:$D,"SPO",'caseload data'!$C:$C,'community caseload'!$B$8,'caseload data'!$B:$B,{"licence","community"}))</f>
        <v>0</v>
      </c>
      <c r="R13" s="104">
        <f>SUM(SUMIFS('caseload data'!T:T,'caseload data'!$D:$D,"SPO",'caseload data'!$C:$C,'community caseload'!$B$8,'caseload data'!$B:$B,{"licence","community"}))</f>
        <v>0</v>
      </c>
      <c r="S13" s="73"/>
      <c r="T13" s="108" t="s">
        <v>914</v>
      </c>
      <c r="U13" s="104">
        <f>SUM(SUMIFS('caseload data'!E:E,'caseload data'!$D:$D,"SPO",'caseload data'!$C:$C,'community caseload'!$T$8,'caseload data'!$B:$B,{"licence","community"}))</f>
        <v>0</v>
      </c>
      <c r="V13" s="104"/>
      <c r="W13" s="104"/>
      <c r="X13" s="104"/>
      <c r="Y13" s="104"/>
      <c r="Z13" s="104"/>
      <c r="AA13" s="104"/>
      <c r="AB13" s="104"/>
      <c r="AC13" s="104"/>
      <c r="AD13" s="104"/>
      <c r="AE13" s="104">
        <f>SUM(SUMIFS('caseload data'!J:J,'caseload data'!$D:$D,"SPO",'caseload data'!$C:$C,'community caseload'!$T$8,'caseload data'!$B:$B,{"licence","community"}))</f>
        <v>0</v>
      </c>
      <c r="AF13" s="104">
        <f>SUM(SUMIFS('caseload data'!K:K,'caseload data'!$D:$D,"SPO",'caseload data'!$C:$C,'community caseload'!$T$8,'caseload data'!$B:$B,{"licence","community"}))</f>
        <v>0</v>
      </c>
      <c r="AG13" s="104">
        <f>SUM(SUMIFS('caseload data'!N:N,'caseload data'!$D:$D,"SPO",'caseload data'!$C:$C,'community caseload'!$T$8,'caseload data'!$B:$B,{"licence","community"}))</f>
        <v>0</v>
      </c>
      <c r="AH13" s="104">
        <f>SUM(SUMIFS('caseload data'!O:O,'caseload data'!$D:$D,"SPO",'caseload data'!$C:$C,'community caseload'!$T$8,'caseload data'!$B:$B,{"licence","community"}))</f>
        <v>0</v>
      </c>
      <c r="AI13" s="104">
        <f>SUM(SUMIFS('caseload data'!R:R,'caseload data'!$D:$D,"SPO",'caseload data'!$C:$C,'community caseload'!$T$8,'caseload data'!$B:$B,{"licence","community"}))</f>
        <v>0</v>
      </c>
      <c r="AJ13" s="104">
        <f>SUM(SUMIFS('caseload data'!S:S,'caseload data'!$D:$D,"SPO",'caseload data'!$C:$C,'community caseload'!$T$8,'caseload data'!$B:$B,{"licence","community"}))</f>
        <v>0</v>
      </c>
    </row>
    <row r="14" spans="1:50" x14ac:dyDescent="0.15">
      <c r="B14" s="101"/>
      <c r="C14" s="73"/>
      <c r="D14" s="73"/>
      <c r="E14" s="73"/>
      <c r="F14" s="73"/>
      <c r="G14" s="73"/>
      <c r="H14" s="73"/>
      <c r="I14" s="73"/>
      <c r="J14" s="73"/>
      <c r="K14" s="73"/>
      <c r="L14" s="73"/>
      <c r="M14" s="73"/>
      <c r="N14" s="73"/>
      <c r="O14" s="73"/>
      <c r="P14" s="73"/>
      <c r="Q14" s="73"/>
      <c r="R14" s="73"/>
      <c r="S14" s="73"/>
      <c r="T14" s="101"/>
      <c r="U14" s="73"/>
      <c r="V14" s="73"/>
      <c r="W14" s="73"/>
      <c r="X14" s="73"/>
      <c r="Y14" s="73"/>
      <c r="Z14" s="73"/>
      <c r="AA14" s="73"/>
      <c r="AB14" s="73"/>
      <c r="AC14" s="73"/>
      <c r="AD14" s="73"/>
      <c r="AE14" s="73"/>
      <c r="AF14" s="73"/>
      <c r="AG14" s="73"/>
      <c r="AH14" s="73"/>
      <c r="AI14" s="73"/>
      <c r="AJ14" s="73"/>
    </row>
    <row r="15" spans="1:50" ht="45" customHeight="1" x14ac:dyDescent="0.15">
      <c r="B15" s="156" t="str">
        <f>HLOOKUP($B$5,Region_Table,4,0)</f>
        <v>Camden, Islington</v>
      </c>
      <c r="C15" s="367" t="s">
        <v>1167</v>
      </c>
      <c r="D15" s="368"/>
      <c r="E15" s="368"/>
      <c r="F15" s="368"/>
      <c r="G15" s="368"/>
      <c r="H15" s="368"/>
      <c r="I15" s="368"/>
      <c r="J15" s="368"/>
      <c r="K15" s="368"/>
      <c r="L15" s="368"/>
      <c r="M15" s="377"/>
      <c r="N15" s="377"/>
      <c r="O15" s="378"/>
      <c r="P15" s="371" cm="1">
        <f t="array" ref="P15">SUM(SUMIFS('caseload data'!V:V,'caseload data'!B:B,{"licence","community"},'caseload data'!$C:$C,'community caseload'!B15))</f>
        <v>0</v>
      </c>
      <c r="Q15" s="379"/>
      <c r="R15" s="380"/>
      <c r="S15" s="73"/>
      <c r="T15" s="156" t="str">
        <f>HLOOKUP($B$5,Region_Table,5,0)</f>
        <v>Community Integration</v>
      </c>
      <c r="U15" s="367" t="s">
        <v>1167</v>
      </c>
      <c r="V15" s="368"/>
      <c r="W15" s="368"/>
      <c r="X15" s="368"/>
      <c r="Y15" s="368"/>
      <c r="Z15" s="368"/>
      <c r="AA15" s="368"/>
      <c r="AB15" s="368"/>
      <c r="AC15" s="368"/>
      <c r="AD15" s="368"/>
      <c r="AE15" s="377"/>
      <c r="AF15" s="377"/>
      <c r="AG15" s="378"/>
      <c r="AH15" s="371" cm="1">
        <f t="array" ref="AH15">SUM(SUMIFS('caseload data'!V:V,'caseload data'!B:B,{"licence","community"},'caseload data'!$C:$C,'community caseload'!T15))</f>
        <v>0</v>
      </c>
      <c r="AI15" s="379"/>
      <c r="AJ15" s="380"/>
    </row>
    <row r="16" spans="1:50" x14ac:dyDescent="0.15">
      <c r="B16" s="105" t="s">
        <v>1065</v>
      </c>
      <c r="C16" s="41" t="s">
        <v>922</v>
      </c>
      <c r="D16" s="41" t="s">
        <v>923</v>
      </c>
      <c r="E16" s="41" t="s">
        <v>924</v>
      </c>
      <c r="F16" s="41" t="s">
        <v>925</v>
      </c>
      <c r="G16" s="41" t="s">
        <v>926</v>
      </c>
      <c r="H16" s="41" t="s">
        <v>927</v>
      </c>
      <c r="I16" s="41" t="s">
        <v>928</v>
      </c>
      <c r="J16" s="41" t="s">
        <v>929</v>
      </c>
      <c r="K16" s="41" t="s">
        <v>930</v>
      </c>
      <c r="L16" s="41" t="s">
        <v>931</v>
      </c>
      <c r="M16" s="41" t="s">
        <v>932</v>
      </c>
      <c r="N16" s="41" t="s">
        <v>933</v>
      </c>
      <c r="O16" s="41" t="s">
        <v>934</v>
      </c>
      <c r="P16" s="41" t="s">
        <v>935</v>
      </c>
      <c r="Q16" s="41" t="s">
        <v>936</v>
      </c>
      <c r="R16" s="41" t="s">
        <v>937</v>
      </c>
      <c r="S16" s="73"/>
      <c r="T16" s="105" t="s">
        <v>1065</v>
      </c>
      <c r="U16" s="41" t="s">
        <v>922</v>
      </c>
      <c r="V16" s="41" t="s">
        <v>923</v>
      </c>
      <c r="W16" s="41" t="s">
        <v>924</v>
      </c>
      <c r="X16" s="41" t="s">
        <v>925</v>
      </c>
      <c r="Y16" s="41" t="s">
        <v>926</v>
      </c>
      <c r="Z16" s="41" t="s">
        <v>927</v>
      </c>
      <c r="AA16" s="41" t="s">
        <v>928</v>
      </c>
      <c r="AB16" s="41" t="s">
        <v>929</v>
      </c>
      <c r="AC16" s="41" t="s">
        <v>930</v>
      </c>
      <c r="AD16" s="41" t="s">
        <v>931</v>
      </c>
      <c r="AE16" s="41" t="s">
        <v>932</v>
      </c>
      <c r="AF16" s="41" t="s">
        <v>933</v>
      </c>
      <c r="AG16" s="41" t="s">
        <v>934</v>
      </c>
      <c r="AH16" s="41" t="s">
        <v>935</v>
      </c>
      <c r="AI16" s="41" t="s">
        <v>936</v>
      </c>
      <c r="AJ16" s="41" t="s">
        <v>937</v>
      </c>
    </row>
    <row r="17" spans="2:36" x14ac:dyDescent="0.15">
      <c r="B17" s="106" t="s">
        <v>911</v>
      </c>
      <c r="C17" s="104">
        <f>SUM(SUMIFS('caseload data'!E:E,'caseload data'!$D:$D,"PO",'caseload data'!$C:$C,'community caseload'!$B$15,'caseload data'!$B:$B,{"licence","community"}))</f>
        <v>0</v>
      </c>
      <c r="D17" s="104">
        <f>SUM(SUMIFS('caseload data'!F:F,'caseload data'!$D:$D,"PO",'caseload data'!$C:$C,'community caseload'!$B$15,'caseload data'!$B:$B,{"licence","community"}))</f>
        <v>0</v>
      </c>
      <c r="E17" s="104">
        <f>SUM(SUMIFS('caseload data'!G:G,'caseload data'!$D:$D,"PO",'caseload data'!$C:$C,'community caseload'!$B$15,'caseload data'!$B:$B,{"licence","community"}))</f>
        <v>0</v>
      </c>
      <c r="F17" s="104">
        <f>SUM(SUMIFS('caseload data'!H:H,'caseload data'!$D:$D,"PO",'caseload data'!$C:$C,'community caseload'!$B$15,'caseload data'!$B:$B,{"licence","community"}))</f>
        <v>0</v>
      </c>
      <c r="G17" s="104">
        <f>SUM(SUMIFS('caseload data'!I:I,'caseload data'!$D:$D,"PO",'caseload data'!$C:$C,'community caseload'!$B$15,'caseload data'!$B:$B,{"licence","community"}))</f>
        <v>0</v>
      </c>
      <c r="H17" s="104">
        <f>SUM(SUMIFS('caseload data'!J:J,'caseload data'!$D:$D,"PO",'caseload data'!$C:$C,'community caseload'!$B$15,'caseload data'!$B:$B,{"licence","community"}))</f>
        <v>0</v>
      </c>
      <c r="I17" s="104">
        <f>SUM(SUMIFS('caseload data'!K:K,'caseload data'!$D:$D,"PO",'caseload data'!$C:$C,'community caseload'!$B$15,'caseload data'!$B:$B,{"licence","community"}))</f>
        <v>0</v>
      </c>
      <c r="J17" s="104">
        <f>SUM(SUMIFS('caseload data'!L:L,'caseload data'!$D:$D,"PO",'caseload data'!$C:$C,'community caseload'!$B$15,'caseload data'!$B:$B,{"licence","community"}))</f>
        <v>0</v>
      </c>
      <c r="K17" s="104">
        <f>SUM(SUMIFS('caseload data'!M:M,'caseload data'!$D:$D,"PO",'caseload data'!$C:$C,'community caseload'!$B$15,'caseload data'!$B:$B,{"licence","community"}))</f>
        <v>0</v>
      </c>
      <c r="L17" s="104">
        <f>SUM(SUMIFS('caseload data'!N:N,'caseload data'!$D:$D,"PO",'caseload data'!$C:$C,'community caseload'!$B$15,'caseload data'!$B:$B,{"licence","community"}))</f>
        <v>0</v>
      </c>
      <c r="M17" s="104">
        <f>SUM(SUMIFS('caseload data'!O:O,'caseload data'!$D:$D,"PO",'caseload data'!$C:$C,'community caseload'!$B$15,'caseload data'!$B:$B,{"licence","community"}))</f>
        <v>0</v>
      </c>
      <c r="N17" s="104">
        <f>SUM(SUMIFS('caseload data'!P:P,'caseload data'!$D:$D,"PO",'caseload data'!$C:$C,'community caseload'!$B$15,'caseload data'!$B:$B,{"licence","community"}))</f>
        <v>0</v>
      </c>
      <c r="O17" s="104">
        <f>SUM(SUMIFS('caseload data'!Q:Q,'caseload data'!$D:$D,"PO",'caseload data'!$C:$C,'community caseload'!$B$15,'caseload data'!$B:$B,{"licence","community"}))</f>
        <v>0</v>
      </c>
      <c r="P17" s="104">
        <f>SUM(SUMIFS('caseload data'!R:R,'caseload data'!$D:$D,"PO",'caseload data'!$C:$C,'community caseload'!$B$15,'caseload data'!$B:$B,{"licence","community"}))</f>
        <v>0</v>
      </c>
      <c r="Q17" s="104">
        <f>SUM(SUMIFS('caseload data'!S:S,'caseload data'!$D:$D,"PO",'caseload data'!$C:$C,'community caseload'!$B$15,'caseload data'!$B:$B,{"licence","community"}))</f>
        <v>0</v>
      </c>
      <c r="R17" s="104">
        <f>SUM(SUMIFS('caseload data'!T:T,'caseload data'!$D:$D,"PO",'caseload data'!$C:$C,'community caseload'!$B$15,'caseload data'!$B:$B,{"licence","community"}))</f>
        <v>0</v>
      </c>
      <c r="S17" s="73"/>
      <c r="T17" s="106" t="s">
        <v>911</v>
      </c>
      <c r="U17" s="104">
        <f>SUM(SUMIFS('caseload data'!E:E,'caseload data'!$D:$D,"PO",'caseload data'!$C:$C,'community caseload'!$T$15,'caseload data'!$B:$B,{"licence","community"}))</f>
        <v>0</v>
      </c>
      <c r="V17" s="104"/>
      <c r="W17" s="104"/>
      <c r="X17" s="104"/>
      <c r="Y17" s="104"/>
      <c r="Z17" s="104"/>
      <c r="AA17" s="104"/>
      <c r="AB17" s="104"/>
      <c r="AC17" s="104"/>
      <c r="AD17" s="104"/>
      <c r="AE17" s="104">
        <f>SUM(SUMIFS('caseload data'!J:J,'caseload data'!$D:$D,"PO",'caseload data'!$C:$C,'community caseload'!$T$15,'caseload data'!$B:$B,{"licence","community"}))</f>
        <v>0</v>
      </c>
      <c r="AF17" s="104">
        <f>SUM(SUMIFS('caseload data'!K:K,'caseload data'!$D:$D,"PO",'caseload data'!$C:$C,'community caseload'!$T$15,'caseload data'!$B:$B,{"licence","community"}))</f>
        <v>0</v>
      </c>
      <c r="AG17" s="104">
        <f>SUM(SUMIFS('caseload data'!N:N,'caseload data'!$D:$D,"PO",'caseload data'!$C:$C,'community caseload'!$T$15,'caseload data'!$B:$B,{"licence","community"}))</f>
        <v>0</v>
      </c>
      <c r="AH17" s="104">
        <f>SUM(SUMIFS('caseload data'!O:O,'caseload data'!$D:$D,"PO",'caseload data'!$C:$C,'community caseload'!$T$15,'caseload data'!$B:$B,{"licence","community"}))</f>
        <v>0</v>
      </c>
      <c r="AI17" s="104">
        <f>SUM(SUMIFS('caseload data'!R:R,'caseload data'!$D:$D,"PO",'caseload data'!$C:$C,'community caseload'!$T$15,'caseload data'!$B:$B,{"licence","community"}))</f>
        <v>0</v>
      </c>
      <c r="AJ17" s="104">
        <f>SUM(SUMIFS('caseload data'!S:S,'caseload data'!$D:$D,"PO",'caseload data'!$C:$C,'community caseload'!$T$15,'caseload data'!$B:$B,{"licence","community"}))</f>
        <v>0</v>
      </c>
    </row>
    <row r="18" spans="2:36" x14ac:dyDescent="0.15">
      <c r="B18" s="107" t="s">
        <v>912</v>
      </c>
      <c r="C18" s="104">
        <f>SUM(SUMIFS('caseload data'!E:E,'caseload data'!$D:$D,"PSO",'caseload data'!$C:$C,'community caseload'!$B$15,'caseload data'!$B:$B,{"licence","community"}))</f>
        <v>0</v>
      </c>
      <c r="D18" s="104">
        <f>SUM(SUMIFS('caseload data'!F:F,'caseload data'!$D:$D,"PSO",'caseload data'!$C:$C,'community caseload'!$B$15,'caseload data'!$B:$B,{"licence","community"}))</f>
        <v>0</v>
      </c>
      <c r="E18" s="104">
        <f>SUM(SUMIFS('caseload data'!G:G,'caseload data'!$D:$D,"PSO",'caseload data'!$C:$C,'community caseload'!$B$15,'caseload data'!$B:$B,{"licence","community"}))</f>
        <v>0</v>
      </c>
      <c r="F18" s="104">
        <f>SUM(SUMIFS('caseload data'!H:H,'caseload data'!$D:$D,"PSO",'caseload data'!$C:$C,'community caseload'!$B$15,'caseload data'!$B:$B,{"licence","community"}))</f>
        <v>0</v>
      </c>
      <c r="G18" s="104">
        <f>SUM(SUMIFS('caseload data'!I:I,'caseload data'!$D:$D,"PSO",'caseload data'!$C:$C,'community caseload'!$B$15,'caseload data'!$B:$B,{"licence","community"}))</f>
        <v>0</v>
      </c>
      <c r="H18" s="104">
        <f>SUM(SUMIFS('caseload data'!J:J,'caseload data'!$D:$D,"PSO",'caseload data'!$C:$C,'community caseload'!$B$15,'caseload data'!$B:$B,{"licence","community"}))</f>
        <v>0</v>
      </c>
      <c r="I18" s="104">
        <f>SUM(SUMIFS('caseload data'!K:K,'caseload data'!$D:$D,"PSO",'caseload data'!$C:$C,'community caseload'!$B$15,'caseload data'!$B:$B,{"licence","community"}))</f>
        <v>0</v>
      </c>
      <c r="J18" s="104">
        <f>SUM(SUMIFS('caseload data'!L:L,'caseload data'!$D:$D,"PSO",'caseload data'!$C:$C,'community caseload'!$B$15,'caseload data'!$B:$B,{"licence","community"}))</f>
        <v>0</v>
      </c>
      <c r="K18" s="104">
        <f>SUM(SUMIFS('caseload data'!M:M,'caseload data'!$D:$D,"PSO",'caseload data'!$C:$C,'community caseload'!$B$15,'caseload data'!$B:$B,{"licence","community"}))</f>
        <v>0</v>
      </c>
      <c r="L18" s="104">
        <f>SUM(SUMIFS('caseload data'!N:N,'caseload data'!$D:$D,"PSO",'caseload data'!$C:$C,'community caseload'!$B$15,'caseload data'!$B:$B,{"licence","community"}))</f>
        <v>0</v>
      </c>
      <c r="M18" s="104">
        <f>SUM(SUMIFS('caseload data'!O:O,'caseload data'!$D:$D,"PSO",'caseload data'!$C:$C,'community caseload'!$B$15,'caseload data'!$B:$B,{"licence","community"}))</f>
        <v>0</v>
      </c>
      <c r="N18" s="104">
        <f>SUM(SUMIFS('caseload data'!P:P,'caseload data'!$D:$D,"PSO",'caseload data'!$C:$C,'community caseload'!$B$15,'caseload data'!$B:$B,{"licence","community"}))</f>
        <v>0</v>
      </c>
      <c r="O18" s="104">
        <f>SUM(SUMIFS('caseload data'!Q:Q,'caseload data'!$D:$D,"PSO",'caseload data'!$C:$C,'community caseload'!$B$15,'caseload data'!$B:$B,{"licence","community"}))</f>
        <v>0</v>
      </c>
      <c r="P18" s="104">
        <f>SUM(SUMIFS('caseload data'!R:R,'caseload data'!$D:$D,"PSO",'caseload data'!$C:$C,'community caseload'!$B$15,'caseload data'!$B:$B,{"licence","community"}))</f>
        <v>0</v>
      </c>
      <c r="Q18" s="104">
        <f>SUM(SUMIFS('caseload data'!S:S,'caseload data'!$D:$D,"PSO",'caseload data'!$C:$C,'community caseload'!$B$15,'caseload data'!$B:$B,{"licence","community"}))</f>
        <v>0</v>
      </c>
      <c r="R18" s="104">
        <f>SUM(SUMIFS('caseload data'!T:T,'caseload data'!$D:$D,"PSO",'caseload data'!$C:$C,'community caseload'!$B$15,'caseload data'!$B:$B,{"licence","community"}))</f>
        <v>0</v>
      </c>
      <c r="S18" s="73"/>
      <c r="T18" s="107" t="s">
        <v>912</v>
      </c>
      <c r="U18" s="104">
        <f>SUM(SUMIFS('caseload data'!E:E,'caseload data'!$D:$D,"PSO",'caseload data'!$C:$C,'community caseload'!$T$15,'caseload data'!$B:$B,{"licence","community"}))</f>
        <v>0</v>
      </c>
      <c r="V18" s="104"/>
      <c r="W18" s="104"/>
      <c r="X18" s="104"/>
      <c r="Y18" s="104"/>
      <c r="Z18" s="104"/>
      <c r="AA18" s="104"/>
      <c r="AB18" s="104"/>
      <c r="AC18" s="104"/>
      <c r="AD18" s="104"/>
      <c r="AE18" s="104">
        <f>SUM(SUMIFS('caseload data'!J:J,'caseload data'!$D:$D,"PSO",'caseload data'!$C:$C,'community caseload'!$T$15,'caseload data'!$B:$B,{"licence","community"}))</f>
        <v>0</v>
      </c>
      <c r="AF18" s="104">
        <f>SUM(SUMIFS('caseload data'!K:K,'caseload data'!$D:$D,"PSO",'caseload data'!$C:$C,'community caseload'!$T$15,'caseload data'!$B:$B,{"licence","community"}))</f>
        <v>0</v>
      </c>
      <c r="AG18" s="104">
        <f>SUM(SUMIFS('caseload data'!N:N,'caseload data'!$D:$D,"PSO",'caseload data'!$C:$C,'community caseload'!$T$15,'caseload data'!$B:$B,{"licence","community"}))</f>
        <v>0</v>
      </c>
      <c r="AH18" s="104">
        <f>SUM(SUMIFS('caseload data'!O:O,'caseload data'!$D:$D,"PSO",'caseload data'!$C:$C,'community caseload'!$T$15,'caseload data'!$B:$B,{"licence","community"}))</f>
        <v>0</v>
      </c>
      <c r="AI18" s="104">
        <f>SUM(SUMIFS('caseload data'!R:R,'caseload data'!$D:$D,"PSO",'caseload data'!$C:$C,'community caseload'!$T$15,'caseload data'!$B:$B,{"licence","community"}))</f>
        <v>0</v>
      </c>
      <c r="AJ18" s="104">
        <f>SUM(SUMIFS('caseload data'!S:S,'caseload data'!$D:$D,"PSO",'caseload data'!$C:$C,'community caseload'!$T$15,'caseload data'!$B:$B,{"licence","community"}))</f>
        <v>0</v>
      </c>
    </row>
    <row r="19" spans="2:36" x14ac:dyDescent="0.15">
      <c r="B19" s="107" t="s">
        <v>913</v>
      </c>
      <c r="C19" s="104">
        <f>SUM(SUMIFS('caseload data'!E:E,'caseload data'!$D:$D,"TPO",'caseload data'!$C:$C,'community caseload'!$B$15,'caseload data'!$B:$B,{"licence","community"}))</f>
        <v>0</v>
      </c>
      <c r="D19" s="104">
        <f>SUM(SUMIFS('caseload data'!F:F,'caseload data'!$D:$D,"TPO",'caseload data'!$C:$C,'community caseload'!$B$15,'caseload data'!$B:$B,{"licence","community"}))</f>
        <v>0</v>
      </c>
      <c r="E19" s="104">
        <f>SUM(SUMIFS('caseload data'!G:G,'caseload data'!$D:$D,"TPO",'caseload data'!$C:$C,'community caseload'!$B$15,'caseload data'!$B:$B,{"licence","community"}))</f>
        <v>0</v>
      </c>
      <c r="F19" s="104">
        <f>SUM(SUMIFS('caseload data'!H:H,'caseload data'!$D:$D,"TPO",'caseload data'!$C:$C,'community caseload'!$B$15,'caseload data'!$B:$B,{"licence","community"}))</f>
        <v>0</v>
      </c>
      <c r="G19" s="104">
        <f>SUM(SUMIFS('caseload data'!I:I,'caseload data'!$D:$D,"TPO",'caseload data'!$C:$C,'community caseload'!$B$15,'caseload data'!$B:$B,{"licence","community"}))</f>
        <v>0</v>
      </c>
      <c r="H19" s="104">
        <f>SUM(SUMIFS('caseload data'!J:J,'caseload data'!$D:$D,"TPO",'caseload data'!$C:$C,'community caseload'!$B$15,'caseload data'!$B:$B,{"licence","community"}))</f>
        <v>0</v>
      </c>
      <c r="I19" s="104">
        <f>SUM(SUMIFS('caseload data'!K:K,'caseload data'!$D:$D,"TPO",'caseload data'!$C:$C,'community caseload'!$B$15,'caseload data'!$B:$B,{"licence","community"}))</f>
        <v>0</v>
      </c>
      <c r="J19" s="104">
        <f>SUM(SUMIFS('caseload data'!L:L,'caseload data'!$D:$D,"TPO",'caseload data'!$C:$C,'community caseload'!$B$15,'caseload data'!$B:$B,{"licence","community"}))</f>
        <v>0</v>
      </c>
      <c r="K19" s="104">
        <f>SUM(SUMIFS('caseload data'!M:M,'caseload data'!$D:$D,"TPO",'caseload data'!$C:$C,'community caseload'!$B$15,'caseload data'!$B:$B,{"licence","community"}))</f>
        <v>0</v>
      </c>
      <c r="L19" s="104">
        <f>SUM(SUMIFS('caseload data'!N:N,'caseload data'!$D:$D,"TPO",'caseload data'!$C:$C,'community caseload'!$B$15,'caseload data'!$B:$B,{"licence","community"}))</f>
        <v>0</v>
      </c>
      <c r="M19" s="104">
        <f>SUM(SUMIFS('caseload data'!O:O,'caseload data'!$D:$D,"TPO",'caseload data'!$C:$C,'community caseload'!$B$15,'caseload data'!$B:$B,{"licence","community"}))</f>
        <v>0</v>
      </c>
      <c r="N19" s="104">
        <f>SUM(SUMIFS('caseload data'!P:P,'caseload data'!$D:$D,"TPO",'caseload data'!$C:$C,'community caseload'!$B$15,'caseload data'!$B:$B,{"licence","community"}))</f>
        <v>0</v>
      </c>
      <c r="O19" s="104">
        <f>SUM(SUMIFS('caseload data'!Q:Q,'caseload data'!$D:$D,"TPO",'caseload data'!$C:$C,'community caseload'!$B$15,'caseload data'!$B:$B,{"licence","community"}))</f>
        <v>0</v>
      </c>
      <c r="P19" s="104">
        <f>SUM(SUMIFS('caseload data'!R:R,'caseload data'!$D:$D,"TPO",'caseload data'!$C:$C,'community caseload'!$B$15,'caseload data'!$B:$B,{"licence","community"}))</f>
        <v>0</v>
      </c>
      <c r="Q19" s="104">
        <f>SUM(SUMIFS('caseload data'!S:S,'caseload data'!$D:$D,"TPO",'caseload data'!$C:$C,'community caseload'!$B$15,'caseload data'!$B:$B,{"licence","community"}))</f>
        <v>0</v>
      </c>
      <c r="R19" s="104">
        <f>SUM(SUMIFS('caseload data'!T:T,'caseload data'!$D:$D,"TPO",'caseload data'!$C:$C,'community caseload'!$B$15,'caseload data'!$B:$B,{"licence","community"}))</f>
        <v>0</v>
      </c>
      <c r="S19" s="73"/>
      <c r="T19" s="107" t="s">
        <v>913</v>
      </c>
      <c r="U19" s="104">
        <f>SUM(SUMIFS('caseload data'!E:E,'caseload data'!$D:$D,"TPO",'caseload data'!$C:$C,'community caseload'!$T$15,'caseload data'!$B:$B,{"licence","community"}))</f>
        <v>0</v>
      </c>
      <c r="V19" s="104"/>
      <c r="W19" s="104"/>
      <c r="X19" s="104"/>
      <c r="Y19" s="104"/>
      <c r="Z19" s="104"/>
      <c r="AA19" s="104"/>
      <c r="AB19" s="104"/>
      <c r="AC19" s="104"/>
      <c r="AD19" s="104"/>
      <c r="AE19" s="104">
        <f>SUM(SUMIFS('caseload data'!J:J,'caseload data'!$D:$D,"TPO",'caseload data'!$C:$C,'community caseload'!$T$15,'caseload data'!$B:$B,{"licence","community"}))</f>
        <v>0</v>
      </c>
      <c r="AF19" s="104">
        <f>SUM(SUMIFS('caseload data'!K:K,'caseload data'!$D:$D,"TPO",'caseload data'!$C:$C,'community caseload'!$T$15,'caseload data'!$B:$B,{"licence","community"}))</f>
        <v>0</v>
      </c>
      <c r="AG19" s="104">
        <f>SUM(SUMIFS('caseload data'!N:N,'caseload data'!$D:$D,"TPO",'caseload data'!$C:$C,'community caseload'!$T$15,'caseload data'!$B:$B,{"licence","community"}))</f>
        <v>0</v>
      </c>
      <c r="AH19" s="104">
        <f>SUM(SUMIFS('caseload data'!O:O,'caseload data'!$D:$D,"TPO",'caseload data'!$C:$C,'community caseload'!$T$15,'caseload data'!$B:$B,{"licence","community"}))</f>
        <v>0</v>
      </c>
      <c r="AI19" s="104">
        <f>SUM(SUMIFS('caseload data'!R:R,'caseload data'!$D:$D,"TPO",'caseload data'!$C:$C,'community caseload'!$T$15,'caseload data'!$B:$B,{"licence","community"}))</f>
        <v>0</v>
      </c>
      <c r="AJ19" s="104">
        <f>SUM(SUMIFS('caseload data'!S:S,'caseload data'!$D:$D,"TPO",'caseload data'!$C:$C,'community caseload'!$T$15,'caseload data'!$B:$B,{"licence","community"}))</f>
        <v>0</v>
      </c>
    </row>
    <row r="20" spans="2:36" x14ac:dyDescent="0.15">
      <c r="B20" s="108" t="s">
        <v>914</v>
      </c>
      <c r="C20" s="104">
        <f>SUM(SUMIFS('caseload data'!E:E,'caseload data'!$D:$D,"SPO",'caseload data'!$C:$C,'community caseload'!$B$15,'caseload data'!$B:$B,{"licence","community"}))</f>
        <v>0</v>
      </c>
      <c r="D20" s="104">
        <f>SUM(SUMIFS('caseload data'!F:F,'caseload data'!$D:$D,"SPO",'caseload data'!$C:$C,'community caseload'!$B$15,'caseload data'!$B:$B,{"licence","community"}))</f>
        <v>0</v>
      </c>
      <c r="E20" s="104">
        <f>SUM(SUMIFS('caseload data'!G:G,'caseload data'!$D:$D,"SPO",'caseload data'!$C:$C,'community caseload'!$B$15,'caseload data'!$B:$B,{"licence","community"}))</f>
        <v>0</v>
      </c>
      <c r="F20" s="104">
        <f>SUM(SUMIFS('caseload data'!H:H,'caseload data'!$D:$D,"SPO",'caseload data'!$C:$C,'community caseload'!$B$15,'caseload data'!$B:$B,{"licence","community"}))</f>
        <v>0</v>
      </c>
      <c r="G20" s="104">
        <f>SUM(SUMIFS('caseload data'!I:I,'caseload data'!$D:$D,"SPO",'caseload data'!$C:$C,'community caseload'!$B$15,'caseload data'!$B:$B,{"licence","community"}))</f>
        <v>0</v>
      </c>
      <c r="H20" s="104">
        <f>SUM(SUMIFS('caseload data'!J:J,'caseload data'!$D:$D,"SPO",'caseload data'!$C:$C,'community caseload'!$B$15,'caseload data'!$B:$B,{"licence","community"}))</f>
        <v>0</v>
      </c>
      <c r="I20" s="104">
        <f>SUM(SUMIFS('caseload data'!K:K,'caseload data'!$D:$D,"SPO",'caseload data'!$C:$C,'community caseload'!$B$15,'caseload data'!$B:$B,{"licence","community"}))</f>
        <v>0</v>
      </c>
      <c r="J20" s="104">
        <f>SUM(SUMIFS('caseload data'!L:L,'caseload data'!$D:$D,"SPO",'caseload data'!$C:$C,'community caseload'!$B$15,'caseload data'!$B:$B,{"licence","community"}))</f>
        <v>0</v>
      </c>
      <c r="K20" s="104">
        <f>SUM(SUMIFS('caseload data'!M:M,'caseload data'!$D:$D,"SPO",'caseload data'!$C:$C,'community caseload'!$B$15,'caseload data'!$B:$B,{"licence","community"}))</f>
        <v>0</v>
      </c>
      <c r="L20" s="104">
        <f>SUM(SUMIFS('caseload data'!N:N,'caseload data'!$D:$D,"SPO",'caseload data'!$C:$C,'community caseload'!$B$15,'caseload data'!$B:$B,{"licence","community"}))</f>
        <v>0</v>
      </c>
      <c r="M20" s="104">
        <f>SUM(SUMIFS('caseload data'!O:O,'caseload data'!$D:$D,"SPO",'caseload data'!$C:$C,'community caseload'!$B$15,'caseload data'!$B:$B,{"licence","community"}))</f>
        <v>0</v>
      </c>
      <c r="N20" s="104">
        <f>SUM(SUMIFS('caseload data'!P:P,'caseload data'!$D:$D,"SPO",'caseload data'!$C:$C,'community caseload'!$B$15,'caseload data'!$B:$B,{"licence","community"}))</f>
        <v>0</v>
      </c>
      <c r="O20" s="104">
        <f>SUM(SUMIFS('caseload data'!Q:Q,'caseload data'!$D:$D,"SPO",'caseload data'!$C:$C,'community caseload'!$B$15,'caseload data'!$B:$B,{"licence","community"}))</f>
        <v>0</v>
      </c>
      <c r="P20" s="104">
        <f>SUM(SUMIFS('caseload data'!R:R,'caseload data'!$D:$D,"SPO",'caseload data'!$C:$C,'community caseload'!$B$15,'caseload data'!$B:$B,{"licence","community"}))</f>
        <v>0</v>
      </c>
      <c r="Q20" s="104">
        <f>SUM(SUMIFS('caseload data'!S:S,'caseload data'!$D:$D,"SPO",'caseload data'!$C:$C,'community caseload'!$B$15,'caseload data'!$B:$B,{"licence","community"}))</f>
        <v>0</v>
      </c>
      <c r="R20" s="104">
        <f>SUM(SUMIFS('caseload data'!T:T,'caseload data'!$D:$D,"SPO",'caseload data'!$C:$C,'community caseload'!$B$15,'caseload data'!$B:$B,{"licence","community"}))</f>
        <v>0</v>
      </c>
      <c r="S20" s="73"/>
      <c r="T20" s="108" t="s">
        <v>914</v>
      </c>
      <c r="U20" s="104">
        <f>SUM(SUMIFS('caseload data'!E:E,'caseload data'!$D:$D,"SPO",'caseload data'!$C:$C,'community caseload'!$T$15,'caseload data'!$B:$B,{"licence","community"}))</f>
        <v>0</v>
      </c>
      <c r="V20" s="104"/>
      <c r="W20" s="104"/>
      <c r="X20" s="104"/>
      <c r="Y20" s="104"/>
      <c r="Z20" s="104"/>
      <c r="AA20" s="104"/>
      <c r="AB20" s="104"/>
      <c r="AC20" s="104"/>
      <c r="AD20" s="104"/>
      <c r="AE20" s="104">
        <f>SUM(SUMIFS('caseload data'!J:J,'caseload data'!$D:$D,"SPO",'caseload data'!$C:$C,'community caseload'!$T$15,'caseload data'!$B:$B,{"licence","community"}))</f>
        <v>0</v>
      </c>
      <c r="AF20" s="104">
        <f>SUM(SUMIFS('caseload data'!K:K,'caseload data'!$D:$D,"SPO",'caseload data'!$C:$C,'community caseload'!$T$15,'caseload data'!$B:$B,{"licence","community"}))</f>
        <v>0</v>
      </c>
      <c r="AG20" s="104">
        <f>SUM(SUMIFS('caseload data'!N:N,'caseload data'!$D:$D,"SPO",'caseload data'!$C:$C,'community caseload'!$T$15,'caseload data'!$B:$B,{"licence","community"}))</f>
        <v>0</v>
      </c>
      <c r="AH20" s="104">
        <f>SUM(SUMIFS('caseload data'!O:O,'caseload data'!$D:$D,"SPO",'caseload data'!$C:$C,'community caseload'!$T$15,'caseload data'!$B:$B,{"licence","community"}))</f>
        <v>0</v>
      </c>
      <c r="AI20" s="104">
        <f>SUM(SUMIFS('caseload data'!R:R,'caseload data'!$D:$D,"SPO",'caseload data'!$C:$C,'community caseload'!$T$15,'caseload data'!$B:$B,{"licence","community"}))</f>
        <v>0</v>
      </c>
      <c r="AJ20" s="104">
        <f>SUM(SUMIFS('caseload data'!S:S,'caseload data'!$D:$D,"SPO",'caseload data'!$C:$C,'community caseload'!$T$15,'caseload data'!$B:$B,{"licence","community"}))</f>
        <v>0</v>
      </c>
    </row>
    <row r="21" spans="2:36" x14ac:dyDescent="0.15">
      <c r="B21" s="101"/>
      <c r="C21" s="73"/>
      <c r="D21" s="73"/>
      <c r="E21" s="73"/>
      <c r="F21" s="73"/>
      <c r="G21" s="73"/>
      <c r="H21" s="73"/>
      <c r="I21" s="73"/>
      <c r="J21" s="73"/>
      <c r="K21" s="73"/>
      <c r="L21" s="73"/>
      <c r="M21" s="73"/>
      <c r="N21" s="73"/>
      <c r="O21" s="73"/>
      <c r="P21" s="73"/>
      <c r="Q21" s="73"/>
      <c r="R21" s="73"/>
      <c r="S21" s="73"/>
      <c r="T21" s="101"/>
      <c r="U21" s="73"/>
      <c r="V21" s="73"/>
      <c r="W21" s="73"/>
      <c r="X21" s="73"/>
      <c r="Y21" s="73"/>
      <c r="Z21" s="73"/>
      <c r="AA21" s="73"/>
      <c r="AB21" s="73"/>
      <c r="AC21" s="73"/>
      <c r="AD21" s="73"/>
      <c r="AE21" s="73"/>
      <c r="AF21" s="73"/>
      <c r="AG21" s="73"/>
      <c r="AH21" s="73"/>
      <c r="AI21" s="73"/>
      <c r="AJ21" s="73"/>
    </row>
    <row r="22" spans="2:36" ht="51.75" customHeight="1" x14ac:dyDescent="0.15">
      <c r="B22" s="156" t="str">
        <f>HLOOKUP($B$5,Region_Table,6,0)</f>
        <v>Corporate Services - N07</v>
      </c>
      <c r="C22" s="367" t="s">
        <v>1167</v>
      </c>
      <c r="D22" s="368"/>
      <c r="E22" s="368"/>
      <c r="F22" s="368"/>
      <c r="G22" s="368"/>
      <c r="H22" s="368"/>
      <c r="I22" s="368"/>
      <c r="J22" s="368"/>
      <c r="K22" s="368"/>
      <c r="L22" s="368"/>
      <c r="M22" s="377"/>
      <c r="N22" s="377"/>
      <c r="O22" s="378"/>
      <c r="P22" s="371" cm="1">
        <f t="array" ref="P22">SUM(SUMIFS('caseload data'!V:V,'caseload data'!B:B,{"licence","community"},'caseload data'!$C:$C,'community caseload'!B22))</f>
        <v>0</v>
      </c>
      <c r="Q22" s="379"/>
      <c r="R22" s="380"/>
      <c r="S22" s="73"/>
      <c r="T22" s="156" t="str">
        <f>HLOOKUP($B$5,Region_Table,7,0)</f>
        <v>Croydon - N07</v>
      </c>
      <c r="U22" s="367" t="s">
        <v>1167</v>
      </c>
      <c r="V22" s="368"/>
      <c r="W22" s="368"/>
      <c r="X22" s="368"/>
      <c r="Y22" s="368"/>
      <c r="Z22" s="368"/>
      <c r="AA22" s="368"/>
      <c r="AB22" s="368"/>
      <c r="AC22" s="368"/>
      <c r="AD22" s="368"/>
      <c r="AE22" s="377"/>
      <c r="AF22" s="377"/>
      <c r="AG22" s="378"/>
      <c r="AH22" s="371" cm="1">
        <f t="array" ref="AH22">SUM(SUMIFS('caseload data'!V:V,'caseload data'!B:B,{"licence","community"},'caseload data'!$C:$C,'community caseload'!T22))</f>
        <v>0</v>
      </c>
      <c r="AI22" s="379"/>
      <c r="AJ22" s="380"/>
    </row>
    <row r="23" spans="2:36" x14ac:dyDescent="0.15">
      <c r="B23" s="105" t="s">
        <v>1065</v>
      </c>
      <c r="C23" s="41" t="s">
        <v>922</v>
      </c>
      <c r="D23" s="41" t="s">
        <v>923</v>
      </c>
      <c r="E23" s="41" t="s">
        <v>924</v>
      </c>
      <c r="F23" s="41" t="s">
        <v>925</v>
      </c>
      <c r="G23" s="41" t="s">
        <v>926</v>
      </c>
      <c r="H23" s="41" t="s">
        <v>927</v>
      </c>
      <c r="I23" s="41" t="s">
        <v>928</v>
      </c>
      <c r="J23" s="41" t="s">
        <v>929</v>
      </c>
      <c r="K23" s="41" t="s">
        <v>930</v>
      </c>
      <c r="L23" s="41" t="s">
        <v>931</v>
      </c>
      <c r="M23" s="41" t="s">
        <v>932</v>
      </c>
      <c r="N23" s="41" t="s">
        <v>933</v>
      </c>
      <c r="O23" s="41" t="s">
        <v>934</v>
      </c>
      <c r="P23" s="41" t="s">
        <v>935</v>
      </c>
      <c r="Q23" s="41" t="s">
        <v>936</v>
      </c>
      <c r="R23" s="41" t="s">
        <v>937</v>
      </c>
      <c r="S23" s="73"/>
      <c r="T23" s="105" t="s">
        <v>1065</v>
      </c>
      <c r="U23" s="41" t="s">
        <v>922</v>
      </c>
      <c r="V23" s="41" t="s">
        <v>923</v>
      </c>
      <c r="W23" s="41" t="s">
        <v>924</v>
      </c>
      <c r="X23" s="41" t="s">
        <v>925</v>
      </c>
      <c r="Y23" s="41" t="s">
        <v>926</v>
      </c>
      <c r="Z23" s="41" t="s">
        <v>927</v>
      </c>
      <c r="AA23" s="41" t="s">
        <v>928</v>
      </c>
      <c r="AB23" s="41" t="s">
        <v>929</v>
      </c>
      <c r="AC23" s="41" t="s">
        <v>930</v>
      </c>
      <c r="AD23" s="41" t="s">
        <v>931</v>
      </c>
      <c r="AE23" s="41" t="s">
        <v>932</v>
      </c>
      <c r="AF23" s="41" t="s">
        <v>933</v>
      </c>
      <c r="AG23" s="41" t="s">
        <v>934</v>
      </c>
      <c r="AH23" s="41" t="s">
        <v>935</v>
      </c>
      <c r="AI23" s="41" t="s">
        <v>936</v>
      </c>
      <c r="AJ23" s="41" t="s">
        <v>937</v>
      </c>
    </row>
    <row r="24" spans="2:36" x14ac:dyDescent="0.15">
      <c r="B24" s="106" t="s">
        <v>911</v>
      </c>
      <c r="C24" s="104">
        <f>SUM(SUMIFS('caseload data'!E:E,'caseload data'!$D:$D,"PO",'caseload data'!$C:$C,'community caseload'!$B$22,'caseload data'!$B:$B,{"licence","community"}))</f>
        <v>0</v>
      </c>
      <c r="D24" s="104">
        <f>SUM(SUMIFS('caseload data'!F:F,'caseload data'!$D:$D,"PO",'caseload data'!$C:$C,'community caseload'!$B$22,'caseload data'!$B:$B,{"licence","community"}))</f>
        <v>0</v>
      </c>
      <c r="E24" s="104">
        <f>SUM(SUMIFS('caseload data'!G:G,'caseload data'!$D:$D,"PO",'caseload data'!$C:$C,'community caseload'!$B$22,'caseload data'!$B:$B,{"licence","community"}))</f>
        <v>0</v>
      </c>
      <c r="F24" s="104">
        <f>SUM(SUMIFS('caseload data'!H:H,'caseload data'!$D:$D,"PO",'caseload data'!$C:$C,'community caseload'!$B$22,'caseload data'!$B:$B,{"licence","community"}))</f>
        <v>0</v>
      </c>
      <c r="G24" s="104">
        <f>SUM(SUMIFS('caseload data'!I:I,'caseload data'!$D:$D,"PO",'caseload data'!$C:$C,'community caseload'!$B$22,'caseload data'!$B:$B,{"licence","community"}))</f>
        <v>0</v>
      </c>
      <c r="H24" s="104">
        <f>SUM(SUMIFS('caseload data'!J:J,'caseload data'!$D:$D,"PO",'caseload data'!$C:$C,'community caseload'!$B$22,'caseload data'!$B:$B,{"licence","community"}))</f>
        <v>0</v>
      </c>
      <c r="I24" s="104">
        <f>SUM(SUMIFS('caseload data'!K:K,'caseload data'!$D:$D,"PO",'caseload data'!$C:$C,'community caseload'!$B$22,'caseload data'!$B:$B,{"licence","community"}))</f>
        <v>0</v>
      </c>
      <c r="J24" s="104">
        <f>SUM(SUMIFS('caseload data'!L:L,'caseload data'!$D:$D,"PO",'caseload data'!$C:$C,'community caseload'!$B$22,'caseload data'!$B:$B,{"licence","community"}))</f>
        <v>0</v>
      </c>
      <c r="K24" s="104">
        <f>SUM(SUMIFS('caseload data'!M:M,'caseload data'!$D:$D,"PO",'caseload data'!$C:$C,'community caseload'!$B$22,'caseload data'!$B:$B,{"licence","community"}))</f>
        <v>0</v>
      </c>
      <c r="L24" s="104">
        <f>SUM(SUMIFS('caseload data'!N:N,'caseload data'!$D:$D,"PO",'caseload data'!$C:$C,'community caseload'!$B$22,'caseload data'!$B:$B,{"licence","community"}))</f>
        <v>0</v>
      </c>
      <c r="M24" s="104">
        <f>SUM(SUMIFS('caseload data'!O:O,'caseload data'!$D:$D,"PO",'caseload data'!$C:$C,'community caseload'!$B$22,'caseload data'!$B:$B,{"licence","community"}))</f>
        <v>0</v>
      </c>
      <c r="N24" s="104">
        <f>SUM(SUMIFS('caseload data'!P:P,'caseload data'!$D:$D,"PO",'caseload data'!$C:$C,'community caseload'!$B$22,'caseload data'!$B:$B,{"licence","community"}))</f>
        <v>0</v>
      </c>
      <c r="O24" s="104">
        <f>SUM(SUMIFS('caseload data'!Q:Q,'caseload data'!$D:$D,"PO",'caseload data'!$C:$C,'community caseload'!$B$22,'caseload data'!$B:$B,{"licence","community"}))</f>
        <v>0</v>
      </c>
      <c r="P24" s="104">
        <f>SUM(SUMIFS('caseload data'!R:R,'caseload data'!$D:$D,"PO",'caseload data'!$C:$C,'community caseload'!$B$22,'caseload data'!$B:$B,{"licence","community"}))</f>
        <v>0</v>
      </c>
      <c r="Q24" s="104">
        <f>SUM(SUMIFS('caseload data'!S:S,'caseload data'!$D:$D,"PO",'caseload data'!$C:$C,'community caseload'!$B$22,'caseload data'!$B:$B,{"licence","community"}))</f>
        <v>0</v>
      </c>
      <c r="R24" s="104">
        <f>SUM(SUMIFS('caseload data'!T:T,'caseload data'!$D:$D,"PO",'caseload data'!$C:$C,'community caseload'!$B$22,'caseload data'!$B:$B,{"licence","community"}))</f>
        <v>0</v>
      </c>
      <c r="S24" s="73"/>
      <c r="T24" s="106" t="s">
        <v>911</v>
      </c>
      <c r="U24" s="104">
        <f>SUM(SUMIFS('caseload data'!E:E,'caseload data'!$D:$D,"PO",'caseload data'!$C:$C,'community caseload'!$T$22,'caseload data'!$B:$B,{"licence","community"}))</f>
        <v>0</v>
      </c>
      <c r="V24" s="104">
        <f>SUM(SUMIFS('caseload data'!F:F,'caseload data'!$D:$D,"PO",'caseload data'!$C:$C,'community caseload'!$T$22,'caseload data'!$B:$B,{"licence","community"}))</f>
        <v>0</v>
      </c>
      <c r="W24" s="104">
        <f>SUM(SUMIFS('caseload data'!G:G,'caseload data'!$D:$D,"PO",'caseload data'!$C:$C,'community caseload'!$T$22,'caseload data'!$B:$B,{"licence","community"}))</f>
        <v>0</v>
      </c>
      <c r="X24" s="104">
        <f>SUM(SUMIFS('caseload data'!H:H,'caseload data'!$D:$D,"PO",'caseload data'!$C:$C,'community caseload'!$T$22,'caseload data'!$B:$B,{"licence","community"}))</f>
        <v>0</v>
      </c>
      <c r="Y24" s="104">
        <f>SUM(SUMIFS('caseload data'!I:I,'caseload data'!$D:$D,"PO",'caseload data'!$C:$C,'community caseload'!$T$22,'caseload data'!$B:$B,{"licence","community"}))</f>
        <v>0</v>
      </c>
      <c r="Z24" s="104">
        <f>SUM(SUMIFS('caseload data'!J:J,'caseload data'!$D:$D,"PO",'caseload data'!$C:$C,'community caseload'!$T$22,'caseload data'!$B:$B,{"licence","community"}))</f>
        <v>0</v>
      </c>
      <c r="AA24" s="104">
        <f>SUM(SUMIFS('caseload data'!K:K,'caseload data'!$D:$D,"PO",'caseload data'!$C:$C,'community caseload'!$T$22,'caseload data'!$B:$B,{"licence","community"}))</f>
        <v>0</v>
      </c>
      <c r="AB24" s="104">
        <f>SUM(SUMIFS('caseload data'!L:L,'caseload data'!$D:$D,"PO",'caseload data'!$C:$C,'community caseload'!$T$22,'caseload data'!$B:$B,{"licence","community"}))</f>
        <v>0</v>
      </c>
      <c r="AC24" s="104">
        <f>SUM(SUMIFS('caseload data'!M:M,'caseload data'!$D:$D,"PO",'caseload data'!$C:$C,'community caseload'!$T$22,'caseload data'!$B:$B,{"licence","community"}))</f>
        <v>0</v>
      </c>
      <c r="AD24" s="104">
        <f>SUM(SUMIFS('caseload data'!N:N,'caseload data'!$D:$D,"PO",'caseload data'!$C:$C,'community caseload'!$T$22,'caseload data'!$B:$B,{"licence","community"}))</f>
        <v>0</v>
      </c>
      <c r="AE24" s="104">
        <f>SUM(SUMIFS('caseload data'!O:O,'caseload data'!$D:$D,"PO",'caseload data'!$C:$C,'community caseload'!$T$22,'caseload data'!$B:$B,{"licence","community"}))</f>
        <v>0</v>
      </c>
      <c r="AF24" s="104">
        <f>SUM(SUMIFS('caseload data'!P:P,'caseload data'!$D:$D,"PO",'caseload data'!$C:$C,'community caseload'!$T$22,'caseload data'!$B:$B,{"licence","community"}))</f>
        <v>0</v>
      </c>
      <c r="AG24" s="104">
        <f>SUM(SUMIFS('caseload data'!Q:Q,'caseload data'!$D:$D,"PO",'caseload data'!$C:$C,'community caseload'!$T$22,'caseload data'!$B:$B,{"licence","community"}))</f>
        <v>0</v>
      </c>
      <c r="AH24" s="104">
        <f>SUM(SUMIFS('caseload data'!R:R,'caseload data'!$D:$D,"PO",'caseload data'!$C:$C,'community caseload'!$T$22,'caseload data'!$B:$B,{"licence","community"}))</f>
        <v>0</v>
      </c>
      <c r="AI24" s="104">
        <f>SUM(SUMIFS('caseload data'!S:S,'caseload data'!$D:$D,"PO",'caseload data'!$C:$C,'community caseload'!$T$22,'caseload data'!$B:$B,{"licence","community"}))</f>
        <v>0</v>
      </c>
      <c r="AJ24" s="104">
        <f>SUM(SUMIFS('caseload data'!T:T,'caseload data'!$D:$D,"PO",'caseload data'!$C:$C,'community caseload'!$T$22,'caseload data'!$B:$B,{"licence","community"}))</f>
        <v>0</v>
      </c>
    </row>
    <row r="25" spans="2:36" x14ac:dyDescent="0.15">
      <c r="B25" s="107" t="s">
        <v>912</v>
      </c>
      <c r="C25" s="104">
        <f>SUM(SUMIFS('caseload data'!E:E,'caseload data'!$D:$D,"PSO",'caseload data'!$C:$C,'community caseload'!$B$22,'caseload data'!$B:$B,{"licence","community"}))</f>
        <v>0</v>
      </c>
      <c r="D25" s="104">
        <f>SUM(SUMIFS('caseload data'!F:F,'caseload data'!$D:$D,"PSO",'caseload data'!$C:$C,'community caseload'!$B$22,'caseload data'!$B:$B,{"licence","community"}))</f>
        <v>0</v>
      </c>
      <c r="E25" s="104">
        <f>SUM(SUMIFS('caseload data'!G:G,'caseload data'!$D:$D,"PSO",'caseload data'!$C:$C,'community caseload'!$B$22,'caseload data'!$B:$B,{"licence","community"}))</f>
        <v>0</v>
      </c>
      <c r="F25" s="104">
        <f>SUM(SUMIFS('caseload data'!H:H,'caseload data'!$D:$D,"PSO",'caseload data'!$C:$C,'community caseload'!$B$22,'caseload data'!$B:$B,{"licence","community"}))</f>
        <v>0</v>
      </c>
      <c r="G25" s="104">
        <f>SUM(SUMIFS('caseload data'!I:I,'caseload data'!$D:$D,"PSO",'caseload data'!$C:$C,'community caseload'!$B$22,'caseload data'!$B:$B,{"licence","community"}))</f>
        <v>0</v>
      </c>
      <c r="H25" s="104">
        <f>SUM(SUMIFS('caseload data'!J:J,'caseload data'!$D:$D,"PSO",'caseload data'!$C:$C,'community caseload'!$B$22,'caseload data'!$B:$B,{"licence","community"}))</f>
        <v>0</v>
      </c>
      <c r="I25" s="104">
        <f>SUM(SUMIFS('caseload data'!K:K,'caseload data'!$D:$D,"PSO",'caseload data'!$C:$C,'community caseload'!$B$22,'caseload data'!$B:$B,{"licence","community"}))</f>
        <v>0</v>
      </c>
      <c r="J25" s="104">
        <f>SUM(SUMIFS('caseload data'!L:L,'caseload data'!$D:$D,"PSO",'caseload data'!$C:$C,'community caseload'!$B$22,'caseload data'!$B:$B,{"licence","community"}))</f>
        <v>0</v>
      </c>
      <c r="K25" s="104">
        <f>SUM(SUMIFS('caseload data'!M:M,'caseload data'!$D:$D,"PSO",'caseload data'!$C:$C,'community caseload'!$B$22,'caseload data'!$B:$B,{"licence","community"}))</f>
        <v>0</v>
      </c>
      <c r="L25" s="104">
        <f>SUM(SUMIFS('caseload data'!N:N,'caseload data'!$D:$D,"PSO",'caseload data'!$C:$C,'community caseload'!$B$22,'caseload data'!$B:$B,{"licence","community"}))</f>
        <v>0</v>
      </c>
      <c r="M25" s="104">
        <f>SUM(SUMIFS('caseload data'!O:O,'caseload data'!$D:$D,"PSO",'caseload data'!$C:$C,'community caseload'!$B$22,'caseload data'!$B:$B,{"licence","community"}))</f>
        <v>0</v>
      </c>
      <c r="N25" s="104">
        <f>SUM(SUMIFS('caseload data'!P:P,'caseload data'!$D:$D,"PSO",'caseload data'!$C:$C,'community caseload'!$B$22,'caseload data'!$B:$B,{"licence","community"}))</f>
        <v>0</v>
      </c>
      <c r="O25" s="104">
        <f>SUM(SUMIFS('caseload data'!Q:Q,'caseload data'!$D:$D,"PSO",'caseload data'!$C:$C,'community caseload'!$B$22,'caseload data'!$B:$B,{"licence","community"}))</f>
        <v>0</v>
      </c>
      <c r="P25" s="104">
        <f>SUM(SUMIFS('caseload data'!R:R,'caseload data'!$D:$D,"PSO",'caseload data'!$C:$C,'community caseload'!$B$22,'caseload data'!$B:$B,{"licence","community"}))</f>
        <v>0</v>
      </c>
      <c r="Q25" s="104">
        <f>SUM(SUMIFS('caseload data'!S:S,'caseload data'!$D:$D,"PSO",'caseload data'!$C:$C,'community caseload'!$B$22,'caseload data'!$B:$B,{"licence","community"}))</f>
        <v>0</v>
      </c>
      <c r="R25" s="104">
        <f>SUM(SUMIFS('caseload data'!T:T,'caseload data'!$D:$D,"PSO",'caseload data'!$C:$C,'community caseload'!$B$22,'caseload data'!$B:$B,{"licence","community"}))</f>
        <v>0</v>
      </c>
      <c r="S25" s="73"/>
      <c r="T25" s="107" t="s">
        <v>912</v>
      </c>
      <c r="U25" s="104">
        <f>SUM(SUMIFS('caseload data'!E:E,'caseload data'!$D:$D,"PSO",'caseload data'!$C:$C,'community caseload'!$T$22,'caseload data'!$B:$B,{"licence","community"}))</f>
        <v>0</v>
      </c>
      <c r="V25" s="104">
        <f>SUM(SUMIFS('caseload data'!F:F,'caseload data'!$D:$D,"PSO",'caseload data'!$C:$C,'community caseload'!$T$22,'caseload data'!$B:$B,{"licence","community"}))</f>
        <v>0</v>
      </c>
      <c r="W25" s="104">
        <f>SUM(SUMIFS('caseload data'!G:G,'caseload data'!$D:$D,"PSO",'caseload data'!$C:$C,'community caseload'!$T$22,'caseload data'!$B:$B,{"licence","community"}))</f>
        <v>0</v>
      </c>
      <c r="X25" s="104">
        <f>SUM(SUMIFS('caseload data'!H:H,'caseload data'!$D:$D,"PSO",'caseload data'!$C:$C,'community caseload'!$T$22,'caseload data'!$B:$B,{"licence","community"}))</f>
        <v>0</v>
      </c>
      <c r="Y25" s="104">
        <f>SUM(SUMIFS('caseload data'!I:I,'caseload data'!$D:$D,"PSO",'caseload data'!$C:$C,'community caseload'!$T$22,'caseload data'!$B:$B,{"licence","community"}))</f>
        <v>0</v>
      </c>
      <c r="Z25" s="104">
        <f>SUM(SUMIFS('caseload data'!J:J,'caseload data'!$D:$D,"PSO",'caseload data'!$C:$C,'community caseload'!$T$22,'caseload data'!$B:$B,{"licence","community"}))</f>
        <v>0</v>
      </c>
      <c r="AA25" s="104">
        <f>SUM(SUMIFS('caseload data'!K:K,'caseload data'!$D:$D,"PSO",'caseload data'!$C:$C,'community caseload'!$T$22,'caseload data'!$B:$B,{"licence","community"}))</f>
        <v>0</v>
      </c>
      <c r="AB25" s="104">
        <f>SUM(SUMIFS('caseload data'!L:L,'caseload data'!$D:$D,"PSO",'caseload data'!$C:$C,'community caseload'!$T$22,'caseload data'!$B:$B,{"licence","community"}))</f>
        <v>0</v>
      </c>
      <c r="AC25" s="104">
        <f>SUM(SUMIFS('caseload data'!M:M,'caseload data'!$D:$D,"PSO",'caseload data'!$C:$C,'community caseload'!$T$22,'caseload data'!$B:$B,{"licence","community"}))</f>
        <v>0</v>
      </c>
      <c r="AD25" s="104">
        <f>SUM(SUMIFS('caseload data'!N:N,'caseload data'!$D:$D,"PSO",'caseload data'!$C:$C,'community caseload'!$T$22,'caseload data'!$B:$B,{"licence","community"}))</f>
        <v>0</v>
      </c>
      <c r="AE25" s="104">
        <f>SUM(SUMIFS('caseload data'!O:O,'caseload data'!$D:$D,"PSO",'caseload data'!$C:$C,'community caseload'!$T$22,'caseload data'!$B:$B,{"licence","community"}))</f>
        <v>0</v>
      </c>
      <c r="AF25" s="104">
        <f>SUM(SUMIFS('caseload data'!P:P,'caseload data'!$D:$D,"PSO",'caseload data'!$C:$C,'community caseload'!$T$22,'caseload data'!$B:$B,{"licence","community"}))</f>
        <v>0</v>
      </c>
      <c r="AG25" s="104">
        <f>SUM(SUMIFS('caseload data'!Q:Q,'caseload data'!$D:$D,"PSO",'caseload data'!$C:$C,'community caseload'!$T$22,'caseload data'!$B:$B,{"licence","community"}))</f>
        <v>0</v>
      </c>
      <c r="AH25" s="104">
        <f>SUM(SUMIFS('caseload data'!R:R,'caseload data'!$D:$D,"PSO",'caseload data'!$C:$C,'community caseload'!$T$22,'caseload data'!$B:$B,{"licence","community"}))</f>
        <v>0</v>
      </c>
      <c r="AI25" s="104">
        <f>SUM(SUMIFS('caseload data'!S:S,'caseload data'!$D:$D,"PSO",'caseload data'!$C:$C,'community caseload'!$T$22,'caseload data'!$B:$B,{"licence","community"}))</f>
        <v>0</v>
      </c>
      <c r="AJ25" s="104">
        <f>SUM(SUMIFS('caseload data'!T:T,'caseload data'!$D:$D,"PSO",'caseload data'!$C:$C,'community caseload'!$T$22,'caseload data'!$B:$B,{"licence","community"}))</f>
        <v>0</v>
      </c>
    </row>
    <row r="26" spans="2:36" x14ac:dyDescent="0.15">
      <c r="B26" s="107" t="s">
        <v>913</v>
      </c>
      <c r="C26" s="104">
        <f>SUM(SUMIFS('caseload data'!E:E,'caseload data'!$D:$D,"TPO",'caseload data'!$C:$C,'community caseload'!$B$22,'caseload data'!$B:$B,{"licence","community"}))</f>
        <v>0</v>
      </c>
      <c r="D26" s="104">
        <f>SUM(SUMIFS('caseload data'!F:F,'caseload data'!$D:$D,"TPO",'caseload data'!$C:$C,'community caseload'!$B$22,'caseload data'!$B:$B,{"licence","community"}))</f>
        <v>0</v>
      </c>
      <c r="E26" s="104">
        <f>SUM(SUMIFS('caseload data'!G:G,'caseload data'!$D:$D,"TPO",'caseload data'!$C:$C,'community caseload'!$B$22,'caseload data'!$B:$B,{"licence","community"}))</f>
        <v>0</v>
      </c>
      <c r="F26" s="104">
        <f>SUM(SUMIFS('caseload data'!H:H,'caseload data'!$D:$D,"TPO",'caseload data'!$C:$C,'community caseload'!$B$22,'caseload data'!$B:$B,{"licence","community"}))</f>
        <v>0</v>
      </c>
      <c r="G26" s="104">
        <f>SUM(SUMIFS('caseload data'!I:I,'caseload data'!$D:$D,"TPO",'caseload data'!$C:$C,'community caseload'!$B$22,'caseload data'!$B:$B,{"licence","community"}))</f>
        <v>0</v>
      </c>
      <c r="H26" s="104">
        <f>SUM(SUMIFS('caseload data'!J:J,'caseload data'!$D:$D,"TPO",'caseload data'!$C:$C,'community caseload'!$B$22,'caseload data'!$B:$B,{"licence","community"}))</f>
        <v>0</v>
      </c>
      <c r="I26" s="104">
        <f>SUM(SUMIFS('caseload data'!K:K,'caseload data'!$D:$D,"TPO",'caseload data'!$C:$C,'community caseload'!$B$22,'caseload data'!$B:$B,{"licence","community"}))</f>
        <v>0</v>
      </c>
      <c r="J26" s="104">
        <f>SUM(SUMIFS('caseload data'!L:L,'caseload data'!$D:$D,"TPO",'caseload data'!$C:$C,'community caseload'!$B$22,'caseload data'!$B:$B,{"licence","community"}))</f>
        <v>0</v>
      </c>
      <c r="K26" s="104">
        <f>SUM(SUMIFS('caseload data'!M:M,'caseload data'!$D:$D,"TPO",'caseload data'!$C:$C,'community caseload'!$B$22,'caseload data'!$B:$B,{"licence","community"}))</f>
        <v>0</v>
      </c>
      <c r="L26" s="104">
        <f>SUM(SUMIFS('caseload data'!N:N,'caseload data'!$D:$D,"TPO",'caseload data'!$C:$C,'community caseload'!$B$22,'caseload data'!$B:$B,{"licence","community"}))</f>
        <v>0</v>
      </c>
      <c r="M26" s="104">
        <f>SUM(SUMIFS('caseload data'!O:O,'caseload data'!$D:$D,"TPO",'caseload data'!$C:$C,'community caseload'!$B$22,'caseload data'!$B:$B,{"licence","community"}))</f>
        <v>0</v>
      </c>
      <c r="N26" s="104">
        <f>SUM(SUMIFS('caseload data'!P:P,'caseload data'!$D:$D,"TPO",'caseload data'!$C:$C,'community caseload'!$B$22,'caseload data'!$B:$B,{"licence","community"}))</f>
        <v>0</v>
      </c>
      <c r="O26" s="104">
        <f>SUM(SUMIFS('caseload data'!Q:Q,'caseload data'!$D:$D,"TPO",'caseload data'!$C:$C,'community caseload'!$B$22,'caseload data'!$B:$B,{"licence","community"}))</f>
        <v>0</v>
      </c>
      <c r="P26" s="104">
        <f>SUM(SUMIFS('caseload data'!R:R,'caseload data'!$D:$D,"TPO",'caseload data'!$C:$C,'community caseload'!$B$22,'caseload data'!$B:$B,{"licence","community"}))</f>
        <v>0</v>
      </c>
      <c r="Q26" s="104">
        <f>SUM(SUMIFS('caseload data'!S:S,'caseload data'!$D:$D,"TPO",'caseload data'!$C:$C,'community caseload'!$B$22,'caseload data'!$B:$B,{"licence","community"}))</f>
        <v>0</v>
      </c>
      <c r="R26" s="104">
        <f>SUM(SUMIFS('caseload data'!T:T,'caseload data'!$D:$D,"TPO",'caseload data'!$C:$C,'community caseload'!$B$22,'caseload data'!$B:$B,{"licence","community"}))</f>
        <v>0</v>
      </c>
      <c r="S26" s="73"/>
      <c r="T26" s="107" t="s">
        <v>913</v>
      </c>
      <c r="U26" s="104">
        <f>SUM(SUMIFS('caseload data'!E:E,'caseload data'!$D:$D,"TPO",'caseload data'!$C:$C,'community caseload'!$T$22,'caseload data'!$B:$B,{"licence","community"}))</f>
        <v>0</v>
      </c>
      <c r="V26" s="104">
        <f>SUM(SUMIFS('caseload data'!F:F,'caseload data'!$D:$D,"TPO",'caseload data'!$C:$C,'community caseload'!$T$22,'caseload data'!$B:$B,{"licence","community"}))</f>
        <v>0</v>
      </c>
      <c r="W26" s="104">
        <f>SUM(SUMIFS('caseload data'!G:G,'caseload data'!$D:$D,"TPO",'caseload data'!$C:$C,'community caseload'!$T$22,'caseload data'!$B:$B,{"licence","community"}))</f>
        <v>0</v>
      </c>
      <c r="X26" s="104">
        <f>SUM(SUMIFS('caseload data'!H:H,'caseload data'!$D:$D,"TPO",'caseload data'!$C:$C,'community caseload'!$T$22,'caseload data'!$B:$B,{"licence","community"}))</f>
        <v>0</v>
      </c>
      <c r="Y26" s="104">
        <f>SUM(SUMIFS('caseload data'!I:I,'caseload data'!$D:$D,"TPO",'caseload data'!$C:$C,'community caseload'!$T$22,'caseload data'!$B:$B,{"licence","community"}))</f>
        <v>0</v>
      </c>
      <c r="Z26" s="104">
        <f>SUM(SUMIFS('caseload data'!J:J,'caseload data'!$D:$D,"TPO",'caseload data'!$C:$C,'community caseload'!$T$22,'caseload data'!$B:$B,{"licence","community"}))</f>
        <v>0</v>
      </c>
      <c r="AA26" s="104">
        <f>SUM(SUMIFS('caseload data'!K:K,'caseload data'!$D:$D,"TPO",'caseload data'!$C:$C,'community caseload'!$T$22,'caseload data'!$B:$B,{"licence","community"}))</f>
        <v>0</v>
      </c>
      <c r="AB26" s="104">
        <f>SUM(SUMIFS('caseload data'!L:L,'caseload data'!$D:$D,"TPO",'caseload data'!$C:$C,'community caseload'!$T$22,'caseload data'!$B:$B,{"licence","community"}))</f>
        <v>0</v>
      </c>
      <c r="AC26" s="104">
        <f>SUM(SUMIFS('caseload data'!M:M,'caseload data'!$D:$D,"TPO",'caseload data'!$C:$C,'community caseload'!$T$22,'caseload data'!$B:$B,{"licence","community"}))</f>
        <v>0</v>
      </c>
      <c r="AD26" s="104">
        <f>SUM(SUMIFS('caseload data'!N:N,'caseload data'!$D:$D,"TPO",'caseload data'!$C:$C,'community caseload'!$T$22,'caseload data'!$B:$B,{"licence","community"}))</f>
        <v>0</v>
      </c>
      <c r="AE26" s="104">
        <f>SUM(SUMIFS('caseload data'!O:O,'caseload data'!$D:$D,"TPO",'caseload data'!$C:$C,'community caseload'!$T$22,'caseload data'!$B:$B,{"licence","community"}))</f>
        <v>0</v>
      </c>
      <c r="AF26" s="104">
        <f>SUM(SUMIFS('caseload data'!P:P,'caseload data'!$D:$D,"TPO",'caseload data'!$C:$C,'community caseload'!$T$22,'caseload data'!$B:$B,{"licence","community"}))</f>
        <v>0</v>
      </c>
      <c r="AG26" s="104">
        <f>SUM(SUMIFS('caseload data'!Q:Q,'caseload data'!$D:$D,"TPO",'caseload data'!$C:$C,'community caseload'!$T$22,'caseload data'!$B:$B,{"licence","community"}))</f>
        <v>0</v>
      </c>
      <c r="AH26" s="104">
        <f>SUM(SUMIFS('caseload data'!R:R,'caseload data'!$D:$D,"TPO",'caseload data'!$C:$C,'community caseload'!$T$22,'caseload data'!$B:$B,{"licence","community"}))</f>
        <v>0</v>
      </c>
      <c r="AI26" s="104">
        <f>SUM(SUMIFS('caseload data'!S:S,'caseload data'!$D:$D,"TPO",'caseload data'!$C:$C,'community caseload'!$T$22,'caseload data'!$B:$B,{"licence","community"}))</f>
        <v>0</v>
      </c>
      <c r="AJ26" s="104">
        <f>SUM(SUMIFS('caseload data'!T:T,'caseload data'!$D:$D,"TPO",'caseload data'!$C:$C,'community caseload'!$T$22,'caseload data'!$B:$B,{"licence","community"}))</f>
        <v>0</v>
      </c>
    </row>
    <row r="27" spans="2:36" x14ac:dyDescent="0.15">
      <c r="B27" s="108" t="s">
        <v>914</v>
      </c>
      <c r="C27" s="104">
        <f>SUM(SUMIFS('caseload data'!E:E,'caseload data'!$D:$D,"SPO",'caseload data'!$C:$C,'community caseload'!$B$22,'caseload data'!$B:$B,{"licence","community"}))</f>
        <v>0</v>
      </c>
      <c r="D27" s="104">
        <f>SUM(SUMIFS('caseload data'!F:F,'caseload data'!$D:$D,"SPO",'caseload data'!$C:$C,'community caseload'!$B$22,'caseload data'!$B:$B,{"licence","community"}))</f>
        <v>0</v>
      </c>
      <c r="E27" s="104">
        <f>SUM(SUMIFS('caseload data'!G:G,'caseload data'!$D:$D,"SPO",'caseload data'!$C:$C,'community caseload'!$B$22,'caseload data'!$B:$B,{"licence","community"}))</f>
        <v>0</v>
      </c>
      <c r="F27" s="104">
        <f>SUM(SUMIFS('caseload data'!H:H,'caseload data'!$D:$D,"SPO",'caseload data'!$C:$C,'community caseload'!$B$22,'caseload data'!$B:$B,{"licence","community"}))</f>
        <v>0</v>
      </c>
      <c r="G27" s="104">
        <f>SUM(SUMIFS('caseload data'!I:I,'caseload data'!$D:$D,"SPO",'caseload data'!$C:$C,'community caseload'!$B$22,'caseload data'!$B:$B,{"licence","community"}))</f>
        <v>0</v>
      </c>
      <c r="H27" s="104">
        <f>SUM(SUMIFS('caseload data'!J:J,'caseload data'!$D:$D,"SPO",'caseload data'!$C:$C,'community caseload'!$B$22,'caseload data'!$B:$B,{"licence","community"}))</f>
        <v>0</v>
      </c>
      <c r="I27" s="104">
        <f>SUM(SUMIFS('caseload data'!K:K,'caseload data'!$D:$D,"SPO",'caseload data'!$C:$C,'community caseload'!$B$22,'caseload data'!$B:$B,{"licence","community"}))</f>
        <v>0</v>
      </c>
      <c r="J27" s="104">
        <f>SUM(SUMIFS('caseload data'!L:L,'caseload data'!$D:$D,"SPO",'caseload data'!$C:$C,'community caseload'!$B$22,'caseload data'!$B:$B,{"licence","community"}))</f>
        <v>0</v>
      </c>
      <c r="K27" s="104">
        <f>SUM(SUMIFS('caseload data'!M:M,'caseload data'!$D:$D,"SPO",'caseload data'!$C:$C,'community caseload'!$B$22,'caseload data'!$B:$B,{"licence","community"}))</f>
        <v>0</v>
      </c>
      <c r="L27" s="104">
        <f>SUM(SUMIFS('caseload data'!N:N,'caseload data'!$D:$D,"SPO",'caseload data'!$C:$C,'community caseload'!$B$22,'caseload data'!$B:$B,{"licence","community"}))</f>
        <v>0</v>
      </c>
      <c r="M27" s="104">
        <f>SUM(SUMIFS('caseload data'!O:O,'caseload data'!$D:$D,"SPO",'caseload data'!$C:$C,'community caseload'!$B$22,'caseload data'!$B:$B,{"licence","community"}))</f>
        <v>0</v>
      </c>
      <c r="N27" s="104">
        <f>SUM(SUMIFS('caseload data'!P:P,'caseload data'!$D:$D,"SPO",'caseload data'!$C:$C,'community caseload'!$B$22,'caseload data'!$B:$B,{"licence","community"}))</f>
        <v>0</v>
      </c>
      <c r="O27" s="104">
        <f>SUM(SUMIFS('caseload data'!Q:Q,'caseload data'!$D:$D,"SPO",'caseload data'!$C:$C,'community caseload'!$B$22,'caseload data'!$B:$B,{"licence","community"}))</f>
        <v>0</v>
      </c>
      <c r="P27" s="104">
        <f>SUM(SUMIFS('caseload data'!R:R,'caseload data'!$D:$D,"SPO",'caseload data'!$C:$C,'community caseload'!$B$22,'caseload data'!$B:$B,{"licence","community"}))</f>
        <v>0</v>
      </c>
      <c r="Q27" s="104">
        <f>SUM(SUMIFS('caseload data'!S:S,'caseload data'!$D:$D,"SPO",'caseload data'!$C:$C,'community caseload'!$B$22,'caseload data'!$B:$B,{"licence","community"}))</f>
        <v>0</v>
      </c>
      <c r="R27" s="104">
        <f>SUM(SUMIFS('caseload data'!T:T,'caseload data'!$D:$D,"SPO",'caseload data'!$C:$C,'community caseload'!$B$22,'caseload data'!$B:$B,{"licence","community"}))</f>
        <v>0</v>
      </c>
      <c r="S27" s="73"/>
      <c r="T27" s="108" t="s">
        <v>914</v>
      </c>
      <c r="U27" s="104">
        <f>SUM(SUMIFS('caseload data'!E:E,'caseload data'!$D:$D,"SPO",'caseload data'!$C:$C,'community caseload'!$T$22,'caseload data'!$B:$B,{"licence","community"}))</f>
        <v>0</v>
      </c>
      <c r="V27" s="104">
        <f>SUM(SUMIFS('caseload data'!F:F,'caseload data'!$D:$D,"SPO",'caseload data'!$C:$C,'community caseload'!$T$22,'caseload data'!$B:$B,{"licence","community"}))</f>
        <v>0</v>
      </c>
      <c r="W27" s="104">
        <f>SUM(SUMIFS('caseload data'!G:G,'caseload data'!$D:$D,"SPO",'caseload data'!$C:$C,'community caseload'!$T$22,'caseload data'!$B:$B,{"licence","community"}))</f>
        <v>0</v>
      </c>
      <c r="X27" s="104">
        <f>SUM(SUMIFS('caseload data'!H:H,'caseload data'!$D:$D,"SPO",'caseload data'!$C:$C,'community caseload'!$T$22,'caseload data'!$B:$B,{"licence","community"}))</f>
        <v>0</v>
      </c>
      <c r="Y27" s="104">
        <f>SUM(SUMIFS('caseload data'!I:I,'caseload data'!$D:$D,"SPO",'caseload data'!$C:$C,'community caseload'!$T$22,'caseload data'!$B:$B,{"licence","community"}))</f>
        <v>0</v>
      </c>
      <c r="Z27" s="104">
        <f>SUM(SUMIFS('caseload data'!J:J,'caseload data'!$D:$D,"SPO",'caseload data'!$C:$C,'community caseload'!$T$22,'caseload data'!$B:$B,{"licence","community"}))</f>
        <v>0</v>
      </c>
      <c r="AA27" s="104">
        <f>SUM(SUMIFS('caseload data'!K:K,'caseload data'!$D:$D,"SPO",'caseload data'!$C:$C,'community caseload'!$T$22,'caseload data'!$B:$B,{"licence","community"}))</f>
        <v>0</v>
      </c>
      <c r="AB27" s="104">
        <f>SUM(SUMIFS('caseload data'!L:L,'caseload data'!$D:$D,"SPO",'caseload data'!$C:$C,'community caseload'!$T$22,'caseload data'!$B:$B,{"licence","community"}))</f>
        <v>0</v>
      </c>
      <c r="AC27" s="104">
        <f>SUM(SUMIFS('caseload data'!M:M,'caseload data'!$D:$D,"SPO",'caseload data'!$C:$C,'community caseload'!$T$22,'caseload data'!$B:$B,{"licence","community"}))</f>
        <v>0</v>
      </c>
      <c r="AD27" s="104">
        <f>SUM(SUMIFS('caseload data'!N:N,'caseload data'!$D:$D,"SPO",'caseload data'!$C:$C,'community caseload'!$T$22,'caseload data'!$B:$B,{"licence","community"}))</f>
        <v>0</v>
      </c>
      <c r="AE27" s="104">
        <f>SUM(SUMIFS('caseload data'!O:O,'caseload data'!$D:$D,"SPO",'caseload data'!$C:$C,'community caseload'!$T$22,'caseload data'!$B:$B,{"licence","community"}))</f>
        <v>0</v>
      </c>
      <c r="AF27" s="104">
        <f>SUM(SUMIFS('caseload data'!P:P,'caseload data'!$D:$D,"SPO",'caseload data'!$C:$C,'community caseload'!$T$22,'caseload data'!$B:$B,{"licence","community"}))</f>
        <v>0</v>
      </c>
      <c r="AG27" s="104">
        <f>SUM(SUMIFS('caseload data'!Q:Q,'caseload data'!$D:$D,"SPO",'caseload data'!$C:$C,'community caseload'!$T$22,'caseload data'!$B:$B,{"licence","community"}))</f>
        <v>0</v>
      </c>
      <c r="AH27" s="104">
        <f>SUM(SUMIFS('caseload data'!R:R,'caseload data'!$D:$D,"SPO",'caseload data'!$C:$C,'community caseload'!$T$22,'caseload data'!$B:$B,{"licence","community"}))</f>
        <v>0</v>
      </c>
      <c r="AI27" s="104">
        <f>SUM(SUMIFS('caseload data'!S:S,'caseload data'!$D:$D,"SPO",'caseload data'!$C:$C,'community caseload'!$T$22,'caseload data'!$B:$B,{"licence","community"}))</f>
        <v>0</v>
      </c>
      <c r="AJ27" s="104">
        <f>SUM(SUMIFS('caseload data'!T:T,'caseload data'!$D:$D,"SPO",'caseload data'!$C:$C,'community caseload'!$T$22,'caseload data'!$B:$B,{"licence","community"}))</f>
        <v>0</v>
      </c>
    </row>
    <row r="28" spans="2:36" x14ac:dyDescent="0.15">
      <c r="B28" s="101"/>
      <c r="C28" s="73"/>
      <c r="D28" s="73"/>
      <c r="E28" s="73"/>
      <c r="F28" s="73"/>
      <c r="G28" s="73"/>
      <c r="H28" s="73"/>
      <c r="I28" s="73"/>
      <c r="J28" s="73"/>
      <c r="K28" s="73"/>
      <c r="L28" s="73"/>
      <c r="M28" s="73"/>
      <c r="N28" s="73"/>
      <c r="O28" s="73"/>
      <c r="P28" s="73"/>
      <c r="Q28" s="73"/>
      <c r="R28" s="73"/>
      <c r="S28" s="73"/>
      <c r="T28" s="101"/>
      <c r="U28" s="73"/>
      <c r="V28" s="73"/>
      <c r="W28" s="73"/>
      <c r="X28" s="73"/>
      <c r="Y28" s="73"/>
      <c r="Z28" s="73"/>
      <c r="AA28" s="73"/>
      <c r="AB28" s="73"/>
      <c r="AC28" s="73"/>
      <c r="AD28" s="73"/>
      <c r="AE28" s="73"/>
      <c r="AF28" s="73"/>
      <c r="AG28" s="73"/>
      <c r="AH28" s="73"/>
      <c r="AI28" s="73"/>
      <c r="AJ28" s="73"/>
    </row>
    <row r="29" spans="2:36" ht="48" customHeight="1" x14ac:dyDescent="0.15">
      <c r="B29" s="156" t="str">
        <f>HLOOKUP($B$5,Region_Table,8,0)</f>
        <v>Ealing and Hillingdon</v>
      </c>
      <c r="C29" s="367" t="s">
        <v>1167</v>
      </c>
      <c r="D29" s="368"/>
      <c r="E29" s="368"/>
      <c r="F29" s="368"/>
      <c r="G29" s="368"/>
      <c r="H29" s="368"/>
      <c r="I29" s="368"/>
      <c r="J29" s="368"/>
      <c r="K29" s="368"/>
      <c r="L29" s="368"/>
      <c r="M29" s="377"/>
      <c r="N29" s="377"/>
      <c r="O29" s="378"/>
      <c r="P29" s="371" cm="1">
        <f t="array" ref="P29">SUM(SUMIFS('caseload data'!V:V,'caseload data'!B:B,{"licence","community"},'caseload data'!$C:$C,'community caseload'!B29))</f>
        <v>0</v>
      </c>
      <c r="Q29" s="379"/>
      <c r="R29" s="380"/>
      <c r="S29" s="73"/>
      <c r="T29" s="156" t="str">
        <f>HLOOKUP($B$5,Region_Table,9,0)</f>
        <v>Enfield and Haringey</v>
      </c>
      <c r="U29" s="367" t="s">
        <v>1167</v>
      </c>
      <c r="V29" s="368"/>
      <c r="W29" s="368"/>
      <c r="X29" s="368"/>
      <c r="Y29" s="368"/>
      <c r="Z29" s="368"/>
      <c r="AA29" s="368"/>
      <c r="AB29" s="368"/>
      <c r="AC29" s="368"/>
      <c r="AD29" s="368"/>
      <c r="AE29" s="377"/>
      <c r="AF29" s="377"/>
      <c r="AG29" s="378"/>
      <c r="AH29" s="371" cm="1">
        <f t="array" ref="AH29">SUM(SUMIFS('caseload data'!V:V,'caseload data'!B:B,{"licence","community"},'caseload data'!$C:$C,'community caseload'!T29))</f>
        <v>0</v>
      </c>
      <c r="AI29" s="379"/>
      <c r="AJ29" s="380"/>
    </row>
    <row r="30" spans="2:36" x14ac:dyDescent="0.15">
      <c r="B30" s="105" t="s">
        <v>1065</v>
      </c>
      <c r="C30" s="41" t="s">
        <v>922</v>
      </c>
      <c r="D30" s="41" t="s">
        <v>923</v>
      </c>
      <c r="E30" s="41" t="s">
        <v>924</v>
      </c>
      <c r="F30" s="41" t="s">
        <v>925</v>
      </c>
      <c r="G30" s="41" t="s">
        <v>926</v>
      </c>
      <c r="H30" s="41" t="s">
        <v>927</v>
      </c>
      <c r="I30" s="41" t="s">
        <v>928</v>
      </c>
      <c r="J30" s="41" t="s">
        <v>929</v>
      </c>
      <c r="K30" s="41" t="s">
        <v>930</v>
      </c>
      <c r="L30" s="41" t="s">
        <v>931</v>
      </c>
      <c r="M30" s="41" t="s">
        <v>932</v>
      </c>
      <c r="N30" s="41" t="s">
        <v>933</v>
      </c>
      <c r="O30" s="41" t="s">
        <v>934</v>
      </c>
      <c r="P30" s="41" t="s">
        <v>935</v>
      </c>
      <c r="Q30" s="41" t="s">
        <v>936</v>
      </c>
      <c r="R30" s="41" t="s">
        <v>937</v>
      </c>
      <c r="S30" s="73"/>
      <c r="T30" s="105" t="s">
        <v>1065</v>
      </c>
      <c r="U30" s="41" t="s">
        <v>922</v>
      </c>
      <c r="V30" s="41" t="s">
        <v>923</v>
      </c>
      <c r="W30" s="41" t="s">
        <v>924</v>
      </c>
      <c r="X30" s="41" t="s">
        <v>925</v>
      </c>
      <c r="Y30" s="41" t="s">
        <v>926</v>
      </c>
      <c r="Z30" s="41" t="s">
        <v>927</v>
      </c>
      <c r="AA30" s="41" t="s">
        <v>928</v>
      </c>
      <c r="AB30" s="41" t="s">
        <v>929</v>
      </c>
      <c r="AC30" s="41" t="s">
        <v>930</v>
      </c>
      <c r="AD30" s="41" t="s">
        <v>931</v>
      </c>
      <c r="AE30" s="41" t="s">
        <v>932</v>
      </c>
      <c r="AF30" s="41" t="s">
        <v>933</v>
      </c>
      <c r="AG30" s="41" t="s">
        <v>934</v>
      </c>
      <c r="AH30" s="41" t="s">
        <v>935</v>
      </c>
      <c r="AI30" s="41" t="s">
        <v>936</v>
      </c>
      <c r="AJ30" s="41" t="s">
        <v>937</v>
      </c>
    </row>
    <row r="31" spans="2:36" x14ac:dyDescent="0.15">
      <c r="B31" s="106" t="s">
        <v>911</v>
      </c>
      <c r="C31" s="104">
        <f>SUM(SUMIFS('caseload data'!E:E,'caseload data'!$D:$D,"PO",'caseload data'!$C:$C,'community caseload'!$B$29,'caseload data'!$B:$B,{"licence","community"}))</f>
        <v>0</v>
      </c>
      <c r="D31" s="104">
        <f>SUM(SUMIFS('caseload data'!F:F,'caseload data'!$D:$D,"PO",'caseload data'!$C:$C,'community caseload'!$B$29,'caseload data'!$B:$B,{"licence","community"}))</f>
        <v>0</v>
      </c>
      <c r="E31" s="104">
        <f>SUM(SUMIFS('caseload data'!G:G,'caseload data'!$D:$D,"PO",'caseload data'!$C:$C,'community caseload'!$B$29,'caseload data'!$B:$B,{"licence","community"}))</f>
        <v>0</v>
      </c>
      <c r="F31" s="104">
        <f>SUM(SUMIFS('caseload data'!H:H,'caseload data'!$D:$D,"PO",'caseload data'!$C:$C,'community caseload'!$B$29,'caseload data'!$B:$B,{"licence","community"}))</f>
        <v>0</v>
      </c>
      <c r="G31" s="104">
        <f>SUM(SUMIFS('caseload data'!I:I,'caseload data'!$D:$D,"PO",'caseload data'!$C:$C,'community caseload'!$B$29,'caseload data'!$B:$B,{"licence","community"}))</f>
        <v>0</v>
      </c>
      <c r="H31" s="104">
        <f>SUM(SUMIFS('caseload data'!J:J,'caseload data'!$D:$D,"PO",'caseload data'!$C:$C,'community caseload'!$B$29,'caseload data'!$B:$B,{"licence","community"}))</f>
        <v>0</v>
      </c>
      <c r="I31" s="104">
        <f>SUM(SUMIFS('caseload data'!K:K,'caseload data'!$D:$D,"PO",'caseload data'!$C:$C,'community caseload'!$B$29,'caseload data'!$B:$B,{"licence","community"}))</f>
        <v>0</v>
      </c>
      <c r="J31" s="104">
        <f>SUM(SUMIFS('caseload data'!L:L,'caseload data'!$D:$D,"PO",'caseload data'!$C:$C,'community caseload'!$B$29,'caseload data'!$B:$B,{"licence","community"}))</f>
        <v>0</v>
      </c>
      <c r="K31" s="104">
        <f>SUM(SUMIFS('caseload data'!M:M,'caseload data'!$D:$D,"PO",'caseload data'!$C:$C,'community caseload'!$B$29,'caseload data'!$B:$B,{"licence","community"}))</f>
        <v>0</v>
      </c>
      <c r="L31" s="104">
        <f>SUM(SUMIFS('caseload data'!N:N,'caseload data'!$D:$D,"PO",'caseload data'!$C:$C,'community caseload'!$B$29,'caseload data'!$B:$B,{"licence","community"}))</f>
        <v>0</v>
      </c>
      <c r="M31" s="104">
        <f>SUM(SUMIFS('caseload data'!O:O,'caseload data'!$D:$D,"PO",'caseload data'!$C:$C,'community caseload'!$B$29,'caseload data'!$B:$B,{"licence","community"}))</f>
        <v>0</v>
      </c>
      <c r="N31" s="104">
        <f>SUM(SUMIFS('caseload data'!P:P,'caseload data'!$D:$D,"PO",'caseload data'!$C:$C,'community caseload'!$B$29,'caseload data'!$B:$B,{"licence","community"}))</f>
        <v>0</v>
      </c>
      <c r="O31" s="104">
        <f>SUM(SUMIFS('caseload data'!Q:Q,'caseload data'!$D:$D,"PO",'caseload data'!$C:$C,'community caseload'!$B$29,'caseload data'!$B:$B,{"licence","community"}))</f>
        <v>0</v>
      </c>
      <c r="P31" s="104">
        <f>SUM(SUMIFS('caseload data'!R:R,'caseload data'!$D:$D,"PO",'caseload data'!$C:$C,'community caseload'!$B$29,'caseload data'!$B:$B,{"licence","community"}))</f>
        <v>0</v>
      </c>
      <c r="Q31" s="104">
        <f>SUM(SUMIFS('caseload data'!S:S,'caseload data'!$D:$D,"PO",'caseload data'!$C:$C,'community caseload'!$B$29,'caseload data'!$B:$B,{"licence","community"}))</f>
        <v>0</v>
      </c>
      <c r="R31" s="104">
        <f>SUM(SUMIFS('caseload data'!T:T,'caseload data'!$D:$D,"PO",'caseload data'!$C:$C,'community caseload'!$B$29,'caseload data'!$B:$B,{"licence","community"}))</f>
        <v>0</v>
      </c>
      <c r="S31" s="73"/>
      <c r="T31" s="106" t="s">
        <v>911</v>
      </c>
      <c r="U31" s="104">
        <f>SUM(SUMIFS('caseload data'!E:E,'caseload data'!$D:$D,"PO",'caseload data'!$C:$C,'community caseload'!$T$29,'caseload data'!$B:$B,{"licence","community"}))</f>
        <v>0</v>
      </c>
      <c r="V31" s="104">
        <f>SUM(SUMIFS('caseload data'!F:F,'caseload data'!$D:$D,"PO",'caseload data'!$C:$C,'community caseload'!$T$29,'caseload data'!$B:$B,{"licence","community"}))</f>
        <v>0</v>
      </c>
      <c r="W31" s="104">
        <f>SUM(SUMIFS('caseload data'!G:G,'caseload data'!$D:$D,"PO",'caseload data'!$C:$C,'community caseload'!$T$29,'caseload data'!$B:$B,{"licence","community"}))</f>
        <v>0</v>
      </c>
      <c r="X31" s="104">
        <f>SUM(SUMIFS('caseload data'!H:H,'caseload data'!$D:$D,"PO",'caseload data'!$C:$C,'community caseload'!$T$29,'caseload data'!$B:$B,{"licence","community"}))</f>
        <v>0</v>
      </c>
      <c r="Y31" s="104">
        <f>SUM(SUMIFS('caseload data'!I:I,'caseload data'!$D:$D,"PO",'caseload data'!$C:$C,'community caseload'!$T$29,'caseload data'!$B:$B,{"licence","community"}))</f>
        <v>0</v>
      </c>
      <c r="Z31" s="104">
        <f>SUM(SUMIFS('caseload data'!J:J,'caseload data'!$D:$D,"PO",'caseload data'!$C:$C,'community caseload'!$T$29,'caseload data'!$B:$B,{"licence","community"}))</f>
        <v>0</v>
      </c>
      <c r="AA31" s="104">
        <f>SUM(SUMIFS('caseload data'!K:K,'caseload data'!$D:$D,"PO",'caseload data'!$C:$C,'community caseload'!$T$29,'caseload data'!$B:$B,{"licence","community"}))</f>
        <v>0</v>
      </c>
      <c r="AB31" s="104">
        <f>SUM(SUMIFS('caseload data'!L:L,'caseload data'!$D:$D,"PO",'caseload data'!$C:$C,'community caseload'!$T$29,'caseload data'!$B:$B,{"licence","community"}))</f>
        <v>0</v>
      </c>
      <c r="AC31" s="104">
        <f>SUM(SUMIFS('caseload data'!M:M,'caseload data'!$D:$D,"PO",'caseload data'!$C:$C,'community caseload'!$T$29,'caseload data'!$B:$B,{"licence","community"}))</f>
        <v>0</v>
      </c>
      <c r="AD31" s="104">
        <f>SUM(SUMIFS('caseload data'!N:N,'caseload data'!$D:$D,"PO",'caseload data'!$C:$C,'community caseload'!$T$29,'caseload data'!$B:$B,{"licence","community"}))</f>
        <v>0</v>
      </c>
      <c r="AE31" s="104">
        <f>SUM(SUMIFS('caseload data'!O:O,'caseload data'!$D:$D,"PO",'caseload data'!$C:$C,'community caseload'!$T$29,'caseload data'!$B:$B,{"licence","community"}))</f>
        <v>0</v>
      </c>
      <c r="AF31" s="104">
        <f>SUM(SUMIFS('caseload data'!P:P,'caseload data'!$D:$D,"PO",'caseload data'!$C:$C,'community caseload'!$T$29,'caseload data'!$B:$B,{"licence","community"}))</f>
        <v>0</v>
      </c>
      <c r="AG31" s="104">
        <f>SUM(SUMIFS('caseload data'!Q:Q,'caseload data'!$D:$D,"PO",'caseload data'!$C:$C,'community caseload'!$T$29,'caseload data'!$B:$B,{"licence","community"}))</f>
        <v>0</v>
      </c>
      <c r="AH31" s="104">
        <f>SUM(SUMIFS('caseload data'!R:R,'caseload data'!$D:$D,"PO",'caseload data'!$C:$C,'community caseload'!$T$29,'caseload data'!$B:$B,{"licence","community"}))</f>
        <v>0</v>
      </c>
      <c r="AI31" s="104">
        <f>SUM(SUMIFS('caseload data'!S:S,'caseload data'!$D:$D,"PO",'caseload data'!$C:$C,'community caseload'!$T$29,'caseload data'!$B:$B,{"licence","community"}))</f>
        <v>0</v>
      </c>
      <c r="AJ31" s="104">
        <f>SUM(SUMIFS('caseload data'!T:T,'caseload data'!$D:$D,"PO",'caseload data'!$C:$C,'community caseload'!$T$29,'caseload data'!$B:$B,{"licence","community"}))</f>
        <v>0</v>
      </c>
    </row>
    <row r="32" spans="2:36" x14ac:dyDescent="0.15">
      <c r="B32" s="107" t="s">
        <v>912</v>
      </c>
      <c r="C32" s="104">
        <f>SUM(SUMIFS('caseload data'!E:E,'caseload data'!$D:$D,"PSO",'caseload data'!$C:$C,'community caseload'!$B$29,'caseload data'!$B:$B,{"licence","community"}))</f>
        <v>0</v>
      </c>
      <c r="D32" s="104">
        <f>SUM(SUMIFS('caseload data'!F:F,'caseload data'!$D:$D,"PSO",'caseload data'!$C:$C,'community caseload'!$B$29,'caseload data'!$B:$B,{"licence","community"}))</f>
        <v>0</v>
      </c>
      <c r="E32" s="104">
        <f>SUM(SUMIFS('caseload data'!G:G,'caseload data'!$D:$D,"PSO",'caseload data'!$C:$C,'community caseload'!$B$29,'caseload data'!$B:$B,{"licence","community"}))</f>
        <v>0</v>
      </c>
      <c r="F32" s="104">
        <f>SUM(SUMIFS('caseload data'!H:H,'caseload data'!$D:$D,"PSO",'caseload data'!$C:$C,'community caseload'!$B$29,'caseload data'!$B:$B,{"licence","community"}))</f>
        <v>0</v>
      </c>
      <c r="G32" s="104">
        <f>SUM(SUMIFS('caseload data'!I:I,'caseload data'!$D:$D,"PSO",'caseload data'!$C:$C,'community caseload'!$B$29,'caseload data'!$B:$B,{"licence","community"}))</f>
        <v>0</v>
      </c>
      <c r="H32" s="104">
        <f>SUM(SUMIFS('caseload data'!J:J,'caseload data'!$D:$D,"PSO",'caseload data'!$C:$C,'community caseload'!$B$29,'caseload data'!$B:$B,{"licence","community"}))</f>
        <v>0</v>
      </c>
      <c r="I32" s="104">
        <f>SUM(SUMIFS('caseload data'!K:K,'caseload data'!$D:$D,"PSO",'caseload data'!$C:$C,'community caseload'!$B$29,'caseload data'!$B:$B,{"licence","community"}))</f>
        <v>0</v>
      </c>
      <c r="J32" s="104">
        <f>SUM(SUMIFS('caseload data'!L:L,'caseload data'!$D:$D,"PSO",'caseload data'!$C:$C,'community caseload'!$B$29,'caseload data'!$B:$B,{"licence","community"}))</f>
        <v>0</v>
      </c>
      <c r="K32" s="104">
        <f>SUM(SUMIFS('caseload data'!M:M,'caseload data'!$D:$D,"PSO",'caseload data'!$C:$C,'community caseload'!$B$29,'caseload data'!$B:$B,{"licence","community"}))</f>
        <v>0</v>
      </c>
      <c r="L32" s="104">
        <f>SUM(SUMIFS('caseload data'!N:N,'caseload data'!$D:$D,"PSO",'caseload data'!$C:$C,'community caseload'!$B$29,'caseload data'!$B:$B,{"licence","community"}))</f>
        <v>0</v>
      </c>
      <c r="M32" s="104">
        <f>SUM(SUMIFS('caseload data'!O:O,'caseload data'!$D:$D,"PSO",'caseload data'!$C:$C,'community caseload'!$B$29,'caseload data'!$B:$B,{"licence","community"}))</f>
        <v>0</v>
      </c>
      <c r="N32" s="104">
        <f>SUM(SUMIFS('caseload data'!P:P,'caseload data'!$D:$D,"PSO",'caseload data'!$C:$C,'community caseload'!$B$29,'caseload data'!$B:$B,{"licence","community"}))</f>
        <v>0</v>
      </c>
      <c r="O32" s="104">
        <f>SUM(SUMIFS('caseload data'!Q:Q,'caseload data'!$D:$D,"PSO",'caseload data'!$C:$C,'community caseload'!$B$29,'caseload data'!$B:$B,{"licence","community"}))</f>
        <v>0</v>
      </c>
      <c r="P32" s="104">
        <f>SUM(SUMIFS('caseload data'!R:R,'caseload data'!$D:$D,"PSO",'caseload data'!$C:$C,'community caseload'!$B$29,'caseload data'!$B:$B,{"licence","community"}))</f>
        <v>0</v>
      </c>
      <c r="Q32" s="104">
        <f>SUM(SUMIFS('caseload data'!S:S,'caseload data'!$D:$D,"PSO",'caseload data'!$C:$C,'community caseload'!$B$29,'caseload data'!$B:$B,{"licence","community"}))</f>
        <v>0</v>
      </c>
      <c r="R32" s="104">
        <f>SUM(SUMIFS('caseload data'!T:T,'caseload data'!$D:$D,"PSO",'caseload data'!$C:$C,'community caseload'!$B$29,'caseload data'!$B:$B,{"licence","community"}))</f>
        <v>0</v>
      </c>
      <c r="S32" s="73"/>
      <c r="T32" s="107" t="s">
        <v>912</v>
      </c>
      <c r="U32" s="104">
        <f>SUM(SUMIFS('caseload data'!E:E,'caseload data'!$D:$D,"PSO",'caseload data'!$C:$C,'community caseload'!$T$29,'caseload data'!$B:$B,{"licence","community"}))</f>
        <v>0</v>
      </c>
      <c r="V32" s="104">
        <f>SUM(SUMIFS('caseload data'!F:F,'caseload data'!$D:$D,"PSO",'caseload data'!$C:$C,'community caseload'!$T$29,'caseload data'!$B:$B,{"licence","community"}))</f>
        <v>0</v>
      </c>
      <c r="W32" s="104">
        <f>SUM(SUMIFS('caseload data'!G:G,'caseload data'!$D:$D,"PSO",'caseload data'!$C:$C,'community caseload'!$T$29,'caseload data'!$B:$B,{"licence","community"}))</f>
        <v>0</v>
      </c>
      <c r="X32" s="104">
        <f>SUM(SUMIFS('caseload data'!H:H,'caseload data'!$D:$D,"PSO",'caseload data'!$C:$C,'community caseload'!$T$29,'caseload data'!$B:$B,{"licence","community"}))</f>
        <v>0</v>
      </c>
      <c r="Y32" s="104">
        <f>SUM(SUMIFS('caseload data'!I:I,'caseload data'!$D:$D,"PSO",'caseload data'!$C:$C,'community caseload'!$T$29,'caseload data'!$B:$B,{"licence","community"}))</f>
        <v>0</v>
      </c>
      <c r="Z32" s="104">
        <f>SUM(SUMIFS('caseload data'!J:J,'caseload data'!$D:$D,"PSO",'caseload data'!$C:$C,'community caseload'!$T$29,'caseload data'!$B:$B,{"licence","community"}))</f>
        <v>0</v>
      </c>
      <c r="AA32" s="104">
        <f>SUM(SUMIFS('caseload data'!K:K,'caseload data'!$D:$D,"PSO",'caseload data'!$C:$C,'community caseload'!$T$29,'caseload data'!$B:$B,{"licence","community"}))</f>
        <v>0</v>
      </c>
      <c r="AB32" s="104">
        <f>SUM(SUMIFS('caseload data'!L:L,'caseload data'!$D:$D,"PSO",'caseload data'!$C:$C,'community caseload'!$T$29,'caseload data'!$B:$B,{"licence","community"}))</f>
        <v>0</v>
      </c>
      <c r="AC32" s="104">
        <f>SUM(SUMIFS('caseload data'!M:M,'caseload data'!$D:$D,"PSO",'caseload data'!$C:$C,'community caseload'!$T$29,'caseload data'!$B:$B,{"licence","community"}))</f>
        <v>0</v>
      </c>
      <c r="AD32" s="104">
        <f>SUM(SUMIFS('caseload data'!N:N,'caseload data'!$D:$D,"PSO",'caseload data'!$C:$C,'community caseload'!$T$29,'caseload data'!$B:$B,{"licence","community"}))</f>
        <v>0</v>
      </c>
      <c r="AE32" s="104">
        <f>SUM(SUMIFS('caseload data'!O:O,'caseload data'!$D:$D,"PSO",'caseload data'!$C:$C,'community caseload'!$T$29,'caseload data'!$B:$B,{"licence","community"}))</f>
        <v>0</v>
      </c>
      <c r="AF32" s="104">
        <f>SUM(SUMIFS('caseload data'!P:P,'caseload data'!$D:$D,"PSO",'caseload data'!$C:$C,'community caseload'!$T$29,'caseload data'!$B:$B,{"licence","community"}))</f>
        <v>0</v>
      </c>
      <c r="AG32" s="104">
        <f>SUM(SUMIFS('caseload data'!Q:Q,'caseload data'!$D:$D,"PSO",'caseload data'!$C:$C,'community caseload'!$T$29,'caseload data'!$B:$B,{"licence","community"}))</f>
        <v>0</v>
      </c>
      <c r="AH32" s="104">
        <f>SUM(SUMIFS('caseload data'!R:R,'caseload data'!$D:$D,"PSO",'caseload data'!$C:$C,'community caseload'!$T$29,'caseload data'!$B:$B,{"licence","community"}))</f>
        <v>0</v>
      </c>
      <c r="AI32" s="104">
        <f>SUM(SUMIFS('caseload data'!S:S,'caseload data'!$D:$D,"PSO",'caseload data'!$C:$C,'community caseload'!$T$29,'caseload data'!$B:$B,{"licence","community"}))</f>
        <v>0</v>
      </c>
      <c r="AJ32" s="104">
        <f>SUM(SUMIFS('caseload data'!T:T,'caseload data'!$D:$D,"PSO",'caseload data'!$C:$C,'community caseload'!$T$29,'caseload data'!$B:$B,{"licence","community"}))</f>
        <v>0</v>
      </c>
    </row>
    <row r="33" spans="2:36" x14ac:dyDescent="0.15">
      <c r="B33" s="107" t="s">
        <v>913</v>
      </c>
      <c r="C33" s="104">
        <f>SUM(SUMIFS('caseload data'!E:E,'caseload data'!$D:$D,"TPO",'caseload data'!$C:$C,'community caseload'!$B$29,'caseload data'!$B:$B,{"licence","community"}))</f>
        <v>0</v>
      </c>
      <c r="D33" s="104">
        <f>SUM(SUMIFS('caseload data'!F:F,'caseload data'!$D:$D,"TPO",'caseload data'!$C:$C,'community caseload'!$B$29,'caseload data'!$B:$B,{"licence","community"}))</f>
        <v>0</v>
      </c>
      <c r="E33" s="104">
        <f>SUM(SUMIFS('caseload data'!G:G,'caseload data'!$D:$D,"TPO",'caseload data'!$C:$C,'community caseload'!$B$29,'caseload data'!$B:$B,{"licence","community"}))</f>
        <v>0</v>
      </c>
      <c r="F33" s="104">
        <f>SUM(SUMIFS('caseload data'!H:H,'caseload data'!$D:$D,"TPO",'caseload data'!$C:$C,'community caseload'!$B$29,'caseload data'!$B:$B,{"licence","community"}))</f>
        <v>0</v>
      </c>
      <c r="G33" s="104">
        <f>SUM(SUMIFS('caseload data'!I:I,'caseload data'!$D:$D,"TPO",'caseload data'!$C:$C,'community caseload'!$B$29,'caseload data'!$B:$B,{"licence","community"}))</f>
        <v>0</v>
      </c>
      <c r="H33" s="104">
        <f>SUM(SUMIFS('caseload data'!J:J,'caseload data'!$D:$D,"TPO",'caseload data'!$C:$C,'community caseload'!$B$29,'caseload data'!$B:$B,{"licence","community"}))</f>
        <v>0</v>
      </c>
      <c r="I33" s="104">
        <f>SUM(SUMIFS('caseload data'!K:K,'caseload data'!$D:$D,"TPO",'caseload data'!$C:$C,'community caseload'!$B$29,'caseload data'!$B:$B,{"licence","community"}))</f>
        <v>0</v>
      </c>
      <c r="J33" s="104">
        <f>SUM(SUMIFS('caseload data'!L:L,'caseload data'!$D:$D,"TPO",'caseload data'!$C:$C,'community caseload'!$B$29,'caseload data'!$B:$B,{"licence","community"}))</f>
        <v>0</v>
      </c>
      <c r="K33" s="104">
        <f>SUM(SUMIFS('caseload data'!M:M,'caseload data'!$D:$D,"TPO",'caseload data'!$C:$C,'community caseload'!$B$29,'caseload data'!$B:$B,{"licence","community"}))</f>
        <v>0</v>
      </c>
      <c r="L33" s="104">
        <f>SUM(SUMIFS('caseload data'!N:N,'caseload data'!$D:$D,"TPO",'caseload data'!$C:$C,'community caseload'!$B$29,'caseload data'!$B:$B,{"licence","community"}))</f>
        <v>0</v>
      </c>
      <c r="M33" s="104">
        <f>SUM(SUMIFS('caseload data'!O:O,'caseload data'!$D:$D,"TPO",'caseload data'!$C:$C,'community caseload'!$B$29,'caseload data'!$B:$B,{"licence","community"}))</f>
        <v>0</v>
      </c>
      <c r="N33" s="104">
        <f>SUM(SUMIFS('caseload data'!P:P,'caseload data'!$D:$D,"TPO",'caseload data'!$C:$C,'community caseload'!$B$29,'caseload data'!$B:$B,{"licence","community"}))</f>
        <v>0</v>
      </c>
      <c r="O33" s="104">
        <f>SUM(SUMIFS('caseload data'!Q:Q,'caseload data'!$D:$D,"TPO",'caseload data'!$C:$C,'community caseload'!$B$29,'caseload data'!$B:$B,{"licence","community"}))</f>
        <v>0</v>
      </c>
      <c r="P33" s="104">
        <f>SUM(SUMIFS('caseload data'!R:R,'caseload data'!$D:$D,"TPO",'caseload data'!$C:$C,'community caseload'!$B$29,'caseload data'!$B:$B,{"licence","community"}))</f>
        <v>0</v>
      </c>
      <c r="Q33" s="104">
        <f>SUM(SUMIFS('caseload data'!S:S,'caseload data'!$D:$D,"TPO",'caseload data'!$C:$C,'community caseload'!$B$29,'caseload data'!$B:$B,{"licence","community"}))</f>
        <v>0</v>
      </c>
      <c r="R33" s="104">
        <f>SUM(SUMIFS('caseload data'!T:T,'caseload data'!$D:$D,"TPO",'caseload data'!$C:$C,'community caseload'!$B$29,'caseload data'!$B:$B,{"licence","community"}))</f>
        <v>0</v>
      </c>
      <c r="S33" s="73"/>
      <c r="T33" s="107" t="s">
        <v>913</v>
      </c>
      <c r="U33" s="104">
        <f>SUM(SUMIFS('caseload data'!E:E,'caseload data'!$D:$D,"TPO",'caseload data'!$C:$C,'community caseload'!$T$29,'caseload data'!$B:$B,{"licence","community"}))</f>
        <v>0</v>
      </c>
      <c r="V33" s="104">
        <f>SUM(SUMIFS('caseload data'!F:F,'caseload data'!$D:$D,"TPO",'caseload data'!$C:$C,'community caseload'!$T$29,'caseload data'!$B:$B,{"licence","community"}))</f>
        <v>0</v>
      </c>
      <c r="W33" s="104">
        <f>SUM(SUMIFS('caseload data'!G:G,'caseload data'!$D:$D,"TPO",'caseload data'!$C:$C,'community caseload'!$T$29,'caseload data'!$B:$B,{"licence","community"}))</f>
        <v>0</v>
      </c>
      <c r="X33" s="104">
        <f>SUM(SUMIFS('caseload data'!H:H,'caseload data'!$D:$D,"TPO",'caseload data'!$C:$C,'community caseload'!$T$29,'caseload data'!$B:$B,{"licence","community"}))</f>
        <v>0</v>
      </c>
      <c r="Y33" s="104">
        <f>SUM(SUMIFS('caseload data'!I:I,'caseload data'!$D:$D,"TPO",'caseload data'!$C:$C,'community caseload'!$T$29,'caseload data'!$B:$B,{"licence","community"}))</f>
        <v>0</v>
      </c>
      <c r="Z33" s="104">
        <f>SUM(SUMIFS('caseload data'!J:J,'caseload data'!$D:$D,"TPO",'caseload data'!$C:$C,'community caseload'!$T$29,'caseload data'!$B:$B,{"licence","community"}))</f>
        <v>0</v>
      </c>
      <c r="AA33" s="104">
        <f>SUM(SUMIFS('caseload data'!K:K,'caseload data'!$D:$D,"TPO",'caseload data'!$C:$C,'community caseload'!$T$29,'caseload data'!$B:$B,{"licence","community"}))</f>
        <v>0</v>
      </c>
      <c r="AB33" s="104">
        <f>SUM(SUMIFS('caseload data'!L:L,'caseload data'!$D:$D,"TPO",'caseload data'!$C:$C,'community caseload'!$T$29,'caseload data'!$B:$B,{"licence","community"}))</f>
        <v>0</v>
      </c>
      <c r="AC33" s="104">
        <f>SUM(SUMIFS('caseload data'!M:M,'caseload data'!$D:$D,"TPO",'caseload data'!$C:$C,'community caseload'!$T$29,'caseload data'!$B:$B,{"licence","community"}))</f>
        <v>0</v>
      </c>
      <c r="AD33" s="104">
        <f>SUM(SUMIFS('caseload data'!N:N,'caseload data'!$D:$D,"TPO",'caseload data'!$C:$C,'community caseload'!$T$29,'caseload data'!$B:$B,{"licence","community"}))</f>
        <v>0</v>
      </c>
      <c r="AE33" s="104">
        <f>SUM(SUMIFS('caseload data'!O:O,'caseload data'!$D:$D,"TPO",'caseload data'!$C:$C,'community caseload'!$T$29,'caseload data'!$B:$B,{"licence","community"}))</f>
        <v>0</v>
      </c>
      <c r="AF33" s="104">
        <f>SUM(SUMIFS('caseload data'!P:P,'caseload data'!$D:$D,"TPO",'caseload data'!$C:$C,'community caseload'!$T$29,'caseload data'!$B:$B,{"licence","community"}))</f>
        <v>0</v>
      </c>
      <c r="AG33" s="104">
        <f>SUM(SUMIFS('caseload data'!Q:Q,'caseload data'!$D:$D,"TPO",'caseload data'!$C:$C,'community caseload'!$T$29,'caseload data'!$B:$B,{"licence","community"}))</f>
        <v>0</v>
      </c>
      <c r="AH33" s="104">
        <f>SUM(SUMIFS('caseload data'!R:R,'caseload data'!$D:$D,"TPO",'caseload data'!$C:$C,'community caseload'!$T$29,'caseload data'!$B:$B,{"licence","community"}))</f>
        <v>0</v>
      </c>
      <c r="AI33" s="104">
        <f>SUM(SUMIFS('caseload data'!S:S,'caseload data'!$D:$D,"TPO",'caseload data'!$C:$C,'community caseload'!$T$29,'caseload data'!$B:$B,{"licence","community"}))</f>
        <v>0</v>
      </c>
      <c r="AJ33" s="104">
        <f>SUM(SUMIFS('caseload data'!T:T,'caseload data'!$D:$D,"TPO",'caseload data'!$C:$C,'community caseload'!$T$29,'caseload data'!$B:$B,{"licence","community"}))</f>
        <v>0</v>
      </c>
    </row>
    <row r="34" spans="2:36" x14ac:dyDescent="0.15">
      <c r="B34" s="108" t="s">
        <v>914</v>
      </c>
      <c r="C34" s="104">
        <f>SUM(SUMIFS('caseload data'!E:E,'caseload data'!$D:$D,"SPO",'caseload data'!$C:$C,'community caseload'!$B$29,'caseload data'!$B:$B,{"licence","community"}))</f>
        <v>0</v>
      </c>
      <c r="D34" s="104">
        <f>SUM(SUMIFS('caseload data'!F:F,'caseload data'!$D:$D,"SPO",'caseload data'!$C:$C,'community caseload'!$B$29,'caseload data'!$B:$B,{"licence","community"}))</f>
        <v>0</v>
      </c>
      <c r="E34" s="104">
        <f>SUM(SUMIFS('caseload data'!G:G,'caseload data'!$D:$D,"SPO",'caseload data'!$C:$C,'community caseload'!$B$29,'caseload data'!$B:$B,{"licence","community"}))</f>
        <v>0</v>
      </c>
      <c r="F34" s="104">
        <f>SUM(SUMIFS('caseload data'!H:H,'caseload data'!$D:$D,"SPO",'caseload data'!$C:$C,'community caseload'!$B$29,'caseload data'!$B:$B,{"licence","community"}))</f>
        <v>0</v>
      </c>
      <c r="G34" s="104">
        <f>SUM(SUMIFS('caseload data'!I:I,'caseload data'!$D:$D,"SPO",'caseload data'!$C:$C,'community caseload'!$B$29,'caseload data'!$B:$B,{"licence","community"}))</f>
        <v>0</v>
      </c>
      <c r="H34" s="104">
        <f>SUM(SUMIFS('caseload data'!J:J,'caseload data'!$D:$D,"SPO",'caseload data'!$C:$C,'community caseload'!$B$29,'caseload data'!$B:$B,{"licence","community"}))</f>
        <v>0</v>
      </c>
      <c r="I34" s="104">
        <f>SUM(SUMIFS('caseload data'!K:K,'caseload data'!$D:$D,"SPO",'caseload data'!$C:$C,'community caseload'!$B$29,'caseload data'!$B:$B,{"licence","community"}))</f>
        <v>0</v>
      </c>
      <c r="J34" s="104">
        <f>SUM(SUMIFS('caseload data'!L:L,'caseload data'!$D:$D,"SPO",'caseload data'!$C:$C,'community caseload'!$B$29,'caseload data'!$B:$B,{"licence","community"}))</f>
        <v>0</v>
      </c>
      <c r="K34" s="104">
        <f>SUM(SUMIFS('caseload data'!M:M,'caseload data'!$D:$D,"SPO",'caseload data'!$C:$C,'community caseload'!$B$29,'caseload data'!$B:$B,{"licence","community"}))</f>
        <v>0</v>
      </c>
      <c r="L34" s="104">
        <f>SUM(SUMIFS('caseload data'!N:N,'caseload data'!$D:$D,"SPO",'caseload data'!$C:$C,'community caseload'!$B$29,'caseload data'!$B:$B,{"licence","community"}))</f>
        <v>0</v>
      </c>
      <c r="M34" s="104">
        <f>SUM(SUMIFS('caseload data'!O:O,'caseload data'!$D:$D,"SPO",'caseload data'!$C:$C,'community caseload'!$B$29,'caseload data'!$B:$B,{"licence","community"}))</f>
        <v>0</v>
      </c>
      <c r="N34" s="104">
        <f>SUM(SUMIFS('caseload data'!P:P,'caseload data'!$D:$D,"SPO",'caseload data'!$C:$C,'community caseload'!$B$29,'caseload data'!$B:$B,{"licence","community"}))</f>
        <v>0</v>
      </c>
      <c r="O34" s="104">
        <f>SUM(SUMIFS('caseload data'!Q:Q,'caseload data'!$D:$D,"SPO",'caseload data'!$C:$C,'community caseload'!$B$29,'caseload data'!$B:$B,{"licence","community"}))</f>
        <v>0</v>
      </c>
      <c r="P34" s="104">
        <f>SUM(SUMIFS('caseload data'!R:R,'caseload data'!$D:$D,"SPO",'caseload data'!$C:$C,'community caseload'!$B$29,'caseload data'!$B:$B,{"licence","community"}))</f>
        <v>0</v>
      </c>
      <c r="Q34" s="104">
        <f>SUM(SUMIFS('caseload data'!S:S,'caseload data'!$D:$D,"SPO",'caseload data'!$C:$C,'community caseload'!$B$29,'caseload data'!$B:$B,{"licence","community"}))</f>
        <v>0</v>
      </c>
      <c r="R34" s="104">
        <f>SUM(SUMIFS('caseload data'!T:T,'caseload data'!$D:$D,"SPO",'caseload data'!$C:$C,'community caseload'!$B$29,'caseload data'!$B:$B,{"licence","community"}))</f>
        <v>0</v>
      </c>
      <c r="S34" s="73"/>
      <c r="T34" s="108" t="s">
        <v>914</v>
      </c>
      <c r="U34" s="104">
        <f>SUM(SUMIFS('caseload data'!E:E,'caseload data'!$D:$D,"SPO",'caseload data'!$C:$C,'community caseload'!$T$29,'caseload data'!$B:$B,{"licence","community"}))</f>
        <v>0</v>
      </c>
      <c r="V34" s="104">
        <f>SUM(SUMIFS('caseload data'!F:F,'caseload data'!$D:$D,"SPO",'caseload data'!$C:$C,'community caseload'!$T$29,'caseload data'!$B:$B,{"licence","community"}))</f>
        <v>0</v>
      </c>
      <c r="W34" s="104">
        <f>SUM(SUMIFS('caseload data'!G:G,'caseload data'!$D:$D,"SPO",'caseload data'!$C:$C,'community caseload'!$T$29,'caseload data'!$B:$B,{"licence","community"}))</f>
        <v>0</v>
      </c>
      <c r="X34" s="104">
        <f>SUM(SUMIFS('caseload data'!H:H,'caseload data'!$D:$D,"SPO",'caseload data'!$C:$C,'community caseload'!$T$29,'caseload data'!$B:$B,{"licence","community"}))</f>
        <v>0</v>
      </c>
      <c r="Y34" s="104">
        <f>SUM(SUMIFS('caseload data'!I:I,'caseload data'!$D:$D,"SPO",'caseload data'!$C:$C,'community caseload'!$T$29,'caseload data'!$B:$B,{"licence","community"}))</f>
        <v>0</v>
      </c>
      <c r="Z34" s="104">
        <f>SUM(SUMIFS('caseload data'!J:J,'caseload data'!$D:$D,"SPO",'caseload data'!$C:$C,'community caseload'!$T$29,'caseload data'!$B:$B,{"licence","community"}))</f>
        <v>0</v>
      </c>
      <c r="AA34" s="104">
        <f>SUM(SUMIFS('caseload data'!K:K,'caseload data'!$D:$D,"SPO",'caseload data'!$C:$C,'community caseload'!$T$29,'caseload data'!$B:$B,{"licence","community"}))</f>
        <v>0</v>
      </c>
      <c r="AB34" s="104">
        <f>SUM(SUMIFS('caseload data'!L:L,'caseload data'!$D:$D,"SPO",'caseload data'!$C:$C,'community caseload'!$T$29,'caseload data'!$B:$B,{"licence","community"}))</f>
        <v>0</v>
      </c>
      <c r="AC34" s="104">
        <f>SUM(SUMIFS('caseload data'!M:M,'caseload data'!$D:$D,"SPO",'caseload data'!$C:$C,'community caseload'!$T$29,'caseload data'!$B:$B,{"licence","community"}))</f>
        <v>0</v>
      </c>
      <c r="AD34" s="104">
        <f>SUM(SUMIFS('caseload data'!N:N,'caseload data'!$D:$D,"SPO",'caseload data'!$C:$C,'community caseload'!$T$29,'caseload data'!$B:$B,{"licence","community"}))</f>
        <v>0</v>
      </c>
      <c r="AE34" s="104">
        <f>SUM(SUMIFS('caseload data'!O:O,'caseload data'!$D:$D,"SPO",'caseload data'!$C:$C,'community caseload'!$T$29,'caseload data'!$B:$B,{"licence","community"}))</f>
        <v>0</v>
      </c>
      <c r="AF34" s="104">
        <f>SUM(SUMIFS('caseload data'!P:P,'caseload data'!$D:$D,"SPO",'caseload data'!$C:$C,'community caseload'!$T$29,'caseload data'!$B:$B,{"licence","community"}))</f>
        <v>0</v>
      </c>
      <c r="AG34" s="104">
        <f>SUM(SUMIFS('caseload data'!Q:Q,'caseload data'!$D:$D,"SPO",'caseload data'!$C:$C,'community caseload'!$T$29,'caseload data'!$B:$B,{"licence","community"}))</f>
        <v>0</v>
      </c>
      <c r="AH34" s="104">
        <f>SUM(SUMIFS('caseload data'!R:R,'caseload data'!$D:$D,"SPO",'caseload data'!$C:$C,'community caseload'!$T$29,'caseload data'!$B:$B,{"licence","community"}))</f>
        <v>0</v>
      </c>
      <c r="AI34" s="104">
        <f>SUM(SUMIFS('caseload data'!S:S,'caseload data'!$D:$D,"SPO",'caseload data'!$C:$C,'community caseload'!$T$29,'caseload data'!$B:$B,{"licence","community"}))</f>
        <v>0</v>
      </c>
      <c r="AJ34" s="104">
        <f>SUM(SUMIFS('caseload data'!T:T,'caseload data'!$D:$D,"SPO",'caseload data'!$C:$C,'community caseload'!$T$29,'caseload data'!$B:$B,{"licence","community"}))</f>
        <v>0</v>
      </c>
    </row>
    <row r="35" spans="2:36" x14ac:dyDescent="0.15">
      <c r="B35" s="101"/>
      <c r="C35" s="73"/>
      <c r="D35" s="73"/>
      <c r="E35" s="73"/>
      <c r="F35" s="73"/>
      <c r="G35" s="73"/>
      <c r="H35" s="73"/>
      <c r="I35" s="73"/>
      <c r="J35" s="73"/>
      <c r="K35" s="73"/>
      <c r="L35" s="73"/>
      <c r="M35" s="73"/>
      <c r="N35" s="73"/>
      <c r="O35" s="73"/>
      <c r="P35" s="73"/>
      <c r="Q35" s="73"/>
      <c r="R35" s="73"/>
      <c r="S35" s="73"/>
      <c r="T35" s="101"/>
      <c r="U35" s="73"/>
      <c r="V35" s="73"/>
      <c r="W35" s="73"/>
      <c r="X35" s="73"/>
      <c r="Y35" s="73"/>
      <c r="Z35" s="73"/>
      <c r="AA35" s="73"/>
      <c r="AB35" s="73"/>
      <c r="AC35" s="73"/>
      <c r="AD35" s="73"/>
      <c r="AE35" s="73"/>
      <c r="AF35" s="73"/>
      <c r="AG35" s="73"/>
      <c r="AH35" s="73"/>
      <c r="AI35" s="73"/>
      <c r="AJ35" s="73"/>
    </row>
    <row r="36" spans="2:36" ht="42.75" customHeight="1" x14ac:dyDescent="0.15">
      <c r="B36" s="156" t="str">
        <f>HLOOKUP($B$5,Region_Table,10,0)</f>
        <v>Greenwich and Bexley</v>
      </c>
      <c r="C36" s="367" t="s">
        <v>1168</v>
      </c>
      <c r="D36" s="368"/>
      <c r="E36" s="368"/>
      <c r="F36" s="368"/>
      <c r="G36" s="368"/>
      <c r="H36" s="368"/>
      <c r="I36" s="368"/>
      <c r="J36" s="368"/>
      <c r="K36" s="368"/>
      <c r="L36" s="368"/>
      <c r="M36" s="377"/>
      <c r="N36" s="377"/>
      <c r="O36" s="378"/>
      <c r="P36" s="371" cm="1">
        <f t="array" ref="P36">SUM(SUMIFS('caseload data'!V:V,'caseload data'!B:B,{"licence","community"},'caseload data'!$C:$C,'community caseload'!B36))</f>
        <v>0</v>
      </c>
      <c r="Q36" s="379"/>
      <c r="R36" s="380"/>
      <c r="S36" s="73"/>
      <c r="T36" s="156" t="str">
        <f>HLOOKUP($B$5,Region_Table,11,0)</f>
        <v>Hackney and City</v>
      </c>
      <c r="U36" s="367" t="s">
        <v>1167</v>
      </c>
      <c r="V36" s="368"/>
      <c r="W36" s="368"/>
      <c r="X36" s="368"/>
      <c r="Y36" s="368"/>
      <c r="Z36" s="368"/>
      <c r="AA36" s="368"/>
      <c r="AB36" s="368"/>
      <c r="AC36" s="368"/>
      <c r="AD36" s="368"/>
      <c r="AE36" s="377"/>
      <c r="AF36" s="377"/>
      <c r="AG36" s="378"/>
      <c r="AH36" s="371" cm="1">
        <f t="array" ref="AH36">SUM(SUMIFS('caseload data'!V:V,'caseload data'!B:B,{"licence","community"},'caseload data'!$C:$C,'community caseload'!T36))</f>
        <v>0</v>
      </c>
      <c r="AI36" s="379"/>
      <c r="AJ36" s="380"/>
    </row>
    <row r="37" spans="2:36" x14ac:dyDescent="0.15">
      <c r="B37" s="105" t="s">
        <v>1065</v>
      </c>
      <c r="C37" s="41" t="s">
        <v>922</v>
      </c>
      <c r="D37" s="41" t="s">
        <v>923</v>
      </c>
      <c r="E37" s="41" t="s">
        <v>924</v>
      </c>
      <c r="F37" s="41" t="s">
        <v>925</v>
      </c>
      <c r="G37" s="41" t="s">
        <v>926</v>
      </c>
      <c r="H37" s="41" t="s">
        <v>927</v>
      </c>
      <c r="I37" s="41" t="s">
        <v>928</v>
      </c>
      <c r="J37" s="41" t="s">
        <v>929</v>
      </c>
      <c r="K37" s="41" t="s">
        <v>930</v>
      </c>
      <c r="L37" s="41" t="s">
        <v>931</v>
      </c>
      <c r="M37" s="41" t="s">
        <v>932</v>
      </c>
      <c r="N37" s="41" t="s">
        <v>933</v>
      </c>
      <c r="O37" s="41" t="s">
        <v>934</v>
      </c>
      <c r="P37" s="41" t="s">
        <v>935</v>
      </c>
      <c r="Q37" s="41" t="s">
        <v>936</v>
      </c>
      <c r="R37" s="41" t="s">
        <v>937</v>
      </c>
      <c r="S37" s="73"/>
      <c r="T37" s="105" t="s">
        <v>1065</v>
      </c>
      <c r="U37" s="41" t="s">
        <v>922</v>
      </c>
      <c r="V37" s="41" t="s">
        <v>923</v>
      </c>
      <c r="W37" s="41" t="s">
        <v>924</v>
      </c>
      <c r="X37" s="41" t="s">
        <v>925</v>
      </c>
      <c r="Y37" s="41" t="s">
        <v>926</v>
      </c>
      <c r="Z37" s="41" t="s">
        <v>927</v>
      </c>
      <c r="AA37" s="41" t="s">
        <v>928</v>
      </c>
      <c r="AB37" s="41" t="s">
        <v>929</v>
      </c>
      <c r="AC37" s="41" t="s">
        <v>930</v>
      </c>
      <c r="AD37" s="41" t="s">
        <v>931</v>
      </c>
      <c r="AE37" s="41" t="s">
        <v>932</v>
      </c>
      <c r="AF37" s="41" t="s">
        <v>933</v>
      </c>
      <c r="AG37" s="41" t="s">
        <v>934</v>
      </c>
      <c r="AH37" s="41" t="s">
        <v>935</v>
      </c>
      <c r="AI37" s="41" t="s">
        <v>936</v>
      </c>
      <c r="AJ37" s="41" t="s">
        <v>937</v>
      </c>
    </row>
    <row r="38" spans="2:36" x14ac:dyDescent="0.15">
      <c r="B38" s="106" t="s">
        <v>911</v>
      </c>
      <c r="C38" s="104">
        <f>SUM(SUMIFS('caseload data'!E:E,'caseload data'!$D:$D,"PO",'caseload data'!$C:$C,'community caseload'!$B$36,'caseload data'!$B:$B,{"licence","community"}))</f>
        <v>0</v>
      </c>
      <c r="D38" s="104">
        <f>SUM(SUMIFS('caseload data'!F:F,'caseload data'!$D:$D,"PO",'caseload data'!$C:$C,'community caseload'!$B$36,'caseload data'!$B:$B,{"licence","community"}))</f>
        <v>0</v>
      </c>
      <c r="E38" s="104">
        <f>SUM(SUMIFS('caseload data'!G:G,'caseload data'!$D:$D,"PO",'caseload data'!$C:$C,'community caseload'!$B$36,'caseload data'!$B:$B,{"licence","community"}))</f>
        <v>0</v>
      </c>
      <c r="F38" s="104">
        <f>SUM(SUMIFS('caseload data'!H:H,'caseload data'!$D:$D,"PO",'caseload data'!$C:$C,'community caseload'!$B$36,'caseload data'!$B:$B,{"licence","community"}))</f>
        <v>0</v>
      </c>
      <c r="G38" s="104">
        <f>SUM(SUMIFS('caseload data'!I:I,'caseload data'!$D:$D,"PO",'caseload data'!$C:$C,'community caseload'!$B$36,'caseload data'!$B:$B,{"licence","community"}))</f>
        <v>0</v>
      </c>
      <c r="H38" s="104">
        <f>SUM(SUMIFS('caseload data'!J:J,'caseload data'!$D:$D,"PO",'caseload data'!$C:$C,'community caseload'!$B$36,'caseload data'!$B:$B,{"licence","community"}))</f>
        <v>0</v>
      </c>
      <c r="I38" s="104">
        <f>SUM(SUMIFS('caseload data'!K:K,'caseload data'!$D:$D,"PO",'caseload data'!$C:$C,'community caseload'!$B$36,'caseload data'!$B:$B,{"licence","community"}))</f>
        <v>0</v>
      </c>
      <c r="J38" s="104">
        <f>SUM(SUMIFS('caseload data'!L:L,'caseload data'!$D:$D,"PO",'caseload data'!$C:$C,'community caseload'!$B$36,'caseload data'!$B:$B,{"licence","community"}))</f>
        <v>0</v>
      </c>
      <c r="K38" s="104">
        <f>SUM(SUMIFS('caseload data'!M:M,'caseload data'!$D:$D,"PO",'caseload data'!$C:$C,'community caseload'!$B$36,'caseload data'!$B:$B,{"licence","community"}))</f>
        <v>0</v>
      </c>
      <c r="L38" s="104">
        <f>SUM(SUMIFS('caseload data'!N:N,'caseload data'!$D:$D,"PO",'caseload data'!$C:$C,'community caseload'!$B$36,'caseload data'!$B:$B,{"licence","community"}))</f>
        <v>0</v>
      </c>
      <c r="M38" s="104">
        <f>SUM(SUMIFS('caseload data'!O:O,'caseload data'!$D:$D,"PO",'caseload data'!$C:$C,'community caseload'!$B$36,'caseload data'!$B:$B,{"licence","community"}))</f>
        <v>0</v>
      </c>
      <c r="N38" s="104">
        <f>SUM(SUMIFS('caseload data'!P:P,'caseload data'!$D:$D,"PO",'caseload data'!$C:$C,'community caseload'!$B$36,'caseload data'!$B:$B,{"licence","community"}))</f>
        <v>0</v>
      </c>
      <c r="O38" s="104">
        <f>SUM(SUMIFS('caseload data'!Q:Q,'caseload data'!$D:$D,"PO",'caseload data'!$C:$C,'community caseload'!$B$36,'caseload data'!$B:$B,{"licence","community"}))</f>
        <v>0</v>
      </c>
      <c r="P38" s="104">
        <f>SUM(SUMIFS('caseload data'!R:R,'caseload data'!$D:$D,"PO",'caseload data'!$C:$C,'community caseload'!$B$36,'caseload data'!$B:$B,{"licence","community"}))</f>
        <v>0</v>
      </c>
      <c r="Q38" s="104">
        <f>SUM(SUMIFS('caseload data'!S:S,'caseload data'!$D:$D,"PO",'caseload data'!$C:$C,'community caseload'!$B$36,'caseload data'!$B:$B,{"licence","community"}))</f>
        <v>0</v>
      </c>
      <c r="R38" s="104">
        <f>SUM(SUMIFS('caseload data'!T:T,'caseload data'!$D:$D,"PO",'caseload data'!$C:$C,'community caseload'!$B$36,'caseload data'!$B:$B,{"licence","community"}))</f>
        <v>0</v>
      </c>
      <c r="S38" s="73"/>
      <c r="T38" s="106" t="s">
        <v>911</v>
      </c>
      <c r="U38" s="104">
        <f>SUM(SUMIFS('caseload data'!E:E,'caseload data'!$D:$D,"PO",'caseload data'!$C:$C,'community caseload'!$T$36,'caseload data'!$B:$B,{"licence","community"}))</f>
        <v>0</v>
      </c>
      <c r="V38" s="104">
        <f>SUM(SUMIFS('caseload data'!F:F,'caseload data'!$D:$D,"PO",'caseload data'!$C:$C,'community caseload'!$T$36,'caseload data'!$B:$B,{"licence","community"}))</f>
        <v>0</v>
      </c>
      <c r="W38" s="104">
        <f>SUM(SUMIFS('caseload data'!G:G,'caseload data'!$D:$D,"PO",'caseload data'!$C:$C,'community caseload'!$T$36,'caseload data'!$B:$B,{"licence","community"}))</f>
        <v>0</v>
      </c>
      <c r="X38" s="104">
        <f>SUM(SUMIFS('caseload data'!H:H,'caseload data'!$D:$D,"PO",'caseload data'!$C:$C,'community caseload'!$T$36,'caseload data'!$B:$B,{"licence","community"}))</f>
        <v>0</v>
      </c>
      <c r="Y38" s="104">
        <f>SUM(SUMIFS('caseload data'!I:I,'caseload data'!$D:$D,"PO",'caseload data'!$C:$C,'community caseload'!$T$36,'caseload data'!$B:$B,{"licence","community"}))</f>
        <v>0</v>
      </c>
      <c r="Z38" s="104">
        <f>SUM(SUMIFS('caseload data'!J:J,'caseload data'!$D:$D,"PO",'caseload data'!$C:$C,'community caseload'!$T$36,'caseload data'!$B:$B,{"licence","community"}))</f>
        <v>0</v>
      </c>
      <c r="AA38" s="104">
        <f>SUM(SUMIFS('caseload data'!K:K,'caseload data'!$D:$D,"PO",'caseload data'!$C:$C,'community caseload'!$T$36,'caseload data'!$B:$B,{"licence","community"}))</f>
        <v>0</v>
      </c>
      <c r="AB38" s="104">
        <f>SUM(SUMIFS('caseload data'!L:L,'caseload data'!$D:$D,"PO",'caseload data'!$C:$C,'community caseload'!$T$36,'caseload data'!$B:$B,{"licence","community"}))</f>
        <v>0</v>
      </c>
      <c r="AC38" s="104">
        <f>SUM(SUMIFS('caseload data'!M:M,'caseload data'!$D:$D,"PO",'caseload data'!$C:$C,'community caseload'!$T$36,'caseload data'!$B:$B,{"licence","community"}))</f>
        <v>0</v>
      </c>
      <c r="AD38" s="104">
        <f>SUM(SUMIFS('caseload data'!N:N,'caseload data'!$D:$D,"PO",'caseload data'!$C:$C,'community caseload'!$T$36,'caseload data'!$B:$B,{"licence","community"}))</f>
        <v>0</v>
      </c>
      <c r="AE38" s="104">
        <f>SUM(SUMIFS('caseload data'!O:O,'caseload data'!$D:$D,"PO",'caseload data'!$C:$C,'community caseload'!$T$36,'caseload data'!$B:$B,{"licence","community"}))</f>
        <v>0</v>
      </c>
      <c r="AF38" s="104">
        <f>SUM(SUMIFS('caseload data'!P:P,'caseload data'!$D:$D,"PO",'caseload data'!$C:$C,'community caseload'!$T$36,'caseload data'!$B:$B,{"licence","community"}))</f>
        <v>0</v>
      </c>
      <c r="AG38" s="104">
        <f>SUM(SUMIFS('caseload data'!Q:Q,'caseload data'!$D:$D,"PO",'caseload data'!$C:$C,'community caseload'!$T$36,'caseload data'!$B:$B,{"licence","community"}))</f>
        <v>0</v>
      </c>
      <c r="AH38" s="104">
        <f>SUM(SUMIFS('caseload data'!R:R,'caseload data'!$D:$D,"PO",'caseload data'!$C:$C,'community caseload'!$T$36,'caseload data'!$B:$B,{"licence","community"}))</f>
        <v>0</v>
      </c>
      <c r="AI38" s="104">
        <f>SUM(SUMIFS('caseload data'!S:S,'caseload data'!$D:$D,"PO",'caseload data'!$C:$C,'community caseload'!$T$36,'caseload data'!$B:$B,{"licence","community"}))</f>
        <v>0</v>
      </c>
      <c r="AJ38" s="104">
        <f>SUM(SUMIFS('caseload data'!T:T,'caseload data'!$D:$D,"PO",'caseload data'!$C:$C,'community caseload'!$T$36,'caseload data'!$B:$B,{"licence","community"}))</f>
        <v>0</v>
      </c>
    </row>
    <row r="39" spans="2:36" x14ac:dyDescent="0.15">
      <c r="B39" s="107" t="s">
        <v>912</v>
      </c>
      <c r="C39" s="104">
        <f>SUM(SUMIFS('caseload data'!E:E,'caseload data'!$D:$D,"PSO",'caseload data'!$C:$C,'community caseload'!$B$36,'caseload data'!$B:$B,{"licence","community"}))</f>
        <v>0</v>
      </c>
      <c r="D39" s="104">
        <f>SUM(SUMIFS('caseload data'!F:F,'caseload data'!$D:$D,"PSO",'caseload data'!$C:$C,'community caseload'!$B$36,'caseload data'!$B:$B,{"licence","community"}))</f>
        <v>0</v>
      </c>
      <c r="E39" s="104">
        <f>SUM(SUMIFS('caseload data'!G:G,'caseload data'!$D:$D,"PSO",'caseload data'!$C:$C,'community caseload'!$B$36,'caseload data'!$B:$B,{"licence","community"}))</f>
        <v>0</v>
      </c>
      <c r="F39" s="104">
        <f>SUM(SUMIFS('caseload data'!H:H,'caseload data'!$D:$D,"PSO",'caseload data'!$C:$C,'community caseload'!$B$36,'caseload data'!$B:$B,{"licence","community"}))</f>
        <v>0</v>
      </c>
      <c r="G39" s="104">
        <f>SUM(SUMIFS('caseload data'!I:I,'caseload data'!$D:$D,"PSO",'caseload data'!$C:$C,'community caseload'!$B$36,'caseload data'!$B:$B,{"licence","community"}))</f>
        <v>0</v>
      </c>
      <c r="H39" s="104">
        <f>SUM(SUMIFS('caseload data'!J:J,'caseload data'!$D:$D,"PSO",'caseload data'!$C:$C,'community caseload'!$B$36,'caseload data'!$B:$B,{"licence","community"}))</f>
        <v>0</v>
      </c>
      <c r="I39" s="104">
        <f>SUM(SUMIFS('caseload data'!K:K,'caseload data'!$D:$D,"PSO",'caseload data'!$C:$C,'community caseload'!$B$36,'caseload data'!$B:$B,{"licence","community"}))</f>
        <v>0</v>
      </c>
      <c r="J39" s="104">
        <f>SUM(SUMIFS('caseload data'!L:L,'caseload data'!$D:$D,"PSO",'caseload data'!$C:$C,'community caseload'!$B$36,'caseload data'!$B:$B,{"licence","community"}))</f>
        <v>0</v>
      </c>
      <c r="K39" s="104">
        <f>SUM(SUMIFS('caseload data'!M:M,'caseload data'!$D:$D,"PSO",'caseload data'!$C:$C,'community caseload'!$B$36,'caseload data'!$B:$B,{"licence","community"}))</f>
        <v>0</v>
      </c>
      <c r="L39" s="104">
        <f>SUM(SUMIFS('caseload data'!N:N,'caseload data'!$D:$D,"PSO",'caseload data'!$C:$C,'community caseload'!$B$36,'caseload data'!$B:$B,{"licence","community"}))</f>
        <v>0</v>
      </c>
      <c r="M39" s="104">
        <f>SUM(SUMIFS('caseload data'!O:O,'caseload data'!$D:$D,"PSO",'caseload data'!$C:$C,'community caseload'!$B$36,'caseload data'!$B:$B,{"licence","community"}))</f>
        <v>0</v>
      </c>
      <c r="N39" s="104">
        <f>SUM(SUMIFS('caseload data'!P:P,'caseload data'!$D:$D,"PSO",'caseload data'!$C:$C,'community caseload'!$B$36,'caseload data'!$B:$B,{"licence","community"}))</f>
        <v>0</v>
      </c>
      <c r="O39" s="104">
        <f>SUM(SUMIFS('caseload data'!Q:Q,'caseload data'!$D:$D,"PSO",'caseload data'!$C:$C,'community caseload'!$B$36,'caseload data'!$B:$B,{"licence","community"}))</f>
        <v>0</v>
      </c>
      <c r="P39" s="104">
        <f>SUM(SUMIFS('caseload data'!R:R,'caseload data'!$D:$D,"PSO",'caseload data'!$C:$C,'community caseload'!$B$36,'caseload data'!$B:$B,{"licence","community"}))</f>
        <v>0</v>
      </c>
      <c r="Q39" s="104">
        <f>SUM(SUMIFS('caseload data'!S:S,'caseload data'!$D:$D,"PSO",'caseload data'!$C:$C,'community caseload'!$B$36,'caseload data'!$B:$B,{"licence","community"}))</f>
        <v>0</v>
      </c>
      <c r="R39" s="104">
        <f>SUM(SUMIFS('caseload data'!T:T,'caseload data'!$D:$D,"PSO",'caseload data'!$C:$C,'community caseload'!$B$36,'caseload data'!$B:$B,{"licence","community"}))</f>
        <v>0</v>
      </c>
      <c r="S39" s="73"/>
      <c r="T39" s="107" t="s">
        <v>912</v>
      </c>
      <c r="U39" s="104">
        <f>SUM(SUMIFS('caseload data'!E:E,'caseload data'!$D:$D,"PSO",'caseload data'!$C:$C,'community caseload'!$T$36,'caseload data'!$B:$B,{"licence","community"}))</f>
        <v>0</v>
      </c>
      <c r="V39" s="104">
        <f>SUM(SUMIFS('caseload data'!F:F,'caseload data'!$D:$D,"PSO",'caseload data'!$C:$C,'community caseload'!$T$36,'caseload data'!$B:$B,{"licence","community"}))</f>
        <v>0</v>
      </c>
      <c r="W39" s="104">
        <f>SUM(SUMIFS('caseload data'!G:G,'caseload data'!$D:$D,"PSO",'caseload data'!$C:$C,'community caseload'!$T$36,'caseload data'!$B:$B,{"licence","community"}))</f>
        <v>0</v>
      </c>
      <c r="X39" s="104">
        <f>SUM(SUMIFS('caseload data'!H:H,'caseload data'!$D:$D,"PSO",'caseload data'!$C:$C,'community caseload'!$T$36,'caseload data'!$B:$B,{"licence","community"}))</f>
        <v>0</v>
      </c>
      <c r="Y39" s="104">
        <f>SUM(SUMIFS('caseload data'!I:I,'caseload data'!$D:$D,"PSO",'caseload data'!$C:$C,'community caseload'!$T$36,'caseload data'!$B:$B,{"licence","community"}))</f>
        <v>0</v>
      </c>
      <c r="Z39" s="104">
        <f>SUM(SUMIFS('caseload data'!J:J,'caseload data'!$D:$D,"PSO",'caseload data'!$C:$C,'community caseload'!$T$36,'caseload data'!$B:$B,{"licence","community"}))</f>
        <v>0</v>
      </c>
      <c r="AA39" s="104">
        <f>SUM(SUMIFS('caseload data'!K:K,'caseload data'!$D:$D,"PSO",'caseload data'!$C:$C,'community caseload'!$T$36,'caseload data'!$B:$B,{"licence","community"}))</f>
        <v>0</v>
      </c>
      <c r="AB39" s="104">
        <f>SUM(SUMIFS('caseload data'!L:L,'caseload data'!$D:$D,"PSO",'caseload data'!$C:$C,'community caseload'!$T$36,'caseload data'!$B:$B,{"licence","community"}))</f>
        <v>0</v>
      </c>
      <c r="AC39" s="104">
        <f>SUM(SUMIFS('caseload data'!M:M,'caseload data'!$D:$D,"PSO",'caseload data'!$C:$C,'community caseload'!$T$36,'caseload data'!$B:$B,{"licence","community"}))</f>
        <v>0</v>
      </c>
      <c r="AD39" s="104">
        <f>SUM(SUMIFS('caseload data'!N:N,'caseload data'!$D:$D,"PSO",'caseload data'!$C:$C,'community caseload'!$T$36,'caseload data'!$B:$B,{"licence","community"}))</f>
        <v>0</v>
      </c>
      <c r="AE39" s="104">
        <f>SUM(SUMIFS('caseload data'!O:O,'caseload data'!$D:$D,"PSO",'caseload data'!$C:$C,'community caseload'!$T$36,'caseload data'!$B:$B,{"licence","community"}))</f>
        <v>0</v>
      </c>
      <c r="AF39" s="104">
        <f>SUM(SUMIFS('caseload data'!P:P,'caseload data'!$D:$D,"PSO",'caseload data'!$C:$C,'community caseload'!$T$36,'caseload data'!$B:$B,{"licence","community"}))</f>
        <v>0</v>
      </c>
      <c r="AG39" s="104">
        <f>SUM(SUMIFS('caseload data'!Q:Q,'caseload data'!$D:$D,"PSO",'caseload data'!$C:$C,'community caseload'!$T$36,'caseload data'!$B:$B,{"licence","community"}))</f>
        <v>0</v>
      </c>
      <c r="AH39" s="104">
        <f>SUM(SUMIFS('caseload data'!R:R,'caseload data'!$D:$D,"PSO",'caseload data'!$C:$C,'community caseload'!$T$36,'caseload data'!$B:$B,{"licence","community"}))</f>
        <v>0</v>
      </c>
      <c r="AI39" s="104">
        <f>SUM(SUMIFS('caseload data'!S:S,'caseload data'!$D:$D,"PSO",'caseload data'!$C:$C,'community caseload'!$T$36,'caseload data'!$B:$B,{"licence","community"}))</f>
        <v>0</v>
      </c>
      <c r="AJ39" s="104">
        <f>SUM(SUMIFS('caseload data'!T:T,'caseload data'!$D:$D,"PSO",'caseload data'!$C:$C,'community caseload'!$T$36,'caseload data'!$B:$B,{"licence","community"}))</f>
        <v>0</v>
      </c>
    </row>
    <row r="40" spans="2:36" x14ac:dyDescent="0.15">
      <c r="B40" s="107" t="s">
        <v>913</v>
      </c>
      <c r="C40" s="104">
        <f>SUM(SUMIFS('caseload data'!E:E,'caseload data'!$D:$D,"TPO",'caseload data'!$C:$C,'community caseload'!$B$36,'caseload data'!$B:$B,{"licence","community"}))</f>
        <v>0</v>
      </c>
      <c r="D40" s="104">
        <f>SUM(SUMIFS('caseload data'!F:F,'caseload data'!$D:$D,"TPO",'caseload data'!$C:$C,'community caseload'!$B$36,'caseload data'!$B:$B,{"licence","community"}))</f>
        <v>0</v>
      </c>
      <c r="E40" s="104">
        <f>SUM(SUMIFS('caseload data'!G:G,'caseload data'!$D:$D,"TPO",'caseload data'!$C:$C,'community caseload'!$B$36,'caseload data'!$B:$B,{"licence","community"}))</f>
        <v>0</v>
      </c>
      <c r="F40" s="104">
        <f>SUM(SUMIFS('caseload data'!H:H,'caseload data'!$D:$D,"TPO",'caseload data'!$C:$C,'community caseload'!$B$36,'caseload data'!$B:$B,{"licence","community"}))</f>
        <v>0</v>
      </c>
      <c r="G40" s="104">
        <f>SUM(SUMIFS('caseload data'!I:I,'caseload data'!$D:$D,"TPO",'caseload data'!$C:$C,'community caseload'!$B$36,'caseload data'!$B:$B,{"licence","community"}))</f>
        <v>0</v>
      </c>
      <c r="H40" s="104">
        <f>SUM(SUMIFS('caseload data'!J:J,'caseload data'!$D:$D,"TPO",'caseload data'!$C:$C,'community caseload'!$B$36,'caseload data'!$B:$B,{"licence","community"}))</f>
        <v>0</v>
      </c>
      <c r="I40" s="104">
        <f>SUM(SUMIFS('caseload data'!K:K,'caseload data'!$D:$D,"TPO",'caseload data'!$C:$C,'community caseload'!$B$36,'caseload data'!$B:$B,{"licence","community"}))</f>
        <v>0</v>
      </c>
      <c r="J40" s="104">
        <f>SUM(SUMIFS('caseload data'!L:L,'caseload data'!$D:$D,"TPO",'caseload data'!$C:$C,'community caseload'!$B$36,'caseload data'!$B:$B,{"licence","community"}))</f>
        <v>0</v>
      </c>
      <c r="K40" s="104">
        <f>SUM(SUMIFS('caseload data'!M:M,'caseload data'!$D:$D,"TPO",'caseload data'!$C:$C,'community caseload'!$B$36,'caseload data'!$B:$B,{"licence","community"}))</f>
        <v>0</v>
      </c>
      <c r="L40" s="104">
        <f>SUM(SUMIFS('caseload data'!N:N,'caseload data'!$D:$D,"TPO",'caseload data'!$C:$C,'community caseload'!$B$36,'caseload data'!$B:$B,{"licence","community"}))</f>
        <v>0</v>
      </c>
      <c r="M40" s="104">
        <f>SUM(SUMIFS('caseload data'!O:O,'caseload data'!$D:$D,"TPO",'caseload data'!$C:$C,'community caseload'!$B$36,'caseload data'!$B:$B,{"licence","community"}))</f>
        <v>0</v>
      </c>
      <c r="N40" s="104">
        <f>SUM(SUMIFS('caseload data'!P:P,'caseload data'!$D:$D,"TPO",'caseload data'!$C:$C,'community caseload'!$B$36,'caseload data'!$B:$B,{"licence","community"}))</f>
        <v>0</v>
      </c>
      <c r="O40" s="104">
        <f>SUM(SUMIFS('caseload data'!Q:Q,'caseload data'!$D:$D,"TPO",'caseload data'!$C:$C,'community caseload'!$B$36,'caseload data'!$B:$B,{"licence","community"}))</f>
        <v>0</v>
      </c>
      <c r="P40" s="104">
        <f>SUM(SUMIFS('caseload data'!R:R,'caseload data'!$D:$D,"TPO",'caseload data'!$C:$C,'community caseload'!$B$36,'caseload data'!$B:$B,{"licence","community"}))</f>
        <v>0</v>
      </c>
      <c r="Q40" s="104">
        <f>SUM(SUMIFS('caseload data'!S:S,'caseload data'!$D:$D,"TPO",'caseload data'!$C:$C,'community caseload'!$B$36,'caseload data'!$B:$B,{"licence","community"}))</f>
        <v>0</v>
      </c>
      <c r="R40" s="104">
        <f>SUM(SUMIFS('caseload data'!T:T,'caseload data'!$D:$D,"TPO",'caseload data'!$C:$C,'community caseload'!$B$36,'caseload data'!$B:$B,{"licence","community"}))</f>
        <v>0</v>
      </c>
      <c r="S40" s="73"/>
      <c r="T40" s="107" t="s">
        <v>913</v>
      </c>
      <c r="U40" s="104">
        <f>SUM(SUMIFS('caseload data'!E:E,'caseload data'!$D:$D,"TPO",'caseload data'!$C:$C,'community caseload'!$T$36,'caseload data'!$B:$B,{"licence","community"}))</f>
        <v>0</v>
      </c>
      <c r="V40" s="104">
        <f>SUM(SUMIFS('caseload data'!F:F,'caseload data'!$D:$D,"TPO",'caseload data'!$C:$C,'community caseload'!$T$36,'caseload data'!$B:$B,{"licence","community"}))</f>
        <v>0</v>
      </c>
      <c r="W40" s="104">
        <f>SUM(SUMIFS('caseload data'!G:G,'caseload data'!$D:$D,"TPO",'caseload data'!$C:$C,'community caseload'!$T$36,'caseload data'!$B:$B,{"licence","community"}))</f>
        <v>0</v>
      </c>
      <c r="X40" s="104">
        <f>SUM(SUMIFS('caseload data'!H:H,'caseload data'!$D:$D,"TPO",'caseload data'!$C:$C,'community caseload'!$T$36,'caseload data'!$B:$B,{"licence","community"}))</f>
        <v>0</v>
      </c>
      <c r="Y40" s="104">
        <f>SUM(SUMIFS('caseload data'!I:I,'caseload data'!$D:$D,"TPO",'caseload data'!$C:$C,'community caseload'!$T$36,'caseload data'!$B:$B,{"licence","community"}))</f>
        <v>0</v>
      </c>
      <c r="Z40" s="104">
        <f>SUM(SUMIFS('caseload data'!J:J,'caseload data'!$D:$D,"TPO",'caseload data'!$C:$C,'community caseload'!$T$36,'caseload data'!$B:$B,{"licence","community"}))</f>
        <v>0</v>
      </c>
      <c r="AA40" s="104">
        <f>SUM(SUMIFS('caseload data'!K:K,'caseload data'!$D:$D,"TPO",'caseload data'!$C:$C,'community caseload'!$T$36,'caseload data'!$B:$B,{"licence","community"}))</f>
        <v>0</v>
      </c>
      <c r="AB40" s="104">
        <f>SUM(SUMIFS('caseload data'!L:L,'caseload data'!$D:$D,"TPO",'caseload data'!$C:$C,'community caseload'!$T$36,'caseload data'!$B:$B,{"licence","community"}))</f>
        <v>0</v>
      </c>
      <c r="AC40" s="104">
        <f>SUM(SUMIFS('caseload data'!M:M,'caseload data'!$D:$D,"TPO",'caseload data'!$C:$C,'community caseload'!$T$36,'caseload data'!$B:$B,{"licence","community"}))</f>
        <v>0</v>
      </c>
      <c r="AD40" s="104">
        <f>SUM(SUMIFS('caseload data'!N:N,'caseload data'!$D:$D,"TPO",'caseload data'!$C:$C,'community caseload'!$T$36,'caseload data'!$B:$B,{"licence","community"}))</f>
        <v>0</v>
      </c>
      <c r="AE40" s="104">
        <f>SUM(SUMIFS('caseload data'!O:O,'caseload data'!$D:$D,"TPO",'caseload data'!$C:$C,'community caseload'!$T$36,'caseload data'!$B:$B,{"licence","community"}))</f>
        <v>0</v>
      </c>
      <c r="AF40" s="104">
        <f>SUM(SUMIFS('caseload data'!P:P,'caseload data'!$D:$D,"TPO",'caseload data'!$C:$C,'community caseload'!$T$36,'caseload data'!$B:$B,{"licence","community"}))</f>
        <v>0</v>
      </c>
      <c r="AG40" s="104">
        <f>SUM(SUMIFS('caseload data'!Q:Q,'caseload data'!$D:$D,"TPO",'caseload data'!$C:$C,'community caseload'!$T$36,'caseload data'!$B:$B,{"licence","community"}))</f>
        <v>0</v>
      </c>
      <c r="AH40" s="104">
        <f>SUM(SUMIFS('caseload data'!R:R,'caseload data'!$D:$D,"TPO",'caseload data'!$C:$C,'community caseload'!$T$36,'caseload data'!$B:$B,{"licence","community"}))</f>
        <v>0</v>
      </c>
      <c r="AI40" s="104">
        <f>SUM(SUMIFS('caseload data'!S:S,'caseload data'!$D:$D,"TPO",'caseload data'!$C:$C,'community caseload'!$T$36,'caseload data'!$B:$B,{"licence","community"}))</f>
        <v>0</v>
      </c>
      <c r="AJ40" s="104">
        <f>SUM(SUMIFS('caseload data'!T:T,'caseload data'!$D:$D,"TPO",'caseload data'!$C:$C,'community caseload'!$T$36,'caseload data'!$B:$B,{"licence","community"}))</f>
        <v>0</v>
      </c>
    </row>
    <row r="41" spans="2:36" x14ac:dyDescent="0.15">
      <c r="B41" s="108" t="s">
        <v>914</v>
      </c>
      <c r="C41" s="104">
        <f>SUM(SUMIFS('caseload data'!E:E,'caseload data'!$D:$D,"SPO",'caseload data'!$C:$C,'community caseload'!$B$36,'caseload data'!$B:$B,{"licence","community"}))</f>
        <v>0</v>
      </c>
      <c r="D41" s="104">
        <f>SUM(SUMIFS('caseload data'!F:F,'caseload data'!$D:$D,"SPO",'caseload data'!$C:$C,'community caseload'!$B$36,'caseload data'!$B:$B,{"licence","community"}))</f>
        <v>0</v>
      </c>
      <c r="E41" s="104">
        <f>SUM(SUMIFS('caseload data'!G:G,'caseload data'!$D:$D,"SPO",'caseload data'!$C:$C,'community caseload'!$B$36,'caseload data'!$B:$B,{"licence","community"}))</f>
        <v>0</v>
      </c>
      <c r="F41" s="104">
        <f>SUM(SUMIFS('caseload data'!H:H,'caseload data'!$D:$D,"SPO",'caseload data'!$C:$C,'community caseload'!$B$36,'caseload data'!$B:$B,{"licence","community"}))</f>
        <v>0</v>
      </c>
      <c r="G41" s="104">
        <f>SUM(SUMIFS('caseload data'!I:I,'caseload data'!$D:$D,"SPO",'caseload data'!$C:$C,'community caseload'!$B$36,'caseload data'!$B:$B,{"licence","community"}))</f>
        <v>0</v>
      </c>
      <c r="H41" s="104">
        <f>SUM(SUMIFS('caseload data'!J:J,'caseload data'!$D:$D,"SPO",'caseload data'!$C:$C,'community caseload'!$B$36,'caseload data'!$B:$B,{"licence","community"}))</f>
        <v>0</v>
      </c>
      <c r="I41" s="104">
        <f>SUM(SUMIFS('caseload data'!K:K,'caseload data'!$D:$D,"SPO",'caseload data'!$C:$C,'community caseload'!$B$36,'caseload data'!$B:$B,{"licence","community"}))</f>
        <v>0</v>
      </c>
      <c r="J41" s="104">
        <f>SUM(SUMIFS('caseload data'!L:L,'caseload data'!$D:$D,"SPO",'caseload data'!$C:$C,'community caseload'!$B$36,'caseload data'!$B:$B,{"licence","community"}))</f>
        <v>0</v>
      </c>
      <c r="K41" s="104">
        <f>SUM(SUMIFS('caseload data'!M:M,'caseload data'!$D:$D,"SPO",'caseload data'!$C:$C,'community caseload'!$B$36,'caseload data'!$B:$B,{"licence","community"}))</f>
        <v>0</v>
      </c>
      <c r="L41" s="104">
        <f>SUM(SUMIFS('caseload data'!N:N,'caseload data'!$D:$D,"SPO",'caseload data'!$C:$C,'community caseload'!$B$36,'caseload data'!$B:$B,{"licence","community"}))</f>
        <v>0</v>
      </c>
      <c r="M41" s="104">
        <f>SUM(SUMIFS('caseload data'!O:O,'caseload data'!$D:$D,"SPO",'caseload data'!$C:$C,'community caseload'!$B$36,'caseload data'!$B:$B,{"licence","community"}))</f>
        <v>0</v>
      </c>
      <c r="N41" s="104">
        <f>SUM(SUMIFS('caseload data'!P:P,'caseload data'!$D:$D,"SPO",'caseload data'!$C:$C,'community caseload'!$B$36,'caseload data'!$B:$B,{"licence","community"}))</f>
        <v>0</v>
      </c>
      <c r="O41" s="104">
        <f>SUM(SUMIFS('caseload data'!Q:Q,'caseload data'!$D:$D,"SPO",'caseload data'!$C:$C,'community caseload'!$B$36,'caseload data'!$B:$B,{"licence","community"}))</f>
        <v>0</v>
      </c>
      <c r="P41" s="104">
        <f>SUM(SUMIFS('caseload data'!R:R,'caseload data'!$D:$D,"SPO",'caseload data'!$C:$C,'community caseload'!$B$36,'caseload data'!$B:$B,{"licence","community"}))</f>
        <v>0</v>
      </c>
      <c r="Q41" s="104">
        <f>SUM(SUMIFS('caseload data'!S:S,'caseload data'!$D:$D,"SPO",'caseload data'!$C:$C,'community caseload'!$B$36,'caseload data'!$B:$B,{"licence","community"}))</f>
        <v>0</v>
      </c>
      <c r="R41" s="104">
        <f>SUM(SUMIFS('caseload data'!T:T,'caseload data'!$D:$D,"SPO",'caseload data'!$C:$C,'community caseload'!$B$36,'caseload data'!$B:$B,{"licence","community"}))</f>
        <v>0</v>
      </c>
      <c r="S41" s="73"/>
      <c r="T41" s="108" t="s">
        <v>914</v>
      </c>
      <c r="U41" s="104">
        <f>SUM(SUMIFS('caseload data'!E:E,'caseload data'!$D:$D,"SPO",'caseload data'!$C:$C,'community caseload'!$T$36,'caseload data'!$B:$B,{"licence","community"}))</f>
        <v>0</v>
      </c>
      <c r="V41" s="104">
        <f>SUM(SUMIFS('caseload data'!F:F,'caseload data'!$D:$D,"SPO",'caseload data'!$C:$C,'community caseload'!$T$36,'caseload data'!$B:$B,{"licence","community"}))</f>
        <v>0</v>
      </c>
      <c r="W41" s="104">
        <f>SUM(SUMIFS('caseload data'!G:G,'caseload data'!$D:$D,"SPO",'caseload data'!$C:$C,'community caseload'!$T$36,'caseload data'!$B:$B,{"licence","community"}))</f>
        <v>0</v>
      </c>
      <c r="X41" s="104">
        <f>SUM(SUMIFS('caseload data'!H:H,'caseload data'!$D:$D,"SPO",'caseload data'!$C:$C,'community caseload'!$T$36,'caseload data'!$B:$B,{"licence","community"}))</f>
        <v>0</v>
      </c>
      <c r="Y41" s="104">
        <f>SUM(SUMIFS('caseload data'!I:I,'caseload data'!$D:$D,"SPO",'caseload data'!$C:$C,'community caseload'!$T$36,'caseload data'!$B:$B,{"licence","community"}))</f>
        <v>0</v>
      </c>
      <c r="Z41" s="104">
        <f>SUM(SUMIFS('caseload data'!J:J,'caseload data'!$D:$D,"SPO",'caseload data'!$C:$C,'community caseload'!$T$36,'caseload data'!$B:$B,{"licence","community"}))</f>
        <v>0</v>
      </c>
      <c r="AA41" s="104">
        <f>SUM(SUMIFS('caseload data'!K:K,'caseload data'!$D:$D,"SPO",'caseload data'!$C:$C,'community caseload'!$T$36,'caseload data'!$B:$B,{"licence","community"}))</f>
        <v>0</v>
      </c>
      <c r="AB41" s="104">
        <f>SUM(SUMIFS('caseload data'!L:L,'caseload data'!$D:$D,"SPO",'caseload data'!$C:$C,'community caseload'!$T$36,'caseload data'!$B:$B,{"licence","community"}))</f>
        <v>0</v>
      </c>
      <c r="AC41" s="104">
        <f>SUM(SUMIFS('caseload data'!M:M,'caseload data'!$D:$D,"SPO",'caseload data'!$C:$C,'community caseload'!$T$36,'caseload data'!$B:$B,{"licence","community"}))</f>
        <v>0</v>
      </c>
      <c r="AD41" s="104">
        <f>SUM(SUMIFS('caseload data'!N:N,'caseload data'!$D:$D,"SPO",'caseload data'!$C:$C,'community caseload'!$T$36,'caseload data'!$B:$B,{"licence","community"}))</f>
        <v>0</v>
      </c>
      <c r="AE41" s="104">
        <f>SUM(SUMIFS('caseload data'!O:O,'caseload data'!$D:$D,"SPO",'caseload data'!$C:$C,'community caseload'!$T$36,'caseload data'!$B:$B,{"licence","community"}))</f>
        <v>0</v>
      </c>
      <c r="AF41" s="104">
        <f>SUM(SUMIFS('caseload data'!P:P,'caseload data'!$D:$D,"SPO",'caseload data'!$C:$C,'community caseload'!$T$36,'caseload data'!$B:$B,{"licence","community"}))</f>
        <v>0</v>
      </c>
      <c r="AG41" s="104">
        <f>SUM(SUMIFS('caseload data'!Q:Q,'caseload data'!$D:$D,"SPO",'caseload data'!$C:$C,'community caseload'!$T$36,'caseload data'!$B:$B,{"licence","community"}))</f>
        <v>0</v>
      </c>
      <c r="AH41" s="104">
        <f>SUM(SUMIFS('caseload data'!R:R,'caseload data'!$D:$D,"SPO",'caseload data'!$C:$C,'community caseload'!$T$36,'caseload data'!$B:$B,{"licence","community"}))</f>
        <v>0</v>
      </c>
      <c r="AI41" s="104">
        <f>SUM(SUMIFS('caseload data'!S:S,'caseload data'!$D:$D,"SPO",'caseload data'!$C:$C,'community caseload'!$T$36,'caseload data'!$B:$B,{"licence","community"}))</f>
        <v>0</v>
      </c>
      <c r="AJ41" s="104">
        <f>SUM(SUMIFS('caseload data'!T:T,'caseload data'!$D:$D,"SPO",'caseload data'!$C:$C,'community caseload'!$T$36,'caseload data'!$B:$B,{"licence","community"}))</f>
        <v>0</v>
      </c>
    </row>
    <row r="42" spans="2:36" x14ac:dyDescent="0.15">
      <c r="B42" s="101"/>
      <c r="C42" s="73"/>
      <c r="D42" s="73"/>
      <c r="E42" s="73"/>
      <c r="F42" s="73"/>
      <c r="G42" s="73"/>
      <c r="H42" s="73"/>
      <c r="I42" s="73"/>
      <c r="J42" s="73"/>
      <c r="K42" s="73"/>
      <c r="L42" s="73"/>
      <c r="M42" s="73"/>
      <c r="N42" s="73"/>
      <c r="O42" s="73"/>
      <c r="P42" s="73"/>
      <c r="Q42" s="73"/>
      <c r="R42" s="73"/>
      <c r="S42" s="73"/>
      <c r="T42" s="101"/>
      <c r="U42" s="73"/>
      <c r="V42" s="73"/>
      <c r="W42" s="73"/>
      <c r="X42" s="73"/>
      <c r="Y42" s="73"/>
      <c r="Z42" s="73"/>
      <c r="AA42" s="73"/>
      <c r="AB42" s="73"/>
      <c r="AC42" s="73"/>
      <c r="AD42" s="73"/>
      <c r="AE42" s="73"/>
      <c r="AF42" s="73"/>
      <c r="AG42" s="73"/>
      <c r="AH42" s="73"/>
      <c r="AI42" s="73"/>
      <c r="AJ42" s="73"/>
    </row>
    <row r="43" spans="2:36" ht="46.5" customHeight="1" x14ac:dyDescent="0.15">
      <c r="B43" s="156" t="str">
        <f>HLOOKUP($B$5,Region_Table,12,0)</f>
        <v>Hammersmith, Fulham, Kensington, Chelsea and Westminster</v>
      </c>
      <c r="C43" s="367" t="s">
        <v>1167</v>
      </c>
      <c r="D43" s="368"/>
      <c r="E43" s="368"/>
      <c r="F43" s="368"/>
      <c r="G43" s="368"/>
      <c r="H43" s="368"/>
      <c r="I43" s="368"/>
      <c r="J43" s="368"/>
      <c r="K43" s="368"/>
      <c r="L43" s="368"/>
      <c r="M43" s="377"/>
      <c r="N43" s="377"/>
      <c r="O43" s="378"/>
      <c r="P43" s="371" cm="1">
        <f t="array" ref="P43">SUM(SUMIFS('caseload data'!V:V,'caseload data'!B:B,{"licence","community"},'caseload data'!$C:$C,'community caseload'!B43))</f>
        <v>0</v>
      </c>
      <c r="Q43" s="379"/>
      <c r="R43" s="380"/>
      <c r="S43" s="73"/>
      <c r="T43" s="156" t="str">
        <f>HLOOKUP($B$5,Region_Table,13,0)</f>
        <v>Harrow and Barnet</v>
      </c>
      <c r="U43" s="367" t="s">
        <v>1167</v>
      </c>
      <c r="V43" s="368"/>
      <c r="W43" s="368"/>
      <c r="X43" s="368"/>
      <c r="Y43" s="368"/>
      <c r="Z43" s="368"/>
      <c r="AA43" s="368"/>
      <c r="AB43" s="368"/>
      <c r="AC43" s="368"/>
      <c r="AD43" s="368"/>
      <c r="AE43" s="377"/>
      <c r="AF43" s="377"/>
      <c r="AG43" s="378"/>
      <c r="AH43" s="371" cm="1">
        <f t="array" ref="AH43">SUM(SUMIFS('caseload data'!V:V,'caseload data'!B:B,{"licence","community"},'caseload data'!$C:$C,'community caseload'!T43))</f>
        <v>0</v>
      </c>
      <c r="AI43" s="379"/>
      <c r="AJ43" s="380"/>
    </row>
    <row r="44" spans="2:36" x14ac:dyDescent="0.15">
      <c r="B44" s="105" t="s">
        <v>1065</v>
      </c>
      <c r="C44" s="41" t="s">
        <v>922</v>
      </c>
      <c r="D44" s="41" t="s">
        <v>923</v>
      </c>
      <c r="E44" s="41" t="s">
        <v>924</v>
      </c>
      <c r="F44" s="41" t="s">
        <v>925</v>
      </c>
      <c r="G44" s="41" t="s">
        <v>926</v>
      </c>
      <c r="H44" s="41" t="s">
        <v>927</v>
      </c>
      <c r="I44" s="41" t="s">
        <v>928</v>
      </c>
      <c r="J44" s="41" t="s">
        <v>929</v>
      </c>
      <c r="K44" s="41" t="s">
        <v>930</v>
      </c>
      <c r="L44" s="41" t="s">
        <v>931</v>
      </c>
      <c r="M44" s="41" t="s">
        <v>932</v>
      </c>
      <c r="N44" s="41" t="s">
        <v>933</v>
      </c>
      <c r="O44" s="41" t="s">
        <v>934</v>
      </c>
      <c r="P44" s="41" t="s">
        <v>935</v>
      </c>
      <c r="Q44" s="41" t="s">
        <v>936</v>
      </c>
      <c r="R44" s="41" t="s">
        <v>937</v>
      </c>
      <c r="S44" s="73"/>
      <c r="T44" s="105" t="s">
        <v>1065</v>
      </c>
      <c r="U44" s="41" t="s">
        <v>922</v>
      </c>
      <c r="V44" s="41" t="s">
        <v>923</v>
      </c>
      <c r="W44" s="41" t="s">
        <v>924</v>
      </c>
      <c r="X44" s="41" t="s">
        <v>925</v>
      </c>
      <c r="Y44" s="41" t="s">
        <v>926</v>
      </c>
      <c r="Z44" s="41" t="s">
        <v>927</v>
      </c>
      <c r="AA44" s="41" t="s">
        <v>928</v>
      </c>
      <c r="AB44" s="41" t="s">
        <v>929</v>
      </c>
      <c r="AC44" s="41" t="s">
        <v>930</v>
      </c>
      <c r="AD44" s="41" t="s">
        <v>931</v>
      </c>
      <c r="AE44" s="41" t="s">
        <v>932</v>
      </c>
      <c r="AF44" s="41" t="s">
        <v>933</v>
      </c>
      <c r="AG44" s="41" t="s">
        <v>934</v>
      </c>
      <c r="AH44" s="41" t="s">
        <v>935</v>
      </c>
      <c r="AI44" s="41" t="s">
        <v>936</v>
      </c>
      <c r="AJ44" s="41" t="s">
        <v>937</v>
      </c>
    </row>
    <row r="45" spans="2:36" x14ac:dyDescent="0.15">
      <c r="B45" s="106" t="s">
        <v>911</v>
      </c>
      <c r="C45" s="104">
        <f>SUM(SUMIFS('caseload data'!E:E,'caseload data'!$D:$D,"PO",'caseload data'!$C:$C,'community caseload'!$B$43,'caseload data'!$B:$B,{"licence","community"}))</f>
        <v>0</v>
      </c>
      <c r="D45" s="104">
        <f>SUM(SUMIFS('caseload data'!F:F,'caseload data'!$D:$D,"PO",'caseload data'!$C:$C,'community caseload'!$B$43,'caseload data'!$B:$B,{"licence","community"}))</f>
        <v>0</v>
      </c>
      <c r="E45" s="104">
        <f>SUM(SUMIFS('caseload data'!G:G,'caseload data'!$D:$D,"PO",'caseload data'!$C:$C,'community caseload'!$B$43,'caseload data'!$B:$B,{"licence","community"}))</f>
        <v>0</v>
      </c>
      <c r="F45" s="104">
        <f>SUM(SUMIFS('caseload data'!H:H,'caseload data'!$D:$D,"PO",'caseload data'!$C:$C,'community caseload'!$B$43,'caseload data'!$B:$B,{"licence","community"}))</f>
        <v>0</v>
      </c>
      <c r="G45" s="104">
        <f>SUM(SUMIFS('caseload data'!I:I,'caseload data'!$D:$D,"PO",'caseload data'!$C:$C,'community caseload'!$B$43,'caseload data'!$B:$B,{"licence","community"}))</f>
        <v>0</v>
      </c>
      <c r="H45" s="104">
        <f>SUM(SUMIFS('caseload data'!J:J,'caseload data'!$D:$D,"PO",'caseload data'!$C:$C,'community caseload'!$B$43,'caseload data'!$B:$B,{"licence","community"}))</f>
        <v>0</v>
      </c>
      <c r="I45" s="104">
        <f>SUM(SUMIFS('caseload data'!K:K,'caseload data'!$D:$D,"PO",'caseload data'!$C:$C,'community caseload'!$B$43,'caseload data'!$B:$B,{"licence","community"}))</f>
        <v>0</v>
      </c>
      <c r="J45" s="104">
        <f>SUM(SUMIFS('caseload data'!L:L,'caseload data'!$D:$D,"PO",'caseload data'!$C:$C,'community caseload'!$B$43,'caseload data'!$B:$B,{"licence","community"}))</f>
        <v>0</v>
      </c>
      <c r="K45" s="104">
        <f>SUM(SUMIFS('caseload data'!M:M,'caseload data'!$D:$D,"PO",'caseload data'!$C:$C,'community caseload'!$B$43,'caseload data'!$B:$B,{"licence","community"}))</f>
        <v>0</v>
      </c>
      <c r="L45" s="104">
        <f>SUM(SUMIFS('caseload data'!N:N,'caseload data'!$D:$D,"PO",'caseload data'!$C:$C,'community caseload'!$B$43,'caseload data'!$B:$B,{"licence","community"}))</f>
        <v>0</v>
      </c>
      <c r="M45" s="104">
        <f>SUM(SUMIFS('caseload data'!O:O,'caseload data'!$D:$D,"PO",'caseload data'!$C:$C,'community caseload'!$B$43,'caseload data'!$B:$B,{"licence","community"}))</f>
        <v>0</v>
      </c>
      <c r="N45" s="104">
        <f>SUM(SUMIFS('caseload data'!P:P,'caseload data'!$D:$D,"PO",'caseload data'!$C:$C,'community caseload'!$B$43,'caseload data'!$B:$B,{"licence","community"}))</f>
        <v>0</v>
      </c>
      <c r="O45" s="104">
        <f>SUM(SUMIFS('caseload data'!Q:Q,'caseload data'!$D:$D,"PO",'caseload data'!$C:$C,'community caseload'!$B$43,'caseload data'!$B:$B,{"licence","community"}))</f>
        <v>0</v>
      </c>
      <c r="P45" s="104">
        <f>SUM(SUMIFS('caseload data'!R:R,'caseload data'!$D:$D,"PO",'caseload data'!$C:$C,'community caseload'!$B$43,'caseload data'!$B:$B,{"licence","community"}))</f>
        <v>0</v>
      </c>
      <c r="Q45" s="104">
        <f>SUM(SUMIFS('caseload data'!S:S,'caseload data'!$D:$D,"PO",'caseload data'!$C:$C,'community caseload'!$B$43,'caseload data'!$B:$B,{"licence","community"}))</f>
        <v>0</v>
      </c>
      <c r="R45" s="104">
        <f>SUM(SUMIFS('caseload data'!T:T,'caseload data'!$D:$D,"PO",'caseload data'!$C:$C,'community caseload'!$B$43,'caseload data'!$B:$B,{"licence","community"}))</f>
        <v>0</v>
      </c>
      <c r="S45" s="73"/>
      <c r="T45" s="106" t="s">
        <v>911</v>
      </c>
      <c r="U45" s="104">
        <f>SUM(SUMIFS('caseload data'!E:E,'caseload data'!$D:$D,"PO",'caseload data'!$C:$C,'community caseload'!$T$43,'caseload data'!$B:$B,{"licence","community"}))</f>
        <v>0</v>
      </c>
      <c r="V45" s="104">
        <f>SUM(SUMIFS('caseload data'!F:F,'caseload data'!$D:$D,"PO",'caseload data'!$C:$C,'community caseload'!$T$43,'caseload data'!$B:$B,{"licence","community"}))</f>
        <v>0</v>
      </c>
      <c r="W45" s="104">
        <f>SUM(SUMIFS('caseload data'!G:G,'caseload data'!$D:$D,"PO",'caseload data'!$C:$C,'community caseload'!$T$43,'caseload data'!$B:$B,{"licence","community"}))</f>
        <v>0</v>
      </c>
      <c r="X45" s="104">
        <f>SUM(SUMIFS('caseload data'!H:H,'caseload data'!$D:$D,"PO",'caseload data'!$C:$C,'community caseload'!$T$43,'caseload data'!$B:$B,{"licence","community"}))</f>
        <v>0</v>
      </c>
      <c r="Y45" s="104">
        <f>SUM(SUMIFS('caseload data'!I:I,'caseload data'!$D:$D,"PO",'caseload data'!$C:$C,'community caseload'!$T$43,'caseload data'!$B:$B,{"licence","community"}))</f>
        <v>0</v>
      </c>
      <c r="Z45" s="104">
        <f>SUM(SUMIFS('caseload data'!J:J,'caseload data'!$D:$D,"PO",'caseload data'!$C:$C,'community caseload'!$T$43,'caseload data'!$B:$B,{"licence","community"}))</f>
        <v>0</v>
      </c>
      <c r="AA45" s="104">
        <f>SUM(SUMIFS('caseload data'!K:K,'caseload data'!$D:$D,"PO",'caseload data'!$C:$C,'community caseload'!$T$43,'caseload data'!$B:$B,{"licence","community"}))</f>
        <v>0</v>
      </c>
      <c r="AB45" s="104">
        <f>SUM(SUMIFS('caseload data'!L:L,'caseload data'!$D:$D,"PO",'caseload data'!$C:$C,'community caseload'!$T$43,'caseload data'!$B:$B,{"licence","community"}))</f>
        <v>0</v>
      </c>
      <c r="AC45" s="104">
        <f>SUM(SUMIFS('caseload data'!M:M,'caseload data'!$D:$D,"PO",'caseload data'!$C:$C,'community caseload'!$T$43,'caseload data'!$B:$B,{"licence","community"}))</f>
        <v>0</v>
      </c>
      <c r="AD45" s="104">
        <f>SUM(SUMIFS('caseload data'!N:N,'caseload data'!$D:$D,"PO",'caseload data'!$C:$C,'community caseload'!$T$43,'caseload data'!$B:$B,{"licence","community"}))</f>
        <v>0</v>
      </c>
      <c r="AE45" s="104">
        <f>SUM(SUMIFS('caseload data'!O:O,'caseload data'!$D:$D,"PO",'caseload data'!$C:$C,'community caseload'!$T$43,'caseload data'!$B:$B,{"licence","community"}))</f>
        <v>0</v>
      </c>
      <c r="AF45" s="104">
        <f>SUM(SUMIFS('caseload data'!P:P,'caseload data'!$D:$D,"PO",'caseload data'!$C:$C,'community caseload'!$T$43,'caseload data'!$B:$B,{"licence","community"}))</f>
        <v>0</v>
      </c>
      <c r="AG45" s="104">
        <f>SUM(SUMIFS('caseload data'!Q:Q,'caseload data'!$D:$D,"PO",'caseload data'!$C:$C,'community caseload'!$T$43,'caseload data'!$B:$B,{"licence","community"}))</f>
        <v>0</v>
      </c>
      <c r="AH45" s="104">
        <f>SUM(SUMIFS('caseload data'!R:R,'caseload data'!$D:$D,"PO",'caseload data'!$C:$C,'community caseload'!$T$43,'caseload data'!$B:$B,{"licence","community"}))</f>
        <v>0</v>
      </c>
      <c r="AI45" s="104">
        <f>SUM(SUMIFS('caseload data'!S:S,'caseload data'!$D:$D,"PO",'caseload data'!$C:$C,'community caseload'!$T$43,'caseload data'!$B:$B,{"licence","community"}))</f>
        <v>0</v>
      </c>
      <c r="AJ45" s="104">
        <f>SUM(SUMIFS('caseload data'!T:T,'caseload data'!$D:$D,"PO",'caseload data'!$C:$C,'community caseload'!$T$43,'caseload data'!$B:$B,{"licence","community"}))</f>
        <v>0</v>
      </c>
    </row>
    <row r="46" spans="2:36" x14ac:dyDescent="0.15">
      <c r="B46" s="107" t="s">
        <v>912</v>
      </c>
      <c r="C46" s="104">
        <f>SUM(SUMIFS('caseload data'!E:E,'caseload data'!$D:$D,"PSO",'caseload data'!$C:$C,'community caseload'!$B$43,'caseload data'!$B:$B,{"licence","community"}))</f>
        <v>0</v>
      </c>
      <c r="D46" s="104">
        <f>SUM(SUMIFS('caseload data'!F:F,'caseload data'!$D:$D,"PSO",'caseload data'!$C:$C,'community caseload'!$B$43,'caseload data'!$B:$B,{"licence","community"}))</f>
        <v>0</v>
      </c>
      <c r="E46" s="104">
        <f>SUM(SUMIFS('caseload data'!G:G,'caseload data'!$D:$D,"PSO",'caseload data'!$C:$C,'community caseload'!$B$43,'caseload data'!$B:$B,{"licence","community"}))</f>
        <v>0</v>
      </c>
      <c r="F46" s="104">
        <f>SUM(SUMIFS('caseload data'!H:H,'caseload data'!$D:$D,"PSO",'caseload data'!$C:$C,'community caseload'!$B$43,'caseload data'!$B:$B,{"licence","community"}))</f>
        <v>0</v>
      </c>
      <c r="G46" s="104">
        <f>SUM(SUMIFS('caseload data'!I:I,'caseload data'!$D:$D,"PSO",'caseload data'!$C:$C,'community caseload'!$B$43,'caseload data'!$B:$B,{"licence","community"}))</f>
        <v>0</v>
      </c>
      <c r="H46" s="104">
        <f>SUM(SUMIFS('caseload data'!J:J,'caseload data'!$D:$D,"PSO",'caseload data'!$C:$C,'community caseload'!$B$43,'caseload data'!$B:$B,{"licence","community"}))</f>
        <v>0</v>
      </c>
      <c r="I46" s="104">
        <f>SUM(SUMIFS('caseload data'!K:K,'caseload data'!$D:$D,"PSO",'caseload data'!$C:$C,'community caseload'!$B$43,'caseload data'!$B:$B,{"licence","community"}))</f>
        <v>0</v>
      </c>
      <c r="J46" s="104">
        <f>SUM(SUMIFS('caseload data'!L:L,'caseload data'!$D:$D,"PSO",'caseload data'!$C:$C,'community caseload'!$B$43,'caseload data'!$B:$B,{"licence","community"}))</f>
        <v>0</v>
      </c>
      <c r="K46" s="104">
        <f>SUM(SUMIFS('caseload data'!M:M,'caseload data'!$D:$D,"PSO",'caseload data'!$C:$C,'community caseload'!$B$43,'caseload data'!$B:$B,{"licence","community"}))</f>
        <v>0</v>
      </c>
      <c r="L46" s="104">
        <f>SUM(SUMIFS('caseload data'!N:N,'caseload data'!$D:$D,"PSO",'caseload data'!$C:$C,'community caseload'!$B$43,'caseload data'!$B:$B,{"licence","community"}))</f>
        <v>0</v>
      </c>
      <c r="M46" s="104">
        <f>SUM(SUMIFS('caseload data'!O:O,'caseload data'!$D:$D,"PSO",'caseload data'!$C:$C,'community caseload'!$B$43,'caseload data'!$B:$B,{"licence","community"}))</f>
        <v>0</v>
      </c>
      <c r="N46" s="104">
        <f>SUM(SUMIFS('caseload data'!P:P,'caseload data'!$D:$D,"PSO",'caseload data'!$C:$C,'community caseload'!$B$43,'caseload data'!$B:$B,{"licence","community"}))</f>
        <v>0</v>
      </c>
      <c r="O46" s="104">
        <f>SUM(SUMIFS('caseload data'!Q:Q,'caseload data'!$D:$D,"PSO",'caseload data'!$C:$C,'community caseload'!$B$43,'caseload data'!$B:$B,{"licence","community"}))</f>
        <v>0</v>
      </c>
      <c r="P46" s="104">
        <f>SUM(SUMIFS('caseload data'!R:R,'caseload data'!$D:$D,"PSO",'caseload data'!$C:$C,'community caseload'!$B$43,'caseload data'!$B:$B,{"licence","community"}))</f>
        <v>0</v>
      </c>
      <c r="Q46" s="104">
        <f>SUM(SUMIFS('caseload data'!S:S,'caseload data'!$D:$D,"PSO",'caseload data'!$C:$C,'community caseload'!$B$43,'caseload data'!$B:$B,{"licence","community"}))</f>
        <v>0</v>
      </c>
      <c r="R46" s="104">
        <f>SUM(SUMIFS('caseload data'!T:T,'caseload data'!$D:$D,"PSO",'caseload data'!$C:$C,'community caseload'!$B$43,'caseload data'!$B:$B,{"licence","community"}))</f>
        <v>0</v>
      </c>
      <c r="S46" s="73"/>
      <c r="T46" s="107" t="s">
        <v>912</v>
      </c>
      <c r="U46" s="104">
        <f>SUM(SUMIFS('caseload data'!E:E,'caseload data'!$D:$D,"PSO",'caseload data'!$C:$C,'community caseload'!$T$43,'caseload data'!$B:$B,{"licence","community"}))</f>
        <v>0</v>
      </c>
      <c r="V46" s="104">
        <f>SUM(SUMIFS('caseload data'!F:F,'caseload data'!$D:$D,"PSO",'caseload data'!$C:$C,'community caseload'!$T$43,'caseload data'!$B:$B,{"licence","community"}))</f>
        <v>0</v>
      </c>
      <c r="W46" s="104">
        <f>SUM(SUMIFS('caseload data'!G:G,'caseload data'!$D:$D,"PSO",'caseload data'!$C:$C,'community caseload'!$T$43,'caseload data'!$B:$B,{"licence","community"}))</f>
        <v>0</v>
      </c>
      <c r="X46" s="104">
        <f>SUM(SUMIFS('caseload data'!H:H,'caseload data'!$D:$D,"PSO",'caseload data'!$C:$C,'community caseload'!$T$43,'caseload data'!$B:$B,{"licence","community"}))</f>
        <v>0</v>
      </c>
      <c r="Y46" s="104">
        <f>SUM(SUMIFS('caseload data'!I:I,'caseload data'!$D:$D,"PSO",'caseload data'!$C:$C,'community caseload'!$T$43,'caseload data'!$B:$B,{"licence","community"}))</f>
        <v>0</v>
      </c>
      <c r="Z46" s="104">
        <f>SUM(SUMIFS('caseload data'!J:J,'caseload data'!$D:$D,"PSO",'caseload data'!$C:$C,'community caseload'!$T$43,'caseload data'!$B:$B,{"licence","community"}))</f>
        <v>0</v>
      </c>
      <c r="AA46" s="104">
        <f>SUM(SUMIFS('caseload data'!K:K,'caseload data'!$D:$D,"PSO",'caseload data'!$C:$C,'community caseload'!$T$43,'caseload data'!$B:$B,{"licence","community"}))</f>
        <v>0</v>
      </c>
      <c r="AB46" s="104">
        <f>SUM(SUMIFS('caseload data'!L:L,'caseload data'!$D:$D,"PSO",'caseload data'!$C:$C,'community caseload'!$T$43,'caseload data'!$B:$B,{"licence","community"}))</f>
        <v>0</v>
      </c>
      <c r="AC46" s="104">
        <f>SUM(SUMIFS('caseload data'!M:M,'caseload data'!$D:$D,"PSO",'caseload data'!$C:$C,'community caseload'!$T$43,'caseload data'!$B:$B,{"licence","community"}))</f>
        <v>0</v>
      </c>
      <c r="AD46" s="104">
        <f>SUM(SUMIFS('caseload data'!N:N,'caseload data'!$D:$D,"PSO",'caseload data'!$C:$C,'community caseload'!$T$43,'caseload data'!$B:$B,{"licence","community"}))</f>
        <v>0</v>
      </c>
      <c r="AE46" s="104">
        <f>SUM(SUMIFS('caseload data'!O:O,'caseload data'!$D:$D,"PSO",'caseload data'!$C:$C,'community caseload'!$T$43,'caseload data'!$B:$B,{"licence","community"}))</f>
        <v>0</v>
      </c>
      <c r="AF46" s="104">
        <f>SUM(SUMIFS('caseload data'!P:P,'caseload data'!$D:$D,"PSO",'caseload data'!$C:$C,'community caseload'!$T$43,'caseload data'!$B:$B,{"licence","community"}))</f>
        <v>0</v>
      </c>
      <c r="AG46" s="104">
        <f>SUM(SUMIFS('caseload data'!Q:Q,'caseload data'!$D:$D,"PSO",'caseload data'!$C:$C,'community caseload'!$T$43,'caseload data'!$B:$B,{"licence","community"}))</f>
        <v>0</v>
      </c>
      <c r="AH46" s="104">
        <f>SUM(SUMIFS('caseload data'!R:R,'caseload data'!$D:$D,"PSO",'caseload data'!$C:$C,'community caseload'!$T$43,'caseload data'!$B:$B,{"licence","community"}))</f>
        <v>0</v>
      </c>
      <c r="AI46" s="104">
        <f>SUM(SUMIFS('caseload data'!S:S,'caseload data'!$D:$D,"PSO",'caseload data'!$C:$C,'community caseload'!$T$43,'caseload data'!$B:$B,{"licence","community"}))</f>
        <v>0</v>
      </c>
      <c r="AJ46" s="104">
        <f>SUM(SUMIFS('caseload data'!T:T,'caseload data'!$D:$D,"PSO",'caseload data'!$C:$C,'community caseload'!$T$43,'caseload data'!$B:$B,{"licence","community"}))</f>
        <v>0</v>
      </c>
    </row>
    <row r="47" spans="2:36" x14ac:dyDescent="0.15">
      <c r="B47" s="107" t="s">
        <v>913</v>
      </c>
      <c r="C47" s="104">
        <f>SUM(SUMIFS('caseload data'!E:E,'caseload data'!$D:$D,"TPO",'caseload data'!$C:$C,'community caseload'!$B$43,'caseload data'!$B:$B,{"licence","community"}))</f>
        <v>0</v>
      </c>
      <c r="D47" s="104">
        <f>SUM(SUMIFS('caseload data'!F:F,'caseload data'!$D:$D,"TPO",'caseload data'!$C:$C,'community caseload'!$B$43,'caseload data'!$B:$B,{"licence","community"}))</f>
        <v>0</v>
      </c>
      <c r="E47" s="104">
        <f>SUM(SUMIFS('caseload data'!G:G,'caseload data'!$D:$D,"TPO",'caseload data'!$C:$C,'community caseload'!$B$43,'caseload data'!$B:$B,{"licence","community"}))</f>
        <v>0</v>
      </c>
      <c r="F47" s="104">
        <f>SUM(SUMIFS('caseload data'!H:H,'caseload data'!$D:$D,"TPO",'caseload data'!$C:$C,'community caseload'!$B$43,'caseload data'!$B:$B,{"licence","community"}))</f>
        <v>0</v>
      </c>
      <c r="G47" s="104">
        <f>SUM(SUMIFS('caseload data'!I:I,'caseload data'!$D:$D,"TPO",'caseload data'!$C:$C,'community caseload'!$B$43,'caseload data'!$B:$B,{"licence","community"}))</f>
        <v>0</v>
      </c>
      <c r="H47" s="104">
        <f>SUM(SUMIFS('caseload data'!J:J,'caseload data'!$D:$D,"TPO",'caseload data'!$C:$C,'community caseload'!$B$43,'caseload data'!$B:$B,{"licence","community"}))</f>
        <v>0</v>
      </c>
      <c r="I47" s="104">
        <f>SUM(SUMIFS('caseload data'!K:K,'caseload data'!$D:$D,"TPO",'caseload data'!$C:$C,'community caseload'!$B$43,'caseload data'!$B:$B,{"licence","community"}))</f>
        <v>0</v>
      </c>
      <c r="J47" s="104">
        <f>SUM(SUMIFS('caseload data'!L:L,'caseload data'!$D:$D,"TPO",'caseload data'!$C:$C,'community caseload'!$B$43,'caseload data'!$B:$B,{"licence","community"}))</f>
        <v>0</v>
      </c>
      <c r="K47" s="104">
        <f>SUM(SUMIFS('caseload data'!M:M,'caseload data'!$D:$D,"TPO",'caseload data'!$C:$C,'community caseload'!$B$43,'caseload data'!$B:$B,{"licence","community"}))</f>
        <v>0</v>
      </c>
      <c r="L47" s="104">
        <f>SUM(SUMIFS('caseload data'!N:N,'caseload data'!$D:$D,"TPO",'caseload data'!$C:$C,'community caseload'!$B$43,'caseload data'!$B:$B,{"licence","community"}))</f>
        <v>0</v>
      </c>
      <c r="M47" s="104">
        <f>SUM(SUMIFS('caseload data'!O:O,'caseload data'!$D:$D,"TPO",'caseload data'!$C:$C,'community caseload'!$B$43,'caseload data'!$B:$B,{"licence","community"}))</f>
        <v>0</v>
      </c>
      <c r="N47" s="104">
        <f>SUM(SUMIFS('caseload data'!P:P,'caseload data'!$D:$D,"TPO",'caseload data'!$C:$C,'community caseload'!$B$43,'caseload data'!$B:$B,{"licence","community"}))</f>
        <v>0</v>
      </c>
      <c r="O47" s="104">
        <f>SUM(SUMIFS('caseload data'!Q:Q,'caseload data'!$D:$D,"TPO",'caseload data'!$C:$C,'community caseload'!$B$43,'caseload data'!$B:$B,{"licence","community"}))</f>
        <v>0</v>
      </c>
      <c r="P47" s="104">
        <f>SUM(SUMIFS('caseload data'!R:R,'caseload data'!$D:$D,"TPO",'caseload data'!$C:$C,'community caseload'!$B$43,'caseload data'!$B:$B,{"licence","community"}))</f>
        <v>0</v>
      </c>
      <c r="Q47" s="104">
        <f>SUM(SUMIFS('caseload data'!S:S,'caseload data'!$D:$D,"TPO",'caseload data'!$C:$C,'community caseload'!$B$43,'caseload data'!$B:$B,{"licence","community"}))</f>
        <v>0</v>
      </c>
      <c r="R47" s="104">
        <f>SUM(SUMIFS('caseload data'!T:T,'caseload data'!$D:$D,"TPO",'caseload data'!$C:$C,'community caseload'!$B$43,'caseload data'!$B:$B,{"licence","community"}))</f>
        <v>0</v>
      </c>
      <c r="S47" s="73"/>
      <c r="T47" s="107" t="s">
        <v>913</v>
      </c>
      <c r="U47" s="104">
        <f>SUM(SUMIFS('caseload data'!E:E,'caseload data'!$D:$D,"TPO",'caseload data'!$C:$C,'community caseload'!$T$43,'caseload data'!$B:$B,{"licence","community"}))</f>
        <v>0</v>
      </c>
      <c r="V47" s="104">
        <f>SUM(SUMIFS('caseload data'!F:F,'caseload data'!$D:$D,"TPO",'caseload data'!$C:$C,'community caseload'!$T$43,'caseload data'!$B:$B,{"licence","community"}))</f>
        <v>0</v>
      </c>
      <c r="W47" s="104">
        <f>SUM(SUMIFS('caseload data'!G:G,'caseload data'!$D:$D,"TPO",'caseload data'!$C:$C,'community caseload'!$T$43,'caseload data'!$B:$B,{"licence","community"}))</f>
        <v>0</v>
      </c>
      <c r="X47" s="104">
        <f>SUM(SUMIFS('caseload data'!H:H,'caseload data'!$D:$D,"TPO",'caseload data'!$C:$C,'community caseload'!$T$43,'caseload data'!$B:$B,{"licence","community"}))</f>
        <v>0</v>
      </c>
      <c r="Y47" s="104">
        <f>SUM(SUMIFS('caseload data'!I:I,'caseload data'!$D:$D,"TPO",'caseload data'!$C:$C,'community caseload'!$T$43,'caseload data'!$B:$B,{"licence","community"}))</f>
        <v>0</v>
      </c>
      <c r="Z47" s="104">
        <f>SUM(SUMIFS('caseload data'!J:J,'caseload data'!$D:$D,"TPO",'caseload data'!$C:$C,'community caseload'!$T$43,'caseload data'!$B:$B,{"licence","community"}))</f>
        <v>0</v>
      </c>
      <c r="AA47" s="104">
        <f>SUM(SUMIFS('caseload data'!K:K,'caseload data'!$D:$D,"TPO",'caseload data'!$C:$C,'community caseload'!$T$43,'caseload data'!$B:$B,{"licence","community"}))</f>
        <v>0</v>
      </c>
      <c r="AB47" s="104">
        <f>SUM(SUMIFS('caseload data'!L:L,'caseload data'!$D:$D,"TPO",'caseload data'!$C:$C,'community caseload'!$T$43,'caseload data'!$B:$B,{"licence","community"}))</f>
        <v>0</v>
      </c>
      <c r="AC47" s="104">
        <f>SUM(SUMIFS('caseload data'!M:M,'caseload data'!$D:$D,"TPO",'caseload data'!$C:$C,'community caseload'!$T$43,'caseload data'!$B:$B,{"licence","community"}))</f>
        <v>0</v>
      </c>
      <c r="AD47" s="104">
        <f>SUM(SUMIFS('caseload data'!N:N,'caseload data'!$D:$D,"TPO",'caseload data'!$C:$C,'community caseload'!$T$43,'caseload data'!$B:$B,{"licence","community"}))</f>
        <v>0</v>
      </c>
      <c r="AE47" s="104">
        <f>SUM(SUMIFS('caseload data'!O:O,'caseload data'!$D:$D,"TPO",'caseload data'!$C:$C,'community caseload'!$T$43,'caseload data'!$B:$B,{"licence","community"}))</f>
        <v>0</v>
      </c>
      <c r="AF47" s="104">
        <f>SUM(SUMIFS('caseload data'!P:P,'caseload data'!$D:$D,"TPO",'caseload data'!$C:$C,'community caseload'!$T$43,'caseload data'!$B:$B,{"licence","community"}))</f>
        <v>0</v>
      </c>
      <c r="AG47" s="104">
        <f>SUM(SUMIFS('caseload data'!Q:Q,'caseload data'!$D:$D,"TPO",'caseload data'!$C:$C,'community caseload'!$T$43,'caseload data'!$B:$B,{"licence","community"}))</f>
        <v>0</v>
      </c>
      <c r="AH47" s="104">
        <f>SUM(SUMIFS('caseload data'!R:R,'caseload data'!$D:$D,"TPO",'caseload data'!$C:$C,'community caseload'!$T$43,'caseload data'!$B:$B,{"licence","community"}))</f>
        <v>0</v>
      </c>
      <c r="AI47" s="104">
        <f>SUM(SUMIFS('caseload data'!S:S,'caseload data'!$D:$D,"TPO",'caseload data'!$C:$C,'community caseload'!$T$43,'caseload data'!$B:$B,{"licence","community"}))</f>
        <v>0</v>
      </c>
      <c r="AJ47" s="104">
        <f>SUM(SUMIFS('caseload data'!T:T,'caseload data'!$D:$D,"TPO",'caseload data'!$C:$C,'community caseload'!$T$43,'caseload data'!$B:$B,{"licence","community"}))</f>
        <v>0</v>
      </c>
    </row>
    <row r="48" spans="2:36" x14ac:dyDescent="0.15">
      <c r="B48" s="108" t="s">
        <v>914</v>
      </c>
      <c r="C48" s="104">
        <f>SUM(SUMIFS('caseload data'!E:E,'caseload data'!$D:$D,"SPO",'caseload data'!$C:$C,'community caseload'!$B$43,'caseload data'!$B:$B,{"licence","community"}))</f>
        <v>0</v>
      </c>
      <c r="D48" s="104">
        <f>SUM(SUMIFS('caseload data'!F:F,'caseload data'!$D:$D,"SPO",'caseload data'!$C:$C,'community caseload'!$B$43,'caseload data'!$B:$B,{"licence","community"}))</f>
        <v>0</v>
      </c>
      <c r="E48" s="104">
        <f>SUM(SUMIFS('caseload data'!G:G,'caseload data'!$D:$D,"SPO",'caseload data'!$C:$C,'community caseload'!$B$43,'caseload data'!$B:$B,{"licence","community"}))</f>
        <v>0</v>
      </c>
      <c r="F48" s="104">
        <f>SUM(SUMIFS('caseload data'!H:H,'caseload data'!$D:$D,"SPO",'caseload data'!$C:$C,'community caseload'!$B$43,'caseload data'!$B:$B,{"licence","community"}))</f>
        <v>0</v>
      </c>
      <c r="G48" s="104">
        <f>SUM(SUMIFS('caseload data'!I:I,'caseload data'!$D:$D,"SPO",'caseload data'!$C:$C,'community caseload'!$B$43,'caseload data'!$B:$B,{"licence","community"}))</f>
        <v>0</v>
      </c>
      <c r="H48" s="104">
        <f>SUM(SUMIFS('caseload data'!J:J,'caseload data'!$D:$D,"SPO",'caseload data'!$C:$C,'community caseload'!$B$43,'caseload data'!$B:$B,{"licence","community"}))</f>
        <v>0</v>
      </c>
      <c r="I48" s="104">
        <f>SUM(SUMIFS('caseload data'!K:K,'caseload data'!$D:$D,"SPO",'caseload data'!$C:$C,'community caseload'!$B$43,'caseload data'!$B:$B,{"licence","community"}))</f>
        <v>0</v>
      </c>
      <c r="J48" s="104">
        <f>SUM(SUMIFS('caseload data'!L:L,'caseload data'!$D:$D,"SPO",'caseload data'!$C:$C,'community caseload'!$B$43,'caseload data'!$B:$B,{"licence","community"}))</f>
        <v>0</v>
      </c>
      <c r="K48" s="104">
        <f>SUM(SUMIFS('caseload data'!M:M,'caseload data'!$D:$D,"SPO",'caseload data'!$C:$C,'community caseload'!$B$43,'caseload data'!$B:$B,{"licence","community"}))</f>
        <v>0</v>
      </c>
      <c r="L48" s="104">
        <f>SUM(SUMIFS('caseload data'!N:N,'caseload data'!$D:$D,"SPO",'caseload data'!$C:$C,'community caseload'!$B$43,'caseload data'!$B:$B,{"licence","community"}))</f>
        <v>0</v>
      </c>
      <c r="M48" s="104">
        <f>SUM(SUMIFS('caseload data'!O:O,'caseload data'!$D:$D,"SPO",'caseload data'!$C:$C,'community caseload'!$B$43,'caseload data'!$B:$B,{"licence","community"}))</f>
        <v>0</v>
      </c>
      <c r="N48" s="104">
        <f>SUM(SUMIFS('caseload data'!P:P,'caseload data'!$D:$D,"SPO",'caseload data'!$C:$C,'community caseload'!$B$43,'caseload data'!$B:$B,{"licence","community"}))</f>
        <v>0</v>
      </c>
      <c r="O48" s="104">
        <f>SUM(SUMIFS('caseload data'!Q:Q,'caseload data'!$D:$D,"SPO",'caseload data'!$C:$C,'community caseload'!$B$43,'caseload data'!$B:$B,{"licence","community"}))</f>
        <v>0</v>
      </c>
      <c r="P48" s="104">
        <f>SUM(SUMIFS('caseload data'!R:R,'caseload data'!$D:$D,"SPO",'caseload data'!$C:$C,'community caseload'!$B$43,'caseload data'!$B:$B,{"licence","community"}))</f>
        <v>0</v>
      </c>
      <c r="Q48" s="104">
        <f>SUM(SUMIFS('caseload data'!S:S,'caseload data'!$D:$D,"SPO",'caseload data'!$C:$C,'community caseload'!$B$43,'caseload data'!$B:$B,{"licence","community"}))</f>
        <v>0</v>
      </c>
      <c r="R48" s="104">
        <f>SUM(SUMIFS('caseload data'!T:T,'caseload data'!$D:$D,"SPO",'caseload data'!$C:$C,'community caseload'!$B$43,'caseload data'!$B:$B,{"licence","community"}))</f>
        <v>0</v>
      </c>
      <c r="S48" s="73"/>
      <c r="T48" s="108" t="s">
        <v>914</v>
      </c>
      <c r="U48" s="104">
        <f>SUM(SUMIFS('caseload data'!E:E,'caseload data'!$D:$D,"SPO",'caseload data'!$C:$C,'community caseload'!$T$43,'caseload data'!$B:$B,{"licence","community"}))</f>
        <v>0</v>
      </c>
      <c r="V48" s="104">
        <f>SUM(SUMIFS('caseload data'!F:F,'caseload data'!$D:$D,"SPO",'caseload data'!$C:$C,'community caseload'!$T$43,'caseload data'!$B:$B,{"licence","community"}))</f>
        <v>0</v>
      </c>
      <c r="W48" s="104">
        <f>SUM(SUMIFS('caseload data'!G:G,'caseload data'!$D:$D,"SPO",'caseload data'!$C:$C,'community caseload'!$T$43,'caseload data'!$B:$B,{"licence","community"}))</f>
        <v>0</v>
      </c>
      <c r="X48" s="104">
        <f>SUM(SUMIFS('caseload data'!H:H,'caseload data'!$D:$D,"SPO",'caseload data'!$C:$C,'community caseload'!$T$43,'caseload data'!$B:$B,{"licence","community"}))</f>
        <v>0</v>
      </c>
      <c r="Y48" s="104">
        <f>SUM(SUMIFS('caseload data'!I:I,'caseload data'!$D:$D,"SPO",'caseload data'!$C:$C,'community caseload'!$T$43,'caseload data'!$B:$B,{"licence","community"}))</f>
        <v>0</v>
      </c>
      <c r="Z48" s="104">
        <f>SUM(SUMIFS('caseload data'!J:J,'caseload data'!$D:$D,"SPO",'caseload data'!$C:$C,'community caseload'!$T$43,'caseload data'!$B:$B,{"licence","community"}))</f>
        <v>0</v>
      </c>
      <c r="AA48" s="104">
        <f>SUM(SUMIFS('caseload data'!K:K,'caseload data'!$D:$D,"SPO",'caseload data'!$C:$C,'community caseload'!$T$43,'caseload data'!$B:$B,{"licence","community"}))</f>
        <v>0</v>
      </c>
      <c r="AB48" s="104">
        <f>SUM(SUMIFS('caseload data'!L:L,'caseload data'!$D:$D,"SPO",'caseload data'!$C:$C,'community caseload'!$T$43,'caseload data'!$B:$B,{"licence","community"}))</f>
        <v>0</v>
      </c>
      <c r="AC48" s="104">
        <f>SUM(SUMIFS('caseload data'!M:M,'caseload data'!$D:$D,"SPO",'caseload data'!$C:$C,'community caseload'!$T$43,'caseload data'!$B:$B,{"licence","community"}))</f>
        <v>0</v>
      </c>
      <c r="AD48" s="104">
        <f>SUM(SUMIFS('caseload data'!N:N,'caseload data'!$D:$D,"SPO",'caseload data'!$C:$C,'community caseload'!$T$43,'caseload data'!$B:$B,{"licence","community"}))</f>
        <v>0</v>
      </c>
      <c r="AE48" s="104">
        <f>SUM(SUMIFS('caseload data'!O:O,'caseload data'!$D:$D,"SPO",'caseload data'!$C:$C,'community caseload'!$T$43,'caseload data'!$B:$B,{"licence","community"}))</f>
        <v>0</v>
      </c>
      <c r="AF48" s="104">
        <f>SUM(SUMIFS('caseload data'!P:P,'caseload data'!$D:$D,"SPO",'caseload data'!$C:$C,'community caseload'!$T$43,'caseload data'!$B:$B,{"licence","community"}))</f>
        <v>0</v>
      </c>
      <c r="AG48" s="104">
        <f>SUM(SUMIFS('caseload data'!Q:Q,'caseload data'!$D:$D,"SPO",'caseload data'!$C:$C,'community caseload'!$T$43,'caseload data'!$B:$B,{"licence","community"}))</f>
        <v>0</v>
      </c>
      <c r="AH48" s="104">
        <f>SUM(SUMIFS('caseload data'!R:R,'caseload data'!$D:$D,"SPO",'caseload data'!$C:$C,'community caseload'!$T$43,'caseload data'!$B:$B,{"licence","community"}))</f>
        <v>0</v>
      </c>
      <c r="AI48" s="104">
        <f>SUM(SUMIFS('caseload data'!S:S,'caseload data'!$D:$D,"SPO",'caseload data'!$C:$C,'community caseload'!$T$43,'caseload data'!$B:$B,{"licence","community"}))</f>
        <v>0</v>
      </c>
      <c r="AJ48" s="104">
        <f>SUM(SUMIFS('caseload data'!T:T,'caseload data'!$D:$D,"SPO",'caseload data'!$C:$C,'community caseload'!$T$43,'caseload data'!$B:$B,{"licence","community"}))</f>
        <v>0</v>
      </c>
    </row>
    <row r="49" spans="2:36" x14ac:dyDescent="0.15">
      <c r="B49" s="101"/>
      <c r="C49" s="73"/>
      <c r="D49" s="73"/>
      <c r="E49" s="73"/>
      <c r="F49" s="73"/>
      <c r="G49" s="73"/>
      <c r="H49" s="73"/>
      <c r="I49" s="73"/>
      <c r="J49" s="73"/>
      <c r="K49" s="73"/>
      <c r="L49" s="73"/>
      <c r="M49" s="73"/>
      <c r="N49" s="73"/>
      <c r="O49" s="73"/>
      <c r="P49" s="73"/>
      <c r="Q49" s="73"/>
      <c r="R49" s="73"/>
      <c r="S49" s="73"/>
      <c r="T49" s="101"/>
      <c r="U49" s="73"/>
      <c r="V49" s="73"/>
      <c r="W49" s="73"/>
      <c r="X49" s="73"/>
      <c r="Y49" s="73"/>
      <c r="Z49" s="73"/>
      <c r="AA49" s="73"/>
      <c r="AB49" s="73"/>
      <c r="AC49" s="73"/>
      <c r="AD49" s="73"/>
      <c r="AE49" s="73"/>
      <c r="AF49" s="73"/>
      <c r="AG49" s="73"/>
      <c r="AH49" s="73"/>
      <c r="AI49" s="73"/>
      <c r="AJ49" s="73"/>
    </row>
    <row r="50" spans="2:36" ht="45.75" customHeight="1" x14ac:dyDescent="0.15">
      <c r="B50" s="156" t="str">
        <f>HLOOKUP($B$5,Region_Table,14,0)</f>
        <v>Inactive Level 2(N07)</v>
      </c>
      <c r="C50" s="367" t="s">
        <v>1167</v>
      </c>
      <c r="D50" s="368"/>
      <c r="E50" s="368"/>
      <c r="F50" s="368"/>
      <c r="G50" s="368"/>
      <c r="H50" s="368"/>
      <c r="I50" s="368"/>
      <c r="J50" s="368"/>
      <c r="K50" s="368"/>
      <c r="L50" s="368"/>
      <c r="M50" s="377"/>
      <c r="N50" s="377"/>
      <c r="O50" s="378"/>
      <c r="P50" s="371" cm="1">
        <f t="array" ref="P50">SUM(SUMIFS('caseload data'!V:V,'caseload data'!B:B,{"licence","community"},'caseload data'!$C:$C,'community caseload'!B50))</f>
        <v>0</v>
      </c>
      <c r="Q50" s="379"/>
      <c r="R50" s="380"/>
      <c r="S50" s="73"/>
      <c r="T50" s="156" t="str">
        <f>HLOOKUP($B$5,Region_Table,15,0)</f>
        <v>Kingston, Richmond and Hounslow</v>
      </c>
      <c r="U50" s="367" t="s">
        <v>1167</v>
      </c>
      <c r="V50" s="368"/>
      <c r="W50" s="368"/>
      <c r="X50" s="368"/>
      <c r="Y50" s="368"/>
      <c r="Z50" s="368"/>
      <c r="AA50" s="368"/>
      <c r="AB50" s="368"/>
      <c r="AC50" s="368"/>
      <c r="AD50" s="368"/>
      <c r="AE50" s="377"/>
      <c r="AF50" s="377"/>
      <c r="AG50" s="378"/>
      <c r="AH50" s="371" cm="1">
        <f t="array" ref="AH50">SUM(SUMIFS('caseload data'!V:V,'caseload data'!B:B,{"licence","community"},'caseload data'!$C:$C,'community caseload'!T50))</f>
        <v>0</v>
      </c>
      <c r="AI50" s="379"/>
      <c r="AJ50" s="380"/>
    </row>
    <row r="51" spans="2:36" x14ac:dyDescent="0.15">
      <c r="B51" s="105" t="s">
        <v>1065</v>
      </c>
      <c r="C51" s="41" t="s">
        <v>922</v>
      </c>
      <c r="D51" s="41" t="s">
        <v>923</v>
      </c>
      <c r="E51" s="41" t="s">
        <v>924</v>
      </c>
      <c r="F51" s="41" t="s">
        <v>925</v>
      </c>
      <c r="G51" s="41" t="s">
        <v>926</v>
      </c>
      <c r="H51" s="41" t="s">
        <v>927</v>
      </c>
      <c r="I51" s="41" t="s">
        <v>928</v>
      </c>
      <c r="J51" s="41" t="s">
        <v>929</v>
      </c>
      <c r="K51" s="41" t="s">
        <v>930</v>
      </c>
      <c r="L51" s="41" t="s">
        <v>931</v>
      </c>
      <c r="M51" s="41" t="s">
        <v>932</v>
      </c>
      <c r="N51" s="41" t="s">
        <v>933</v>
      </c>
      <c r="O51" s="41" t="s">
        <v>934</v>
      </c>
      <c r="P51" s="41" t="s">
        <v>935</v>
      </c>
      <c r="Q51" s="41" t="s">
        <v>936</v>
      </c>
      <c r="R51" s="41" t="s">
        <v>937</v>
      </c>
      <c r="S51" s="73"/>
      <c r="T51" s="105" t="s">
        <v>1065</v>
      </c>
      <c r="U51" s="41" t="s">
        <v>922</v>
      </c>
      <c r="V51" s="41" t="s">
        <v>923</v>
      </c>
      <c r="W51" s="41" t="s">
        <v>924</v>
      </c>
      <c r="X51" s="41" t="s">
        <v>925</v>
      </c>
      <c r="Y51" s="41" t="s">
        <v>926</v>
      </c>
      <c r="Z51" s="41" t="s">
        <v>927</v>
      </c>
      <c r="AA51" s="41" t="s">
        <v>928</v>
      </c>
      <c r="AB51" s="41" t="s">
        <v>929</v>
      </c>
      <c r="AC51" s="41" t="s">
        <v>930</v>
      </c>
      <c r="AD51" s="41" t="s">
        <v>931</v>
      </c>
      <c r="AE51" s="41" t="s">
        <v>932</v>
      </c>
      <c r="AF51" s="41" t="s">
        <v>933</v>
      </c>
      <c r="AG51" s="41" t="s">
        <v>934</v>
      </c>
      <c r="AH51" s="41" t="s">
        <v>935</v>
      </c>
      <c r="AI51" s="41" t="s">
        <v>936</v>
      </c>
      <c r="AJ51" s="41" t="s">
        <v>937</v>
      </c>
    </row>
    <row r="52" spans="2:36" x14ac:dyDescent="0.15">
      <c r="B52" s="106" t="s">
        <v>911</v>
      </c>
      <c r="C52" s="104">
        <f>SUM(SUMIFS('caseload data'!E:E,'caseload data'!$D:$D,"PO",'caseload data'!$C:$C,'community caseload'!$B$50,'caseload data'!$B:$B,{"licence","community"}))</f>
        <v>0</v>
      </c>
      <c r="D52" s="104">
        <f>SUM(SUMIFS('caseload data'!F:F,'caseload data'!$D:$D,"PO",'caseload data'!$C:$C,'community caseload'!$B$50,'caseload data'!$B:$B,{"licence","community"}))</f>
        <v>0</v>
      </c>
      <c r="E52" s="104">
        <f>SUM(SUMIFS('caseload data'!G:G,'caseload data'!$D:$D,"PO",'caseload data'!$C:$C,'community caseload'!$B$50,'caseload data'!$B:$B,{"licence","community"}))</f>
        <v>0</v>
      </c>
      <c r="F52" s="104">
        <f>SUM(SUMIFS('caseload data'!H:H,'caseload data'!$D:$D,"PO",'caseload data'!$C:$C,'community caseload'!$B$50,'caseload data'!$B:$B,{"licence","community"}))</f>
        <v>0</v>
      </c>
      <c r="G52" s="104">
        <f>SUM(SUMIFS('caseload data'!I:I,'caseload data'!$D:$D,"PO",'caseload data'!$C:$C,'community caseload'!$B$50,'caseload data'!$B:$B,{"licence","community"}))</f>
        <v>0</v>
      </c>
      <c r="H52" s="104">
        <f>SUM(SUMIFS('caseload data'!J:J,'caseload data'!$D:$D,"PO",'caseload data'!$C:$C,'community caseload'!$B$50,'caseload data'!$B:$B,{"licence","community"}))</f>
        <v>0</v>
      </c>
      <c r="I52" s="104">
        <f>SUM(SUMIFS('caseload data'!K:K,'caseload data'!$D:$D,"PO",'caseload data'!$C:$C,'community caseload'!$B$50,'caseload data'!$B:$B,{"licence","community"}))</f>
        <v>0</v>
      </c>
      <c r="J52" s="104">
        <f>SUM(SUMIFS('caseload data'!L:L,'caseload data'!$D:$D,"PO",'caseload data'!$C:$C,'community caseload'!$B$50,'caseload data'!$B:$B,{"licence","community"}))</f>
        <v>0</v>
      </c>
      <c r="K52" s="104">
        <f>SUM(SUMIFS('caseload data'!M:M,'caseload data'!$D:$D,"PO",'caseload data'!$C:$C,'community caseload'!$B$50,'caseload data'!$B:$B,{"licence","community"}))</f>
        <v>0</v>
      </c>
      <c r="L52" s="104">
        <f>SUM(SUMIFS('caseload data'!N:N,'caseload data'!$D:$D,"PO",'caseload data'!$C:$C,'community caseload'!$B$50,'caseload data'!$B:$B,{"licence","community"}))</f>
        <v>0</v>
      </c>
      <c r="M52" s="104">
        <f>SUM(SUMIFS('caseload data'!O:O,'caseload data'!$D:$D,"PO",'caseload data'!$C:$C,'community caseload'!$B$50,'caseload data'!$B:$B,{"licence","community"}))</f>
        <v>0</v>
      </c>
      <c r="N52" s="104">
        <f>SUM(SUMIFS('caseload data'!P:P,'caseload data'!$D:$D,"PO",'caseload data'!$C:$C,'community caseload'!$B$50,'caseload data'!$B:$B,{"licence","community"}))</f>
        <v>0</v>
      </c>
      <c r="O52" s="104">
        <f>SUM(SUMIFS('caseload data'!Q:Q,'caseload data'!$D:$D,"PO",'caseload data'!$C:$C,'community caseload'!$B$50,'caseload data'!$B:$B,{"licence","community"}))</f>
        <v>0</v>
      </c>
      <c r="P52" s="104">
        <f>SUM(SUMIFS('caseload data'!R:R,'caseload data'!$D:$D,"PO",'caseload data'!$C:$C,'community caseload'!$B$50,'caseload data'!$B:$B,{"licence","community"}))</f>
        <v>0</v>
      </c>
      <c r="Q52" s="104">
        <f>SUM(SUMIFS('caseload data'!S:S,'caseload data'!$D:$D,"PO",'caseload data'!$C:$C,'community caseload'!$B$50,'caseload data'!$B:$B,{"licence","community"}))</f>
        <v>0</v>
      </c>
      <c r="R52" s="104">
        <f>SUM(SUMIFS('caseload data'!T:T,'caseload data'!$D:$D,"PO",'caseload data'!$C:$C,'community caseload'!$B$50,'caseload data'!$B:$B,{"licence","community"}))</f>
        <v>0</v>
      </c>
      <c r="S52" s="73"/>
      <c r="T52" s="106" t="s">
        <v>911</v>
      </c>
      <c r="U52" s="104">
        <f>SUM(SUMIFS('caseload data'!E:E,'caseload data'!$D:$D,"PO",'caseload data'!$C:$C,'community caseload'!$T$50,'caseload data'!$B:$B,{"licence","community"}))</f>
        <v>0</v>
      </c>
      <c r="V52" s="104">
        <f>SUM(SUMIFS('caseload data'!F:F,'caseload data'!$D:$D,"PO",'caseload data'!$C:$C,'community caseload'!$T$50,'caseload data'!$B:$B,{"licence","community"}))</f>
        <v>0</v>
      </c>
      <c r="W52" s="104">
        <f>SUM(SUMIFS('caseload data'!G:G,'caseload data'!$D:$D,"PO",'caseload data'!$C:$C,'community caseload'!$T$50,'caseload data'!$B:$B,{"licence","community"}))</f>
        <v>0</v>
      </c>
      <c r="X52" s="104">
        <f>SUM(SUMIFS('caseload data'!H:H,'caseload data'!$D:$D,"PO",'caseload data'!$C:$C,'community caseload'!$T$50,'caseload data'!$B:$B,{"licence","community"}))</f>
        <v>0</v>
      </c>
      <c r="Y52" s="104">
        <f>SUM(SUMIFS('caseload data'!I:I,'caseload data'!$D:$D,"PO",'caseload data'!$C:$C,'community caseload'!$T$50,'caseload data'!$B:$B,{"licence","community"}))</f>
        <v>0</v>
      </c>
      <c r="Z52" s="104">
        <f>SUM(SUMIFS('caseload data'!J:J,'caseload data'!$D:$D,"PO",'caseload data'!$C:$C,'community caseload'!$T$50,'caseload data'!$B:$B,{"licence","community"}))</f>
        <v>0</v>
      </c>
      <c r="AA52" s="104">
        <f>SUM(SUMIFS('caseload data'!K:K,'caseload data'!$D:$D,"PO",'caseload data'!$C:$C,'community caseload'!$T$50,'caseload data'!$B:$B,{"licence","community"}))</f>
        <v>0</v>
      </c>
      <c r="AB52" s="104">
        <f>SUM(SUMIFS('caseload data'!L:L,'caseload data'!$D:$D,"PO",'caseload data'!$C:$C,'community caseload'!$T$50,'caseload data'!$B:$B,{"licence","community"}))</f>
        <v>0</v>
      </c>
      <c r="AC52" s="104">
        <f>SUM(SUMIFS('caseload data'!M:M,'caseload data'!$D:$D,"PO",'caseload data'!$C:$C,'community caseload'!$T$50,'caseload data'!$B:$B,{"licence","community"}))</f>
        <v>0</v>
      </c>
      <c r="AD52" s="104">
        <f>SUM(SUMIFS('caseload data'!N:N,'caseload data'!$D:$D,"PO",'caseload data'!$C:$C,'community caseload'!$T$50,'caseload data'!$B:$B,{"licence","community"}))</f>
        <v>0</v>
      </c>
      <c r="AE52" s="104">
        <f>SUM(SUMIFS('caseload data'!O:O,'caseload data'!$D:$D,"PO",'caseload data'!$C:$C,'community caseload'!$T$50,'caseload data'!$B:$B,{"licence","community"}))</f>
        <v>0</v>
      </c>
      <c r="AF52" s="104">
        <f>SUM(SUMIFS('caseload data'!P:P,'caseload data'!$D:$D,"PO",'caseload data'!$C:$C,'community caseload'!$T$50,'caseload data'!$B:$B,{"licence","community"}))</f>
        <v>0</v>
      </c>
      <c r="AG52" s="104">
        <f>SUM(SUMIFS('caseload data'!Q:Q,'caseload data'!$D:$D,"PO",'caseload data'!$C:$C,'community caseload'!$T$50,'caseload data'!$B:$B,{"licence","community"}))</f>
        <v>0</v>
      </c>
      <c r="AH52" s="104">
        <f>SUM(SUMIFS('caseload data'!R:R,'caseload data'!$D:$D,"PO",'caseload data'!$C:$C,'community caseload'!$T$50,'caseload data'!$B:$B,{"licence","community"}))</f>
        <v>0</v>
      </c>
      <c r="AI52" s="104">
        <f>SUM(SUMIFS('caseload data'!S:S,'caseload data'!$D:$D,"PO",'caseload data'!$C:$C,'community caseload'!$T$50,'caseload data'!$B:$B,{"licence","community"}))</f>
        <v>0</v>
      </c>
      <c r="AJ52" s="104">
        <f>SUM(SUMIFS('caseload data'!T:T,'caseload data'!$D:$D,"PO",'caseload data'!$C:$C,'community caseload'!$T$50,'caseload data'!$B:$B,{"licence","community"}))</f>
        <v>0</v>
      </c>
    </row>
    <row r="53" spans="2:36" x14ac:dyDescent="0.15">
      <c r="B53" s="107" t="s">
        <v>912</v>
      </c>
      <c r="C53" s="104">
        <f>SUM(SUMIFS('caseload data'!E:E,'caseload data'!$D:$D,"PSO",'caseload data'!$C:$C,'community caseload'!$B$50,'caseload data'!$B:$B,{"licence","community"}))</f>
        <v>0</v>
      </c>
      <c r="D53" s="104">
        <f>SUM(SUMIFS('caseload data'!F:F,'caseload data'!$D:$D,"PSO",'caseload data'!$C:$C,'community caseload'!$B$50,'caseload data'!$B:$B,{"licence","community"}))</f>
        <v>0</v>
      </c>
      <c r="E53" s="104">
        <f>SUM(SUMIFS('caseload data'!G:G,'caseload data'!$D:$D,"PSO",'caseload data'!$C:$C,'community caseload'!$B$50,'caseload data'!$B:$B,{"licence","community"}))</f>
        <v>0</v>
      </c>
      <c r="F53" s="104">
        <f>SUM(SUMIFS('caseload data'!H:H,'caseload data'!$D:$D,"PSO",'caseload data'!$C:$C,'community caseload'!$B$50,'caseload data'!$B:$B,{"licence","community"}))</f>
        <v>0</v>
      </c>
      <c r="G53" s="104">
        <f>SUM(SUMIFS('caseload data'!I:I,'caseload data'!$D:$D,"PSO",'caseload data'!$C:$C,'community caseload'!$B$50,'caseload data'!$B:$B,{"licence","community"}))</f>
        <v>0</v>
      </c>
      <c r="H53" s="104">
        <f>SUM(SUMIFS('caseload data'!J:J,'caseload data'!$D:$D,"PSO",'caseload data'!$C:$C,'community caseload'!$B$50,'caseload data'!$B:$B,{"licence","community"}))</f>
        <v>0</v>
      </c>
      <c r="I53" s="104">
        <f>SUM(SUMIFS('caseload data'!K:K,'caseload data'!$D:$D,"PSO",'caseload data'!$C:$C,'community caseload'!$B$50,'caseload data'!$B:$B,{"licence","community"}))</f>
        <v>0</v>
      </c>
      <c r="J53" s="104">
        <f>SUM(SUMIFS('caseload data'!L:L,'caseload data'!$D:$D,"PSO",'caseload data'!$C:$C,'community caseload'!$B$50,'caseload data'!$B:$B,{"licence","community"}))</f>
        <v>0</v>
      </c>
      <c r="K53" s="104">
        <f>SUM(SUMIFS('caseload data'!M:M,'caseload data'!$D:$D,"PSO",'caseload data'!$C:$C,'community caseload'!$B$50,'caseload data'!$B:$B,{"licence","community"}))</f>
        <v>0</v>
      </c>
      <c r="L53" s="104">
        <f>SUM(SUMIFS('caseload data'!N:N,'caseload data'!$D:$D,"PSO",'caseload data'!$C:$C,'community caseload'!$B$50,'caseload data'!$B:$B,{"licence","community"}))</f>
        <v>0</v>
      </c>
      <c r="M53" s="104">
        <f>SUM(SUMIFS('caseload data'!O:O,'caseload data'!$D:$D,"PSO",'caseload data'!$C:$C,'community caseload'!$B$50,'caseload data'!$B:$B,{"licence","community"}))</f>
        <v>0</v>
      </c>
      <c r="N53" s="104">
        <f>SUM(SUMIFS('caseload data'!P:P,'caseload data'!$D:$D,"PSO",'caseload data'!$C:$C,'community caseload'!$B$50,'caseload data'!$B:$B,{"licence","community"}))</f>
        <v>0</v>
      </c>
      <c r="O53" s="104">
        <f>SUM(SUMIFS('caseload data'!Q:Q,'caseload data'!$D:$D,"PSO",'caseload data'!$C:$C,'community caseload'!$B$50,'caseload data'!$B:$B,{"licence","community"}))</f>
        <v>0</v>
      </c>
      <c r="P53" s="104">
        <f>SUM(SUMIFS('caseload data'!R:R,'caseload data'!$D:$D,"PSO",'caseload data'!$C:$C,'community caseload'!$B$50,'caseload data'!$B:$B,{"licence","community"}))</f>
        <v>0</v>
      </c>
      <c r="Q53" s="104">
        <f>SUM(SUMIFS('caseload data'!S:S,'caseload data'!$D:$D,"PSO",'caseload data'!$C:$C,'community caseload'!$B$50,'caseload data'!$B:$B,{"licence","community"}))</f>
        <v>0</v>
      </c>
      <c r="R53" s="104">
        <f>SUM(SUMIFS('caseload data'!T:T,'caseload data'!$D:$D,"PSO",'caseload data'!$C:$C,'community caseload'!$B$50,'caseload data'!$B:$B,{"licence","community"}))</f>
        <v>0</v>
      </c>
      <c r="S53" s="73"/>
      <c r="T53" s="107" t="s">
        <v>912</v>
      </c>
      <c r="U53" s="104">
        <f>SUM(SUMIFS('caseload data'!E:E,'caseload data'!$D:$D,"PSO",'caseload data'!$C:$C,'community caseload'!$T$50,'caseload data'!$B:$B,{"licence","community"}))</f>
        <v>0</v>
      </c>
      <c r="V53" s="104">
        <f>SUM(SUMIFS('caseload data'!F:F,'caseload data'!$D:$D,"PSO",'caseload data'!$C:$C,'community caseload'!$T$50,'caseload data'!$B:$B,{"licence","community"}))</f>
        <v>0</v>
      </c>
      <c r="W53" s="104">
        <f>SUM(SUMIFS('caseload data'!G:G,'caseload data'!$D:$D,"PSO",'caseload data'!$C:$C,'community caseload'!$T$50,'caseload data'!$B:$B,{"licence","community"}))</f>
        <v>0</v>
      </c>
      <c r="X53" s="104">
        <f>SUM(SUMIFS('caseload data'!H:H,'caseload data'!$D:$D,"PSO",'caseload data'!$C:$C,'community caseload'!$T$50,'caseload data'!$B:$B,{"licence","community"}))</f>
        <v>0</v>
      </c>
      <c r="Y53" s="104">
        <f>SUM(SUMIFS('caseload data'!I:I,'caseload data'!$D:$D,"PSO",'caseload data'!$C:$C,'community caseload'!$T$50,'caseload data'!$B:$B,{"licence","community"}))</f>
        <v>0</v>
      </c>
      <c r="Z53" s="104">
        <f>SUM(SUMIFS('caseload data'!J:J,'caseload data'!$D:$D,"PSO",'caseload data'!$C:$C,'community caseload'!$T$50,'caseload data'!$B:$B,{"licence","community"}))</f>
        <v>0</v>
      </c>
      <c r="AA53" s="104">
        <f>SUM(SUMIFS('caseload data'!K:K,'caseload data'!$D:$D,"PSO",'caseload data'!$C:$C,'community caseload'!$T$50,'caseload data'!$B:$B,{"licence","community"}))</f>
        <v>0</v>
      </c>
      <c r="AB53" s="104">
        <f>SUM(SUMIFS('caseload data'!L:L,'caseload data'!$D:$D,"PSO",'caseload data'!$C:$C,'community caseload'!$T$50,'caseload data'!$B:$B,{"licence","community"}))</f>
        <v>0</v>
      </c>
      <c r="AC53" s="104">
        <f>SUM(SUMIFS('caseload data'!M:M,'caseload data'!$D:$D,"PSO",'caseload data'!$C:$C,'community caseload'!$T$50,'caseload data'!$B:$B,{"licence","community"}))</f>
        <v>0</v>
      </c>
      <c r="AD53" s="104">
        <f>SUM(SUMIFS('caseload data'!N:N,'caseload data'!$D:$D,"PSO",'caseload data'!$C:$C,'community caseload'!$T$50,'caseload data'!$B:$B,{"licence","community"}))</f>
        <v>0</v>
      </c>
      <c r="AE53" s="104">
        <f>SUM(SUMIFS('caseload data'!O:O,'caseload data'!$D:$D,"PSO",'caseload data'!$C:$C,'community caseload'!$T$50,'caseload data'!$B:$B,{"licence","community"}))</f>
        <v>0</v>
      </c>
      <c r="AF53" s="104">
        <f>SUM(SUMIFS('caseload data'!P:P,'caseload data'!$D:$D,"PSO",'caseload data'!$C:$C,'community caseload'!$T$50,'caseload data'!$B:$B,{"licence","community"}))</f>
        <v>0</v>
      </c>
      <c r="AG53" s="104">
        <f>SUM(SUMIFS('caseload data'!Q:Q,'caseload data'!$D:$D,"PSO",'caseload data'!$C:$C,'community caseload'!$T$50,'caseload data'!$B:$B,{"licence","community"}))</f>
        <v>0</v>
      </c>
      <c r="AH53" s="104">
        <f>SUM(SUMIFS('caseload data'!R:R,'caseload data'!$D:$D,"PSO",'caseload data'!$C:$C,'community caseload'!$T$50,'caseload data'!$B:$B,{"licence","community"}))</f>
        <v>0</v>
      </c>
      <c r="AI53" s="104">
        <f>SUM(SUMIFS('caseload data'!S:S,'caseload data'!$D:$D,"PSO",'caseload data'!$C:$C,'community caseload'!$T$50,'caseload data'!$B:$B,{"licence","community"}))</f>
        <v>0</v>
      </c>
      <c r="AJ53" s="104">
        <f>SUM(SUMIFS('caseload data'!T:T,'caseload data'!$D:$D,"PSO",'caseload data'!$C:$C,'community caseload'!$T$50,'caseload data'!$B:$B,{"licence","community"}))</f>
        <v>0</v>
      </c>
    </row>
    <row r="54" spans="2:36" x14ac:dyDescent="0.15">
      <c r="B54" s="107" t="s">
        <v>913</v>
      </c>
      <c r="C54" s="104">
        <f>SUM(SUMIFS('caseload data'!E:E,'caseload data'!$D:$D,"TPO",'caseload data'!$C:$C,'community caseload'!$B$50,'caseload data'!$B:$B,{"licence","community"}))</f>
        <v>0</v>
      </c>
      <c r="D54" s="104">
        <f>SUM(SUMIFS('caseload data'!F:F,'caseload data'!$D:$D,"TPO",'caseload data'!$C:$C,'community caseload'!$B$50,'caseload data'!$B:$B,{"licence","community"}))</f>
        <v>0</v>
      </c>
      <c r="E54" s="104">
        <f>SUM(SUMIFS('caseload data'!G:G,'caseload data'!$D:$D,"TPO",'caseload data'!$C:$C,'community caseload'!$B$50,'caseload data'!$B:$B,{"licence","community"}))</f>
        <v>0</v>
      </c>
      <c r="F54" s="104">
        <f>SUM(SUMIFS('caseload data'!H:H,'caseload data'!$D:$D,"TPO",'caseload data'!$C:$C,'community caseload'!$B$50,'caseload data'!$B:$B,{"licence","community"}))</f>
        <v>0</v>
      </c>
      <c r="G54" s="104">
        <f>SUM(SUMIFS('caseload data'!I:I,'caseload data'!$D:$D,"TPO",'caseload data'!$C:$C,'community caseload'!$B$50,'caseload data'!$B:$B,{"licence","community"}))</f>
        <v>0</v>
      </c>
      <c r="H54" s="104">
        <f>SUM(SUMIFS('caseload data'!J:J,'caseload data'!$D:$D,"TPO",'caseload data'!$C:$C,'community caseload'!$B$50,'caseload data'!$B:$B,{"licence","community"}))</f>
        <v>0</v>
      </c>
      <c r="I54" s="104">
        <f>SUM(SUMIFS('caseload data'!K:K,'caseload data'!$D:$D,"TPO",'caseload data'!$C:$C,'community caseload'!$B$50,'caseload data'!$B:$B,{"licence","community"}))</f>
        <v>0</v>
      </c>
      <c r="J54" s="104">
        <f>SUM(SUMIFS('caseload data'!L:L,'caseload data'!$D:$D,"TPO",'caseload data'!$C:$C,'community caseload'!$B$50,'caseload data'!$B:$B,{"licence","community"}))</f>
        <v>0</v>
      </c>
      <c r="K54" s="104">
        <f>SUM(SUMIFS('caseload data'!M:M,'caseload data'!$D:$D,"TPO",'caseload data'!$C:$C,'community caseload'!$B$50,'caseload data'!$B:$B,{"licence","community"}))</f>
        <v>0</v>
      </c>
      <c r="L54" s="104">
        <f>SUM(SUMIFS('caseload data'!N:N,'caseload data'!$D:$D,"TPO",'caseload data'!$C:$C,'community caseload'!$B$50,'caseload data'!$B:$B,{"licence","community"}))</f>
        <v>0</v>
      </c>
      <c r="M54" s="104">
        <f>SUM(SUMIFS('caseload data'!O:O,'caseload data'!$D:$D,"TPO",'caseload data'!$C:$C,'community caseload'!$B$50,'caseload data'!$B:$B,{"licence","community"}))</f>
        <v>0</v>
      </c>
      <c r="N54" s="104">
        <f>SUM(SUMIFS('caseload data'!P:P,'caseload data'!$D:$D,"TPO",'caseload data'!$C:$C,'community caseload'!$B$50,'caseload data'!$B:$B,{"licence","community"}))</f>
        <v>0</v>
      </c>
      <c r="O54" s="104">
        <f>SUM(SUMIFS('caseload data'!Q:Q,'caseload data'!$D:$D,"TPO",'caseload data'!$C:$C,'community caseload'!$B$50,'caseload data'!$B:$B,{"licence","community"}))</f>
        <v>0</v>
      </c>
      <c r="P54" s="104">
        <f>SUM(SUMIFS('caseload data'!R:R,'caseload data'!$D:$D,"TPO",'caseload data'!$C:$C,'community caseload'!$B$50,'caseload data'!$B:$B,{"licence","community"}))</f>
        <v>0</v>
      </c>
      <c r="Q54" s="104">
        <f>SUM(SUMIFS('caseload data'!S:S,'caseload data'!$D:$D,"TPO",'caseload data'!$C:$C,'community caseload'!$B$50,'caseload data'!$B:$B,{"licence","community"}))</f>
        <v>0</v>
      </c>
      <c r="R54" s="104">
        <f>SUM(SUMIFS('caseload data'!T:T,'caseload data'!$D:$D,"TPO",'caseload data'!$C:$C,'community caseload'!$B$50,'caseload data'!$B:$B,{"licence","community"}))</f>
        <v>0</v>
      </c>
      <c r="S54" s="73"/>
      <c r="T54" s="107" t="s">
        <v>913</v>
      </c>
      <c r="U54" s="104">
        <f>SUM(SUMIFS('caseload data'!E:E,'caseload data'!$D:$D,"TPO",'caseload data'!$C:$C,'community caseload'!$T$50,'caseload data'!$B:$B,{"licence","community"}))</f>
        <v>0</v>
      </c>
      <c r="V54" s="104">
        <f>SUM(SUMIFS('caseload data'!F:F,'caseload data'!$D:$D,"TPO",'caseload data'!$C:$C,'community caseload'!$T$50,'caseload data'!$B:$B,{"licence","community"}))</f>
        <v>0</v>
      </c>
      <c r="W54" s="104">
        <f>SUM(SUMIFS('caseload data'!G:G,'caseload data'!$D:$D,"TPO",'caseload data'!$C:$C,'community caseload'!$T$50,'caseload data'!$B:$B,{"licence","community"}))</f>
        <v>0</v>
      </c>
      <c r="X54" s="104">
        <f>SUM(SUMIFS('caseload data'!H:H,'caseload data'!$D:$D,"TPO",'caseload data'!$C:$C,'community caseload'!$T$50,'caseload data'!$B:$B,{"licence","community"}))</f>
        <v>0</v>
      </c>
      <c r="Y54" s="104">
        <f>SUM(SUMIFS('caseload data'!I:I,'caseload data'!$D:$D,"TPO",'caseload data'!$C:$C,'community caseload'!$T$50,'caseload data'!$B:$B,{"licence","community"}))</f>
        <v>0</v>
      </c>
      <c r="Z54" s="104">
        <f>SUM(SUMIFS('caseload data'!J:J,'caseload data'!$D:$D,"TPO",'caseload data'!$C:$C,'community caseload'!$T$50,'caseload data'!$B:$B,{"licence","community"}))</f>
        <v>0</v>
      </c>
      <c r="AA54" s="104">
        <f>SUM(SUMIFS('caseload data'!K:K,'caseload data'!$D:$D,"TPO",'caseload data'!$C:$C,'community caseload'!$T$50,'caseload data'!$B:$B,{"licence","community"}))</f>
        <v>0</v>
      </c>
      <c r="AB54" s="104">
        <f>SUM(SUMIFS('caseload data'!L:L,'caseload data'!$D:$D,"TPO",'caseload data'!$C:$C,'community caseload'!$T$50,'caseload data'!$B:$B,{"licence","community"}))</f>
        <v>0</v>
      </c>
      <c r="AC54" s="104">
        <f>SUM(SUMIFS('caseload data'!M:M,'caseload data'!$D:$D,"TPO",'caseload data'!$C:$C,'community caseload'!$T$50,'caseload data'!$B:$B,{"licence","community"}))</f>
        <v>0</v>
      </c>
      <c r="AD54" s="104">
        <f>SUM(SUMIFS('caseload data'!N:N,'caseload data'!$D:$D,"TPO",'caseload data'!$C:$C,'community caseload'!$T$50,'caseload data'!$B:$B,{"licence","community"}))</f>
        <v>0</v>
      </c>
      <c r="AE54" s="104">
        <f>SUM(SUMIFS('caseload data'!O:O,'caseload data'!$D:$D,"TPO",'caseload data'!$C:$C,'community caseload'!$T$50,'caseload data'!$B:$B,{"licence","community"}))</f>
        <v>0</v>
      </c>
      <c r="AF54" s="104">
        <f>SUM(SUMIFS('caseload data'!P:P,'caseload data'!$D:$D,"TPO",'caseload data'!$C:$C,'community caseload'!$T$50,'caseload data'!$B:$B,{"licence","community"}))</f>
        <v>0</v>
      </c>
      <c r="AG54" s="104">
        <f>SUM(SUMIFS('caseload data'!Q:Q,'caseload data'!$D:$D,"TPO",'caseload data'!$C:$C,'community caseload'!$T$50,'caseload data'!$B:$B,{"licence","community"}))</f>
        <v>0</v>
      </c>
      <c r="AH54" s="104">
        <f>SUM(SUMIFS('caseload data'!R:R,'caseload data'!$D:$D,"TPO",'caseload data'!$C:$C,'community caseload'!$T$50,'caseload data'!$B:$B,{"licence","community"}))</f>
        <v>0</v>
      </c>
      <c r="AI54" s="104">
        <f>SUM(SUMIFS('caseload data'!S:S,'caseload data'!$D:$D,"TPO",'caseload data'!$C:$C,'community caseload'!$T$50,'caseload data'!$B:$B,{"licence","community"}))</f>
        <v>0</v>
      </c>
      <c r="AJ54" s="104">
        <f>SUM(SUMIFS('caseload data'!T:T,'caseload data'!$D:$D,"TPO",'caseload data'!$C:$C,'community caseload'!$T$50,'caseload data'!$B:$B,{"licence","community"}))</f>
        <v>0</v>
      </c>
    </row>
    <row r="55" spans="2:36" x14ac:dyDescent="0.15">
      <c r="B55" s="108" t="s">
        <v>914</v>
      </c>
      <c r="C55" s="104">
        <f>SUM(SUMIFS('caseload data'!E:E,'caseload data'!$D:$D,"SPO",'caseload data'!$C:$C,'community caseload'!$B$50,'caseload data'!$B:$B,{"licence","community"}))</f>
        <v>0</v>
      </c>
      <c r="D55" s="104">
        <f>SUM(SUMIFS('caseload data'!F:F,'caseload data'!$D:$D,"SPO",'caseload data'!$C:$C,'community caseload'!$B$50,'caseload data'!$B:$B,{"licence","community"}))</f>
        <v>0</v>
      </c>
      <c r="E55" s="104">
        <f>SUM(SUMIFS('caseload data'!G:G,'caseload data'!$D:$D,"SPO",'caseload data'!$C:$C,'community caseload'!$B$50,'caseload data'!$B:$B,{"licence","community"}))</f>
        <v>0</v>
      </c>
      <c r="F55" s="104">
        <f>SUM(SUMIFS('caseload data'!H:H,'caseload data'!$D:$D,"SPO",'caseload data'!$C:$C,'community caseload'!$B$50,'caseload data'!$B:$B,{"licence","community"}))</f>
        <v>0</v>
      </c>
      <c r="G55" s="104">
        <f>SUM(SUMIFS('caseload data'!I:I,'caseload data'!$D:$D,"SPO",'caseload data'!$C:$C,'community caseload'!$B$50,'caseload data'!$B:$B,{"licence","community"}))</f>
        <v>0</v>
      </c>
      <c r="H55" s="104">
        <f>SUM(SUMIFS('caseload data'!J:J,'caseload data'!$D:$D,"SPO",'caseload data'!$C:$C,'community caseload'!$B$50,'caseload data'!$B:$B,{"licence","community"}))</f>
        <v>0</v>
      </c>
      <c r="I55" s="104">
        <f>SUM(SUMIFS('caseload data'!K:K,'caseload data'!$D:$D,"SPO",'caseload data'!$C:$C,'community caseload'!$B$50,'caseload data'!$B:$B,{"licence","community"}))</f>
        <v>0</v>
      </c>
      <c r="J55" s="104">
        <f>SUM(SUMIFS('caseload data'!L:L,'caseload data'!$D:$D,"SPO",'caseload data'!$C:$C,'community caseload'!$B$50,'caseload data'!$B:$B,{"licence","community"}))</f>
        <v>0</v>
      </c>
      <c r="K55" s="104">
        <f>SUM(SUMIFS('caseload data'!M:M,'caseload data'!$D:$D,"SPO",'caseload data'!$C:$C,'community caseload'!$B$50,'caseload data'!$B:$B,{"licence","community"}))</f>
        <v>0</v>
      </c>
      <c r="L55" s="104">
        <f>SUM(SUMIFS('caseload data'!N:N,'caseload data'!$D:$D,"SPO",'caseload data'!$C:$C,'community caseload'!$B$50,'caseload data'!$B:$B,{"licence","community"}))</f>
        <v>0</v>
      </c>
      <c r="M55" s="104">
        <f>SUM(SUMIFS('caseload data'!O:O,'caseload data'!$D:$D,"SPO",'caseload data'!$C:$C,'community caseload'!$B$50,'caseload data'!$B:$B,{"licence","community"}))</f>
        <v>0</v>
      </c>
      <c r="N55" s="104">
        <f>SUM(SUMIFS('caseload data'!P:P,'caseload data'!$D:$D,"SPO",'caseload data'!$C:$C,'community caseload'!$B$50,'caseload data'!$B:$B,{"licence","community"}))</f>
        <v>0</v>
      </c>
      <c r="O55" s="104">
        <f>SUM(SUMIFS('caseload data'!Q:Q,'caseload data'!$D:$D,"SPO",'caseload data'!$C:$C,'community caseload'!$B$50,'caseload data'!$B:$B,{"licence","community"}))</f>
        <v>0</v>
      </c>
      <c r="P55" s="104">
        <f>SUM(SUMIFS('caseload data'!R:R,'caseload data'!$D:$D,"SPO",'caseload data'!$C:$C,'community caseload'!$B$50,'caseload data'!$B:$B,{"licence","community"}))</f>
        <v>0</v>
      </c>
      <c r="Q55" s="104">
        <f>SUM(SUMIFS('caseload data'!S:S,'caseload data'!$D:$D,"SPO",'caseload data'!$C:$C,'community caseload'!$B$50,'caseload data'!$B:$B,{"licence","community"}))</f>
        <v>0</v>
      </c>
      <c r="R55" s="104">
        <f>SUM(SUMIFS('caseload data'!T:T,'caseload data'!$D:$D,"SPO",'caseload data'!$C:$C,'community caseload'!$B$50,'caseload data'!$B:$B,{"licence","community"}))</f>
        <v>0</v>
      </c>
      <c r="S55" s="73"/>
      <c r="T55" s="108" t="s">
        <v>914</v>
      </c>
      <c r="U55" s="104">
        <f>SUM(SUMIFS('caseload data'!E:E,'caseload data'!$D:$D,"SPO",'caseload data'!$C:$C,'community caseload'!$T$50,'caseload data'!$B:$B,{"licence","community"}))</f>
        <v>0</v>
      </c>
      <c r="V55" s="104">
        <f>SUM(SUMIFS('caseload data'!F:F,'caseload data'!$D:$D,"SPO",'caseload data'!$C:$C,'community caseload'!$T$50,'caseload data'!$B:$B,{"licence","community"}))</f>
        <v>0</v>
      </c>
      <c r="W55" s="104">
        <f>SUM(SUMIFS('caseload data'!G:G,'caseload data'!$D:$D,"SPO",'caseload data'!$C:$C,'community caseload'!$T$50,'caseload data'!$B:$B,{"licence","community"}))</f>
        <v>0</v>
      </c>
      <c r="X55" s="104">
        <f>SUM(SUMIFS('caseload data'!H:H,'caseload data'!$D:$D,"SPO",'caseload data'!$C:$C,'community caseload'!$T$50,'caseload data'!$B:$B,{"licence","community"}))</f>
        <v>0</v>
      </c>
      <c r="Y55" s="104">
        <f>SUM(SUMIFS('caseload data'!I:I,'caseload data'!$D:$D,"SPO",'caseload data'!$C:$C,'community caseload'!$T$50,'caseload data'!$B:$B,{"licence","community"}))</f>
        <v>0</v>
      </c>
      <c r="Z55" s="104">
        <f>SUM(SUMIFS('caseload data'!J:J,'caseload data'!$D:$D,"SPO",'caseload data'!$C:$C,'community caseload'!$T$50,'caseload data'!$B:$B,{"licence","community"}))</f>
        <v>0</v>
      </c>
      <c r="AA55" s="104">
        <f>SUM(SUMIFS('caseload data'!K:K,'caseload data'!$D:$D,"SPO",'caseload data'!$C:$C,'community caseload'!$T$50,'caseload data'!$B:$B,{"licence","community"}))</f>
        <v>0</v>
      </c>
      <c r="AB55" s="104">
        <f>SUM(SUMIFS('caseload data'!L:L,'caseload data'!$D:$D,"SPO",'caseload data'!$C:$C,'community caseload'!$T$50,'caseload data'!$B:$B,{"licence","community"}))</f>
        <v>0</v>
      </c>
      <c r="AC55" s="104">
        <f>SUM(SUMIFS('caseload data'!M:M,'caseload data'!$D:$D,"SPO",'caseload data'!$C:$C,'community caseload'!$T$50,'caseload data'!$B:$B,{"licence","community"}))</f>
        <v>0</v>
      </c>
      <c r="AD55" s="104">
        <f>SUM(SUMIFS('caseload data'!N:N,'caseload data'!$D:$D,"SPO",'caseload data'!$C:$C,'community caseload'!$T$50,'caseload data'!$B:$B,{"licence","community"}))</f>
        <v>0</v>
      </c>
      <c r="AE55" s="104">
        <f>SUM(SUMIFS('caseload data'!O:O,'caseload data'!$D:$D,"SPO",'caseload data'!$C:$C,'community caseload'!$T$50,'caseload data'!$B:$B,{"licence","community"}))</f>
        <v>0</v>
      </c>
      <c r="AF55" s="104">
        <f>SUM(SUMIFS('caseload data'!P:P,'caseload data'!$D:$D,"SPO",'caseload data'!$C:$C,'community caseload'!$T$50,'caseload data'!$B:$B,{"licence","community"}))</f>
        <v>0</v>
      </c>
      <c r="AG55" s="104">
        <f>SUM(SUMIFS('caseload data'!Q:Q,'caseload data'!$D:$D,"SPO",'caseload data'!$C:$C,'community caseload'!$T$50,'caseload data'!$B:$B,{"licence","community"}))</f>
        <v>0</v>
      </c>
      <c r="AH55" s="104">
        <f>SUM(SUMIFS('caseload data'!R:R,'caseload data'!$D:$D,"SPO",'caseload data'!$C:$C,'community caseload'!$T$50,'caseload data'!$B:$B,{"licence","community"}))</f>
        <v>0</v>
      </c>
      <c r="AI55" s="104">
        <f>SUM(SUMIFS('caseload data'!S:S,'caseload data'!$D:$D,"SPO",'caseload data'!$C:$C,'community caseload'!$T$50,'caseload data'!$B:$B,{"licence","community"}))</f>
        <v>0</v>
      </c>
      <c r="AJ55" s="104">
        <f>SUM(SUMIFS('caseload data'!T:T,'caseload data'!$D:$D,"SPO",'caseload data'!$C:$C,'community caseload'!$T$50,'caseload data'!$B:$B,{"licence","community"}))</f>
        <v>0</v>
      </c>
    </row>
    <row r="56" spans="2:36" x14ac:dyDescent="0.15">
      <c r="B56" s="101"/>
      <c r="C56" s="73"/>
      <c r="D56" s="73"/>
      <c r="E56" s="73"/>
      <c r="F56" s="73"/>
      <c r="G56" s="73"/>
      <c r="H56" s="73"/>
      <c r="I56" s="73"/>
      <c r="J56" s="73"/>
      <c r="K56" s="73"/>
      <c r="L56" s="73"/>
      <c r="M56" s="73"/>
      <c r="N56" s="73"/>
      <c r="O56" s="73"/>
      <c r="P56" s="73"/>
      <c r="Q56" s="73"/>
      <c r="R56" s="73"/>
      <c r="S56" s="73"/>
      <c r="T56" s="101"/>
      <c r="U56" s="73"/>
      <c r="V56" s="73"/>
      <c r="W56" s="73"/>
      <c r="X56" s="73"/>
      <c r="Y56" s="73"/>
      <c r="Z56" s="73"/>
      <c r="AA56" s="73"/>
      <c r="AB56" s="73"/>
      <c r="AC56" s="73"/>
      <c r="AD56" s="73"/>
      <c r="AE56" s="73"/>
      <c r="AF56" s="73"/>
      <c r="AG56" s="73"/>
      <c r="AH56" s="73"/>
      <c r="AI56" s="73"/>
      <c r="AJ56" s="73"/>
    </row>
    <row r="57" spans="2:36" ht="41.25" customHeight="1" x14ac:dyDescent="0.15">
      <c r="B57" s="156" t="str">
        <f>HLOOKUP($B$5,Region_Table,16,0)</f>
        <v>Lambeth - N07</v>
      </c>
      <c r="C57" s="367" t="s">
        <v>1167</v>
      </c>
      <c r="D57" s="368"/>
      <c r="E57" s="368"/>
      <c r="F57" s="368"/>
      <c r="G57" s="368"/>
      <c r="H57" s="368"/>
      <c r="I57" s="368"/>
      <c r="J57" s="368"/>
      <c r="K57" s="368"/>
      <c r="L57" s="368"/>
      <c r="M57" s="377"/>
      <c r="N57" s="377"/>
      <c r="O57" s="378"/>
      <c r="P57" s="371" cm="1">
        <f t="array" ref="P57">SUM(SUMIFS('caseload data'!V:V,'caseload data'!B:B,{"licence","community"},'caseload data'!$C:$C,'community caseload'!B57))</f>
        <v>0</v>
      </c>
      <c r="Q57" s="379"/>
      <c r="R57" s="380"/>
      <c r="S57" s="73"/>
      <c r="T57" s="156" t="str">
        <f>HLOOKUP($B$5,Region_Table,17,0)</f>
        <v>Lewisham and Bromley</v>
      </c>
      <c r="U57" s="367" t="s">
        <v>1167</v>
      </c>
      <c r="V57" s="368"/>
      <c r="W57" s="368"/>
      <c r="X57" s="368"/>
      <c r="Y57" s="368"/>
      <c r="Z57" s="368"/>
      <c r="AA57" s="368"/>
      <c r="AB57" s="368"/>
      <c r="AC57" s="368"/>
      <c r="AD57" s="368"/>
      <c r="AE57" s="377"/>
      <c r="AF57" s="377"/>
      <c r="AG57" s="378"/>
      <c r="AH57" s="371" cm="1">
        <f t="array" ref="AH57">SUM(SUMIFS('caseload data'!V:V,'caseload data'!B:B,{"licence","community"},'caseload data'!$C:$C,'community caseload'!T57))</f>
        <v>0</v>
      </c>
      <c r="AI57" s="379"/>
      <c r="AJ57" s="380"/>
    </row>
    <row r="58" spans="2:36" x14ac:dyDescent="0.15">
      <c r="B58" s="105" t="s">
        <v>1065</v>
      </c>
      <c r="C58" s="41" t="s">
        <v>922</v>
      </c>
      <c r="D58" s="41" t="s">
        <v>923</v>
      </c>
      <c r="E58" s="41" t="s">
        <v>924</v>
      </c>
      <c r="F58" s="41" t="s">
        <v>925</v>
      </c>
      <c r="G58" s="41" t="s">
        <v>926</v>
      </c>
      <c r="H58" s="41" t="s">
        <v>927</v>
      </c>
      <c r="I58" s="41" t="s">
        <v>928</v>
      </c>
      <c r="J58" s="41" t="s">
        <v>929</v>
      </c>
      <c r="K58" s="41" t="s">
        <v>930</v>
      </c>
      <c r="L58" s="41" t="s">
        <v>931</v>
      </c>
      <c r="M58" s="41" t="s">
        <v>932</v>
      </c>
      <c r="N58" s="41" t="s">
        <v>933</v>
      </c>
      <c r="O58" s="41" t="s">
        <v>934</v>
      </c>
      <c r="P58" s="41" t="s">
        <v>935</v>
      </c>
      <c r="Q58" s="41" t="s">
        <v>936</v>
      </c>
      <c r="R58" s="41" t="s">
        <v>937</v>
      </c>
      <c r="S58" s="73"/>
      <c r="T58" s="105" t="s">
        <v>1065</v>
      </c>
      <c r="U58" s="41" t="s">
        <v>922</v>
      </c>
      <c r="V58" s="41" t="s">
        <v>923</v>
      </c>
      <c r="W58" s="41" t="s">
        <v>924</v>
      </c>
      <c r="X58" s="41" t="s">
        <v>925</v>
      </c>
      <c r="Y58" s="41" t="s">
        <v>926</v>
      </c>
      <c r="Z58" s="41" t="s">
        <v>927</v>
      </c>
      <c r="AA58" s="41" t="s">
        <v>928</v>
      </c>
      <c r="AB58" s="41" t="s">
        <v>929</v>
      </c>
      <c r="AC58" s="41" t="s">
        <v>930</v>
      </c>
      <c r="AD58" s="41" t="s">
        <v>931</v>
      </c>
      <c r="AE58" s="41" t="s">
        <v>932</v>
      </c>
      <c r="AF58" s="41" t="s">
        <v>933</v>
      </c>
      <c r="AG58" s="41" t="s">
        <v>934</v>
      </c>
      <c r="AH58" s="41" t="s">
        <v>935</v>
      </c>
      <c r="AI58" s="41" t="s">
        <v>936</v>
      </c>
      <c r="AJ58" s="41" t="s">
        <v>937</v>
      </c>
    </row>
    <row r="59" spans="2:36" x14ac:dyDescent="0.15">
      <c r="B59" s="106" t="s">
        <v>911</v>
      </c>
      <c r="C59" s="104">
        <f>SUM(SUMIFS('caseload data'!E:E,'caseload data'!$D:$D,"PO",'caseload data'!$C:$C,'community caseload'!$B$57,'caseload data'!$B:$B,{"licence","community"}))</f>
        <v>0</v>
      </c>
      <c r="D59" s="104">
        <f>SUM(SUMIFS('caseload data'!F:F,'caseload data'!$D:$D,"PO",'caseload data'!$C:$C,'community caseload'!$B$57,'caseload data'!$B:$B,{"licence","community"}))</f>
        <v>0</v>
      </c>
      <c r="E59" s="104">
        <f>SUM(SUMIFS('caseload data'!G:G,'caseload data'!$D:$D,"PO",'caseload data'!$C:$C,'community caseload'!$B$57,'caseload data'!$B:$B,{"licence","community"}))</f>
        <v>0</v>
      </c>
      <c r="F59" s="104">
        <f>SUM(SUMIFS('caseload data'!H:H,'caseload data'!$D:$D,"PO",'caseload data'!$C:$C,'community caseload'!$B$57,'caseload data'!$B:$B,{"licence","community"}))</f>
        <v>0</v>
      </c>
      <c r="G59" s="104">
        <f>SUM(SUMIFS('caseload data'!I:I,'caseload data'!$D:$D,"PO",'caseload data'!$C:$C,'community caseload'!$B$57,'caseload data'!$B:$B,{"licence","community"}))</f>
        <v>0</v>
      </c>
      <c r="H59" s="104">
        <f>SUM(SUMIFS('caseload data'!J:J,'caseload data'!$D:$D,"PO",'caseload data'!$C:$C,'community caseload'!$B$57,'caseload data'!$B:$B,{"licence","community"}))</f>
        <v>0</v>
      </c>
      <c r="I59" s="104">
        <f>SUM(SUMIFS('caseload data'!K:K,'caseload data'!$D:$D,"PO",'caseload data'!$C:$C,'community caseload'!$B$57,'caseload data'!$B:$B,{"licence","community"}))</f>
        <v>0</v>
      </c>
      <c r="J59" s="104">
        <f>SUM(SUMIFS('caseload data'!L:L,'caseload data'!$D:$D,"PO",'caseload data'!$C:$C,'community caseload'!$B$57,'caseload data'!$B:$B,{"licence","community"}))</f>
        <v>0</v>
      </c>
      <c r="K59" s="104">
        <f>SUM(SUMIFS('caseload data'!M:M,'caseload data'!$D:$D,"PO",'caseload data'!$C:$C,'community caseload'!$B$57,'caseload data'!$B:$B,{"licence","community"}))</f>
        <v>0</v>
      </c>
      <c r="L59" s="104">
        <f>SUM(SUMIFS('caseload data'!N:N,'caseload data'!$D:$D,"PO",'caseload data'!$C:$C,'community caseload'!$B$57,'caseload data'!$B:$B,{"licence","community"}))</f>
        <v>0</v>
      </c>
      <c r="M59" s="104">
        <f>SUM(SUMIFS('caseload data'!O:O,'caseload data'!$D:$D,"PO",'caseload data'!$C:$C,'community caseload'!$B$57,'caseload data'!$B:$B,{"licence","community"}))</f>
        <v>0</v>
      </c>
      <c r="N59" s="104">
        <f>SUM(SUMIFS('caseload data'!P:P,'caseload data'!$D:$D,"PO",'caseload data'!$C:$C,'community caseload'!$B$57,'caseload data'!$B:$B,{"licence","community"}))</f>
        <v>0</v>
      </c>
      <c r="O59" s="104">
        <f>SUM(SUMIFS('caseload data'!Q:Q,'caseload data'!$D:$D,"PO",'caseload data'!$C:$C,'community caseload'!$B$57,'caseload data'!$B:$B,{"licence","community"}))</f>
        <v>0</v>
      </c>
      <c r="P59" s="104">
        <f>SUM(SUMIFS('caseload data'!R:R,'caseload data'!$D:$D,"PO",'caseload data'!$C:$C,'community caseload'!$B$57,'caseload data'!$B:$B,{"licence","community"}))</f>
        <v>0</v>
      </c>
      <c r="Q59" s="104">
        <f>SUM(SUMIFS('caseload data'!S:S,'caseload data'!$D:$D,"PO",'caseload data'!$C:$C,'community caseload'!$B$57,'caseload data'!$B:$B,{"licence","community"}))</f>
        <v>0</v>
      </c>
      <c r="R59" s="104">
        <f>SUM(SUMIFS('caseload data'!T:T,'caseload data'!$D:$D,"PO",'caseload data'!$C:$C,'community caseload'!$B$57,'caseload data'!$B:$B,{"licence","community"}))</f>
        <v>0</v>
      </c>
      <c r="S59" s="73"/>
      <c r="T59" s="106" t="s">
        <v>911</v>
      </c>
      <c r="U59" s="104">
        <f>SUM(SUMIFS('caseload data'!E:E,'caseload data'!$D:$D,"PO",'caseload data'!$C:$C,'community caseload'!$T$57,'caseload data'!$B:$B,{"licence","community"}))</f>
        <v>0</v>
      </c>
      <c r="V59" s="104">
        <f>SUM(SUMIFS('caseload data'!F:F,'caseload data'!$D:$D,"PO",'caseload data'!$C:$C,'community caseload'!$T$57,'caseload data'!$B:$B,{"licence","community"}))</f>
        <v>0</v>
      </c>
      <c r="W59" s="104">
        <f>SUM(SUMIFS('caseload data'!G:G,'caseload data'!$D:$D,"PO",'caseload data'!$C:$C,'community caseload'!$T$57,'caseload data'!$B:$B,{"licence","community"}))</f>
        <v>0</v>
      </c>
      <c r="X59" s="104">
        <f>SUM(SUMIFS('caseload data'!H:H,'caseload data'!$D:$D,"PO",'caseload data'!$C:$C,'community caseload'!$T$57,'caseload data'!$B:$B,{"licence","community"}))</f>
        <v>0</v>
      </c>
      <c r="Y59" s="104">
        <f>SUM(SUMIFS('caseload data'!I:I,'caseload data'!$D:$D,"PO",'caseload data'!$C:$C,'community caseload'!$T$57,'caseload data'!$B:$B,{"licence","community"}))</f>
        <v>0</v>
      </c>
      <c r="Z59" s="104">
        <f>SUM(SUMIFS('caseload data'!J:J,'caseload data'!$D:$D,"PO",'caseload data'!$C:$C,'community caseload'!$T$57,'caseload data'!$B:$B,{"licence","community"}))</f>
        <v>0</v>
      </c>
      <c r="AA59" s="104">
        <f>SUM(SUMIFS('caseload data'!K:K,'caseload data'!$D:$D,"PO",'caseload data'!$C:$C,'community caseload'!$T$57,'caseload data'!$B:$B,{"licence","community"}))</f>
        <v>0</v>
      </c>
      <c r="AB59" s="104">
        <f>SUM(SUMIFS('caseload data'!L:L,'caseload data'!$D:$D,"PO",'caseload data'!$C:$C,'community caseload'!$T$57,'caseload data'!$B:$B,{"licence","community"}))</f>
        <v>0</v>
      </c>
      <c r="AC59" s="104">
        <f>SUM(SUMIFS('caseload data'!M:M,'caseload data'!$D:$D,"PO",'caseload data'!$C:$C,'community caseload'!$T$57,'caseload data'!$B:$B,{"licence","community"}))</f>
        <v>0</v>
      </c>
      <c r="AD59" s="104">
        <f>SUM(SUMIFS('caseload data'!N:N,'caseload data'!$D:$D,"PO",'caseload data'!$C:$C,'community caseload'!$T$57,'caseload data'!$B:$B,{"licence","community"}))</f>
        <v>0</v>
      </c>
      <c r="AE59" s="104">
        <f>SUM(SUMIFS('caseload data'!O:O,'caseload data'!$D:$D,"PO",'caseload data'!$C:$C,'community caseload'!$T$57,'caseload data'!$B:$B,{"licence","community"}))</f>
        <v>0</v>
      </c>
      <c r="AF59" s="104">
        <f>SUM(SUMIFS('caseload data'!P:P,'caseload data'!$D:$D,"PO",'caseload data'!$C:$C,'community caseload'!$T$57,'caseload data'!$B:$B,{"licence","community"}))</f>
        <v>0</v>
      </c>
      <c r="AG59" s="104">
        <f>SUM(SUMIFS('caseload data'!Q:Q,'caseload data'!$D:$D,"PO",'caseload data'!$C:$C,'community caseload'!$T$57,'caseload data'!$B:$B,{"licence","community"}))</f>
        <v>0</v>
      </c>
      <c r="AH59" s="104">
        <f>SUM(SUMIFS('caseload data'!R:R,'caseload data'!$D:$D,"PO",'caseload data'!$C:$C,'community caseload'!$T$57,'caseload data'!$B:$B,{"licence","community"}))</f>
        <v>0</v>
      </c>
      <c r="AI59" s="104">
        <f>SUM(SUMIFS('caseload data'!S:S,'caseload data'!$D:$D,"PO",'caseload data'!$C:$C,'community caseload'!$T$57,'caseload data'!$B:$B,{"licence","community"}))</f>
        <v>0</v>
      </c>
      <c r="AJ59" s="104">
        <f>SUM(SUMIFS('caseload data'!T:T,'caseload data'!$D:$D,"PO",'caseload data'!$C:$C,'community caseload'!$T$57,'caseload data'!$B:$B,{"licence","community"}))</f>
        <v>0</v>
      </c>
    </row>
    <row r="60" spans="2:36" x14ac:dyDescent="0.15">
      <c r="B60" s="107" t="s">
        <v>912</v>
      </c>
      <c r="C60" s="104">
        <f>SUM(SUMIFS('caseload data'!E:E,'caseload data'!$D:$D,"PSO",'caseload data'!$C:$C,'community caseload'!$B$57,'caseload data'!$B:$B,{"licence","community"}))</f>
        <v>0</v>
      </c>
      <c r="D60" s="104">
        <f>SUM(SUMIFS('caseload data'!F:F,'caseload data'!$D:$D,"PSO",'caseload data'!$C:$C,'community caseload'!$B$57,'caseload data'!$B:$B,{"licence","community"}))</f>
        <v>0</v>
      </c>
      <c r="E60" s="104">
        <f>SUM(SUMIFS('caseload data'!G:G,'caseload data'!$D:$D,"PSO",'caseload data'!$C:$C,'community caseload'!$B$57,'caseload data'!$B:$B,{"licence","community"}))</f>
        <v>0</v>
      </c>
      <c r="F60" s="104">
        <f>SUM(SUMIFS('caseload data'!H:H,'caseload data'!$D:$D,"PSO",'caseload data'!$C:$C,'community caseload'!$B$57,'caseload data'!$B:$B,{"licence","community"}))</f>
        <v>0</v>
      </c>
      <c r="G60" s="104">
        <f>SUM(SUMIFS('caseload data'!I:I,'caseload data'!$D:$D,"PSO",'caseload data'!$C:$C,'community caseload'!$B$57,'caseload data'!$B:$B,{"licence","community"}))</f>
        <v>0</v>
      </c>
      <c r="H60" s="104">
        <f>SUM(SUMIFS('caseload data'!J:J,'caseload data'!$D:$D,"PSO",'caseload data'!$C:$C,'community caseload'!$B$57,'caseload data'!$B:$B,{"licence","community"}))</f>
        <v>0</v>
      </c>
      <c r="I60" s="104">
        <f>SUM(SUMIFS('caseload data'!K:K,'caseload data'!$D:$D,"PSO",'caseload data'!$C:$C,'community caseload'!$B$57,'caseload data'!$B:$B,{"licence","community"}))</f>
        <v>0</v>
      </c>
      <c r="J60" s="104">
        <f>SUM(SUMIFS('caseload data'!L:L,'caseload data'!$D:$D,"PSO",'caseload data'!$C:$C,'community caseload'!$B$57,'caseload data'!$B:$B,{"licence","community"}))</f>
        <v>0</v>
      </c>
      <c r="K60" s="104">
        <f>SUM(SUMIFS('caseload data'!M:M,'caseload data'!$D:$D,"PSO",'caseload data'!$C:$C,'community caseload'!$B$57,'caseload data'!$B:$B,{"licence","community"}))</f>
        <v>0</v>
      </c>
      <c r="L60" s="104">
        <f>SUM(SUMIFS('caseload data'!N:N,'caseload data'!$D:$D,"PSO",'caseload data'!$C:$C,'community caseload'!$B$57,'caseload data'!$B:$B,{"licence","community"}))</f>
        <v>0</v>
      </c>
      <c r="M60" s="104">
        <f>SUM(SUMIFS('caseload data'!O:O,'caseload data'!$D:$D,"PSO",'caseload data'!$C:$C,'community caseload'!$B$57,'caseload data'!$B:$B,{"licence","community"}))</f>
        <v>0</v>
      </c>
      <c r="N60" s="104">
        <f>SUM(SUMIFS('caseload data'!P:P,'caseload data'!$D:$D,"PSO",'caseload data'!$C:$C,'community caseload'!$B$57,'caseload data'!$B:$B,{"licence","community"}))</f>
        <v>0</v>
      </c>
      <c r="O60" s="104">
        <f>SUM(SUMIFS('caseload data'!Q:Q,'caseload data'!$D:$D,"PSO",'caseload data'!$C:$C,'community caseload'!$B$57,'caseload data'!$B:$B,{"licence","community"}))</f>
        <v>0</v>
      </c>
      <c r="P60" s="104">
        <f>SUM(SUMIFS('caseload data'!R:R,'caseload data'!$D:$D,"PSO",'caseload data'!$C:$C,'community caseload'!$B$57,'caseload data'!$B:$B,{"licence","community"}))</f>
        <v>0</v>
      </c>
      <c r="Q60" s="104">
        <f>SUM(SUMIFS('caseload data'!S:S,'caseload data'!$D:$D,"PSO",'caseload data'!$C:$C,'community caseload'!$B$57,'caseload data'!$B:$B,{"licence","community"}))</f>
        <v>0</v>
      </c>
      <c r="R60" s="104">
        <f>SUM(SUMIFS('caseload data'!T:T,'caseload data'!$D:$D,"PSO",'caseload data'!$C:$C,'community caseload'!$B$57,'caseload data'!$B:$B,{"licence","community"}))</f>
        <v>0</v>
      </c>
      <c r="S60" s="73"/>
      <c r="T60" s="107" t="s">
        <v>912</v>
      </c>
      <c r="U60" s="104">
        <f>SUM(SUMIFS('caseload data'!E:E,'caseload data'!$D:$D,"PSO",'caseload data'!$C:$C,'community caseload'!$T$57,'caseload data'!$B:$B,{"licence","community"}))</f>
        <v>0</v>
      </c>
      <c r="V60" s="104">
        <f>SUM(SUMIFS('caseload data'!F:F,'caseload data'!$D:$D,"PSO",'caseload data'!$C:$C,'community caseload'!$T$57,'caseload data'!$B:$B,{"licence","community"}))</f>
        <v>0</v>
      </c>
      <c r="W60" s="104">
        <f>SUM(SUMIFS('caseload data'!G:G,'caseload data'!$D:$D,"PSO",'caseload data'!$C:$C,'community caseload'!$T$57,'caseload data'!$B:$B,{"licence","community"}))</f>
        <v>0</v>
      </c>
      <c r="X60" s="104">
        <f>SUM(SUMIFS('caseload data'!H:H,'caseload data'!$D:$D,"PSO",'caseload data'!$C:$C,'community caseload'!$T$57,'caseload data'!$B:$B,{"licence","community"}))</f>
        <v>0</v>
      </c>
      <c r="Y60" s="104">
        <f>SUM(SUMIFS('caseload data'!I:I,'caseload data'!$D:$D,"PSO",'caseload data'!$C:$C,'community caseload'!$T$57,'caseload data'!$B:$B,{"licence","community"}))</f>
        <v>0</v>
      </c>
      <c r="Z60" s="104">
        <f>SUM(SUMIFS('caseload data'!J:J,'caseload data'!$D:$D,"PSO",'caseload data'!$C:$C,'community caseload'!$T$57,'caseload data'!$B:$B,{"licence","community"}))</f>
        <v>0</v>
      </c>
      <c r="AA60" s="104">
        <f>SUM(SUMIFS('caseload data'!K:K,'caseload data'!$D:$D,"PSO",'caseload data'!$C:$C,'community caseload'!$T$57,'caseload data'!$B:$B,{"licence","community"}))</f>
        <v>0</v>
      </c>
      <c r="AB60" s="104">
        <f>SUM(SUMIFS('caseload data'!L:L,'caseload data'!$D:$D,"PSO",'caseload data'!$C:$C,'community caseload'!$T$57,'caseload data'!$B:$B,{"licence","community"}))</f>
        <v>0</v>
      </c>
      <c r="AC60" s="104">
        <f>SUM(SUMIFS('caseload data'!M:M,'caseload data'!$D:$D,"PSO",'caseload data'!$C:$C,'community caseload'!$T$57,'caseload data'!$B:$B,{"licence","community"}))</f>
        <v>0</v>
      </c>
      <c r="AD60" s="104">
        <f>SUM(SUMIFS('caseload data'!N:N,'caseload data'!$D:$D,"PSO",'caseload data'!$C:$C,'community caseload'!$T$57,'caseload data'!$B:$B,{"licence","community"}))</f>
        <v>0</v>
      </c>
      <c r="AE60" s="104">
        <f>SUM(SUMIFS('caseload data'!O:O,'caseload data'!$D:$D,"PSO",'caseload data'!$C:$C,'community caseload'!$T$57,'caseload data'!$B:$B,{"licence","community"}))</f>
        <v>0</v>
      </c>
      <c r="AF60" s="104">
        <f>SUM(SUMIFS('caseload data'!P:P,'caseload data'!$D:$D,"PSO",'caseload data'!$C:$C,'community caseload'!$T$57,'caseload data'!$B:$B,{"licence","community"}))</f>
        <v>0</v>
      </c>
      <c r="AG60" s="104">
        <f>SUM(SUMIFS('caseload data'!Q:Q,'caseload data'!$D:$D,"PSO",'caseload data'!$C:$C,'community caseload'!$T$57,'caseload data'!$B:$B,{"licence","community"}))</f>
        <v>0</v>
      </c>
      <c r="AH60" s="104">
        <f>SUM(SUMIFS('caseload data'!R:R,'caseload data'!$D:$D,"PSO",'caseload data'!$C:$C,'community caseload'!$T$57,'caseload data'!$B:$B,{"licence","community"}))</f>
        <v>0</v>
      </c>
      <c r="AI60" s="104">
        <f>SUM(SUMIFS('caseload data'!S:S,'caseload data'!$D:$D,"PSO",'caseload data'!$C:$C,'community caseload'!$T$57,'caseload data'!$B:$B,{"licence","community"}))</f>
        <v>0</v>
      </c>
      <c r="AJ60" s="104">
        <f>SUM(SUMIFS('caseload data'!T:T,'caseload data'!$D:$D,"PSO",'caseload data'!$C:$C,'community caseload'!$T$57,'caseload data'!$B:$B,{"licence","community"}))</f>
        <v>0</v>
      </c>
    </row>
    <row r="61" spans="2:36" x14ac:dyDescent="0.15">
      <c r="B61" s="107" t="s">
        <v>913</v>
      </c>
      <c r="C61" s="104">
        <f>SUM(SUMIFS('caseload data'!E:E,'caseload data'!$D:$D,"TPO",'caseload data'!$C:$C,'community caseload'!$B$57,'caseload data'!$B:$B,{"licence","community"}))</f>
        <v>0</v>
      </c>
      <c r="D61" s="104">
        <f>SUM(SUMIFS('caseload data'!F:F,'caseload data'!$D:$D,"TPO",'caseload data'!$C:$C,'community caseload'!$B$57,'caseload data'!$B:$B,{"licence","community"}))</f>
        <v>0</v>
      </c>
      <c r="E61" s="104">
        <f>SUM(SUMIFS('caseload data'!G:G,'caseload data'!$D:$D,"TPO",'caseload data'!$C:$C,'community caseload'!$B$57,'caseload data'!$B:$B,{"licence","community"}))</f>
        <v>0</v>
      </c>
      <c r="F61" s="104">
        <f>SUM(SUMIFS('caseload data'!H:H,'caseload data'!$D:$D,"TPO",'caseload data'!$C:$C,'community caseload'!$B$57,'caseload data'!$B:$B,{"licence","community"}))</f>
        <v>0</v>
      </c>
      <c r="G61" s="104">
        <f>SUM(SUMIFS('caseload data'!I:I,'caseload data'!$D:$D,"TPO",'caseload data'!$C:$C,'community caseload'!$B$57,'caseload data'!$B:$B,{"licence","community"}))</f>
        <v>0</v>
      </c>
      <c r="H61" s="104">
        <f>SUM(SUMIFS('caseload data'!J:J,'caseload data'!$D:$D,"TPO",'caseload data'!$C:$C,'community caseload'!$B$57,'caseload data'!$B:$B,{"licence","community"}))</f>
        <v>0</v>
      </c>
      <c r="I61" s="104">
        <f>SUM(SUMIFS('caseload data'!K:K,'caseload data'!$D:$D,"TPO",'caseload data'!$C:$C,'community caseload'!$B$57,'caseload data'!$B:$B,{"licence","community"}))</f>
        <v>0</v>
      </c>
      <c r="J61" s="104">
        <f>SUM(SUMIFS('caseload data'!L:L,'caseload data'!$D:$D,"TPO",'caseload data'!$C:$C,'community caseload'!$B$57,'caseload data'!$B:$B,{"licence","community"}))</f>
        <v>0</v>
      </c>
      <c r="K61" s="104">
        <f>SUM(SUMIFS('caseload data'!M:M,'caseload data'!$D:$D,"TPO",'caseload data'!$C:$C,'community caseload'!$B$57,'caseload data'!$B:$B,{"licence","community"}))</f>
        <v>0</v>
      </c>
      <c r="L61" s="104">
        <f>SUM(SUMIFS('caseload data'!N:N,'caseload data'!$D:$D,"TPO",'caseload data'!$C:$C,'community caseload'!$B$57,'caseload data'!$B:$B,{"licence","community"}))</f>
        <v>0</v>
      </c>
      <c r="M61" s="104">
        <f>SUM(SUMIFS('caseload data'!O:O,'caseload data'!$D:$D,"TPO",'caseload data'!$C:$C,'community caseload'!$B$57,'caseload data'!$B:$B,{"licence","community"}))</f>
        <v>0</v>
      </c>
      <c r="N61" s="104">
        <f>SUM(SUMIFS('caseload data'!P:P,'caseload data'!$D:$D,"TPO",'caseload data'!$C:$C,'community caseload'!$B$57,'caseload data'!$B:$B,{"licence","community"}))</f>
        <v>0</v>
      </c>
      <c r="O61" s="104">
        <f>SUM(SUMIFS('caseload data'!Q:Q,'caseload data'!$D:$D,"TPO",'caseload data'!$C:$C,'community caseload'!$B$57,'caseload data'!$B:$B,{"licence","community"}))</f>
        <v>0</v>
      </c>
      <c r="P61" s="104">
        <f>SUM(SUMIFS('caseload data'!R:R,'caseload data'!$D:$D,"TPO",'caseload data'!$C:$C,'community caseload'!$B$57,'caseload data'!$B:$B,{"licence","community"}))</f>
        <v>0</v>
      </c>
      <c r="Q61" s="104">
        <f>SUM(SUMIFS('caseload data'!S:S,'caseload data'!$D:$D,"TPO",'caseload data'!$C:$C,'community caseload'!$B$57,'caseload data'!$B:$B,{"licence","community"}))</f>
        <v>0</v>
      </c>
      <c r="R61" s="104">
        <f>SUM(SUMIFS('caseload data'!T:T,'caseload data'!$D:$D,"TPO",'caseload data'!$C:$C,'community caseload'!$B$57,'caseload data'!$B:$B,{"licence","community"}))</f>
        <v>0</v>
      </c>
      <c r="S61" s="73"/>
      <c r="T61" s="107" t="s">
        <v>913</v>
      </c>
      <c r="U61" s="104">
        <f>SUM(SUMIFS('caseload data'!E:E,'caseload data'!$D:$D,"TPO",'caseload data'!$C:$C,'community caseload'!$T$57,'caseload data'!$B:$B,{"licence","community"}))</f>
        <v>0</v>
      </c>
      <c r="V61" s="104">
        <f>SUM(SUMIFS('caseload data'!F:F,'caseload data'!$D:$D,"TPO",'caseload data'!$C:$C,'community caseload'!$T$57,'caseload data'!$B:$B,{"licence","community"}))</f>
        <v>0</v>
      </c>
      <c r="W61" s="104">
        <f>SUM(SUMIFS('caseload data'!G:G,'caseload data'!$D:$D,"TPO",'caseload data'!$C:$C,'community caseload'!$T$57,'caseload data'!$B:$B,{"licence","community"}))</f>
        <v>0</v>
      </c>
      <c r="X61" s="104">
        <f>SUM(SUMIFS('caseload data'!H:H,'caseload data'!$D:$D,"TPO",'caseload data'!$C:$C,'community caseload'!$T$57,'caseload data'!$B:$B,{"licence","community"}))</f>
        <v>0</v>
      </c>
      <c r="Y61" s="104">
        <f>SUM(SUMIFS('caseload data'!I:I,'caseload data'!$D:$D,"TPO",'caseload data'!$C:$C,'community caseload'!$T$57,'caseload data'!$B:$B,{"licence","community"}))</f>
        <v>0</v>
      </c>
      <c r="Z61" s="104">
        <f>SUM(SUMIFS('caseload data'!J:J,'caseload data'!$D:$D,"TPO",'caseload data'!$C:$C,'community caseload'!$T$57,'caseload data'!$B:$B,{"licence","community"}))</f>
        <v>0</v>
      </c>
      <c r="AA61" s="104">
        <f>SUM(SUMIFS('caseload data'!K:K,'caseload data'!$D:$D,"TPO",'caseload data'!$C:$C,'community caseload'!$T$57,'caseload data'!$B:$B,{"licence","community"}))</f>
        <v>0</v>
      </c>
      <c r="AB61" s="104">
        <f>SUM(SUMIFS('caseload data'!L:L,'caseload data'!$D:$D,"TPO",'caseload data'!$C:$C,'community caseload'!$T$57,'caseload data'!$B:$B,{"licence","community"}))</f>
        <v>0</v>
      </c>
      <c r="AC61" s="104">
        <f>SUM(SUMIFS('caseload data'!M:M,'caseload data'!$D:$D,"TPO",'caseload data'!$C:$C,'community caseload'!$T$57,'caseload data'!$B:$B,{"licence","community"}))</f>
        <v>0</v>
      </c>
      <c r="AD61" s="104">
        <f>SUM(SUMIFS('caseload data'!N:N,'caseload data'!$D:$D,"TPO",'caseload data'!$C:$C,'community caseload'!$T$57,'caseload data'!$B:$B,{"licence","community"}))</f>
        <v>0</v>
      </c>
      <c r="AE61" s="104">
        <f>SUM(SUMIFS('caseload data'!O:O,'caseload data'!$D:$D,"TPO",'caseload data'!$C:$C,'community caseload'!$T$57,'caseload data'!$B:$B,{"licence","community"}))</f>
        <v>0</v>
      </c>
      <c r="AF61" s="104">
        <f>SUM(SUMIFS('caseload data'!P:P,'caseload data'!$D:$D,"TPO",'caseload data'!$C:$C,'community caseload'!$T$57,'caseload data'!$B:$B,{"licence","community"}))</f>
        <v>0</v>
      </c>
      <c r="AG61" s="104">
        <f>SUM(SUMIFS('caseload data'!Q:Q,'caseload data'!$D:$D,"TPO",'caseload data'!$C:$C,'community caseload'!$T$57,'caseload data'!$B:$B,{"licence","community"}))</f>
        <v>0</v>
      </c>
      <c r="AH61" s="104">
        <f>SUM(SUMIFS('caseload data'!R:R,'caseload data'!$D:$D,"TPO",'caseload data'!$C:$C,'community caseload'!$T$57,'caseload data'!$B:$B,{"licence","community"}))</f>
        <v>0</v>
      </c>
      <c r="AI61" s="104">
        <f>SUM(SUMIFS('caseload data'!S:S,'caseload data'!$D:$D,"TPO",'caseload data'!$C:$C,'community caseload'!$T$57,'caseload data'!$B:$B,{"licence","community"}))</f>
        <v>0</v>
      </c>
      <c r="AJ61" s="104">
        <f>SUM(SUMIFS('caseload data'!T:T,'caseload data'!$D:$D,"TPO",'caseload data'!$C:$C,'community caseload'!$T$57,'caseload data'!$B:$B,{"licence","community"}))</f>
        <v>0</v>
      </c>
    </row>
    <row r="62" spans="2:36" x14ac:dyDescent="0.15">
      <c r="B62" s="108" t="s">
        <v>914</v>
      </c>
      <c r="C62" s="104">
        <f>SUM(SUMIFS('caseload data'!E:E,'caseload data'!$D:$D,"SPO",'caseload data'!$C:$C,'community caseload'!$B$57,'caseload data'!$B:$B,{"licence","community"}))</f>
        <v>0</v>
      </c>
      <c r="D62" s="104">
        <f>SUM(SUMIFS('caseload data'!F:F,'caseload data'!$D:$D,"SPO",'caseload data'!$C:$C,'community caseload'!$B$57,'caseload data'!$B:$B,{"licence","community"}))</f>
        <v>0</v>
      </c>
      <c r="E62" s="104">
        <f>SUM(SUMIFS('caseload data'!G:G,'caseload data'!$D:$D,"SPO",'caseload data'!$C:$C,'community caseload'!$B$57,'caseload data'!$B:$B,{"licence","community"}))</f>
        <v>0</v>
      </c>
      <c r="F62" s="104">
        <f>SUM(SUMIFS('caseload data'!H:H,'caseload data'!$D:$D,"SPO",'caseload data'!$C:$C,'community caseload'!$B$57,'caseload data'!$B:$B,{"licence","community"}))</f>
        <v>0</v>
      </c>
      <c r="G62" s="104">
        <f>SUM(SUMIFS('caseload data'!I:I,'caseload data'!$D:$D,"SPO",'caseload data'!$C:$C,'community caseload'!$B$57,'caseload data'!$B:$B,{"licence","community"}))</f>
        <v>0</v>
      </c>
      <c r="H62" s="104">
        <f>SUM(SUMIFS('caseload data'!J:J,'caseload data'!$D:$D,"SPO",'caseload data'!$C:$C,'community caseload'!$B$57,'caseload data'!$B:$B,{"licence","community"}))</f>
        <v>0</v>
      </c>
      <c r="I62" s="104">
        <f>SUM(SUMIFS('caseload data'!K:K,'caseload data'!$D:$D,"SPO",'caseload data'!$C:$C,'community caseload'!$B$57,'caseload data'!$B:$B,{"licence","community"}))</f>
        <v>0</v>
      </c>
      <c r="J62" s="104">
        <f>SUM(SUMIFS('caseload data'!L:L,'caseload data'!$D:$D,"SPO",'caseload data'!$C:$C,'community caseload'!$B$57,'caseload data'!$B:$B,{"licence","community"}))</f>
        <v>0</v>
      </c>
      <c r="K62" s="104">
        <f>SUM(SUMIFS('caseload data'!M:M,'caseload data'!$D:$D,"SPO",'caseload data'!$C:$C,'community caseload'!$B$57,'caseload data'!$B:$B,{"licence","community"}))</f>
        <v>0</v>
      </c>
      <c r="L62" s="104">
        <f>SUM(SUMIFS('caseload data'!N:N,'caseload data'!$D:$D,"SPO",'caseload data'!$C:$C,'community caseload'!$B$57,'caseload data'!$B:$B,{"licence","community"}))</f>
        <v>0</v>
      </c>
      <c r="M62" s="104">
        <f>SUM(SUMIFS('caseload data'!O:O,'caseload data'!$D:$D,"SPO",'caseload data'!$C:$C,'community caseload'!$B$57,'caseload data'!$B:$B,{"licence","community"}))</f>
        <v>0</v>
      </c>
      <c r="N62" s="104">
        <f>SUM(SUMIFS('caseload data'!P:P,'caseload data'!$D:$D,"SPO",'caseload data'!$C:$C,'community caseload'!$B$57,'caseload data'!$B:$B,{"licence","community"}))</f>
        <v>0</v>
      </c>
      <c r="O62" s="104">
        <f>SUM(SUMIFS('caseload data'!Q:Q,'caseload data'!$D:$D,"SPO",'caseload data'!$C:$C,'community caseload'!$B$57,'caseload data'!$B:$B,{"licence","community"}))</f>
        <v>0</v>
      </c>
      <c r="P62" s="104">
        <f>SUM(SUMIFS('caseload data'!R:R,'caseload data'!$D:$D,"SPO",'caseload data'!$C:$C,'community caseload'!$B$57,'caseload data'!$B:$B,{"licence","community"}))</f>
        <v>0</v>
      </c>
      <c r="Q62" s="104">
        <f>SUM(SUMIFS('caseload data'!S:S,'caseload data'!$D:$D,"SPO",'caseload data'!$C:$C,'community caseload'!$B$57,'caseload data'!$B:$B,{"licence","community"}))</f>
        <v>0</v>
      </c>
      <c r="R62" s="104">
        <f>SUM(SUMIFS('caseload data'!T:T,'caseload data'!$D:$D,"SPO",'caseload data'!$C:$C,'community caseload'!$B$57,'caseload data'!$B:$B,{"licence","community"}))</f>
        <v>0</v>
      </c>
      <c r="S62" s="73"/>
      <c r="T62" s="108" t="s">
        <v>914</v>
      </c>
      <c r="U62" s="104">
        <f>SUM(SUMIFS('caseload data'!E:E,'caseload data'!$D:$D,"SPO",'caseload data'!$C:$C,'community caseload'!$T$57,'caseload data'!$B:$B,{"licence","community"}))</f>
        <v>0</v>
      </c>
      <c r="V62" s="104">
        <f>SUM(SUMIFS('caseload data'!F:F,'caseload data'!$D:$D,"SPO",'caseload data'!$C:$C,'community caseload'!$T$57,'caseload data'!$B:$B,{"licence","community"}))</f>
        <v>0</v>
      </c>
      <c r="W62" s="104">
        <f>SUM(SUMIFS('caseload data'!G:G,'caseload data'!$D:$D,"SPO",'caseload data'!$C:$C,'community caseload'!$T$57,'caseload data'!$B:$B,{"licence","community"}))</f>
        <v>0</v>
      </c>
      <c r="X62" s="104">
        <f>SUM(SUMIFS('caseload data'!H:H,'caseload data'!$D:$D,"SPO",'caseload data'!$C:$C,'community caseload'!$T$57,'caseload data'!$B:$B,{"licence","community"}))</f>
        <v>0</v>
      </c>
      <c r="Y62" s="104">
        <f>SUM(SUMIFS('caseload data'!I:I,'caseload data'!$D:$D,"SPO",'caseload data'!$C:$C,'community caseload'!$T$57,'caseload data'!$B:$B,{"licence","community"}))</f>
        <v>0</v>
      </c>
      <c r="Z62" s="104">
        <f>SUM(SUMIFS('caseload data'!J:J,'caseload data'!$D:$D,"SPO",'caseload data'!$C:$C,'community caseload'!$T$57,'caseload data'!$B:$B,{"licence","community"}))</f>
        <v>0</v>
      </c>
      <c r="AA62" s="104">
        <f>SUM(SUMIFS('caseload data'!K:K,'caseload data'!$D:$D,"SPO",'caseload data'!$C:$C,'community caseload'!$T$57,'caseload data'!$B:$B,{"licence","community"}))</f>
        <v>0</v>
      </c>
      <c r="AB62" s="104">
        <f>SUM(SUMIFS('caseload data'!L:L,'caseload data'!$D:$D,"SPO",'caseload data'!$C:$C,'community caseload'!$T$57,'caseload data'!$B:$B,{"licence","community"}))</f>
        <v>0</v>
      </c>
      <c r="AC62" s="104">
        <f>SUM(SUMIFS('caseload data'!M:M,'caseload data'!$D:$D,"SPO",'caseload data'!$C:$C,'community caseload'!$T$57,'caseload data'!$B:$B,{"licence","community"}))</f>
        <v>0</v>
      </c>
      <c r="AD62" s="104">
        <f>SUM(SUMIFS('caseload data'!N:N,'caseload data'!$D:$D,"SPO",'caseload data'!$C:$C,'community caseload'!$T$57,'caseload data'!$B:$B,{"licence","community"}))</f>
        <v>0</v>
      </c>
      <c r="AE62" s="104">
        <f>SUM(SUMIFS('caseload data'!O:O,'caseload data'!$D:$D,"SPO",'caseload data'!$C:$C,'community caseload'!$T$57,'caseload data'!$B:$B,{"licence","community"}))</f>
        <v>0</v>
      </c>
      <c r="AF62" s="104">
        <f>SUM(SUMIFS('caseload data'!P:P,'caseload data'!$D:$D,"SPO",'caseload data'!$C:$C,'community caseload'!$T$57,'caseload data'!$B:$B,{"licence","community"}))</f>
        <v>0</v>
      </c>
      <c r="AG62" s="104">
        <f>SUM(SUMIFS('caseload data'!Q:Q,'caseload data'!$D:$D,"SPO",'caseload data'!$C:$C,'community caseload'!$T$57,'caseload data'!$B:$B,{"licence","community"}))</f>
        <v>0</v>
      </c>
      <c r="AH62" s="104">
        <f>SUM(SUMIFS('caseload data'!R:R,'caseload data'!$D:$D,"SPO",'caseload data'!$C:$C,'community caseload'!$T$57,'caseload data'!$B:$B,{"licence","community"}))</f>
        <v>0</v>
      </c>
      <c r="AI62" s="104">
        <f>SUM(SUMIFS('caseload data'!S:S,'caseload data'!$D:$D,"SPO",'caseload data'!$C:$C,'community caseload'!$T$57,'caseload data'!$B:$B,{"licence","community"}))</f>
        <v>0</v>
      </c>
      <c r="AJ62" s="104">
        <f>SUM(SUMIFS('caseload data'!T:T,'caseload data'!$D:$D,"SPO",'caseload data'!$C:$C,'community caseload'!$T$57,'caseload data'!$B:$B,{"licence","community"}))</f>
        <v>0</v>
      </c>
    </row>
    <row r="64" spans="2:36" x14ac:dyDescent="0.15">
      <c r="B64" s="156" t="str">
        <f>HLOOKUP($B$5,Region_Table,18,0)</f>
        <v>Newham - N07</v>
      </c>
      <c r="C64" s="367" t="s">
        <v>1167</v>
      </c>
      <c r="D64" s="368"/>
      <c r="E64" s="368"/>
      <c r="F64" s="368"/>
      <c r="G64" s="368"/>
      <c r="H64" s="368"/>
      <c r="I64" s="368"/>
      <c r="J64" s="368"/>
      <c r="K64" s="368"/>
      <c r="L64" s="368"/>
      <c r="M64" s="377"/>
      <c r="N64" s="377"/>
      <c r="O64" s="378"/>
      <c r="P64" s="371" cm="1">
        <f t="array" ref="P64">SUM(SUMIFS('caseload data'!V:V,'caseload data'!B:B,{"licence","community"},'caseload data'!$C:$C,'community caseload'!B64))</f>
        <v>0</v>
      </c>
      <c r="Q64" s="379"/>
      <c r="R64" s="380"/>
      <c r="S64" s="73"/>
      <c r="T64" s="156" t="str">
        <f>HLOOKUP($B$5,Region_Table,19,0)</f>
        <v>Public Protection London</v>
      </c>
      <c r="U64" s="367" t="s">
        <v>1167</v>
      </c>
      <c r="V64" s="368"/>
      <c r="W64" s="368"/>
      <c r="X64" s="368"/>
      <c r="Y64" s="368"/>
      <c r="Z64" s="368"/>
      <c r="AA64" s="368"/>
      <c r="AB64" s="368"/>
      <c r="AC64" s="368"/>
      <c r="AD64" s="368"/>
      <c r="AE64" s="377"/>
      <c r="AF64" s="377"/>
      <c r="AG64" s="378"/>
      <c r="AH64" s="371" cm="1">
        <f t="array" ref="AH64">SUM(SUMIFS('caseload data'!V:V,'caseload data'!B:B,{"licence","community"},'caseload data'!$C:$C,'community caseload'!T64))</f>
        <v>0</v>
      </c>
      <c r="AI64" s="379"/>
      <c r="AJ64" s="380"/>
    </row>
    <row r="65" spans="2:36" x14ac:dyDescent="0.15">
      <c r="B65" s="105" t="s">
        <v>1065</v>
      </c>
      <c r="C65" s="41" t="s">
        <v>922</v>
      </c>
      <c r="D65" s="41" t="s">
        <v>923</v>
      </c>
      <c r="E65" s="41" t="s">
        <v>924</v>
      </c>
      <c r="F65" s="41" t="s">
        <v>925</v>
      </c>
      <c r="G65" s="41" t="s">
        <v>926</v>
      </c>
      <c r="H65" s="41" t="s">
        <v>927</v>
      </c>
      <c r="I65" s="41" t="s">
        <v>928</v>
      </c>
      <c r="J65" s="41" t="s">
        <v>929</v>
      </c>
      <c r="K65" s="41" t="s">
        <v>930</v>
      </c>
      <c r="L65" s="41" t="s">
        <v>931</v>
      </c>
      <c r="M65" s="41" t="s">
        <v>932</v>
      </c>
      <c r="N65" s="41" t="s">
        <v>933</v>
      </c>
      <c r="O65" s="41" t="s">
        <v>934</v>
      </c>
      <c r="P65" s="41" t="s">
        <v>935</v>
      </c>
      <c r="Q65" s="41" t="s">
        <v>936</v>
      </c>
      <c r="R65" s="41" t="s">
        <v>937</v>
      </c>
      <c r="S65" s="73"/>
      <c r="T65" s="105" t="s">
        <v>1065</v>
      </c>
      <c r="U65" s="41" t="s">
        <v>922</v>
      </c>
      <c r="V65" s="41" t="s">
        <v>923</v>
      </c>
      <c r="W65" s="41" t="s">
        <v>924</v>
      </c>
      <c r="X65" s="41" t="s">
        <v>925</v>
      </c>
      <c r="Y65" s="41" t="s">
        <v>926</v>
      </c>
      <c r="Z65" s="41" t="s">
        <v>927</v>
      </c>
      <c r="AA65" s="41" t="s">
        <v>928</v>
      </c>
      <c r="AB65" s="41" t="s">
        <v>929</v>
      </c>
      <c r="AC65" s="41" t="s">
        <v>930</v>
      </c>
      <c r="AD65" s="41" t="s">
        <v>931</v>
      </c>
      <c r="AE65" s="41" t="s">
        <v>932</v>
      </c>
      <c r="AF65" s="41" t="s">
        <v>933</v>
      </c>
      <c r="AG65" s="41" t="s">
        <v>934</v>
      </c>
      <c r="AH65" s="41" t="s">
        <v>935</v>
      </c>
      <c r="AI65" s="41" t="s">
        <v>936</v>
      </c>
      <c r="AJ65" s="41" t="s">
        <v>937</v>
      </c>
    </row>
    <row r="66" spans="2:36" x14ac:dyDescent="0.15">
      <c r="B66" s="106" t="s">
        <v>911</v>
      </c>
      <c r="C66" s="104">
        <f>SUM(SUMIFS('caseload data'!E:E,'caseload data'!$D:$D,"PO",'caseload data'!$C:$C,'community caseload'!$B$64,'caseload data'!$B:$B,{"licence","community"}))</f>
        <v>0</v>
      </c>
      <c r="D66" s="104">
        <f>SUM(SUMIFS('caseload data'!F:F,'caseload data'!$D:$D,"PO",'caseload data'!$C:$C,'community caseload'!$B$64,'caseload data'!$B:$B,{"licence","community"}))</f>
        <v>0</v>
      </c>
      <c r="E66" s="104">
        <f>SUM(SUMIFS('caseload data'!G:G,'caseload data'!$D:$D,"PO",'caseload data'!$C:$C,'community caseload'!$B$64,'caseload data'!$B:$B,{"licence","community"}))</f>
        <v>0</v>
      </c>
      <c r="F66" s="104">
        <f>SUM(SUMIFS('caseload data'!H:H,'caseload data'!$D:$D,"PO",'caseload data'!$C:$C,'community caseload'!$B$64,'caseload data'!$B:$B,{"licence","community"}))</f>
        <v>0</v>
      </c>
      <c r="G66" s="104">
        <f>SUM(SUMIFS('caseload data'!I:I,'caseload data'!$D:$D,"PO",'caseload data'!$C:$C,'community caseload'!$B$64,'caseload data'!$B:$B,{"licence","community"}))</f>
        <v>0</v>
      </c>
      <c r="H66" s="104">
        <f>SUM(SUMIFS('caseload data'!J:J,'caseload data'!$D:$D,"PO",'caseload data'!$C:$C,'community caseload'!$B$64,'caseload data'!$B:$B,{"licence","community"}))</f>
        <v>0</v>
      </c>
      <c r="I66" s="104">
        <f>SUM(SUMIFS('caseload data'!K:K,'caseload data'!$D:$D,"PO",'caseload data'!$C:$C,'community caseload'!$B$64,'caseload data'!$B:$B,{"licence","community"}))</f>
        <v>0</v>
      </c>
      <c r="J66" s="104">
        <f>SUM(SUMIFS('caseload data'!L:L,'caseload data'!$D:$D,"PO",'caseload data'!$C:$C,'community caseload'!$B$64,'caseload data'!$B:$B,{"licence","community"}))</f>
        <v>0</v>
      </c>
      <c r="K66" s="104">
        <f>SUM(SUMIFS('caseload data'!M:M,'caseload data'!$D:$D,"PO",'caseload data'!$C:$C,'community caseload'!$B$64,'caseload data'!$B:$B,{"licence","community"}))</f>
        <v>0</v>
      </c>
      <c r="L66" s="104">
        <f>SUM(SUMIFS('caseload data'!N:N,'caseload data'!$D:$D,"PO",'caseload data'!$C:$C,'community caseload'!$B$64,'caseload data'!$B:$B,{"licence","community"}))</f>
        <v>0</v>
      </c>
      <c r="M66" s="104">
        <f>SUM(SUMIFS('caseload data'!O:O,'caseload data'!$D:$D,"PO",'caseload data'!$C:$C,'community caseload'!$B$64,'caseload data'!$B:$B,{"licence","community"}))</f>
        <v>0</v>
      </c>
      <c r="N66" s="104">
        <f>SUM(SUMIFS('caseload data'!P:P,'caseload data'!$D:$D,"PO",'caseload data'!$C:$C,'community caseload'!$B$64,'caseload data'!$B:$B,{"licence","community"}))</f>
        <v>0</v>
      </c>
      <c r="O66" s="104">
        <f>SUM(SUMIFS('caseload data'!Q:Q,'caseload data'!$D:$D,"PO",'caseload data'!$C:$C,'community caseload'!$B$64,'caseload data'!$B:$B,{"licence","community"}))</f>
        <v>0</v>
      </c>
      <c r="P66" s="104">
        <f>SUM(SUMIFS('caseload data'!R:R,'caseload data'!$D:$D,"PO",'caseload data'!$C:$C,'community caseload'!$B$64,'caseload data'!$B:$B,{"licence","community"}))</f>
        <v>0</v>
      </c>
      <c r="Q66" s="104">
        <f>SUM(SUMIFS('caseload data'!S:S,'caseload data'!$D:$D,"PO",'caseload data'!$C:$C,'community caseload'!$B$64,'caseload data'!$B:$B,{"licence","community"}))</f>
        <v>0</v>
      </c>
      <c r="R66" s="104">
        <f>SUM(SUMIFS('caseload data'!T:T,'caseload data'!$D:$D,"PO",'caseload data'!$C:$C,'community caseload'!$B$64,'caseload data'!$B:$B,{"licence","community"}))</f>
        <v>0</v>
      </c>
      <c r="S66" s="73"/>
      <c r="T66" s="106" t="s">
        <v>911</v>
      </c>
      <c r="U66" s="104">
        <f>SUM(SUMIFS('caseload data'!E:E,'caseload data'!$D:$D,"PO",'caseload data'!$C:$C,'community caseload'!$T$64,'caseload data'!$B:$B,{"licence","community"}))</f>
        <v>0</v>
      </c>
      <c r="V66" s="104">
        <f>SUM(SUMIFS('caseload data'!F:F,'caseload data'!$D:$D,"PO",'caseload data'!$C:$C,'community caseload'!$T$64,'caseload data'!$B:$B,{"licence","community"}))</f>
        <v>0</v>
      </c>
      <c r="W66" s="104">
        <f>SUM(SUMIFS('caseload data'!G:G,'caseload data'!$D:$D,"PO",'caseload data'!$C:$C,'community caseload'!$T$64,'caseload data'!$B:$B,{"licence","community"}))</f>
        <v>0</v>
      </c>
      <c r="X66" s="104">
        <f>SUM(SUMIFS('caseload data'!H:H,'caseload data'!$D:$D,"PO",'caseload data'!$C:$C,'community caseload'!$T$64,'caseload data'!$B:$B,{"licence","community"}))</f>
        <v>0</v>
      </c>
      <c r="Y66" s="104">
        <f>SUM(SUMIFS('caseload data'!I:I,'caseload data'!$D:$D,"PO",'caseload data'!$C:$C,'community caseload'!$T$64,'caseload data'!$B:$B,{"licence","community"}))</f>
        <v>0</v>
      </c>
      <c r="Z66" s="104">
        <f>SUM(SUMIFS('caseload data'!J:J,'caseload data'!$D:$D,"PO",'caseload data'!$C:$C,'community caseload'!$T$64,'caseload data'!$B:$B,{"licence","community"}))</f>
        <v>0</v>
      </c>
      <c r="AA66" s="104">
        <f>SUM(SUMIFS('caseload data'!K:K,'caseload data'!$D:$D,"PO",'caseload data'!$C:$C,'community caseload'!$T$64,'caseload data'!$B:$B,{"licence","community"}))</f>
        <v>0</v>
      </c>
      <c r="AB66" s="104">
        <f>SUM(SUMIFS('caseload data'!L:L,'caseload data'!$D:$D,"PO",'caseload data'!$C:$C,'community caseload'!$T$64,'caseload data'!$B:$B,{"licence","community"}))</f>
        <v>0</v>
      </c>
      <c r="AC66" s="104">
        <f>SUM(SUMIFS('caseload data'!M:M,'caseload data'!$D:$D,"PO",'caseload data'!$C:$C,'community caseload'!$T$64,'caseload data'!$B:$B,{"licence","community"}))</f>
        <v>0</v>
      </c>
      <c r="AD66" s="104">
        <f>SUM(SUMIFS('caseload data'!N:N,'caseload data'!$D:$D,"PO",'caseload data'!$C:$C,'community caseload'!$T$64,'caseload data'!$B:$B,{"licence","community"}))</f>
        <v>0</v>
      </c>
      <c r="AE66" s="104">
        <f>SUM(SUMIFS('caseload data'!O:O,'caseload data'!$D:$D,"PO",'caseload data'!$C:$C,'community caseload'!$T$64,'caseload data'!$B:$B,{"licence","community"}))</f>
        <v>0</v>
      </c>
      <c r="AF66" s="104">
        <f>SUM(SUMIFS('caseload data'!P:P,'caseload data'!$D:$D,"PO",'caseload data'!$C:$C,'community caseload'!$T$64,'caseload data'!$B:$B,{"licence","community"}))</f>
        <v>0</v>
      </c>
      <c r="AG66" s="104">
        <f>SUM(SUMIFS('caseload data'!Q:Q,'caseload data'!$D:$D,"PO",'caseload data'!$C:$C,'community caseload'!$T$64,'caseload data'!$B:$B,{"licence","community"}))</f>
        <v>0</v>
      </c>
      <c r="AH66" s="104">
        <f>SUM(SUMIFS('caseload data'!R:R,'caseload data'!$D:$D,"PO",'caseload data'!$C:$C,'community caseload'!$T$64,'caseload data'!$B:$B,{"licence","community"}))</f>
        <v>0</v>
      </c>
      <c r="AI66" s="104">
        <f>SUM(SUMIFS('caseload data'!S:S,'caseload data'!$D:$D,"PO",'caseload data'!$C:$C,'community caseload'!$T$64,'caseload data'!$B:$B,{"licence","community"}))</f>
        <v>0</v>
      </c>
      <c r="AJ66" s="104">
        <f>SUM(SUMIFS('caseload data'!T:T,'caseload data'!$D:$D,"PO",'caseload data'!$C:$C,'community caseload'!$T$64,'caseload data'!$B:$B,{"licence","community"}))</f>
        <v>0</v>
      </c>
    </row>
    <row r="67" spans="2:36" x14ac:dyDescent="0.15">
      <c r="B67" s="107" t="s">
        <v>912</v>
      </c>
      <c r="C67" s="104">
        <f>SUM(SUMIFS('caseload data'!E:E,'caseload data'!$D:$D,"PSO",'caseload data'!$C:$C,'community caseload'!$B$64,'caseload data'!$B:$B,{"licence","community"}))</f>
        <v>0</v>
      </c>
      <c r="D67" s="104">
        <f>SUM(SUMIFS('caseload data'!F:F,'caseload data'!$D:$D,"PSO",'caseload data'!$C:$C,'community caseload'!$B$64,'caseload data'!$B:$B,{"licence","community"}))</f>
        <v>0</v>
      </c>
      <c r="E67" s="104">
        <f>SUM(SUMIFS('caseload data'!G:G,'caseload data'!$D:$D,"PSO",'caseload data'!$C:$C,'community caseload'!$B$64,'caseload data'!$B:$B,{"licence","community"}))</f>
        <v>0</v>
      </c>
      <c r="F67" s="104">
        <f>SUM(SUMIFS('caseload data'!H:H,'caseload data'!$D:$D,"PSO",'caseload data'!$C:$C,'community caseload'!$B$64,'caseload data'!$B:$B,{"licence","community"}))</f>
        <v>0</v>
      </c>
      <c r="G67" s="104">
        <f>SUM(SUMIFS('caseload data'!I:I,'caseload data'!$D:$D,"PSO",'caseload data'!$C:$C,'community caseload'!$B$64,'caseload data'!$B:$B,{"licence","community"}))</f>
        <v>0</v>
      </c>
      <c r="H67" s="104">
        <f>SUM(SUMIFS('caseload data'!J:J,'caseload data'!$D:$D,"PSO",'caseload data'!$C:$C,'community caseload'!$B$64,'caseload data'!$B:$B,{"licence","community"}))</f>
        <v>0</v>
      </c>
      <c r="I67" s="104">
        <f>SUM(SUMIFS('caseload data'!K:K,'caseload data'!$D:$D,"PSO",'caseload data'!$C:$C,'community caseload'!$B$64,'caseload data'!$B:$B,{"licence","community"}))</f>
        <v>0</v>
      </c>
      <c r="J67" s="104">
        <f>SUM(SUMIFS('caseload data'!L:L,'caseload data'!$D:$D,"PSO",'caseload data'!$C:$C,'community caseload'!$B$64,'caseload data'!$B:$B,{"licence","community"}))</f>
        <v>0</v>
      </c>
      <c r="K67" s="104">
        <f>SUM(SUMIFS('caseload data'!M:M,'caseload data'!$D:$D,"PSO",'caseload data'!$C:$C,'community caseload'!$B$64,'caseload data'!$B:$B,{"licence","community"}))</f>
        <v>0</v>
      </c>
      <c r="L67" s="104">
        <f>SUM(SUMIFS('caseload data'!N:N,'caseload data'!$D:$D,"PSO",'caseload data'!$C:$C,'community caseload'!$B$64,'caseload data'!$B:$B,{"licence","community"}))</f>
        <v>0</v>
      </c>
      <c r="M67" s="104">
        <f>SUM(SUMIFS('caseload data'!O:O,'caseload data'!$D:$D,"PSO",'caseload data'!$C:$C,'community caseload'!$B$64,'caseload data'!$B:$B,{"licence","community"}))</f>
        <v>0</v>
      </c>
      <c r="N67" s="104">
        <f>SUM(SUMIFS('caseload data'!P:P,'caseload data'!$D:$D,"PSO",'caseload data'!$C:$C,'community caseload'!$B$64,'caseload data'!$B:$B,{"licence","community"}))</f>
        <v>0</v>
      </c>
      <c r="O67" s="104">
        <f>SUM(SUMIFS('caseload data'!Q:Q,'caseload data'!$D:$D,"PSO",'caseload data'!$C:$C,'community caseload'!$B$64,'caseload data'!$B:$B,{"licence","community"}))</f>
        <v>0</v>
      </c>
      <c r="P67" s="104">
        <f>SUM(SUMIFS('caseload data'!R:R,'caseload data'!$D:$D,"PSO",'caseload data'!$C:$C,'community caseload'!$B$64,'caseload data'!$B:$B,{"licence","community"}))</f>
        <v>0</v>
      </c>
      <c r="Q67" s="104">
        <f>SUM(SUMIFS('caseload data'!S:S,'caseload data'!$D:$D,"PSO",'caseload data'!$C:$C,'community caseload'!$B$64,'caseload data'!$B:$B,{"licence","community"}))</f>
        <v>0</v>
      </c>
      <c r="R67" s="104">
        <f>SUM(SUMIFS('caseload data'!T:T,'caseload data'!$D:$D,"PSO",'caseload data'!$C:$C,'community caseload'!$B$64,'caseload data'!$B:$B,{"licence","community"}))</f>
        <v>0</v>
      </c>
      <c r="S67" s="73"/>
      <c r="T67" s="107" t="s">
        <v>912</v>
      </c>
      <c r="U67" s="104">
        <f>SUM(SUMIFS('caseload data'!E:E,'caseload data'!$D:$D,"PSO",'caseload data'!$C:$C,'community caseload'!$T$64,'caseload data'!$B:$B,{"licence","community"}))</f>
        <v>0</v>
      </c>
      <c r="V67" s="104">
        <f>SUM(SUMIFS('caseload data'!F:F,'caseload data'!$D:$D,"PSO",'caseload data'!$C:$C,'community caseload'!$T$64,'caseload data'!$B:$B,{"licence","community"}))</f>
        <v>0</v>
      </c>
      <c r="W67" s="104">
        <f>SUM(SUMIFS('caseload data'!G:G,'caseload data'!$D:$D,"PSO",'caseload data'!$C:$C,'community caseload'!$T$64,'caseload data'!$B:$B,{"licence","community"}))</f>
        <v>0</v>
      </c>
      <c r="X67" s="104">
        <f>SUM(SUMIFS('caseload data'!H:H,'caseload data'!$D:$D,"PSO",'caseload data'!$C:$C,'community caseload'!$T$64,'caseload data'!$B:$B,{"licence","community"}))</f>
        <v>0</v>
      </c>
      <c r="Y67" s="104">
        <f>SUM(SUMIFS('caseload data'!I:I,'caseload data'!$D:$D,"PSO",'caseload data'!$C:$C,'community caseload'!$T$64,'caseload data'!$B:$B,{"licence","community"}))</f>
        <v>0</v>
      </c>
      <c r="Z67" s="104">
        <f>SUM(SUMIFS('caseload data'!J:J,'caseload data'!$D:$D,"PSO",'caseload data'!$C:$C,'community caseload'!$T$64,'caseload data'!$B:$B,{"licence","community"}))</f>
        <v>0</v>
      </c>
      <c r="AA67" s="104">
        <f>SUM(SUMIFS('caseload data'!K:K,'caseload data'!$D:$D,"PSO",'caseload data'!$C:$C,'community caseload'!$T$64,'caseload data'!$B:$B,{"licence","community"}))</f>
        <v>0</v>
      </c>
      <c r="AB67" s="104">
        <f>SUM(SUMIFS('caseload data'!L:L,'caseload data'!$D:$D,"PSO",'caseload data'!$C:$C,'community caseload'!$T$64,'caseload data'!$B:$B,{"licence","community"}))</f>
        <v>0</v>
      </c>
      <c r="AC67" s="104">
        <f>SUM(SUMIFS('caseload data'!M:M,'caseload data'!$D:$D,"PSO",'caseload data'!$C:$C,'community caseload'!$T$64,'caseload data'!$B:$B,{"licence","community"}))</f>
        <v>0</v>
      </c>
      <c r="AD67" s="104">
        <f>SUM(SUMIFS('caseload data'!N:N,'caseload data'!$D:$D,"PSO",'caseload data'!$C:$C,'community caseload'!$T$64,'caseload data'!$B:$B,{"licence","community"}))</f>
        <v>0</v>
      </c>
      <c r="AE67" s="104">
        <f>SUM(SUMIFS('caseload data'!O:O,'caseload data'!$D:$D,"PSO",'caseload data'!$C:$C,'community caseload'!$T$64,'caseload data'!$B:$B,{"licence","community"}))</f>
        <v>0</v>
      </c>
      <c r="AF67" s="104">
        <f>SUM(SUMIFS('caseload data'!P:P,'caseload data'!$D:$D,"PSO",'caseload data'!$C:$C,'community caseload'!$T$64,'caseload data'!$B:$B,{"licence","community"}))</f>
        <v>0</v>
      </c>
      <c r="AG67" s="104">
        <f>SUM(SUMIFS('caseload data'!Q:Q,'caseload data'!$D:$D,"PSO",'caseload data'!$C:$C,'community caseload'!$T$64,'caseload data'!$B:$B,{"licence","community"}))</f>
        <v>0</v>
      </c>
      <c r="AH67" s="104">
        <f>SUM(SUMIFS('caseload data'!R:R,'caseload data'!$D:$D,"PSO",'caseload data'!$C:$C,'community caseload'!$T$64,'caseload data'!$B:$B,{"licence","community"}))</f>
        <v>0</v>
      </c>
      <c r="AI67" s="104">
        <f>SUM(SUMIFS('caseload data'!S:S,'caseload data'!$D:$D,"PSO",'caseload data'!$C:$C,'community caseload'!$T$64,'caseload data'!$B:$B,{"licence","community"}))</f>
        <v>0</v>
      </c>
      <c r="AJ67" s="104">
        <f>SUM(SUMIFS('caseload data'!T:T,'caseload data'!$D:$D,"PSO",'caseload data'!$C:$C,'community caseload'!$T$64,'caseload data'!$B:$B,{"licence","community"}))</f>
        <v>0</v>
      </c>
    </row>
    <row r="68" spans="2:36" x14ac:dyDescent="0.15">
      <c r="B68" s="107" t="s">
        <v>913</v>
      </c>
      <c r="C68" s="104">
        <f>SUM(SUMIFS('caseload data'!E:E,'caseload data'!$D:$D,"TPO",'caseload data'!$C:$C,'community caseload'!$B$64,'caseload data'!$B:$B,{"licence","community"}))</f>
        <v>0</v>
      </c>
      <c r="D68" s="104">
        <f>SUM(SUMIFS('caseload data'!F:F,'caseload data'!$D:$D,"TPO",'caseload data'!$C:$C,'community caseload'!$B$64,'caseload data'!$B:$B,{"licence","community"}))</f>
        <v>0</v>
      </c>
      <c r="E68" s="104">
        <f>SUM(SUMIFS('caseload data'!G:G,'caseload data'!$D:$D,"TPO",'caseload data'!$C:$C,'community caseload'!$B$64,'caseload data'!$B:$B,{"licence","community"}))</f>
        <v>0</v>
      </c>
      <c r="F68" s="104">
        <f>SUM(SUMIFS('caseload data'!H:H,'caseload data'!$D:$D,"TPO",'caseload data'!$C:$C,'community caseload'!$B$64,'caseload data'!$B:$B,{"licence","community"}))</f>
        <v>0</v>
      </c>
      <c r="G68" s="104">
        <f>SUM(SUMIFS('caseload data'!I:I,'caseload data'!$D:$D,"TPO",'caseload data'!$C:$C,'community caseload'!$B$64,'caseload data'!$B:$B,{"licence","community"}))</f>
        <v>0</v>
      </c>
      <c r="H68" s="104">
        <f>SUM(SUMIFS('caseload data'!J:J,'caseload data'!$D:$D,"TPO",'caseload data'!$C:$C,'community caseload'!$B$64,'caseload data'!$B:$B,{"licence","community"}))</f>
        <v>0</v>
      </c>
      <c r="I68" s="104">
        <f>SUM(SUMIFS('caseload data'!K:K,'caseload data'!$D:$D,"TPO",'caseload data'!$C:$C,'community caseload'!$B$64,'caseload data'!$B:$B,{"licence","community"}))</f>
        <v>0</v>
      </c>
      <c r="J68" s="104">
        <f>SUM(SUMIFS('caseload data'!L:L,'caseload data'!$D:$D,"TPO",'caseload data'!$C:$C,'community caseload'!$B$64,'caseload data'!$B:$B,{"licence","community"}))</f>
        <v>0</v>
      </c>
      <c r="K68" s="104">
        <f>SUM(SUMIFS('caseload data'!M:M,'caseload data'!$D:$D,"TPO",'caseload data'!$C:$C,'community caseload'!$B$64,'caseload data'!$B:$B,{"licence","community"}))</f>
        <v>0</v>
      </c>
      <c r="L68" s="104">
        <f>SUM(SUMIFS('caseload data'!N:N,'caseload data'!$D:$D,"TPO",'caseload data'!$C:$C,'community caseload'!$B$64,'caseload data'!$B:$B,{"licence","community"}))</f>
        <v>0</v>
      </c>
      <c r="M68" s="104">
        <f>SUM(SUMIFS('caseload data'!O:O,'caseload data'!$D:$D,"TPO",'caseload data'!$C:$C,'community caseload'!$B$64,'caseload data'!$B:$B,{"licence","community"}))</f>
        <v>0</v>
      </c>
      <c r="N68" s="104">
        <f>SUM(SUMIFS('caseload data'!P:P,'caseload data'!$D:$D,"TPO",'caseload data'!$C:$C,'community caseload'!$B$64,'caseload data'!$B:$B,{"licence","community"}))</f>
        <v>0</v>
      </c>
      <c r="O68" s="104">
        <f>SUM(SUMIFS('caseload data'!Q:Q,'caseload data'!$D:$D,"TPO",'caseload data'!$C:$C,'community caseload'!$B$64,'caseload data'!$B:$B,{"licence","community"}))</f>
        <v>0</v>
      </c>
      <c r="P68" s="104">
        <f>SUM(SUMIFS('caseload data'!R:R,'caseload data'!$D:$D,"TPO",'caseload data'!$C:$C,'community caseload'!$B$64,'caseload data'!$B:$B,{"licence","community"}))</f>
        <v>0</v>
      </c>
      <c r="Q68" s="104">
        <f>SUM(SUMIFS('caseload data'!S:S,'caseload data'!$D:$D,"TPO",'caseload data'!$C:$C,'community caseload'!$B$64,'caseload data'!$B:$B,{"licence","community"}))</f>
        <v>0</v>
      </c>
      <c r="R68" s="104">
        <f>SUM(SUMIFS('caseload data'!T:T,'caseload data'!$D:$D,"TPO",'caseload data'!$C:$C,'community caseload'!$B$64,'caseload data'!$B:$B,{"licence","community"}))</f>
        <v>0</v>
      </c>
      <c r="S68" s="73"/>
      <c r="T68" s="107" t="s">
        <v>913</v>
      </c>
      <c r="U68" s="104">
        <f>SUM(SUMIFS('caseload data'!E:E,'caseload data'!$D:$D,"TPO",'caseload data'!$C:$C,'community caseload'!$T$64,'caseload data'!$B:$B,{"licence","community"}))</f>
        <v>0</v>
      </c>
      <c r="V68" s="104">
        <f>SUM(SUMIFS('caseload data'!F:F,'caseload data'!$D:$D,"TPO",'caseload data'!$C:$C,'community caseload'!$T$64,'caseload data'!$B:$B,{"licence","community"}))</f>
        <v>0</v>
      </c>
      <c r="W68" s="104">
        <f>SUM(SUMIFS('caseload data'!G:G,'caseload data'!$D:$D,"TPO",'caseload data'!$C:$C,'community caseload'!$T$64,'caseload data'!$B:$B,{"licence","community"}))</f>
        <v>0</v>
      </c>
      <c r="X68" s="104">
        <f>SUM(SUMIFS('caseload data'!H:H,'caseload data'!$D:$D,"TPO",'caseload data'!$C:$C,'community caseload'!$T$64,'caseload data'!$B:$B,{"licence","community"}))</f>
        <v>0</v>
      </c>
      <c r="Y68" s="104">
        <f>SUM(SUMIFS('caseload data'!I:I,'caseload data'!$D:$D,"TPO",'caseload data'!$C:$C,'community caseload'!$T$64,'caseload data'!$B:$B,{"licence","community"}))</f>
        <v>0</v>
      </c>
      <c r="Z68" s="104">
        <f>SUM(SUMIFS('caseload data'!J:J,'caseload data'!$D:$D,"TPO",'caseload data'!$C:$C,'community caseload'!$T$64,'caseload data'!$B:$B,{"licence","community"}))</f>
        <v>0</v>
      </c>
      <c r="AA68" s="104">
        <f>SUM(SUMIFS('caseload data'!K:K,'caseload data'!$D:$D,"TPO",'caseload data'!$C:$C,'community caseload'!$T$64,'caseload data'!$B:$B,{"licence","community"}))</f>
        <v>0</v>
      </c>
      <c r="AB68" s="104">
        <f>SUM(SUMIFS('caseload data'!L:L,'caseload data'!$D:$D,"TPO",'caseload data'!$C:$C,'community caseload'!$T$64,'caseload data'!$B:$B,{"licence","community"}))</f>
        <v>0</v>
      </c>
      <c r="AC68" s="104">
        <f>SUM(SUMIFS('caseload data'!M:M,'caseload data'!$D:$D,"TPO",'caseload data'!$C:$C,'community caseload'!$T$64,'caseload data'!$B:$B,{"licence","community"}))</f>
        <v>0</v>
      </c>
      <c r="AD68" s="104">
        <f>SUM(SUMIFS('caseload data'!N:N,'caseload data'!$D:$D,"TPO",'caseload data'!$C:$C,'community caseload'!$T$64,'caseload data'!$B:$B,{"licence","community"}))</f>
        <v>0</v>
      </c>
      <c r="AE68" s="104">
        <f>SUM(SUMIFS('caseload data'!O:O,'caseload data'!$D:$D,"TPO",'caseload data'!$C:$C,'community caseload'!$T$64,'caseload data'!$B:$B,{"licence","community"}))</f>
        <v>0</v>
      </c>
      <c r="AF68" s="104">
        <f>SUM(SUMIFS('caseload data'!P:P,'caseload data'!$D:$D,"TPO",'caseload data'!$C:$C,'community caseload'!$T$64,'caseload data'!$B:$B,{"licence","community"}))</f>
        <v>0</v>
      </c>
      <c r="AG68" s="104">
        <f>SUM(SUMIFS('caseload data'!Q:Q,'caseload data'!$D:$D,"TPO",'caseload data'!$C:$C,'community caseload'!$T$64,'caseload data'!$B:$B,{"licence","community"}))</f>
        <v>0</v>
      </c>
      <c r="AH68" s="104">
        <f>SUM(SUMIFS('caseload data'!R:R,'caseload data'!$D:$D,"TPO",'caseload data'!$C:$C,'community caseload'!$T$64,'caseload data'!$B:$B,{"licence","community"}))</f>
        <v>0</v>
      </c>
      <c r="AI68" s="104">
        <f>SUM(SUMIFS('caseload data'!S:S,'caseload data'!$D:$D,"TPO",'caseload data'!$C:$C,'community caseload'!$T$64,'caseload data'!$B:$B,{"licence","community"}))</f>
        <v>0</v>
      </c>
      <c r="AJ68" s="104">
        <f>SUM(SUMIFS('caseload data'!T:T,'caseload data'!$D:$D,"TPO",'caseload data'!$C:$C,'community caseload'!$T$64,'caseload data'!$B:$B,{"licence","community"}))</f>
        <v>0</v>
      </c>
    </row>
    <row r="69" spans="2:36" x14ac:dyDescent="0.15">
      <c r="B69" s="108" t="s">
        <v>914</v>
      </c>
      <c r="C69" s="104">
        <f>SUM(SUMIFS('caseload data'!E:E,'caseload data'!$D:$D,"SPO",'caseload data'!$C:$C,'community caseload'!$B$64,'caseload data'!$B:$B,{"licence","community"}))</f>
        <v>0</v>
      </c>
      <c r="D69" s="104">
        <f>SUM(SUMIFS('caseload data'!F:F,'caseload data'!$D:$D,"SPO",'caseload data'!$C:$C,'community caseload'!$B$64,'caseload data'!$B:$B,{"licence","community"}))</f>
        <v>0</v>
      </c>
      <c r="E69" s="104">
        <f>SUM(SUMIFS('caseload data'!G:G,'caseload data'!$D:$D,"SPO",'caseload data'!$C:$C,'community caseload'!$B$64,'caseload data'!$B:$B,{"licence","community"}))</f>
        <v>0</v>
      </c>
      <c r="F69" s="104">
        <f>SUM(SUMIFS('caseload data'!H:H,'caseload data'!$D:$D,"SPO",'caseload data'!$C:$C,'community caseload'!$B$64,'caseload data'!$B:$B,{"licence","community"}))</f>
        <v>0</v>
      </c>
      <c r="G69" s="104">
        <f>SUM(SUMIFS('caseload data'!I:I,'caseload data'!$D:$D,"SPO",'caseload data'!$C:$C,'community caseload'!$B$64,'caseload data'!$B:$B,{"licence","community"}))</f>
        <v>0</v>
      </c>
      <c r="H69" s="104">
        <f>SUM(SUMIFS('caseload data'!J:J,'caseload data'!$D:$D,"SPO",'caseload data'!$C:$C,'community caseload'!$B$64,'caseload data'!$B:$B,{"licence","community"}))</f>
        <v>0</v>
      </c>
      <c r="I69" s="104">
        <f>SUM(SUMIFS('caseload data'!K:K,'caseload data'!$D:$D,"SPO",'caseload data'!$C:$C,'community caseload'!$B$64,'caseload data'!$B:$B,{"licence","community"}))</f>
        <v>0</v>
      </c>
      <c r="J69" s="104">
        <f>SUM(SUMIFS('caseload data'!L:L,'caseload data'!$D:$D,"SPO",'caseload data'!$C:$C,'community caseload'!$B$64,'caseload data'!$B:$B,{"licence","community"}))</f>
        <v>0</v>
      </c>
      <c r="K69" s="104">
        <f>SUM(SUMIFS('caseload data'!M:M,'caseload data'!$D:$D,"SPO",'caseload data'!$C:$C,'community caseload'!$B$64,'caseload data'!$B:$B,{"licence","community"}))</f>
        <v>0</v>
      </c>
      <c r="L69" s="104">
        <f>SUM(SUMIFS('caseload data'!N:N,'caseload data'!$D:$D,"SPO",'caseload data'!$C:$C,'community caseload'!$B$64,'caseload data'!$B:$B,{"licence","community"}))</f>
        <v>0</v>
      </c>
      <c r="M69" s="104">
        <f>SUM(SUMIFS('caseload data'!O:O,'caseload data'!$D:$D,"SPO",'caseload data'!$C:$C,'community caseload'!$B$64,'caseload data'!$B:$B,{"licence","community"}))</f>
        <v>0</v>
      </c>
      <c r="N69" s="104">
        <f>SUM(SUMIFS('caseload data'!P:P,'caseload data'!$D:$D,"SPO",'caseload data'!$C:$C,'community caseload'!$B$64,'caseload data'!$B:$B,{"licence","community"}))</f>
        <v>0</v>
      </c>
      <c r="O69" s="104">
        <f>SUM(SUMIFS('caseload data'!Q:Q,'caseload data'!$D:$D,"SPO",'caseload data'!$C:$C,'community caseload'!$B$64,'caseload data'!$B:$B,{"licence","community"}))</f>
        <v>0</v>
      </c>
      <c r="P69" s="104">
        <f>SUM(SUMIFS('caseload data'!R:R,'caseload data'!$D:$D,"SPO",'caseload data'!$C:$C,'community caseload'!$B$64,'caseload data'!$B:$B,{"licence","community"}))</f>
        <v>0</v>
      </c>
      <c r="Q69" s="104">
        <f>SUM(SUMIFS('caseload data'!S:S,'caseload data'!$D:$D,"SPO",'caseload data'!$C:$C,'community caseload'!$B$64,'caseload data'!$B:$B,{"licence","community"}))</f>
        <v>0</v>
      </c>
      <c r="R69" s="104">
        <f>SUM(SUMIFS('caseload data'!T:T,'caseload data'!$D:$D,"SPO",'caseload data'!$C:$C,'community caseload'!$B$64,'caseload data'!$B:$B,{"licence","community"}))</f>
        <v>0</v>
      </c>
      <c r="S69" s="73"/>
      <c r="T69" s="108" t="s">
        <v>914</v>
      </c>
      <c r="U69" s="104">
        <f>SUM(SUMIFS('caseload data'!E:E,'caseload data'!$D:$D,"SPO",'caseload data'!$C:$C,'community caseload'!$T$64,'caseload data'!$B:$B,{"licence","community"}))</f>
        <v>0</v>
      </c>
      <c r="V69" s="104">
        <f>SUM(SUMIFS('caseload data'!F:F,'caseload data'!$D:$D,"SPO",'caseload data'!$C:$C,'community caseload'!$T$64,'caseload data'!$B:$B,{"licence","community"}))</f>
        <v>0</v>
      </c>
      <c r="W69" s="104">
        <f>SUM(SUMIFS('caseload data'!G:G,'caseload data'!$D:$D,"SPO",'caseload data'!$C:$C,'community caseload'!$T$64,'caseload data'!$B:$B,{"licence","community"}))</f>
        <v>0</v>
      </c>
      <c r="X69" s="104">
        <f>SUM(SUMIFS('caseload data'!H:H,'caseload data'!$D:$D,"SPO",'caseload data'!$C:$C,'community caseload'!$T$64,'caseload data'!$B:$B,{"licence","community"}))</f>
        <v>0</v>
      </c>
      <c r="Y69" s="104">
        <f>SUM(SUMIFS('caseload data'!I:I,'caseload data'!$D:$D,"SPO",'caseload data'!$C:$C,'community caseload'!$T$64,'caseload data'!$B:$B,{"licence","community"}))</f>
        <v>0</v>
      </c>
      <c r="Z69" s="104">
        <f>SUM(SUMIFS('caseload data'!J:J,'caseload data'!$D:$D,"SPO",'caseload data'!$C:$C,'community caseload'!$T$64,'caseload data'!$B:$B,{"licence","community"}))</f>
        <v>0</v>
      </c>
      <c r="AA69" s="104">
        <f>SUM(SUMIFS('caseload data'!K:K,'caseload data'!$D:$D,"SPO",'caseload data'!$C:$C,'community caseload'!$T$64,'caseload data'!$B:$B,{"licence","community"}))</f>
        <v>0</v>
      </c>
      <c r="AB69" s="104">
        <f>SUM(SUMIFS('caseload data'!L:L,'caseload data'!$D:$D,"SPO",'caseload data'!$C:$C,'community caseload'!$T$64,'caseload data'!$B:$B,{"licence","community"}))</f>
        <v>0</v>
      </c>
      <c r="AC69" s="104">
        <f>SUM(SUMIFS('caseload data'!M:M,'caseload data'!$D:$D,"SPO",'caseload data'!$C:$C,'community caseload'!$T$64,'caseload data'!$B:$B,{"licence","community"}))</f>
        <v>0</v>
      </c>
      <c r="AD69" s="104">
        <f>SUM(SUMIFS('caseload data'!N:N,'caseload data'!$D:$D,"SPO",'caseload data'!$C:$C,'community caseload'!$T$64,'caseload data'!$B:$B,{"licence","community"}))</f>
        <v>0</v>
      </c>
      <c r="AE69" s="104">
        <f>SUM(SUMIFS('caseload data'!O:O,'caseload data'!$D:$D,"SPO",'caseload data'!$C:$C,'community caseload'!$T$64,'caseload data'!$B:$B,{"licence","community"}))</f>
        <v>0</v>
      </c>
      <c r="AF69" s="104">
        <f>SUM(SUMIFS('caseload data'!P:P,'caseload data'!$D:$D,"SPO",'caseload data'!$C:$C,'community caseload'!$T$64,'caseload data'!$B:$B,{"licence","community"}))</f>
        <v>0</v>
      </c>
      <c r="AG69" s="104">
        <f>SUM(SUMIFS('caseload data'!Q:Q,'caseload data'!$D:$D,"SPO",'caseload data'!$C:$C,'community caseload'!$T$64,'caseload data'!$B:$B,{"licence","community"}))</f>
        <v>0</v>
      </c>
      <c r="AH69" s="104">
        <f>SUM(SUMIFS('caseload data'!R:R,'caseload data'!$D:$D,"SPO",'caseload data'!$C:$C,'community caseload'!$T$64,'caseload data'!$B:$B,{"licence","community"}))</f>
        <v>0</v>
      </c>
      <c r="AI69" s="104">
        <f>SUM(SUMIFS('caseload data'!S:S,'caseload data'!$D:$D,"SPO",'caseload data'!$C:$C,'community caseload'!$T$64,'caseload data'!$B:$B,{"licence","community"}))</f>
        <v>0</v>
      </c>
      <c r="AJ69" s="104">
        <f>SUM(SUMIFS('caseload data'!T:T,'caseload data'!$D:$D,"SPO",'caseload data'!$C:$C,'community caseload'!$T$64,'caseload data'!$B:$B,{"licence","community"}))</f>
        <v>0</v>
      </c>
    </row>
    <row r="71" spans="2:36" x14ac:dyDescent="0.15">
      <c r="B71" s="156" t="str">
        <f>HLOOKUP($B$5,Region_Table,20,0)</f>
        <v>Redbridge and Waltham Forest</v>
      </c>
      <c r="C71" s="367" t="s">
        <v>1167</v>
      </c>
      <c r="D71" s="368"/>
      <c r="E71" s="368"/>
      <c r="F71" s="368"/>
      <c r="G71" s="368"/>
      <c r="H71" s="368"/>
      <c r="I71" s="368"/>
      <c r="J71" s="368"/>
      <c r="K71" s="368"/>
      <c r="L71" s="368"/>
      <c r="M71" s="377"/>
      <c r="N71" s="377"/>
      <c r="O71" s="378"/>
      <c r="P71" s="371" cm="1">
        <f t="array" ref="P71">SUM(SUMIFS('caseload data'!V:V,'caseload data'!B:B,{"licence","community"},'caseload data'!$C:$C,'community caseload'!B71))</f>
        <v>0</v>
      </c>
      <c r="Q71" s="379"/>
      <c r="R71" s="380"/>
      <c r="T71" s="156" t="str">
        <f>HLOOKUP($B$5,Region_Table,21,0)</f>
        <v>Southwark - N07</v>
      </c>
      <c r="U71" s="367" t="s">
        <v>1167</v>
      </c>
      <c r="V71" s="368"/>
      <c r="W71" s="368"/>
      <c r="X71" s="368"/>
      <c r="Y71" s="368"/>
      <c r="Z71" s="368"/>
      <c r="AA71" s="368"/>
      <c r="AB71" s="368"/>
      <c r="AC71" s="368"/>
      <c r="AD71" s="368"/>
      <c r="AE71" s="377"/>
      <c r="AF71" s="377"/>
      <c r="AG71" s="378"/>
      <c r="AH71" s="371" cm="1">
        <f t="array" ref="AH71">SUM(SUMIFS('caseload data'!V:V,'caseload data'!B:B,{"licence","community"},'caseload data'!$C:$C,'community caseload'!T71))</f>
        <v>0</v>
      </c>
      <c r="AI71" s="379"/>
      <c r="AJ71" s="380"/>
    </row>
    <row r="72" spans="2:36" x14ac:dyDescent="0.15">
      <c r="B72" s="105" t="s">
        <v>1065</v>
      </c>
      <c r="C72" s="41" t="s">
        <v>922</v>
      </c>
      <c r="D72" s="41" t="s">
        <v>923</v>
      </c>
      <c r="E72" s="41" t="s">
        <v>924</v>
      </c>
      <c r="F72" s="41" t="s">
        <v>925</v>
      </c>
      <c r="G72" s="41" t="s">
        <v>926</v>
      </c>
      <c r="H72" s="41" t="s">
        <v>927</v>
      </c>
      <c r="I72" s="41" t="s">
        <v>928</v>
      </c>
      <c r="J72" s="41" t="s">
        <v>929</v>
      </c>
      <c r="K72" s="41" t="s">
        <v>930</v>
      </c>
      <c r="L72" s="41" t="s">
        <v>931</v>
      </c>
      <c r="M72" s="41" t="s">
        <v>932</v>
      </c>
      <c r="N72" s="41" t="s">
        <v>933</v>
      </c>
      <c r="O72" s="41" t="s">
        <v>934</v>
      </c>
      <c r="P72" s="41" t="s">
        <v>935</v>
      </c>
      <c r="Q72" s="41" t="s">
        <v>936</v>
      </c>
      <c r="R72" s="41" t="s">
        <v>937</v>
      </c>
      <c r="T72" s="105" t="s">
        <v>1065</v>
      </c>
      <c r="U72" s="41" t="s">
        <v>922</v>
      </c>
      <c r="V72" s="41" t="s">
        <v>923</v>
      </c>
      <c r="W72" s="41" t="s">
        <v>924</v>
      </c>
      <c r="X72" s="41" t="s">
        <v>925</v>
      </c>
      <c r="Y72" s="41" t="s">
        <v>926</v>
      </c>
      <c r="Z72" s="41" t="s">
        <v>927</v>
      </c>
      <c r="AA72" s="41" t="s">
        <v>928</v>
      </c>
      <c r="AB72" s="41" t="s">
        <v>929</v>
      </c>
      <c r="AC72" s="41" t="s">
        <v>930</v>
      </c>
      <c r="AD72" s="41" t="s">
        <v>931</v>
      </c>
      <c r="AE72" s="41" t="s">
        <v>932</v>
      </c>
      <c r="AF72" s="41" t="s">
        <v>933</v>
      </c>
      <c r="AG72" s="41" t="s">
        <v>934</v>
      </c>
      <c r="AH72" s="41" t="s">
        <v>935</v>
      </c>
      <c r="AI72" s="41" t="s">
        <v>936</v>
      </c>
      <c r="AJ72" s="41" t="s">
        <v>937</v>
      </c>
    </row>
    <row r="73" spans="2:36" x14ac:dyDescent="0.15">
      <c r="B73" s="106" t="s">
        <v>911</v>
      </c>
      <c r="C73" s="104">
        <f>SUM(SUMIFS('caseload data'!E:E,'caseload data'!$D:$D,"PO",'caseload data'!$C:$C,'community caseload'!$B$71,'caseload data'!$B:$B,{"licence","community"}))</f>
        <v>0</v>
      </c>
      <c r="D73" s="104">
        <f>SUM(SUMIFS('caseload data'!F:F,'caseload data'!$D:$D,"PO",'caseload data'!$C:$C,'community caseload'!$B$71,'caseload data'!$B:$B,{"licence","community"}))</f>
        <v>0</v>
      </c>
      <c r="E73" s="104">
        <f>SUM(SUMIFS('caseload data'!G:G,'caseload data'!$D:$D,"PO",'caseload data'!$C:$C,'community caseload'!$B$71,'caseload data'!$B:$B,{"licence","community"}))</f>
        <v>0</v>
      </c>
      <c r="F73" s="104">
        <f>SUM(SUMIFS('caseload data'!H:H,'caseload data'!$D:$D,"PO",'caseload data'!$C:$C,'community caseload'!$B$71,'caseload data'!$B:$B,{"licence","community"}))</f>
        <v>0</v>
      </c>
      <c r="G73" s="104">
        <f>SUM(SUMIFS('caseload data'!I:I,'caseload data'!$D:$D,"PO",'caseload data'!$C:$C,'community caseload'!$B$71,'caseload data'!$B:$B,{"licence","community"}))</f>
        <v>0</v>
      </c>
      <c r="H73" s="104">
        <f>SUM(SUMIFS('caseload data'!J:J,'caseload data'!$D:$D,"PO",'caseload data'!$C:$C,'community caseload'!$B$71,'caseload data'!$B:$B,{"licence","community"}))</f>
        <v>0</v>
      </c>
      <c r="I73" s="104">
        <f>SUM(SUMIFS('caseload data'!K:K,'caseload data'!$D:$D,"PO",'caseload data'!$C:$C,'community caseload'!$B$71,'caseload data'!$B:$B,{"licence","community"}))</f>
        <v>0</v>
      </c>
      <c r="J73" s="104">
        <f>SUM(SUMIFS('caseload data'!L:L,'caseload data'!$D:$D,"PO",'caseload data'!$C:$C,'community caseload'!$B$71,'caseload data'!$B:$B,{"licence","community"}))</f>
        <v>0</v>
      </c>
      <c r="K73" s="104">
        <f>SUM(SUMIFS('caseload data'!M:M,'caseload data'!$D:$D,"PO",'caseload data'!$C:$C,'community caseload'!$B$71,'caseload data'!$B:$B,{"licence","community"}))</f>
        <v>0</v>
      </c>
      <c r="L73" s="104">
        <f>SUM(SUMIFS('caseload data'!N:N,'caseload data'!$D:$D,"PO",'caseload data'!$C:$C,'community caseload'!$B$71,'caseload data'!$B:$B,{"licence","community"}))</f>
        <v>0</v>
      </c>
      <c r="M73" s="104">
        <f>SUM(SUMIFS('caseload data'!O:O,'caseload data'!$D:$D,"PO",'caseload data'!$C:$C,'community caseload'!$B$71,'caseload data'!$B:$B,{"licence","community"}))</f>
        <v>0</v>
      </c>
      <c r="N73" s="104">
        <f>SUM(SUMIFS('caseload data'!P:P,'caseload data'!$D:$D,"PO",'caseload data'!$C:$C,'community caseload'!$B$71,'caseload data'!$B:$B,{"licence","community"}))</f>
        <v>0</v>
      </c>
      <c r="O73" s="104">
        <f>SUM(SUMIFS('caseload data'!Q:Q,'caseload data'!$D:$D,"PO",'caseload data'!$C:$C,'community caseload'!$B$71,'caseload data'!$B:$B,{"licence","community"}))</f>
        <v>0</v>
      </c>
      <c r="P73" s="104">
        <f>SUM(SUMIFS('caseload data'!R:R,'caseload data'!$D:$D,"PO",'caseload data'!$C:$C,'community caseload'!$B$71,'caseload data'!$B:$B,{"licence","community"}))</f>
        <v>0</v>
      </c>
      <c r="Q73" s="104">
        <f>SUM(SUMIFS('caseload data'!S:S,'caseload data'!$D:$D,"PO",'caseload data'!$C:$C,'community caseload'!$B$71,'caseload data'!$B:$B,{"licence","community"}))</f>
        <v>0</v>
      </c>
      <c r="R73" s="104">
        <f>SUM(SUMIFS('caseload data'!T:T,'caseload data'!$D:$D,"PO",'caseload data'!$C:$C,'community caseload'!$B$71,'caseload data'!$B:$B,{"licence","community"}))</f>
        <v>0</v>
      </c>
      <c r="T73" s="106" t="s">
        <v>911</v>
      </c>
      <c r="U73" s="104" cm="1">
        <f t="array" ref="U73">SUM(SUMIFS('caseload data'!E:E,'caseload data'!$D:$D,"PO",'caseload data'!$C:$C,'community caseload'!$T$71,'caseload data'!$B:$B,{"licence","community"}))</f>
        <v>0</v>
      </c>
      <c r="V73" s="104" cm="1">
        <f t="array" ref="V73">SUM(SUMIFS('caseload data'!F:F,'caseload data'!$D:$D,"PO",'caseload data'!$C:$C,'community caseload'!$T$71,'caseload data'!$B:$B,{"licence","community"}))</f>
        <v>0</v>
      </c>
      <c r="W73" s="104" cm="1">
        <f t="array" ref="W73">SUM(SUMIFS('caseload data'!G:G,'caseload data'!$D:$D,"PO",'caseload data'!$C:$C,'community caseload'!$T$71,'caseload data'!$B:$B,{"licence","community"}))</f>
        <v>0</v>
      </c>
      <c r="X73" s="104" cm="1">
        <f t="array" ref="X73">SUM(SUMIFS('caseload data'!H:H,'caseload data'!$D:$D,"PO",'caseload data'!$C:$C,'community caseload'!$T$71,'caseload data'!$B:$B,{"licence","community"}))</f>
        <v>0</v>
      </c>
      <c r="Y73" s="104" cm="1">
        <f t="array" ref="Y73">SUM(SUMIFS('caseload data'!I:I,'caseload data'!$D:$D,"PO",'caseload data'!$C:$C,'community caseload'!$T$71,'caseload data'!$B:$B,{"licence","community"}))</f>
        <v>0</v>
      </c>
      <c r="Z73" s="104" cm="1">
        <f t="array" ref="Z73">SUM(SUMIFS('caseload data'!J:J,'caseload data'!$D:$D,"PO",'caseload data'!$C:$C,'community caseload'!$T$71,'caseload data'!$B:$B,{"licence","community"}))</f>
        <v>0</v>
      </c>
      <c r="AA73" s="104" cm="1">
        <f t="array" ref="AA73">SUM(SUMIFS('caseload data'!K:K,'caseload data'!$D:$D,"PO",'caseload data'!$C:$C,'community caseload'!$T$71,'caseload data'!$B:$B,{"licence","community"}))</f>
        <v>0</v>
      </c>
      <c r="AB73" s="104" cm="1">
        <f t="array" ref="AB73">SUM(SUMIFS('caseload data'!L:L,'caseload data'!$D:$D,"PO",'caseload data'!$C:$C,'community caseload'!$T$71,'caseload data'!$B:$B,{"licence","community"}))</f>
        <v>0</v>
      </c>
      <c r="AC73" s="104" cm="1">
        <f t="array" ref="AC73">SUM(SUMIFS('caseload data'!M:M,'caseload data'!$D:$D,"PO",'caseload data'!$C:$C,'community caseload'!$T$71,'caseload data'!$B:$B,{"licence","community"}))</f>
        <v>0</v>
      </c>
      <c r="AD73" s="104" cm="1">
        <f t="array" ref="AD73">SUM(SUMIFS('caseload data'!N:N,'caseload data'!$D:$D,"PO",'caseload data'!$C:$C,'community caseload'!$T$71,'caseload data'!$B:$B,{"licence","community"}))</f>
        <v>0</v>
      </c>
      <c r="AE73" s="104" cm="1">
        <f t="array" ref="AE73">SUM(SUMIFS('caseload data'!O:O,'caseload data'!$D:$D,"PO",'caseload data'!$C:$C,'community caseload'!$T$71,'caseload data'!$B:$B,{"licence","community"}))</f>
        <v>0</v>
      </c>
      <c r="AF73" s="104" cm="1">
        <f t="array" ref="AF73">SUM(SUMIFS('caseload data'!P:P,'caseload data'!$D:$D,"PO",'caseload data'!$C:$C,'community caseload'!$T$71,'caseload data'!$B:$B,{"licence","community"}))</f>
        <v>0</v>
      </c>
      <c r="AG73" s="104" cm="1">
        <f t="array" ref="AG73">SUM(SUMIFS('caseload data'!Q:Q,'caseload data'!$D:$D,"PO",'caseload data'!$C:$C,'community caseload'!$T$71,'caseload data'!$B:$B,{"licence","community"}))</f>
        <v>0</v>
      </c>
      <c r="AH73" s="104" cm="1">
        <f t="array" ref="AH73">SUM(SUMIFS('caseload data'!R:R,'caseload data'!$D:$D,"PO",'caseload data'!$C:$C,'community caseload'!$T$71,'caseload data'!$B:$B,{"licence","community"}))</f>
        <v>0</v>
      </c>
      <c r="AI73" s="104" cm="1">
        <f t="array" ref="AI73">SUM(SUMIFS('caseload data'!S:S,'caseload data'!$D:$D,"PO",'caseload data'!$C:$C,'community caseload'!$T$71,'caseload data'!$B:$B,{"licence","community"}))</f>
        <v>0</v>
      </c>
      <c r="AJ73" s="104" cm="1">
        <f t="array" ref="AJ73">SUM(SUMIFS('caseload data'!T:T,'caseload data'!$D:$D,"PO",'caseload data'!$C:$C,'community caseload'!$T$71,'caseload data'!$B:$B,{"licence","community"}))</f>
        <v>0</v>
      </c>
    </row>
    <row r="74" spans="2:36" x14ac:dyDescent="0.15">
      <c r="B74" s="107" t="s">
        <v>912</v>
      </c>
      <c r="C74" s="104">
        <f>SUM(SUMIFS('caseload data'!E:E,'caseload data'!$D:$D,"PSO",'caseload data'!$C:$C,'community caseload'!$B$71,'caseload data'!$B:$B,{"licence","community"}))</f>
        <v>0</v>
      </c>
      <c r="D74" s="104">
        <f>SUM(SUMIFS('caseload data'!F:F,'caseload data'!$D:$D,"PSO",'caseload data'!$C:$C,'community caseload'!$B$71,'caseload data'!$B:$B,{"licence","community"}))</f>
        <v>0</v>
      </c>
      <c r="E74" s="104">
        <f>SUM(SUMIFS('caseload data'!G:G,'caseload data'!$D:$D,"PSO",'caseload data'!$C:$C,'community caseload'!$B$71,'caseload data'!$B:$B,{"licence","community"}))</f>
        <v>0</v>
      </c>
      <c r="F74" s="104">
        <f>SUM(SUMIFS('caseload data'!H:H,'caseload data'!$D:$D,"PSO",'caseload data'!$C:$C,'community caseload'!$B$71,'caseload data'!$B:$B,{"licence","community"}))</f>
        <v>0</v>
      </c>
      <c r="G74" s="104">
        <f>SUM(SUMIFS('caseload data'!I:I,'caseload data'!$D:$D,"PSO",'caseload data'!$C:$C,'community caseload'!$B$71,'caseload data'!$B:$B,{"licence","community"}))</f>
        <v>0</v>
      </c>
      <c r="H74" s="104">
        <f>SUM(SUMIFS('caseload data'!J:J,'caseload data'!$D:$D,"PSO",'caseload data'!$C:$C,'community caseload'!$B$71,'caseload data'!$B:$B,{"licence","community"}))</f>
        <v>0</v>
      </c>
      <c r="I74" s="104">
        <f>SUM(SUMIFS('caseload data'!K:K,'caseload data'!$D:$D,"PSO",'caseload data'!$C:$C,'community caseload'!$B$71,'caseload data'!$B:$B,{"licence","community"}))</f>
        <v>0</v>
      </c>
      <c r="J74" s="104">
        <f>SUM(SUMIFS('caseload data'!L:L,'caseload data'!$D:$D,"PSO",'caseload data'!$C:$C,'community caseload'!$B$71,'caseload data'!$B:$B,{"licence","community"}))</f>
        <v>0</v>
      </c>
      <c r="K74" s="104">
        <f>SUM(SUMIFS('caseload data'!M:M,'caseload data'!$D:$D,"PSO",'caseload data'!$C:$C,'community caseload'!$B$71,'caseload data'!$B:$B,{"licence","community"}))</f>
        <v>0</v>
      </c>
      <c r="L74" s="104">
        <f>SUM(SUMIFS('caseload data'!N:N,'caseload data'!$D:$D,"PSO",'caseload data'!$C:$C,'community caseload'!$B$71,'caseload data'!$B:$B,{"licence","community"}))</f>
        <v>0</v>
      </c>
      <c r="M74" s="104">
        <f>SUM(SUMIFS('caseload data'!O:O,'caseload data'!$D:$D,"PSO",'caseload data'!$C:$C,'community caseload'!$B$71,'caseload data'!$B:$B,{"licence","community"}))</f>
        <v>0</v>
      </c>
      <c r="N74" s="104">
        <f>SUM(SUMIFS('caseload data'!P:P,'caseload data'!$D:$D,"PSO",'caseload data'!$C:$C,'community caseload'!$B$71,'caseload data'!$B:$B,{"licence","community"}))</f>
        <v>0</v>
      </c>
      <c r="O74" s="104">
        <f>SUM(SUMIFS('caseload data'!Q:Q,'caseload data'!$D:$D,"PSO",'caseload data'!$C:$C,'community caseload'!$B$71,'caseload data'!$B:$B,{"licence","community"}))</f>
        <v>0</v>
      </c>
      <c r="P74" s="104">
        <f>SUM(SUMIFS('caseload data'!R:R,'caseload data'!$D:$D,"PSO",'caseload data'!$C:$C,'community caseload'!$B$71,'caseload data'!$B:$B,{"licence","community"}))</f>
        <v>0</v>
      </c>
      <c r="Q74" s="104">
        <f>SUM(SUMIFS('caseload data'!S:S,'caseload data'!$D:$D,"PSO",'caseload data'!$C:$C,'community caseload'!$B$71,'caseload data'!$B:$B,{"licence","community"}))</f>
        <v>0</v>
      </c>
      <c r="R74" s="104">
        <f>SUM(SUMIFS('caseload data'!T:T,'caseload data'!$D:$D,"PSO",'caseload data'!$C:$C,'community caseload'!$B$71,'caseload data'!$B:$B,{"licence","community"}))</f>
        <v>0</v>
      </c>
      <c r="T74" s="107" t="s">
        <v>912</v>
      </c>
      <c r="U74" s="104" cm="1">
        <f t="array" ref="U74">SUM(SUMIFS('caseload data'!E:E,'caseload data'!$D:$D,"PSO",'caseload data'!$C:$C,'community caseload'!$T$71,'caseload data'!$B:$B,{"licence","community"}))</f>
        <v>0</v>
      </c>
      <c r="V74" s="104" cm="1">
        <f t="array" ref="V74">SUM(SUMIFS('caseload data'!F:F,'caseload data'!$D:$D,"PSO",'caseload data'!$C:$C,'community caseload'!$T$71,'caseload data'!$B:$B,{"licence","community"}))</f>
        <v>0</v>
      </c>
      <c r="W74" s="104" cm="1">
        <f t="array" ref="W74">SUM(SUMIFS('caseload data'!G:G,'caseload data'!$D:$D,"PSO",'caseload data'!$C:$C,'community caseload'!$T$71,'caseload data'!$B:$B,{"licence","community"}))</f>
        <v>0</v>
      </c>
      <c r="X74" s="104" cm="1">
        <f t="array" ref="X74">SUM(SUMIFS('caseload data'!H:H,'caseload data'!$D:$D,"PSO",'caseload data'!$C:$C,'community caseload'!$T$71,'caseload data'!$B:$B,{"licence","community"}))</f>
        <v>0</v>
      </c>
      <c r="Y74" s="104" cm="1">
        <f t="array" ref="Y74">SUM(SUMIFS('caseload data'!I:I,'caseload data'!$D:$D,"PSO",'caseload data'!$C:$C,'community caseload'!$T$71,'caseload data'!$B:$B,{"licence","community"}))</f>
        <v>0</v>
      </c>
      <c r="Z74" s="104" cm="1">
        <f t="array" ref="Z74">SUM(SUMIFS('caseload data'!J:J,'caseload data'!$D:$D,"PSO",'caseload data'!$C:$C,'community caseload'!$T$71,'caseload data'!$B:$B,{"licence","community"}))</f>
        <v>0</v>
      </c>
      <c r="AA74" s="104" cm="1">
        <f t="array" ref="AA74">SUM(SUMIFS('caseload data'!K:K,'caseload data'!$D:$D,"PSO",'caseload data'!$C:$C,'community caseload'!$T$71,'caseload data'!$B:$B,{"licence","community"}))</f>
        <v>0</v>
      </c>
      <c r="AB74" s="104" cm="1">
        <f t="array" ref="AB74">SUM(SUMIFS('caseload data'!L:L,'caseload data'!$D:$D,"PSO",'caseload data'!$C:$C,'community caseload'!$T$71,'caseload data'!$B:$B,{"licence","community"}))</f>
        <v>0</v>
      </c>
      <c r="AC74" s="104" cm="1">
        <f t="array" ref="AC74">SUM(SUMIFS('caseload data'!M:M,'caseload data'!$D:$D,"PSO",'caseload data'!$C:$C,'community caseload'!$T$71,'caseload data'!$B:$B,{"licence","community"}))</f>
        <v>0</v>
      </c>
      <c r="AD74" s="104" cm="1">
        <f t="array" ref="AD74">SUM(SUMIFS('caseload data'!N:N,'caseload data'!$D:$D,"PSO",'caseload data'!$C:$C,'community caseload'!$T$71,'caseload data'!$B:$B,{"licence","community"}))</f>
        <v>0</v>
      </c>
      <c r="AE74" s="104" cm="1">
        <f t="array" ref="AE74">SUM(SUMIFS('caseload data'!O:O,'caseload data'!$D:$D,"PSO",'caseload data'!$C:$C,'community caseload'!$T$71,'caseload data'!$B:$B,{"licence","community"}))</f>
        <v>0</v>
      </c>
      <c r="AF74" s="104" cm="1">
        <f t="array" ref="AF74">SUM(SUMIFS('caseload data'!P:P,'caseload data'!$D:$D,"PSO",'caseload data'!$C:$C,'community caseload'!$T$71,'caseload data'!$B:$B,{"licence","community"}))</f>
        <v>0</v>
      </c>
      <c r="AG74" s="104" cm="1">
        <f t="array" ref="AG74">SUM(SUMIFS('caseload data'!Q:Q,'caseload data'!$D:$D,"PSO",'caseload data'!$C:$C,'community caseload'!$T$71,'caseload data'!$B:$B,{"licence","community"}))</f>
        <v>0</v>
      </c>
      <c r="AH74" s="104" cm="1">
        <f t="array" ref="AH74">SUM(SUMIFS('caseload data'!R:R,'caseload data'!$D:$D,"PSO",'caseload data'!$C:$C,'community caseload'!$T$71,'caseload data'!$B:$B,{"licence","community"}))</f>
        <v>0</v>
      </c>
      <c r="AI74" s="104" cm="1">
        <f t="array" ref="AI74">SUM(SUMIFS('caseload data'!S:S,'caseload data'!$D:$D,"PSO",'caseload data'!$C:$C,'community caseload'!$T$71,'caseload data'!$B:$B,{"licence","community"}))</f>
        <v>0</v>
      </c>
      <c r="AJ74" s="104" cm="1">
        <f t="array" ref="AJ74">SUM(SUMIFS('caseload data'!T:T,'caseload data'!$D:$D,"PSO",'caseload data'!$C:$C,'community caseload'!$T$71,'caseload data'!$B:$B,{"licence","community"}))</f>
        <v>0</v>
      </c>
    </row>
    <row r="75" spans="2:36" x14ac:dyDescent="0.15">
      <c r="B75" s="107" t="s">
        <v>913</v>
      </c>
      <c r="C75" s="104">
        <f>SUM(SUMIFS('caseload data'!E:E,'caseload data'!$D:$D,"TPO",'caseload data'!$C:$C,'community caseload'!$B$71,'caseload data'!$B:$B,{"licence","community"}))</f>
        <v>0</v>
      </c>
      <c r="D75" s="104">
        <f>SUM(SUMIFS('caseload data'!F:F,'caseload data'!$D:$D,"TPO",'caseload data'!$C:$C,'community caseload'!$B$71,'caseload data'!$B:$B,{"licence","community"}))</f>
        <v>0</v>
      </c>
      <c r="E75" s="104">
        <f>SUM(SUMIFS('caseload data'!G:G,'caseload data'!$D:$D,"TPO",'caseload data'!$C:$C,'community caseload'!$B$71,'caseload data'!$B:$B,{"licence","community"}))</f>
        <v>0</v>
      </c>
      <c r="F75" s="104">
        <f>SUM(SUMIFS('caseload data'!H:H,'caseload data'!$D:$D,"TPO",'caseload data'!$C:$C,'community caseload'!$B$71,'caseload data'!$B:$B,{"licence","community"}))</f>
        <v>0</v>
      </c>
      <c r="G75" s="104">
        <f>SUM(SUMIFS('caseload data'!I:I,'caseload data'!$D:$D,"TPO",'caseload data'!$C:$C,'community caseload'!$B$71,'caseload data'!$B:$B,{"licence","community"}))</f>
        <v>0</v>
      </c>
      <c r="H75" s="104">
        <f>SUM(SUMIFS('caseload data'!J:J,'caseload data'!$D:$D,"TPO",'caseload data'!$C:$C,'community caseload'!$B$71,'caseload data'!$B:$B,{"licence","community"}))</f>
        <v>0</v>
      </c>
      <c r="I75" s="104">
        <f>SUM(SUMIFS('caseload data'!K:K,'caseload data'!$D:$D,"TPO",'caseload data'!$C:$C,'community caseload'!$B$71,'caseload data'!$B:$B,{"licence","community"}))</f>
        <v>0</v>
      </c>
      <c r="J75" s="104">
        <f>SUM(SUMIFS('caseload data'!L:L,'caseload data'!$D:$D,"TPO",'caseload data'!$C:$C,'community caseload'!$B$71,'caseload data'!$B:$B,{"licence","community"}))</f>
        <v>0</v>
      </c>
      <c r="K75" s="104">
        <f>SUM(SUMIFS('caseload data'!M:M,'caseload data'!$D:$D,"TPO",'caseload data'!$C:$C,'community caseload'!$B$71,'caseload data'!$B:$B,{"licence","community"}))</f>
        <v>0</v>
      </c>
      <c r="L75" s="104">
        <f>SUM(SUMIFS('caseload data'!N:N,'caseload data'!$D:$D,"TPO",'caseload data'!$C:$C,'community caseload'!$B$71,'caseload data'!$B:$B,{"licence","community"}))</f>
        <v>0</v>
      </c>
      <c r="M75" s="104">
        <f>SUM(SUMIFS('caseload data'!O:O,'caseload data'!$D:$D,"TPO",'caseload data'!$C:$C,'community caseload'!$B$71,'caseload data'!$B:$B,{"licence","community"}))</f>
        <v>0</v>
      </c>
      <c r="N75" s="104">
        <f>SUM(SUMIFS('caseload data'!P:P,'caseload data'!$D:$D,"TPO",'caseload data'!$C:$C,'community caseload'!$B$71,'caseload data'!$B:$B,{"licence","community"}))</f>
        <v>0</v>
      </c>
      <c r="O75" s="104">
        <f>SUM(SUMIFS('caseload data'!Q:Q,'caseload data'!$D:$D,"TPO",'caseload data'!$C:$C,'community caseload'!$B$71,'caseload data'!$B:$B,{"licence","community"}))</f>
        <v>0</v>
      </c>
      <c r="P75" s="104">
        <f>SUM(SUMIFS('caseload data'!R:R,'caseload data'!$D:$D,"TPO",'caseload data'!$C:$C,'community caseload'!$B$71,'caseload data'!$B:$B,{"licence","community"}))</f>
        <v>0</v>
      </c>
      <c r="Q75" s="104">
        <f>SUM(SUMIFS('caseload data'!S:S,'caseload data'!$D:$D,"TPO",'caseload data'!$C:$C,'community caseload'!$B$71,'caseload data'!$B:$B,{"licence","community"}))</f>
        <v>0</v>
      </c>
      <c r="R75" s="104">
        <f>SUM(SUMIFS('caseload data'!T:T,'caseload data'!$D:$D,"TPO",'caseload data'!$C:$C,'community caseload'!$B$71,'caseload data'!$B:$B,{"licence","community"}))</f>
        <v>0</v>
      </c>
      <c r="T75" s="107" t="s">
        <v>913</v>
      </c>
      <c r="U75" s="104" cm="1">
        <f t="array" ref="U75">SUM(SUMIFS('caseload data'!E:E,'caseload data'!$D:$D,"TPO",'caseload data'!$C:$C,'community caseload'!$T$71,'caseload data'!$B:$B,{"licence","community"}))</f>
        <v>0</v>
      </c>
      <c r="V75" s="104" cm="1">
        <f t="array" ref="V75">SUM(SUMIFS('caseload data'!F:F,'caseload data'!$D:$D,"TPO",'caseload data'!$C:$C,'community caseload'!$T$71,'caseload data'!$B:$B,{"licence","community"}))</f>
        <v>0</v>
      </c>
      <c r="W75" s="104" cm="1">
        <f t="array" ref="W75">SUM(SUMIFS('caseload data'!G:G,'caseload data'!$D:$D,"TPO",'caseload data'!$C:$C,'community caseload'!$T$71,'caseload data'!$B:$B,{"licence","community"}))</f>
        <v>0</v>
      </c>
      <c r="X75" s="104" cm="1">
        <f t="array" ref="X75">SUM(SUMIFS('caseload data'!H:H,'caseload data'!$D:$D,"TPO",'caseload data'!$C:$C,'community caseload'!$T$71,'caseload data'!$B:$B,{"licence","community"}))</f>
        <v>0</v>
      </c>
      <c r="Y75" s="104" cm="1">
        <f t="array" ref="Y75">SUM(SUMIFS('caseload data'!I:I,'caseload data'!$D:$D,"TPO",'caseload data'!$C:$C,'community caseload'!$T$71,'caseload data'!$B:$B,{"licence","community"}))</f>
        <v>0</v>
      </c>
      <c r="Z75" s="104" cm="1">
        <f t="array" ref="Z75">SUM(SUMIFS('caseload data'!J:J,'caseload data'!$D:$D,"TPO",'caseload data'!$C:$C,'community caseload'!$T$71,'caseload data'!$B:$B,{"licence","community"}))</f>
        <v>0</v>
      </c>
      <c r="AA75" s="104" cm="1">
        <f t="array" ref="AA75">SUM(SUMIFS('caseload data'!K:K,'caseload data'!$D:$D,"TPO",'caseload data'!$C:$C,'community caseload'!$T$71,'caseload data'!$B:$B,{"licence","community"}))</f>
        <v>0</v>
      </c>
      <c r="AB75" s="104" cm="1">
        <f t="array" ref="AB75">SUM(SUMIFS('caseload data'!L:L,'caseload data'!$D:$D,"TPO",'caseload data'!$C:$C,'community caseload'!$T$71,'caseload data'!$B:$B,{"licence","community"}))</f>
        <v>0</v>
      </c>
      <c r="AC75" s="104" cm="1">
        <f t="array" ref="AC75">SUM(SUMIFS('caseload data'!M:M,'caseload data'!$D:$D,"TPO",'caseload data'!$C:$C,'community caseload'!$T$71,'caseload data'!$B:$B,{"licence","community"}))</f>
        <v>0</v>
      </c>
      <c r="AD75" s="104" cm="1">
        <f t="array" ref="AD75">SUM(SUMIFS('caseload data'!N:N,'caseload data'!$D:$D,"TPO",'caseload data'!$C:$C,'community caseload'!$T$71,'caseload data'!$B:$B,{"licence","community"}))</f>
        <v>0</v>
      </c>
      <c r="AE75" s="104" cm="1">
        <f t="array" ref="AE75">SUM(SUMIFS('caseload data'!O:O,'caseload data'!$D:$D,"TPO",'caseload data'!$C:$C,'community caseload'!$T$71,'caseload data'!$B:$B,{"licence","community"}))</f>
        <v>0</v>
      </c>
      <c r="AF75" s="104" cm="1">
        <f t="array" ref="AF75">SUM(SUMIFS('caseload data'!P:P,'caseload data'!$D:$D,"TPO",'caseload data'!$C:$C,'community caseload'!$T$71,'caseload data'!$B:$B,{"licence","community"}))</f>
        <v>0</v>
      </c>
      <c r="AG75" s="104" cm="1">
        <f t="array" ref="AG75">SUM(SUMIFS('caseload data'!Q:Q,'caseload data'!$D:$D,"TPO",'caseload data'!$C:$C,'community caseload'!$T$71,'caseload data'!$B:$B,{"licence","community"}))</f>
        <v>0</v>
      </c>
      <c r="AH75" s="104" cm="1">
        <f t="array" ref="AH75">SUM(SUMIFS('caseload data'!R:R,'caseload data'!$D:$D,"TPO",'caseload data'!$C:$C,'community caseload'!$T$71,'caseload data'!$B:$B,{"licence","community"}))</f>
        <v>0</v>
      </c>
      <c r="AI75" s="104" cm="1">
        <f t="array" ref="AI75">SUM(SUMIFS('caseload data'!S:S,'caseload data'!$D:$D,"TPO",'caseload data'!$C:$C,'community caseload'!$T$71,'caseload data'!$B:$B,{"licence","community"}))</f>
        <v>0</v>
      </c>
      <c r="AJ75" s="104" cm="1">
        <f t="array" ref="AJ75">SUM(SUMIFS('caseload data'!T:T,'caseload data'!$D:$D,"TPO",'caseload data'!$C:$C,'community caseload'!$T$71,'caseload data'!$B:$B,{"licence","community"}))</f>
        <v>0</v>
      </c>
    </row>
    <row r="76" spans="2:36" x14ac:dyDescent="0.15">
      <c r="B76" s="108" t="s">
        <v>914</v>
      </c>
      <c r="C76" s="104">
        <f>SUM(SUMIFS('caseload data'!E:E,'caseload data'!$D:$D,"SPO",'caseload data'!$C:$C,'community caseload'!$B$71,'caseload data'!$B:$B,{"licence","community"}))</f>
        <v>0</v>
      </c>
      <c r="D76" s="104">
        <f>SUM(SUMIFS('caseload data'!F:F,'caseload data'!$D:$D,"SPO",'caseload data'!$C:$C,'community caseload'!$B$71,'caseload data'!$B:$B,{"licence","community"}))</f>
        <v>0</v>
      </c>
      <c r="E76" s="104">
        <f>SUM(SUMIFS('caseload data'!G:G,'caseload data'!$D:$D,"SPO",'caseload data'!$C:$C,'community caseload'!$B$71,'caseload data'!$B:$B,{"licence","community"}))</f>
        <v>0</v>
      </c>
      <c r="F76" s="104">
        <f>SUM(SUMIFS('caseload data'!H:H,'caseload data'!$D:$D,"SPO",'caseload data'!$C:$C,'community caseload'!$B$71,'caseload data'!$B:$B,{"licence","community"}))</f>
        <v>0</v>
      </c>
      <c r="G76" s="104">
        <f>SUM(SUMIFS('caseload data'!I:I,'caseload data'!$D:$D,"SPO",'caseload data'!$C:$C,'community caseload'!$B$71,'caseload data'!$B:$B,{"licence","community"}))</f>
        <v>0</v>
      </c>
      <c r="H76" s="104">
        <f>SUM(SUMIFS('caseload data'!J:J,'caseload data'!$D:$D,"SPO",'caseload data'!$C:$C,'community caseload'!$B$71,'caseload data'!$B:$B,{"licence","community"}))</f>
        <v>0</v>
      </c>
      <c r="I76" s="104">
        <f>SUM(SUMIFS('caseload data'!K:K,'caseload data'!$D:$D,"SPO",'caseload data'!$C:$C,'community caseload'!$B$71,'caseload data'!$B:$B,{"licence","community"}))</f>
        <v>0</v>
      </c>
      <c r="J76" s="104">
        <f>SUM(SUMIFS('caseload data'!L:L,'caseload data'!$D:$D,"SPO",'caseload data'!$C:$C,'community caseload'!$B$71,'caseload data'!$B:$B,{"licence","community"}))</f>
        <v>0</v>
      </c>
      <c r="K76" s="104">
        <f>SUM(SUMIFS('caseload data'!M:M,'caseload data'!$D:$D,"SPO",'caseload data'!$C:$C,'community caseload'!$B$71,'caseload data'!$B:$B,{"licence","community"}))</f>
        <v>0</v>
      </c>
      <c r="L76" s="104">
        <f>SUM(SUMIFS('caseload data'!N:N,'caseload data'!$D:$D,"SPO",'caseload data'!$C:$C,'community caseload'!$B$71,'caseload data'!$B:$B,{"licence","community"}))</f>
        <v>0</v>
      </c>
      <c r="M76" s="104">
        <f>SUM(SUMIFS('caseload data'!O:O,'caseload data'!$D:$D,"SPO",'caseload data'!$C:$C,'community caseload'!$B$71,'caseload data'!$B:$B,{"licence","community"}))</f>
        <v>0</v>
      </c>
      <c r="N76" s="104">
        <f>SUM(SUMIFS('caseload data'!P:P,'caseload data'!$D:$D,"SPO",'caseload data'!$C:$C,'community caseload'!$B$71,'caseload data'!$B:$B,{"licence","community"}))</f>
        <v>0</v>
      </c>
      <c r="O76" s="104">
        <f>SUM(SUMIFS('caseload data'!Q:Q,'caseload data'!$D:$D,"SPO",'caseload data'!$C:$C,'community caseload'!$B$71,'caseload data'!$B:$B,{"licence","community"}))</f>
        <v>0</v>
      </c>
      <c r="P76" s="104">
        <f>SUM(SUMIFS('caseload data'!R:R,'caseload data'!$D:$D,"SPO",'caseload data'!$C:$C,'community caseload'!$B$71,'caseload data'!$B:$B,{"licence","community"}))</f>
        <v>0</v>
      </c>
      <c r="Q76" s="104">
        <f>SUM(SUMIFS('caseload data'!S:S,'caseload data'!$D:$D,"SPO",'caseload data'!$C:$C,'community caseload'!$B$71,'caseload data'!$B:$B,{"licence","community"}))</f>
        <v>0</v>
      </c>
      <c r="R76" s="104">
        <f>SUM(SUMIFS('caseload data'!T:T,'caseload data'!$D:$D,"SPO",'caseload data'!$C:$C,'community caseload'!$B$71,'caseload data'!$B:$B,{"licence","community"}))</f>
        <v>0</v>
      </c>
      <c r="T76" s="108" t="s">
        <v>914</v>
      </c>
      <c r="U76" s="104" cm="1">
        <f t="array" ref="U76">SUM(SUMIFS('caseload data'!E:E,'caseload data'!$D:$D,"SPO",'caseload data'!$C:$C,'community caseload'!$T$71,'caseload data'!$B:$B,{"licence","community"}))</f>
        <v>0</v>
      </c>
      <c r="V76" s="104" cm="1">
        <f t="array" ref="V76">SUM(SUMIFS('caseload data'!F:F,'caseload data'!$D:$D,"SPO",'caseload data'!$C:$C,'community caseload'!$T$71,'caseload data'!$B:$B,{"licence","community"}))</f>
        <v>0</v>
      </c>
      <c r="W76" s="104" cm="1">
        <f t="array" ref="W76">SUM(SUMIFS('caseload data'!G:G,'caseload data'!$D:$D,"SPO",'caseload data'!$C:$C,'community caseload'!$T$71,'caseload data'!$B:$B,{"licence","community"}))</f>
        <v>0</v>
      </c>
      <c r="X76" s="104" cm="1">
        <f t="array" ref="X76">SUM(SUMIFS('caseload data'!H:H,'caseload data'!$D:$D,"SPO",'caseload data'!$C:$C,'community caseload'!$T$71,'caseload data'!$B:$B,{"licence","community"}))</f>
        <v>0</v>
      </c>
      <c r="Y76" s="104" cm="1">
        <f t="array" ref="Y76">SUM(SUMIFS('caseload data'!I:I,'caseload data'!$D:$D,"SPO",'caseload data'!$C:$C,'community caseload'!$T$71,'caseload data'!$B:$B,{"licence","community"}))</f>
        <v>0</v>
      </c>
      <c r="Z76" s="104" cm="1">
        <f t="array" ref="Z76">SUM(SUMIFS('caseload data'!J:J,'caseload data'!$D:$D,"SPO",'caseload data'!$C:$C,'community caseload'!$T$71,'caseload data'!$B:$B,{"licence","community"}))</f>
        <v>0</v>
      </c>
      <c r="AA76" s="104" cm="1">
        <f t="array" ref="AA76">SUM(SUMIFS('caseload data'!K:K,'caseload data'!$D:$D,"SPO",'caseload data'!$C:$C,'community caseload'!$T$71,'caseload data'!$B:$B,{"licence","community"}))</f>
        <v>0</v>
      </c>
      <c r="AB76" s="104" cm="1">
        <f t="array" ref="AB76">SUM(SUMIFS('caseload data'!L:L,'caseload data'!$D:$D,"SPO",'caseload data'!$C:$C,'community caseload'!$T$71,'caseload data'!$B:$B,{"licence","community"}))</f>
        <v>0</v>
      </c>
      <c r="AC76" s="104" cm="1">
        <f t="array" ref="AC76">SUM(SUMIFS('caseload data'!M:M,'caseload data'!$D:$D,"SPO",'caseload data'!$C:$C,'community caseload'!$T$71,'caseload data'!$B:$B,{"licence","community"}))</f>
        <v>0</v>
      </c>
      <c r="AD76" s="104" cm="1">
        <f t="array" ref="AD76">SUM(SUMIFS('caseload data'!N:N,'caseload data'!$D:$D,"SPO",'caseload data'!$C:$C,'community caseload'!$T$71,'caseload data'!$B:$B,{"licence","community"}))</f>
        <v>0</v>
      </c>
      <c r="AE76" s="104" cm="1">
        <f t="array" ref="AE76">SUM(SUMIFS('caseload data'!O:O,'caseload data'!$D:$D,"SPO",'caseload data'!$C:$C,'community caseload'!$T$71,'caseload data'!$B:$B,{"licence","community"}))</f>
        <v>0</v>
      </c>
      <c r="AF76" s="104" cm="1">
        <f t="array" ref="AF76">SUM(SUMIFS('caseload data'!P:P,'caseload data'!$D:$D,"SPO",'caseload data'!$C:$C,'community caseload'!$T$71,'caseload data'!$B:$B,{"licence","community"}))</f>
        <v>0</v>
      </c>
      <c r="AG76" s="104" cm="1">
        <f t="array" ref="AG76">SUM(SUMIFS('caseload data'!Q:Q,'caseload data'!$D:$D,"SPO",'caseload data'!$C:$C,'community caseload'!$T$71,'caseload data'!$B:$B,{"licence","community"}))</f>
        <v>0</v>
      </c>
      <c r="AH76" s="104" cm="1">
        <f t="array" ref="AH76">SUM(SUMIFS('caseload data'!R:R,'caseload data'!$D:$D,"SPO",'caseload data'!$C:$C,'community caseload'!$T$71,'caseload data'!$B:$B,{"licence","community"}))</f>
        <v>0</v>
      </c>
      <c r="AI76" s="104" cm="1">
        <f t="array" ref="AI76">SUM(SUMIFS('caseload data'!S:S,'caseload data'!$D:$D,"SPO",'caseload data'!$C:$C,'community caseload'!$T$71,'caseload data'!$B:$B,{"licence","community"}))</f>
        <v>0</v>
      </c>
      <c r="AJ76" s="104" cm="1">
        <f t="array" ref="AJ76">SUM(SUMIFS('caseload data'!T:T,'caseload data'!$D:$D,"SPO",'caseload data'!$C:$C,'community caseload'!$T$71,'caseload data'!$B:$B,{"licence","community"}))</f>
        <v>0</v>
      </c>
    </row>
    <row r="78" spans="2:36" x14ac:dyDescent="0.15">
      <c r="B78" s="156" t="str">
        <f>HLOOKUP($B$5,Region_Table,22,0)</f>
        <v>Tower Hamlets</v>
      </c>
      <c r="C78" s="367" t="s">
        <v>1167</v>
      </c>
      <c r="D78" s="368"/>
      <c r="E78" s="368"/>
      <c r="F78" s="368"/>
      <c r="G78" s="368"/>
      <c r="H78" s="368"/>
      <c r="I78" s="368"/>
      <c r="J78" s="368"/>
      <c r="K78" s="368"/>
      <c r="L78" s="368"/>
      <c r="M78" s="377"/>
      <c r="N78" s="377"/>
      <c r="O78" s="378"/>
      <c r="P78" s="371" cm="1">
        <f t="array" ref="P78">SUM(SUMIFS('caseload data'!V:V,'caseload data'!B:B,{"licence","community"},'caseload data'!$C:$C,'community caseload'!B78))</f>
        <v>0</v>
      </c>
      <c r="Q78" s="379"/>
      <c r="R78" s="380"/>
      <c r="T78" s="156" t="str">
        <f>HLOOKUP($B$5,Region_Table,23,0)</f>
        <v>Unallocated Level 2(N07)</v>
      </c>
      <c r="U78" s="367" t="s">
        <v>1167</v>
      </c>
      <c r="V78" s="368"/>
      <c r="W78" s="368"/>
      <c r="X78" s="368"/>
      <c r="Y78" s="368"/>
      <c r="Z78" s="368"/>
      <c r="AA78" s="368"/>
      <c r="AB78" s="368"/>
      <c r="AC78" s="368"/>
      <c r="AD78" s="368"/>
      <c r="AE78" s="377"/>
      <c r="AF78" s="377"/>
      <c r="AG78" s="378"/>
      <c r="AH78" s="371" cm="1">
        <f t="array" ref="AH78">SUM(SUMIFS('caseload data'!V:V,'caseload data'!B:B,{"licence","community"},'caseload data'!$C:$C,'community caseload'!T78))</f>
        <v>0</v>
      </c>
      <c r="AI78" s="379"/>
      <c r="AJ78" s="380"/>
    </row>
    <row r="79" spans="2:36" x14ac:dyDescent="0.15">
      <c r="B79" s="105" t="s">
        <v>1065</v>
      </c>
      <c r="C79" s="41" t="s">
        <v>922</v>
      </c>
      <c r="D79" s="41" t="s">
        <v>923</v>
      </c>
      <c r="E79" s="41" t="s">
        <v>924</v>
      </c>
      <c r="F79" s="41" t="s">
        <v>925</v>
      </c>
      <c r="G79" s="41" t="s">
        <v>926</v>
      </c>
      <c r="H79" s="41" t="s">
        <v>927</v>
      </c>
      <c r="I79" s="41" t="s">
        <v>928</v>
      </c>
      <c r="J79" s="41" t="s">
        <v>929</v>
      </c>
      <c r="K79" s="41" t="s">
        <v>930</v>
      </c>
      <c r="L79" s="41" t="s">
        <v>931</v>
      </c>
      <c r="M79" s="41" t="s">
        <v>932</v>
      </c>
      <c r="N79" s="41" t="s">
        <v>933</v>
      </c>
      <c r="O79" s="41" t="s">
        <v>934</v>
      </c>
      <c r="P79" s="41" t="s">
        <v>935</v>
      </c>
      <c r="Q79" s="41" t="s">
        <v>936</v>
      </c>
      <c r="R79" s="41" t="s">
        <v>937</v>
      </c>
      <c r="T79" s="105" t="s">
        <v>1065</v>
      </c>
      <c r="U79" s="41" t="s">
        <v>922</v>
      </c>
      <c r="V79" s="41" t="s">
        <v>923</v>
      </c>
      <c r="W79" s="41" t="s">
        <v>924</v>
      </c>
      <c r="X79" s="41" t="s">
        <v>925</v>
      </c>
      <c r="Y79" s="41" t="s">
        <v>926</v>
      </c>
      <c r="Z79" s="41" t="s">
        <v>927</v>
      </c>
      <c r="AA79" s="41" t="s">
        <v>928</v>
      </c>
      <c r="AB79" s="41" t="s">
        <v>929</v>
      </c>
      <c r="AC79" s="41" t="s">
        <v>930</v>
      </c>
      <c r="AD79" s="41" t="s">
        <v>931</v>
      </c>
      <c r="AE79" s="41" t="s">
        <v>932</v>
      </c>
      <c r="AF79" s="41" t="s">
        <v>933</v>
      </c>
      <c r="AG79" s="41" t="s">
        <v>934</v>
      </c>
      <c r="AH79" s="41" t="s">
        <v>935</v>
      </c>
      <c r="AI79" s="41" t="s">
        <v>936</v>
      </c>
      <c r="AJ79" s="41" t="s">
        <v>937</v>
      </c>
    </row>
    <row r="80" spans="2:36" x14ac:dyDescent="0.15">
      <c r="B80" s="106" t="s">
        <v>911</v>
      </c>
      <c r="C80" s="104" cm="1">
        <f t="array" ref="C80">SUM(SUMIFS('caseload data'!E:E,'caseload data'!$D:$D,"PO",'caseload data'!$C:$C,'community caseload'!$B$78,'caseload data'!$B:$B,{"licence","community"}))</f>
        <v>0</v>
      </c>
      <c r="D80" s="104" cm="1">
        <f t="array" ref="D80">SUM(SUMIFS('caseload data'!F:F,'caseload data'!$D:$D,"PO",'caseload data'!$C:$C,'community caseload'!$B$78,'caseload data'!$B:$B,{"licence","community"}))</f>
        <v>0</v>
      </c>
      <c r="E80" s="104" cm="1">
        <f t="array" ref="E80">SUM(SUMIFS('caseload data'!G:G,'caseload data'!$D:$D,"PO",'caseload data'!$C:$C,'community caseload'!$B$78,'caseload data'!$B:$B,{"licence","community"}))</f>
        <v>0</v>
      </c>
      <c r="F80" s="104" cm="1">
        <f t="array" ref="F80">SUM(SUMIFS('caseload data'!H:H,'caseload data'!$D:$D,"PO",'caseload data'!$C:$C,'community caseload'!$B$78,'caseload data'!$B:$B,{"licence","community"}))</f>
        <v>0</v>
      </c>
      <c r="G80" s="104" cm="1">
        <f t="array" ref="G80">SUM(SUMIFS('caseload data'!I:I,'caseload data'!$D:$D,"PO",'caseload data'!$C:$C,'community caseload'!$B$78,'caseload data'!$B:$B,{"licence","community"}))</f>
        <v>0</v>
      </c>
      <c r="H80" s="104" cm="1">
        <f t="array" ref="H80">SUM(SUMIFS('caseload data'!J:J,'caseload data'!$D:$D,"PO",'caseload data'!$C:$C,'community caseload'!$B$78,'caseload data'!$B:$B,{"licence","community"}))</f>
        <v>0</v>
      </c>
      <c r="I80" s="104" cm="1">
        <f t="array" ref="I80">SUM(SUMIFS('caseload data'!K:K,'caseload data'!$D:$D,"PO",'caseload data'!$C:$C,'community caseload'!$B$78,'caseload data'!$B:$B,{"licence","community"}))</f>
        <v>0</v>
      </c>
      <c r="J80" s="104" cm="1">
        <f t="array" ref="J80">SUM(SUMIFS('caseload data'!L:L,'caseload data'!$D:$D,"PO",'caseload data'!$C:$C,'community caseload'!$B$78,'caseload data'!$B:$B,{"licence","community"}))</f>
        <v>0</v>
      </c>
      <c r="K80" s="104" cm="1">
        <f t="array" ref="K80">SUM(SUMIFS('caseload data'!M:M,'caseload data'!$D:$D,"PO",'caseload data'!$C:$C,'community caseload'!$B$78,'caseload data'!$B:$B,{"licence","community"}))</f>
        <v>0</v>
      </c>
      <c r="L80" s="104" cm="1">
        <f t="array" ref="L80">SUM(SUMIFS('caseload data'!N:N,'caseload data'!$D:$D,"PO",'caseload data'!$C:$C,'community caseload'!$B$78,'caseload data'!$B:$B,{"licence","community"}))</f>
        <v>0</v>
      </c>
      <c r="M80" s="104" cm="1">
        <f t="array" ref="M80">SUM(SUMIFS('caseload data'!O:O,'caseload data'!$D:$D,"PO",'caseload data'!$C:$C,'community caseload'!$B$78,'caseload data'!$B:$B,{"licence","community"}))</f>
        <v>0</v>
      </c>
      <c r="N80" s="104" cm="1">
        <f t="array" ref="N80">SUM(SUMIFS('caseload data'!P:P,'caseload data'!$D:$D,"PO",'caseload data'!$C:$C,'community caseload'!$B$78,'caseload data'!$B:$B,{"licence","community"}))</f>
        <v>0</v>
      </c>
      <c r="O80" s="104" cm="1">
        <f t="array" ref="O80">SUM(SUMIFS('caseload data'!Q:Q,'caseload data'!$D:$D,"PO",'caseload data'!$C:$C,'community caseload'!$B$78,'caseload data'!$B:$B,{"licence","community"}))</f>
        <v>0</v>
      </c>
      <c r="P80" s="104" cm="1">
        <f t="array" ref="P80">SUM(SUMIFS('caseload data'!R:R,'caseload data'!$D:$D,"PO",'caseload data'!$C:$C,'community caseload'!$B$78,'caseload data'!$B:$B,{"licence","community"}))</f>
        <v>0</v>
      </c>
      <c r="Q80" s="104" cm="1">
        <f t="array" ref="Q80">SUM(SUMIFS('caseload data'!S:S,'caseload data'!$D:$D,"PO",'caseload data'!$C:$C,'community caseload'!$B$78,'caseload data'!$B:$B,{"licence","community"}))</f>
        <v>0</v>
      </c>
      <c r="R80" s="104" cm="1">
        <f t="array" ref="R80">SUM(SUMIFS('caseload data'!T:T,'caseload data'!$D:$D,"PO",'caseload data'!$C:$C,'community caseload'!$B$78,'caseload data'!$B:$B,{"licence","community"}))</f>
        <v>0</v>
      </c>
      <c r="T80" s="106" t="s">
        <v>911</v>
      </c>
      <c r="U80" s="104" cm="1">
        <f t="array" ref="U80">SUM(SUMIFS('caseload data'!E:E,'caseload data'!$D:$D,"PO",'caseload data'!$C:$C,'community caseload'!$T$78,'caseload data'!$B:$B,{"licence","community"}))</f>
        <v>0</v>
      </c>
      <c r="V80" s="104" cm="1">
        <f t="array" ref="V80">SUM(SUMIFS('caseload data'!F:F,'caseload data'!$D:$D,"PO",'caseload data'!$C:$C,'community caseload'!$T$78,'caseload data'!$B:$B,{"licence","community"}))</f>
        <v>0</v>
      </c>
      <c r="W80" s="104" cm="1">
        <f t="array" ref="W80">SUM(SUMIFS('caseload data'!G:G,'caseload data'!$D:$D,"PO",'caseload data'!$C:$C,'community caseload'!$T$78,'caseload data'!$B:$B,{"licence","community"}))</f>
        <v>0</v>
      </c>
      <c r="X80" s="104" cm="1">
        <f t="array" ref="X80">SUM(SUMIFS('caseload data'!H:H,'caseload data'!$D:$D,"PO",'caseload data'!$C:$C,'community caseload'!$T$78,'caseload data'!$B:$B,{"licence","community"}))</f>
        <v>0</v>
      </c>
      <c r="Y80" s="104" cm="1">
        <f t="array" ref="Y80">SUM(SUMIFS('caseload data'!I:I,'caseload data'!$D:$D,"PO",'caseload data'!$C:$C,'community caseload'!$T$78,'caseload data'!$B:$B,{"licence","community"}))</f>
        <v>0</v>
      </c>
      <c r="Z80" s="104" cm="1">
        <f t="array" ref="Z80">SUM(SUMIFS('caseload data'!J:J,'caseload data'!$D:$D,"PO",'caseload data'!$C:$C,'community caseload'!$T$78,'caseload data'!$B:$B,{"licence","community"}))</f>
        <v>0</v>
      </c>
      <c r="AA80" s="104" cm="1">
        <f t="array" ref="AA80">SUM(SUMIFS('caseload data'!K:K,'caseload data'!$D:$D,"PO",'caseload data'!$C:$C,'community caseload'!$T$78,'caseload data'!$B:$B,{"licence","community"}))</f>
        <v>0</v>
      </c>
      <c r="AB80" s="104" cm="1">
        <f t="array" ref="AB80">SUM(SUMIFS('caseload data'!L:L,'caseload data'!$D:$D,"PO",'caseload data'!$C:$C,'community caseload'!$T$78,'caseload data'!$B:$B,{"licence","community"}))</f>
        <v>0</v>
      </c>
      <c r="AC80" s="104" cm="1">
        <f t="array" ref="AC80">SUM(SUMIFS('caseload data'!M:M,'caseload data'!$D:$D,"PO",'caseload data'!$C:$C,'community caseload'!$T$78,'caseload data'!$B:$B,{"licence","community"}))</f>
        <v>0</v>
      </c>
      <c r="AD80" s="104" cm="1">
        <f t="array" ref="AD80">SUM(SUMIFS('caseload data'!N:N,'caseload data'!$D:$D,"PO",'caseload data'!$C:$C,'community caseload'!$T$78,'caseload data'!$B:$B,{"licence","community"}))</f>
        <v>0</v>
      </c>
      <c r="AE80" s="104" cm="1">
        <f t="array" ref="AE80">SUM(SUMIFS('caseload data'!O:O,'caseload data'!$D:$D,"PO",'caseload data'!$C:$C,'community caseload'!$T$78,'caseload data'!$B:$B,{"licence","community"}))</f>
        <v>0</v>
      </c>
      <c r="AF80" s="104" cm="1">
        <f t="array" ref="AF80">SUM(SUMIFS('caseload data'!P:P,'caseload data'!$D:$D,"PO",'caseload data'!$C:$C,'community caseload'!$T$78,'caseload data'!$B:$B,{"licence","community"}))</f>
        <v>0</v>
      </c>
      <c r="AG80" s="104" cm="1">
        <f t="array" ref="AG80">SUM(SUMIFS('caseload data'!Q:Q,'caseload data'!$D:$D,"PO",'caseload data'!$C:$C,'community caseload'!$T$78,'caseload data'!$B:$B,{"licence","community"}))</f>
        <v>0</v>
      </c>
      <c r="AH80" s="104" cm="1">
        <f t="array" ref="AH80">SUM(SUMIFS('caseload data'!R:R,'caseload data'!$D:$D,"PO",'caseload data'!$C:$C,'community caseload'!$T$78,'caseload data'!$B:$B,{"licence","community"}))</f>
        <v>0</v>
      </c>
      <c r="AI80" s="104" cm="1">
        <f t="array" ref="AI80">SUM(SUMIFS('caseload data'!S:S,'caseload data'!$D:$D,"PO",'caseload data'!$C:$C,'community caseload'!$T$78,'caseload data'!$B:$B,{"licence","community"}))</f>
        <v>0</v>
      </c>
      <c r="AJ80" s="104" cm="1">
        <f t="array" ref="AJ80">SUM(SUMIFS('caseload data'!T:T,'caseload data'!$D:$D,"PO",'caseload data'!$C:$C,'community caseload'!$T$78,'caseload data'!$B:$B,{"licence","community"}))</f>
        <v>0</v>
      </c>
    </row>
    <row r="81" spans="2:36" x14ac:dyDescent="0.15">
      <c r="B81" s="107" t="s">
        <v>912</v>
      </c>
      <c r="C81" s="104" cm="1">
        <f t="array" ref="C81">SUM(SUMIFS('caseload data'!E:E,'caseload data'!$D:$D,"PSO",'caseload data'!$C:$C,'community caseload'!$B$78,'caseload data'!$B:$B,{"licence","community"}))</f>
        <v>0</v>
      </c>
      <c r="D81" s="104" cm="1">
        <f t="array" ref="D81">SUM(SUMIFS('caseload data'!F:F,'caseload data'!$D:$D,"PSO",'caseload data'!$C:$C,'community caseload'!$B$78,'caseload data'!$B:$B,{"licence","community"}))</f>
        <v>0</v>
      </c>
      <c r="E81" s="104" cm="1">
        <f t="array" ref="E81">SUM(SUMIFS('caseload data'!G:G,'caseload data'!$D:$D,"PSO",'caseload data'!$C:$C,'community caseload'!$B$78,'caseload data'!$B:$B,{"licence","community"}))</f>
        <v>0</v>
      </c>
      <c r="F81" s="104" cm="1">
        <f t="array" ref="F81">SUM(SUMIFS('caseload data'!H:H,'caseload data'!$D:$D,"PSO",'caseload data'!$C:$C,'community caseload'!$B$78,'caseload data'!$B:$B,{"licence","community"}))</f>
        <v>0</v>
      </c>
      <c r="G81" s="104" cm="1">
        <f t="array" ref="G81">SUM(SUMIFS('caseload data'!I:I,'caseload data'!$D:$D,"PSO",'caseload data'!$C:$C,'community caseload'!$B$78,'caseload data'!$B:$B,{"licence","community"}))</f>
        <v>0</v>
      </c>
      <c r="H81" s="104" cm="1">
        <f t="array" ref="H81">SUM(SUMIFS('caseload data'!J:J,'caseload data'!$D:$D,"PSO",'caseload data'!$C:$C,'community caseload'!$B$78,'caseload data'!$B:$B,{"licence","community"}))</f>
        <v>0</v>
      </c>
      <c r="I81" s="104" cm="1">
        <f t="array" ref="I81">SUM(SUMIFS('caseload data'!K:K,'caseload data'!$D:$D,"PSO",'caseload data'!$C:$C,'community caseload'!$B$78,'caseload data'!$B:$B,{"licence","community"}))</f>
        <v>0</v>
      </c>
      <c r="J81" s="104" cm="1">
        <f t="array" ref="J81">SUM(SUMIFS('caseload data'!L:L,'caseload data'!$D:$D,"PSO",'caseload data'!$C:$C,'community caseload'!$B$78,'caseload data'!$B:$B,{"licence","community"}))</f>
        <v>0</v>
      </c>
      <c r="K81" s="104" cm="1">
        <f t="array" ref="K81">SUM(SUMIFS('caseload data'!M:M,'caseload data'!$D:$D,"PSO",'caseload data'!$C:$C,'community caseload'!$B$78,'caseload data'!$B:$B,{"licence","community"}))</f>
        <v>0</v>
      </c>
      <c r="L81" s="104" cm="1">
        <f t="array" ref="L81">SUM(SUMIFS('caseload data'!N:N,'caseload data'!$D:$D,"PSO",'caseload data'!$C:$C,'community caseload'!$B$78,'caseload data'!$B:$B,{"licence","community"}))</f>
        <v>0</v>
      </c>
      <c r="M81" s="104" cm="1">
        <f t="array" ref="M81">SUM(SUMIFS('caseload data'!O:O,'caseload data'!$D:$D,"PSO",'caseload data'!$C:$C,'community caseload'!$B$78,'caseload data'!$B:$B,{"licence","community"}))</f>
        <v>0</v>
      </c>
      <c r="N81" s="104" cm="1">
        <f t="array" ref="N81">SUM(SUMIFS('caseload data'!P:P,'caseload data'!$D:$D,"PSO",'caseload data'!$C:$C,'community caseload'!$B$78,'caseload data'!$B:$B,{"licence","community"}))</f>
        <v>0</v>
      </c>
      <c r="O81" s="104" cm="1">
        <f t="array" ref="O81">SUM(SUMIFS('caseload data'!Q:Q,'caseload data'!$D:$D,"PSO",'caseload data'!$C:$C,'community caseload'!$B$78,'caseload data'!$B:$B,{"licence","community"}))</f>
        <v>0</v>
      </c>
      <c r="P81" s="104" cm="1">
        <f t="array" ref="P81">SUM(SUMIFS('caseload data'!R:R,'caseload data'!$D:$D,"PSO",'caseload data'!$C:$C,'community caseload'!$B$78,'caseload data'!$B:$B,{"licence","community"}))</f>
        <v>0</v>
      </c>
      <c r="Q81" s="104" cm="1">
        <f t="array" ref="Q81">SUM(SUMIFS('caseload data'!S:S,'caseload data'!$D:$D,"PSO",'caseload data'!$C:$C,'community caseload'!$B$78,'caseload data'!$B:$B,{"licence","community"}))</f>
        <v>0</v>
      </c>
      <c r="R81" s="104" cm="1">
        <f t="array" ref="R81">SUM(SUMIFS('caseload data'!T:T,'caseload data'!$D:$D,"PSO",'caseload data'!$C:$C,'community caseload'!$B$78,'caseload data'!$B:$B,{"licence","community"}))</f>
        <v>0</v>
      </c>
      <c r="T81" s="107" t="s">
        <v>912</v>
      </c>
      <c r="U81" s="104" cm="1">
        <f t="array" ref="U81">SUM(SUMIFS('caseload data'!E:E,'caseload data'!$D:$D,"PSO",'caseload data'!$C:$C,'community caseload'!$T$78,'caseload data'!$B:$B,{"licence","community"}))</f>
        <v>0</v>
      </c>
      <c r="V81" s="104" cm="1">
        <f t="array" ref="V81">SUM(SUMIFS('caseload data'!F:F,'caseload data'!$D:$D,"PSO",'caseload data'!$C:$C,'community caseload'!$T$78,'caseload data'!$B:$B,{"licence","community"}))</f>
        <v>0</v>
      </c>
      <c r="W81" s="104" cm="1">
        <f t="array" ref="W81">SUM(SUMIFS('caseload data'!G:G,'caseload data'!$D:$D,"PSO",'caseload data'!$C:$C,'community caseload'!$T$78,'caseload data'!$B:$B,{"licence","community"}))</f>
        <v>0</v>
      </c>
      <c r="X81" s="104" cm="1">
        <f t="array" ref="X81">SUM(SUMIFS('caseload data'!H:H,'caseload data'!$D:$D,"PSO",'caseload data'!$C:$C,'community caseload'!$T$78,'caseload data'!$B:$B,{"licence","community"}))</f>
        <v>0</v>
      </c>
      <c r="Y81" s="104" cm="1">
        <f t="array" ref="Y81">SUM(SUMIFS('caseload data'!I:I,'caseload data'!$D:$D,"PSO",'caseload data'!$C:$C,'community caseload'!$T$78,'caseload data'!$B:$B,{"licence","community"}))</f>
        <v>0</v>
      </c>
      <c r="Z81" s="104" cm="1">
        <f t="array" ref="Z81">SUM(SUMIFS('caseload data'!J:J,'caseload data'!$D:$D,"PSO",'caseload data'!$C:$C,'community caseload'!$T$78,'caseload data'!$B:$B,{"licence","community"}))</f>
        <v>0</v>
      </c>
      <c r="AA81" s="104" cm="1">
        <f t="array" ref="AA81">SUM(SUMIFS('caseload data'!K:K,'caseload data'!$D:$D,"PSO",'caseload data'!$C:$C,'community caseload'!$T$78,'caseload data'!$B:$B,{"licence","community"}))</f>
        <v>0</v>
      </c>
      <c r="AB81" s="104" cm="1">
        <f t="array" ref="AB81">SUM(SUMIFS('caseload data'!L:L,'caseload data'!$D:$D,"PSO",'caseload data'!$C:$C,'community caseload'!$T$78,'caseload data'!$B:$B,{"licence","community"}))</f>
        <v>0</v>
      </c>
      <c r="AC81" s="104" cm="1">
        <f t="array" ref="AC81">SUM(SUMIFS('caseload data'!M:M,'caseload data'!$D:$D,"PSO",'caseload data'!$C:$C,'community caseload'!$T$78,'caseload data'!$B:$B,{"licence","community"}))</f>
        <v>0</v>
      </c>
      <c r="AD81" s="104" cm="1">
        <f t="array" ref="AD81">SUM(SUMIFS('caseload data'!N:N,'caseload data'!$D:$D,"PSO",'caseload data'!$C:$C,'community caseload'!$T$78,'caseload data'!$B:$B,{"licence","community"}))</f>
        <v>0</v>
      </c>
      <c r="AE81" s="104" cm="1">
        <f t="array" ref="AE81">SUM(SUMIFS('caseload data'!O:O,'caseload data'!$D:$D,"PSO",'caseload data'!$C:$C,'community caseload'!$T$78,'caseload data'!$B:$B,{"licence","community"}))</f>
        <v>0</v>
      </c>
      <c r="AF81" s="104" cm="1">
        <f t="array" ref="AF81">SUM(SUMIFS('caseload data'!P:P,'caseload data'!$D:$D,"PSO",'caseload data'!$C:$C,'community caseload'!$T$78,'caseload data'!$B:$B,{"licence","community"}))</f>
        <v>0</v>
      </c>
      <c r="AG81" s="104" cm="1">
        <f t="array" ref="AG81">SUM(SUMIFS('caseload data'!Q:Q,'caseload data'!$D:$D,"PSO",'caseload data'!$C:$C,'community caseload'!$T$78,'caseload data'!$B:$B,{"licence","community"}))</f>
        <v>0</v>
      </c>
      <c r="AH81" s="104" cm="1">
        <f t="array" ref="AH81">SUM(SUMIFS('caseload data'!R:R,'caseload data'!$D:$D,"PSO",'caseload data'!$C:$C,'community caseload'!$T$78,'caseload data'!$B:$B,{"licence","community"}))</f>
        <v>0</v>
      </c>
      <c r="AI81" s="104" cm="1">
        <f t="array" ref="AI81">SUM(SUMIFS('caseload data'!S:S,'caseload data'!$D:$D,"PSO",'caseload data'!$C:$C,'community caseload'!$T$78,'caseload data'!$B:$B,{"licence","community"}))</f>
        <v>0</v>
      </c>
      <c r="AJ81" s="104" cm="1">
        <f t="array" ref="AJ81">SUM(SUMIFS('caseload data'!T:T,'caseload data'!$D:$D,"PSO",'caseload data'!$C:$C,'community caseload'!$T$78,'caseload data'!$B:$B,{"licence","community"}))</f>
        <v>0</v>
      </c>
    </row>
    <row r="82" spans="2:36" x14ac:dyDescent="0.15">
      <c r="B82" s="107" t="s">
        <v>913</v>
      </c>
      <c r="C82" s="104" cm="1">
        <f t="array" ref="C82">SUM(SUMIFS('caseload data'!E:E,'caseload data'!$D:$D,"TPO",'caseload data'!$C:$C,'community caseload'!$B$78,'caseload data'!$B:$B,{"licence","community"}))</f>
        <v>0</v>
      </c>
      <c r="D82" s="104" cm="1">
        <f t="array" ref="D82">SUM(SUMIFS('caseload data'!F:F,'caseload data'!$D:$D,"TPO",'caseload data'!$C:$C,'community caseload'!$B$78,'caseload data'!$B:$B,{"licence","community"}))</f>
        <v>0</v>
      </c>
      <c r="E82" s="104" cm="1">
        <f t="array" ref="E82">SUM(SUMIFS('caseload data'!G:G,'caseload data'!$D:$D,"TPO",'caseload data'!$C:$C,'community caseload'!$B$78,'caseload data'!$B:$B,{"licence","community"}))</f>
        <v>0</v>
      </c>
      <c r="F82" s="104" cm="1">
        <f t="array" ref="F82">SUM(SUMIFS('caseload data'!H:H,'caseload data'!$D:$D,"TPO",'caseload data'!$C:$C,'community caseload'!$B$78,'caseload data'!$B:$B,{"licence","community"}))</f>
        <v>0</v>
      </c>
      <c r="G82" s="104" cm="1">
        <f t="array" ref="G82">SUM(SUMIFS('caseload data'!I:I,'caseload data'!$D:$D,"TPO",'caseload data'!$C:$C,'community caseload'!$B$78,'caseload data'!$B:$B,{"licence","community"}))</f>
        <v>0</v>
      </c>
      <c r="H82" s="104" cm="1">
        <f t="array" ref="H82">SUM(SUMIFS('caseload data'!J:J,'caseload data'!$D:$D,"TPO",'caseload data'!$C:$C,'community caseload'!$B$78,'caseload data'!$B:$B,{"licence","community"}))</f>
        <v>0</v>
      </c>
      <c r="I82" s="104" cm="1">
        <f t="array" ref="I82">SUM(SUMIFS('caseload data'!K:K,'caseload data'!$D:$D,"TPO",'caseload data'!$C:$C,'community caseload'!$B$78,'caseload data'!$B:$B,{"licence","community"}))</f>
        <v>0</v>
      </c>
      <c r="J82" s="104" cm="1">
        <f t="array" ref="J82">SUM(SUMIFS('caseload data'!L:L,'caseload data'!$D:$D,"TPO",'caseload data'!$C:$C,'community caseload'!$B$78,'caseload data'!$B:$B,{"licence","community"}))</f>
        <v>0</v>
      </c>
      <c r="K82" s="104" cm="1">
        <f t="array" ref="K82">SUM(SUMIFS('caseload data'!M:M,'caseload data'!$D:$D,"TPO",'caseload data'!$C:$C,'community caseload'!$B$78,'caseload data'!$B:$B,{"licence","community"}))</f>
        <v>0</v>
      </c>
      <c r="L82" s="104" cm="1">
        <f t="array" ref="L82">SUM(SUMIFS('caseload data'!N:N,'caseload data'!$D:$D,"TPO",'caseload data'!$C:$C,'community caseload'!$B$78,'caseload data'!$B:$B,{"licence","community"}))</f>
        <v>0</v>
      </c>
      <c r="M82" s="104" cm="1">
        <f t="array" ref="M82">SUM(SUMIFS('caseload data'!O:O,'caseload data'!$D:$D,"TPO",'caseload data'!$C:$C,'community caseload'!$B$78,'caseload data'!$B:$B,{"licence","community"}))</f>
        <v>0</v>
      </c>
      <c r="N82" s="104" cm="1">
        <f t="array" ref="N82">SUM(SUMIFS('caseload data'!P:P,'caseload data'!$D:$D,"TPO",'caseload data'!$C:$C,'community caseload'!$B$78,'caseload data'!$B:$B,{"licence","community"}))</f>
        <v>0</v>
      </c>
      <c r="O82" s="104" cm="1">
        <f t="array" ref="O82">SUM(SUMIFS('caseload data'!Q:Q,'caseload data'!$D:$D,"TPO",'caseload data'!$C:$C,'community caseload'!$B$78,'caseload data'!$B:$B,{"licence","community"}))</f>
        <v>0</v>
      </c>
      <c r="P82" s="104" cm="1">
        <f t="array" ref="P82">SUM(SUMIFS('caseload data'!R:R,'caseload data'!$D:$D,"TPO",'caseload data'!$C:$C,'community caseload'!$B$78,'caseload data'!$B:$B,{"licence","community"}))</f>
        <v>0</v>
      </c>
      <c r="Q82" s="104" cm="1">
        <f t="array" ref="Q82">SUM(SUMIFS('caseload data'!S:S,'caseload data'!$D:$D,"TPO",'caseload data'!$C:$C,'community caseload'!$B$78,'caseload data'!$B:$B,{"licence","community"}))</f>
        <v>0</v>
      </c>
      <c r="R82" s="104" cm="1">
        <f t="array" ref="R82">SUM(SUMIFS('caseload data'!T:T,'caseload data'!$D:$D,"TPO",'caseload data'!$C:$C,'community caseload'!$B$78,'caseload data'!$B:$B,{"licence","community"}))</f>
        <v>0</v>
      </c>
      <c r="T82" s="107" t="s">
        <v>913</v>
      </c>
      <c r="U82" s="104" cm="1">
        <f t="array" ref="U82">SUM(SUMIFS('caseload data'!E:E,'caseload data'!$D:$D,"TPO",'caseload data'!$C:$C,'community caseload'!$T$78,'caseload data'!$B:$B,{"licence","community"}))</f>
        <v>0</v>
      </c>
      <c r="V82" s="104" cm="1">
        <f t="array" ref="V82">SUM(SUMIFS('caseload data'!F:F,'caseload data'!$D:$D,"TPO",'caseload data'!$C:$C,'community caseload'!$T$78,'caseload data'!$B:$B,{"licence","community"}))</f>
        <v>0</v>
      </c>
      <c r="W82" s="104" cm="1">
        <f t="array" ref="W82">SUM(SUMIFS('caseload data'!G:G,'caseload data'!$D:$D,"TPO",'caseload data'!$C:$C,'community caseload'!$T$78,'caseload data'!$B:$B,{"licence","community"}))</f>
        <v>0</v>
      </c>
      <c r="X82" s="104" cm="1">
        <f t="array" ref="X82">SUM(SUMIFS('caseload data'!H:H,'caseload data'!$D:$D,"TPO",'caseload data'!$C:$C,'community caseload'!$T$78,'caseload data'!$B:$B,{"licence","community"}))</f>
        <v>0</v>
      </c>
      <c r="Y82" s="104" cm="1">
        <f t="array" ref="Y82">SUM(SUMIFS('caseload data'!I:I,'caseload data'!$D:$D,"TPO",'caseload data'!$C:$C,'community caseload'!$T$78,'caseload data'!$B:$B,{"licence","community"}))</f>
        <v>0</v>
      </c>
      <c r="Z82" s="104" cm="1">
        <f t="array" ref="Z82">SUM(SUMIFS('caseload data'!J:J,'caseload data'!$D:$D,"TPO",'caseload data'!$C:$C,'community caseload'!$T$78,'caseload data'!$B:$B,{"licence","community"}))</f>
        <v>0</v>
      </c>
      <c r="AA82" s="104" cm="1">
        <f t="array" ref="AA82">SUM(SUMIFS('caseload data'!K:K,'caseload data'!$D:$D,"TPO",'caseload data'!$C:$C,'community caseload'!$T$78,'caseload data'!$B:$B,{"licence","community"}))</f>
        <v>0</v>
      </c>
      <c r="AB82" s="104" cm="1">
        <f t="array" ref="AB82">SUM(SUMIFS('caseload data'!L:L,'caseload data'!$D:$D,"TPO",'caseload data'!$C:$C,'community caseload'!$T$78,'caseload data'!$B:$B,{"licence","community"}))</f>
        <v>0</v>
      </c>
      <c r="AC82" s="104" cm="1">
        <f t="array" ref="AC82">SUM(SUMIFS('caseload data'!M:M,'caseload data'!$D:$D,"TPO",'caseload data'!$C:$C,'community caseload'!$T$78,'caseload data'!$B:$B,{"licence","community"}))</f>
        <v>0</v>
      </c>
      <c r="AD82" s="104" cm="1">
        <f t="array" ref="AD82">SUM(SUMIFS('caseload data'!N:N,'caseload data'!$D:$D,"TPO",'caseload data'!$C:$C,'community caseload'!$T$78,'caseload data'!$B:$B,{"licence","community"}))</f>
        <v>0</v>
      </c>
      <c r="AE82" s="104" cm="1">
        <f t="array" ref="AE82">SUM(SUMIFS('caseload data'!O:O,'caseload data'!$D:$D,"TPO",'caseload data'!$C:$C,'community caseload'!$T$78,'caseload data'!$B:$B,{"licence","community"}))</f>
        <v>0</v>
      </c>
      <c r="AF82" s="104" cm="1">
        <f t="array" ref="AF82">SUM(SUMIFS('caseload data'!P:P,'caseload data'!$D:$D,"TPO",'caseload data'!$C:$C,'community caseload'!$T$78,'caseload data'!$B:$B,{"licence","community"}))</f>
        <v>0</v>
      </c>
      <c r="AG82" s="104" cm="1">
        <f t="array" ref="AG82">SUM(SUMIFS('caseload data'!Q:Q,'caseload data'!$D:$D,"TPO",'caseload data'!$C:$C,'community caseload'!$T$78,'caseload data'!$B:$B,{"licence","community"}))</f>
        <v>0</v>
      </c>
      <c r="AH82" s="104" cm="1">
        <f t="array" ref="AH82">SUM(SUMIFS('caseload data'!R:R,'caseload data'!$D:$D,"TPO",'caseload data'!$C:$C,'community caseload'!$T$78,'caseload data'!$B:$B,{"licence","community"}))</f>
        <v>0</v>
      </c>
      <c r="AI82" s="104" cm="1">
        <f t="array" ref="AI82">SUM(SUMIFS('caseload data'!S:S,'caseload data'!$D:$D,"TPO",'caseload data'!$C:$C,'community caseload'!$T$78,'caseload data'!$B:$B,{"licence","community"}))</f>
        <v>0</v>
      </c>
      <c r="AJ82" s="104" cm="1">
        <f t="array" ref="AJ82">SUM(SUMIFS('caseload data'!T:T,'caseload data'!$D:$D,"TPO",'caseload data'!$C:$C,'community caseload'!$T$78,'caseload data'!$B:$B,{"licence","community"}))</f>
        <v>0</v>
      </c>
    </row>
    <row r="83" spans="2:36" x14ac:dyDescent="0.15">
      <c r="B83" s="108" t="s">
        <v>914</v>
      </c>
      <c r="C83" s="104" cm="1">
        <f t="array" ref="C83">SUM(SUMIFS('caseload data'!E:E,'caseload data'!$D:$D,"SPO",'caseload data'!$C:$C,'community caseload'!$B$78,'caseload data'!$B:$B,{"licence","community"}))</f>
        <v>0</v>
      </c>
      <c r="D83" s="104" cm="1">
        <f t="array" ref="D83">SUM(SUMIFS('caseload data'!F:F,'caseload data'!$D:$D,"SPO",'caseload data'!$C:$C,'community caseload'!$B$78,'caseload data'!$B:$B,{"licence","community"}))</f>
        <v>0</v>
      </c>
      <c r="E83" s="104" cm="1">
        <f t="array" ref="E83">SUM(SUMIFS('caseload data'!G:G,'caseload data'!$D:$D,"SPO",'caseload data'!$C:$C,'community caseload'!$B$78,'caseload data'!$B:$B,{"licence","community"}))</f>
        <v>0</v>
      </c>
      <c r="F83" s="104" cm="1">
        <f t="array" ref="F83">SUM(SUMIFS('caseload data'!H:H,'caseload data'!$D:$D,"SPO",'caseload data'!$C:$C,'community caseload'!$B$78,'caseload data'!$B:$B,{"licence","community"}))</f>
        <v>0</v>
      </c>
      <c r="G83" s="104" cm="1">
        <f t="array" ref="G83">SUM(SUMIFS('caseload data'!I:I,'caseload data'!$D:$D,"SPO",'caseload data'!$C:$C,'community caseload'!$B$78,'caseload data'!$B:$B,{"licence","community"}))</f>
        <v>0</v>
      </c>
      <c r="H83" s="104" cm="1">
        <f t="array" ref="H83">SUM(SUMIFS('caseload data'!J:J,'caseload data'!$D:$D,"SPO",'caseload data'!$C:$C,'community caseload'!$B$78,'caseload data'!$B:$B,{"licence","community"}))</f>
        <v>0</v>
      </c>
      <c r="I83" s="104" cm="1">
        <f t="array" ref="I83">SUM(SUMIFS('caseload data'!K:K,'caseload data'!$D:$D,"SPO",'caseload data'!$C:$C,'community caseload'!$B$78,'caseload data'!$B:$B,{"licence","community"}))</f>
        <v>0</v>
      </c>
      <c r="J83" s="104" cm="1">
        <f t="array" ref="J83">SUM(SUMIFS('caseload data'!L:L,'caseload data'!$D:$D,"SPO",'caseload data'!$C:$C,'community caseload'!$B$78,'caseload data'!$B:$B,{"licence","community"}))</f>
        <v>0</v>
      </c>
      <c r="K83" s="104" cm="1">
        <f t="array" ref="K83">SUM(SUMIFS('caseload data'!M:M,'caseload data'!$D:$D,"SPO",'caseload data'!$C:$C,'community caseload'!$B$78,'caseload data'!$B:$B,{"licence","community"}))</f>
        <v>0</v>
      </c>
      <c r="L83" s="104" cm="1">
        <f t="array" ref="L83">SUM(SUMIFS('caseload data'!N:N,'caseload data'!$D:$D,"SPO",'caseload data'!$C:$C,'community caseload'!$B$78,'caseload data'!$B:$B,{"licence","community"}))</f>
        <v>0</v>
      </c>
      <c r="M83" s="104" cm="1">
        <f t="array" ref="M83">SUM(SUMIFS('caseload data'!O:O,'caseload data'!$D:$D,"SPO",'caseload data'!$C:$C,'community caseload'!$B$78,'caseload data'!$B:$B,{"licence","community"}))</f>
        <v>0</v>
      </c>
      <c r="N83" s="104" cm="1">
        <f t="array" ref="N83">SUM(SUMIFS('caseload data'!P:P,'caseload data'!$D:$D,"SPO",'caseload data'!$C:$C,'community caseload'!$B$78,'caseload data'!$B:$B,{"licence","community"}))</f>
        <v>0</v>
      </c>
      <c r="O83" s="104" cm="1">
        <f t="array" ref="O83">SUM(SUMIFS('caseload data'!Q:Q,'caseload data'!$D:$D,"SPO",'caseload data'!$C:$C,'community caseload'!$B$78,'caseload data'!$B:$B,{"licence","community"}))</f>
        <v>0</v>
      </c>
      <c r="P83" s="104" cm="1">
        <f t="array" ref="P83">SUM(SUMIFS('caseload data'!R:R,'caseload data'!$D:$D,"SPO",'caseload data'!$C:$C,'community caseload'!$B$78,'caseload data'!$B:$B,{"licence","community"}))</f>
        <v>0</v>
      </c>
      <c r="Q83" s="104" cm="1">
        <f t="array" ref="Q83">SUM(SUMIFS('caseload data'!S:S,'caseload data'!$D:$D,"SPO",'caseload data'!$C:$C,'community caseload'!$B$78,'caseload data'!$B:$B,{"licence","community"}))</f>
        <v>0</v>
      </c>
      <c r="R83" s="104" cm="1">
        <f t="array" ref="R83">SUM(SUMIFS('caseload data'!T:T,'caseload data'!$D:$D,"SPO",'caseload data'!$C:$C,'community caseload'!$B$78,'caseload data'!$B:$B,{"licence","community"}))</f>
        <v>0</v>
      </c>
      <c r="T83" s="108" t="s">
        <v>914</v>
      </c>
      <c r="U83" s="104" cm="1">
        <f t="array" ref="U83">SUM(SUMIFS('caseload data'!E:E,'caseload data'!$D:$D,"SPO",'caseload data'!$C:$C,'community caseload'!$T$78,'caseload data'!$B:$B,{"licence","community"}))</f>
        <v>0</v>
      </c>
      <c r="V83" s="104" cm="1">
        <f t="array" ref="V83">SUM(SUMIFS('caseload data'!F:F,'caseload data'!$D:$D,"SPO",'caseload data'!$C:$C,'community caseload'!$T$78,'caseload data'!$B:$B,{"licence","community"}))</f>
        <v>0</v>
      </c>
      <c r="W83" s="104" cm="1">
        <f t="array" ref="W83">SUM(SUMIFS('caseload data'!G:G,'caseload data'!$D:$D,"SPO",'caseload data'!$C:$C,'community caseload'!$T$78,'caseload data'!$B:$B,{"licence","community"}))</f>
        <v>0</v>
      </c>
      <c r="X83" s="104" cm="1">
        <f t="array" ref="X83">SUM(SUMIFS('caseload data'!H:H,'caseload data'!$D:$D,"SPO",'caseload data'!$C:$C,'community caseload'!$T$78,'caseload data'!$B:$B,{"licence","community"}))</f>
        <v>0</v>
      </c>
      <c r="Y83" s="104" cm="1">
        <f t="array" ref="Y83">SUM(SUMIFS('caseload data'!I:I,'caseload data'!$D:$D,"SPO",'caseload data'!$C:$C,'community caseload'!$T$78,'caseload data'!$B:$B,{"licence","community"}))</f>
        <v>0</v>
      </c>
      <c r="Z83" s="104" cm="1">
        <f t="array" ref="Z83">SUM(SUMIFS('caseload data'!J:J,'caseload data'!$D:$D,"SPO",'caseload data'!$C:$C,'community caseload'!$T$78,'caseload data'!$B:$B,{"licence","community"}))</f>
        <v>0</v>
      </c>
      <c r="AA83" s="104" cm="1">
        <f t="array" ref="AA83">SUM(SUMIFS('caseload data'!K:K,'caseload data'!$D:$D,"SPO",'caseload data'!$C:$C,'community caseload'!$T$78,'caseload data'!$B:$B,{"licence","community"}))</f>
        <v>0</v>
      </c>
      <c r="AB83" s="104" cm="1">
        <f t="array" ref="AB83">SUM(SUMIFS('caseload data'!L:L,'caseload data'!$D:$D,"SPO",'caseload data'!$C:$C,'community caseload'!$T$78,'caseload data'!$B:$B,{"licence","community"}))</f>
        <v>0</v>
      </c>
      <c r="AC83" s="104" cm="1">
        <f t="array" ref="AC83">SUM(SUMIFS('caseload data'!M:M,'caseload data'!$D:$D,"SPO",'caseload data'!$C:$C,'community caseload'!$T$78,'caseload data'!$B:$B,{"licence","community"}))</f>
        <v>0</v>
      </c>
      <c r="AD83" s="104" cm="1">
        <f t="array" ref="AD83">SUM(SUMIFS('caseload data'!N:N,'caseload data'!$D:$D,"SPO",'caseload data'!$C:$C,'community caseload'!$T$78,'caseload data'!$B:$B,{"licence","community"}))</f>
        <v>0</v>
      </c>
      <c r="AE83" s="104" cm="1">
        <f t="array" ref="AE83">SUM(SUMIFS('caseload data'!O:O,'caseload data'!$D:$D,"SPO",'caseload data'!$C:$C,'community caseload'!$T$78,'caseload data'!$B:$B,{"licence","community"}))</f>
        <v>0</v>
      </c>
      <c r="AF83" s="104" cm="1">
        <f t="array" ref="AF83">SUM(SUMIFS('caseload data'!P:P,'caseload data'!$D:$D,"SPO",'caseload data'!$C:$C,'community caseload'!$T$78,'caseload data'!$B:$B,{"licence","community"}))</f>
        <v>0</v>
      </c>
      <c r="AG83" s="104" cm="1">
        <f t="array" ref="AG83">SUM(SUMIFS('caseload data'!Q:Q,'caseload data'!$D:$D,"SPO",'caseload data'!$C:$C,'community caseload'!$T$78,'caseload data'!$B:$B,{"licence","community"}))</f>
        <v>0</v>
      </c>
      <c r="AH83" s="104" cm="1">
        <f t="array" ref="AH83">SUM(SUMIFS('caseload data'!R:R,'caseload data'!$D:$D,"SPO",'caseload data'!$C:$C,'community caseload'!$T$78,'caseload data'!$B:$B,{"licence","community"}))</f>
        <v>0</v>
      </c>
      <c r="AI83" s="104" cm="1">
        <f t="array" ref="AI83">SUM(SUMIFS('caseload data'!S:S,'caseload data'!$D:$D,"SPO",'caseload data'!$C:$C,'community caseload'!$T$78,'caseload data'!$B:$B,{"licence","community"}))</f>
        <v>0</v>
      </c>
      <c r="AJ83" s="104" cm="1">
        <f t="array" ref="AJ83">SUM(SUMIFS('caseload data'!T:T,'caseload data'!$D:$D,"SPO",'caseload data'!$C:$C,'community caseload'!$T$78,'caseload data'!$B:$B,{"licence","community"}))</f>
        <v>0</v>
      </c>
    </row>
    <row r="85" spans="2:36" x14ac:dyDescent="0.15">
      <c r="B85" s="156" t="str">
        <f>HLOOKUP($B$5,Region_Table,24,0)</f>
        <v>Unpaid Work and Attendance Centres - N07</v>
      </c>
      <c r="C85" s="367" t="s">
        <v>1167</v>
      </c>
      <c r="D85" s="368"/>
      <c r="E85" s="368"/>
      <c r="F85" s="368"/>
      <c r="G85" s="368"/>
      <c r="H85" s="368"/>
      <c r="I85" s="368"/>
      <c r="J85" s="368"/>
      <c r="K85" s="368"/>
      <c r="L85" s="368"/>
      <c r="M85" s="377"/>
      <c r="N85" s="377"/>
      <c r="O85" s="378"/>
      <c r="P85" s="371" cm="1">
        <f t="array" ref="P85">SUM(SUMIFS('caseload data'!V:V,'caseload data'!B:B,{"licence","community"},'caseload data'!$C:$C,'community caseload'!B85))</f>
        <v>0</v>
      </c>
      <c r="Q85" s="379"/>
      <c r="R85" s="380"/>
      <c r="T85" s="156" t="str">
        <f>HLOOKUP($B$5,Region_Table,25,0)</f>
        <v>Wandsworth, Merton and Sutton</v>
      </c>
      <c r="U85" s="367" t="s">
        <v>1167</v>
      </c>
      <c r="V85" s="368"/>
      <c r="W85" s="368"/>
      <c r="X85" s="368"/>
      <c r="Y85" s="368"/>
      <c r="Z85" s="368"/>
      <c r="AA85" s="368"/>
      <c r="AB85" s="368"/>
      <c r="AC85" s="368"/>
      <c r="AD85" s="368"/>
      <c r="AE85" s="377"/>
      <c r="AF85" s="377"/>
      <c r="AG85" s="378"/>
      <c r="AH85" s="371" cm="1">
        <f t="array" ref="AH85">SUM(SUMIFS('caseload data'!V:V,'caseload data'!B:B,{"licence","community"},'caseload data'!$C:$C,'community caseload'!T85))</f>
        <v>0</v>
      </c>
      <c r="AI85" s="379"/>
      <c r="AJ85" s="380"/>
    </row>
    <row r="86" spans="2:36" x14ac:dyDescent="0.15">
      <c r="B86" s="105" t="s">
        <v>1065</v>
      </c>
      <c r="C86" s="41" t="s">
        <v>922</v>
      </c>
      <c r="D86" s="41" t="s">
        <v>923</v>
      </c>
      <c r="E86" s="41" t="s">
        <v>924</v>
      </c>
      <c r="F86" s="41" t="s">
        <v>925</v>
      </c>
      <c r="G86" s="41" t="s">
        <v>926</v>
      </c>
      <c r="H86" s="41" t="s">
        <v>927</v>
      </c>
      <c r="I86" s="41" t="s">
        <v>928</v>
      </c>
      <c r="J86" s="41" t="s">
        <v>929</v>
      </c>
      <c r="K86" s="41" t="s">
        <v>930</v>
      </c>
      <c r="L86" s="41" t="s">
        <v>931</v>
      </c>
      <c r="M86" s="41" t="s">
        <v>932</v>
      </c>
      <c r="N86" s="41" t="s">
        <v>933</v>
      </c>
      <c r="O86" s="41" t="s">
        <v>934</v>
      </c>
      <c r="P86" s="41" t="s">
        <v>935</v>
      </c>
      <c r="Q86" s="41" t="s">
        <v>936</v>
      </c>
      <c r="R86" s="41" t="s">
        <v>937</v>
      </c>
      <c r="T86" s="105" t="s">
        <v>1065</v>
      </c>
      <c r="U86" s="41" t="s">
        <v>922</v>
      </c>
      <c r="V86" s="41" t="s">
        <v>923</v>
      </c>
      <c r="W86" s="41" t="s">
        <v>924</v>
      </c>
      <c r="X86" s="41" t="s">
        <v>925</v>
      </c>
      <c r="Y86" s="41" t="s">
        <v>926</v>
      </c>
      <c r="Z86" s="41" t="s">
        <v>927</v>
      </c>
      <c r="AA86" s="41" t="s">
        <v>928</v>
      </c>
      <c r="AB86" s="41" t="s">
        <v>929</v>
      </c>
      <c r="AC86" s="41" t="s">
        <v>930</v>
      </c>
      <c r="AD86" s="41" t="s">
        <v>931</v>
      </c>
      <c r="AE86" s="41" t="s">
        <v>932</v>
      </c>
      <c r="AF86" s="41" t="s">
        <v>933</v>
      </c>
      <c r="AG86" s="41" t="s">
        <v>934</v>
      </c>
      <c r="AH86" s="41" t="s">
        <v>935</v>
      </c>
      <c r="AI86" s="41" t="s">
        <v>936</v>
      </c>
      <c r="AJ86" s="41" t="s">
        <v>937</v>
      </c>
    </row>
    <row r="87" spans="2:36" x14ac:dyDescent="0.15">
      <c r="B87" s="106" t="s">
        <v>911</v>
      </c>
      <c r="C87" s="104" cm="1">
        <f t="array" ref="C87">SUM(SUMIFS('caseload data'!E:E,'caseload data'!$D:$D,"PO",'caseload data'!$C:$C,'community caseload'!$B$85,'caseload data'!$B:$B,{"licence","community"}))</f>
        <v>0</v>
      </c>
      <c r="D87" s="104" cm="1">
        <f t="array" ref="D87">SUM(SUMIFS('caseload data'!F:F,'caseload data'!$D:$D,"PO",'caseload data'!$C:$C,'community caseload'!$B$85,'caseload data'!$B:$B,{"licence","community"}))</f>
        <v>0</v>
      </c>
      <c r="E87" s="104" cm="1">
        <f t="array" ref="E87">SUM(SUMIFS('caseload data'!G:G,'caseload data'!$D:$D,"PO",'caseload data'!$C:$C,'community caseload'!$B$85,'caseload data'!$B:$B,{"licence","community"}))</f>
        <v>0</v>
      </c>
      <c r="F87" s="104" cm="1">
        <f t="array" ref="F87">SUM(SUMIFS('caseload data'!H:H,'caseload data'!$D:$D,"PO",'caseload data'!$C:$C,'community caseload'!$B$85,'caseload data'!$B:$B,{"licence","community"}))</f>
        <v>0</v>
      </c>
      <c r="G87" s="104" cm="1">
        <f t="array" ref="G87">SUM(SUMIFS('caseload data'!I:I,'caseload data'!$D:$D,"PO",'caseload data'!$C:$C,'community caseload'!$B$85,'caseload data'!$B:$B,{"licence","community"}))</f>
        <v>0</v>
      </c>
      <c r="H87" s="104" cm="1">
        <f t="array" ref="H87">SUM(SUMIFS('caseload data'!J:J,'caseload data'!$D:$D,"PO",'caseload data'!$C:$C,'community caseload'!$B$85,'caseload data'!$B:$B,{"licence","community"}))</f>
        <v>0</v>
      </c>
      <c r="I87" s="104" cm="1">
        <f t="array" ref="I87">SUM(SUMIFS('caseload data'!K:K,'caseload data'!$D:$D,"PO",'caseload data'!$C:$C,'community caseload'!$B$85,'caseload data'!$B:$B,{"licence","community"}))</f>
        <v>0</v>
      </c>
      <c r="J87" s="104" cm="1">
        <f t="array" ref="J87">SUM(SUMIFS('caseload data'!L:L,'caseload data'!$D:$D,"PO",'caseload data'!$C:$C,'community caseload'!$B$85,'caseload data'!$B:$B,{"licence","community"}))</f>
        <v>0</v>
      </c>
      <c r="K87" s="104" cm="1">
        <f t="array" ref="K87">SUM(SUMIFS('caseload data'!M:M,'caseload data'!$D:$D,"PO",'caseload data'!$C:$C,'community caseload'!$B$85,'caseload data'!$B:$B,{"licence","community"}))</f>
        <v>0</v>
      </c>
      <c r="L87" s="104" cm="1">
        <f t="array" ref="L87">SUM(SUMIFS('caseload data'!N:N,'caseload data'!$D:$D,"PO",'caseload data'!$C:$C,'community caseload'!$B$85,'caseload data'!$B:$B,{"licence","community"}))</f>
        <v>0</v>
      </c>
      <c r="M87" s="104" cm="1">
        <f t="array" ref="M87">SUM(SUMIFS('caseload data'!O:O,'caseload data'!$D:$D,"PO",'caseload data'!$C:$C,'community caseload'!$B$85,'caseload data'!$B:$B,{"licence","community"}))</f>
        <v>0</v>
      </c>
      <c r="N87" s="104" cm="1">
        <f t="array" ref="N87">SUM(SUMIFS('caseload data'!P:P,'caseload data'!$D:$D,"PO",'caseload data'!$C:$C,'community caseload'!$B$85,'caseload data'!$B:$B,{"licence","community"}))</f>
        <v>0</v>
      </c>
      <c r="O87" s="104" cm="1">
        <f t="array" ref="O87">SUM(SUMIFS('caseload data'!Q:Q,'caseload data'!$D:$D,"PO",'caseload data'!$C:$C,'community caseload'!$B$85,'caseload data'!$B:$B,{"licence","community"}))</f>
        <v>0</v>
      </c>
      <c r="P87" s="104" cm="1">
        <f t="array" ref="P87">SUM(SUMIFS('caseload data'!R:R,'caseload data'!$D:$D,"PO",'caseload data'!$C:$C,'community caseload'!$B$85,'caseload data'!$B:$B,{"licence","community"}))</f>
        <v>0</v>
      </c>
      <c r="Q87" s="104" cm="1">
        <f t="array" ref="Q87">SUM(SUMIFS('caseload data'!S:S,'caseload data'!$D:$D,"PO",'caseload data'!$C:$C,'community caseload'!$B$85,'caseload data'!$B:$B,{"licence","community"}))</f>
        <v>0</v>
      </c>
      <c r="R87" s="104" cm="1">
        <f t="array" ref="R87">SUM(SUMIFS('caseload data'!T:T,'caseload data'!$D:$D,"PO",'caseload data'!$C:$C,'community caseload'!$B$85,'caseload data'!$B:$B,{"licence","community"}))</f>
        <v>0</v>
      </c>
      <c r="T87" s="106" t="s">
        <v>911</v>
      </c>
      <c r="U87" s="104" cm="1">
        <f t="array" ref="U87">SUM(SUMIFS('caseload data'!E:E,'caseload data'!$D:$D,"PO",'caseload data'!$C:$C,'community caseload'!$T$85,'caseload data'!$B:$B,{"licence","community"}))</f>
        <v>0</v>
      </c>
      <c r="V87" s="104" cm="1">
        <f t="array" ref="V87">SUM(SUMIFS('caseload data'!F:F,'caseload data'!$D:$D,"PO",'caseload data'!$C:$C,'community caseload'!$T$85,'caseload data'!$B:$B,{"licence","community"}))</f>
        <v>0</v>
      </c>
      <c r="W87" s="104" cm="1">
        <f t="array" ref="W87">SUM(SUMIFS('caseload data'!G:G,'caseload data'!$D:$D,"PO",'caseload data'!$C:$C,'community caseload'!$T$85,'caseload data'!$B:$B,{"licence","community"}))</f>
        <v>0</v>
      </c>
      <c r="X87" s="104" cm="1">
        <f t="array" ref="X87">SUM(SUMIFS('caseload data'!H:H,'caseload data'!$D:$D,"PO",'caseload data'!$C:$C,'community caseload'!$T$85,'caseload data'!$B:$B,{"licence","community"}))</f>
        <v>0</v>
      </c>
      <c r="Y87" s="104" cm="1">
        <f t="array" ref="Y87">SUM(SUMIFS('caseload data'!I:I,'caseload data'!$D:$D,"PO",'caseload data'!$C:$C,'community caseload'!$T$85,'caseload data'!$B:$B,{"licence","community"}))</f>
        <v>0</v>
      </c>
      <c r="Z87" s="104" cm="1">
        <f t="array" ref="Z87">SUM(SUMIFS('caseload data'!J:J,'caseload data'!$D:$D,"PO",'caseload data'!$C:$C,'community caseload'!$T$85,'caseload data'!$B:$B,{"licence","community"}))</f>
        <v>0</v>
      </c>
      <c r="AA87" s="104" cm="1">
        <f t="array" ref="AA87">SUM(SUMIFS('caseload data'!K:K,'caseload data'!$D:$D,"PO",'caseload data'!$C:$C,'community caseload'!$T$85,'caseload data'!$B:$B,{"licence","community"}))</f>
        <v>0</v>
      </c>
      <c r="AB87" s="104" cm="1">
        <f t="array" ref="AB87">SUM(SUMIFS('caseload data'!L:L,'caseload data'!$D:$D,"PO",'caseload data'!$C:$C,'community caseload'!$T$85,'caseload data'!$B:$B,{"licence","community"}))</f>
        <v>0</v>
      </c>
      <c r="AC87" s="104" cm="1">
        <f t="array" ref="AC87">SUM(SUMIFS('caseload data'!M:M,'caseload data'!$D:$D,"PO",'caseload data'!$C:$C,'community caseload'!$T$85,'caseload data'!$B:$B,{"licence","community"}))</f>
        <v>0</v>
      </c>
      <c r="AD87" s="104" cm="1">
        <f t="array" ref="AD87">SUM(SUMIFS('caseload data'!N:N,'caseload data'!$D:$D,"PO",'caseload data'!$C:$C,'community caseload'!$T$85,'caseload data'!$B:$B,{"licence","community"}))</f>
        <v>0</v>
      </c>
      <c r="AE87" s="104" cm="1">
        <f t="array" ref="AE87">SUM(SUMIFS('caseload data'!O:O,'caseload data'!$D:$D,"PO",'caseload data'!$C:$C,'community caseload'!$T$85,'caseload data'!$B:$B,{"licence","community"}))</f>
        <v>0</v>
      </c>
      <c r="AF87" s="104" cm="1">
        <f t="array" ref="AF87">SUM(SUMIFS('caseload data'!P:P,'caseload data'!$D:$D,"PO",'caseload data'!$C:$C,'community caseload'!$T$85,'caseload data'!$B:$B,{"licence","community"}))</f>
        <v>0</v>
      </c>
      <c r="AG87" s="104" cm="1">
        <f t="array" ref="AG87">SUM(SUMIFS('caseload data'!Q:Q,'caseload data'!$D:$D,"PO",'caseload data'!$C:$C,'community caseload'!$T$85,'caseload data'!$B:$B,{"licence","community"}))</f>
        <v>0</v>
      </c>
      <c r="AH87" s="104" cm="1">
        <f t="array" ref="AH87">SUM(SUMIFS('caseload data'!R:R,'caseload data'!$D:$D,"PO",'caseload data'!$C:$C,'community caseload'!$T$85,'caseload data'!$B:$B,{"licence","community"}))</f>
        <v>0</v>
      </c>
      <c r="AI87" s="104" cm="1">
        <f t="array" ref="AI87">SUM(SUMIFS('caseload data'!S:S,'caseload data'!$D:$D,"PO",'caseload data'!$C:$C,'community caseload'!$T$85,'caseload data'!$B:$B,{"licence","community"}))</f>
        <v>0</v>
      </c>
      <c r="AJ87" s="104" cm="1">
        <f t="array" ref="AJ87">SUM(SUMIFS('caseload data'!T:T,'caseload data'!$D:$D,"PO",'caseload data'!$C:$C,'community caseload'!$T$85,'caseload data'!$B:$B,{"licence","community"}))</f>
        <v>0</v>
      </c>
    </row>
    <row r="88" spans="2:36" x14ac:dyDescent="0.15">
      <c r="B88" s="107" t="s">
        <v>912</v>
      </c>
      <c r="C88" s="104" cm="1">
        <f t="array" ref="C88">SUM(SUMIFS('caseload data'!E:E,'caseload data'!$D:$D,"PSO",'caseload data'!$C:$C,'community caseload'!$B$85,'caseload data'!$B:$B,{"licence","community"}))</f>
        <v>0</v>
      </c>
      <c r="D88" s="104" cm="1">
        <f t="array" ref="D88">SUM(SUMIFS('caseload data'!F:F,'caseload data'!$D:$D,"PSO",'caseload data'!$C:$C,'community caseload'!$B$85,'caseload data'!$B:$B,{"licence","community"}))</f>
        <v>0</v>
      </c>
      <c r="E88" s="104" cm="1">
        <f t="array" ref="E88">SUM(SUMIFS('caseload data'!G:G,'caseload data'!$D:$D,"PSO",'caseload data'!$C:$C,'community caseload'!$B$85,'caseload data'!$B:$B,{"licence","community"}))</f>
        <v>0</v>
      </c>
      <c r="F88" s="104" cm="1">
        <f t="array" ref="F88">SUM(SUMIFS('caseload data'!H:H,'caseload data'!$D:$D,"PSO",'caseload data'!$C:$C,'community caseload'!$B$85,'caseload data'!$B:$B,{"licence","community"}))</f>
        <v>0</v>
      </c>
      <c r="G88" s="104" cm="1">
        <f t="array" ref="G88">SUM(SUMIFS('caseload data'!I:I,'caseload data'!$D:$D,"PSO",'caseload data'!$C:$C,'community caseload'!$B$85,'caseload data'!$B:$B,{"licence","community"}))</f>
        <v>0</v>
      </c>
      <c r="H88" s="104" cm="1">
        <f t="array" ref="H88">SUM(SUMIFS('caseload data'!J:J,'caseload data'!$D:$D,"PSO",'caseload data'!$C:$C,'community caseload'!$B$85,'caseload data'!$B:$B,{"licence","community"}))</f>
        <v>0</v>
      </c>
      <c r="I88" s="104" cm="1">
        <f t="array" ref="I88">SUM(SUMIFS('caseload data'!K:K,'caseload data'!$D:$D,"PSO",'caseload data'!$C:$C,'community caseload'!$B$85,'caseload data'!$B:$B,{"licence","community"}))</f>
        <v>0</v>
      </c>
      <c r="J88" s="104" cm="1">
        <f t="array" ref="J88">SUM(SUMIFS('caseload data'!L:L,'caseload data'!$D:$D,"PSO",'caseload data'!$C:$C,'community caseload'!$B$85,'caseload data'!$B:$B,{"licence","community"}))</f>
        <v>0</v>
      </c>
      <c r="K88" s="104" cm="1">
        <f t="array" ref="K88">SUM(SUMIFS('caseload data'!M:M,'caseload data'!$D:$D,"PSO",'caseload data'!$C:$C,'community caseload'!$B$85,'caseload data'!$B:$B,{"licence","community"}))</f>
        <v>0</v>
      </c>
      <c r="L88" s="104" cm="1">
        <f t="array" ref="L88">SUM(SUMIFS('caseload data'!N:N,'caseload data'!$D:$D,"PSO",'caseload data'!$C:$C,'community caseload'!$B$85,'caseload data'!$B:$B,{"licence","community"}))</f>
        <v>0</v>
      </c>
      <c r="M88" s="104" cm="1">
        <f t="array" ref="M88">SUM(SUMIFS('caseload data'!O:O,'caseload data'!$D:$D,"PSO",'caseload data'!$C:$C,'community caseload'!$B$85,'caseload data'!$B:$B,{"licence","community"}))</f>
        <v>0</v>
      </c>
      <c r="N88" s="104" cm="1">
        <f t="array" ref="N88">SUM(SUMIFS('caseload data'!P:P,'caseload data'!$D:$D,"PSO",'caseload data'!$C:$C,'community caseload'!$B$85,'caseload data'!$B:$B,{"licence","community"}))</f>
        <v>0</v>
      </c>
      <c r="O88" s="104" cm="1">
        <f t="array" ref="O88">SUM(SUMIFS('caseload data'!Q:Q,'caseload data'!$D:$D,"PSO",'caseload data'!$C:$C,'community caseload'!$B$85,'caseload data'!$B:$B,{"licence","community"}))</f>
        <v>0</v>
      </c>
      <c r="P88" s="104" cm="1">
        <f t="array" ref="P88">SUM(SUMIFS('caseload data'!R:R,'caseload data'!$D:$D,"PSO",'caseload data'!$C:$C,'community caseload'!$B$85,'caseload data'!$B:$B,{"licence","community"}))</f>
        <v>0</v>
      </c>
      <c r="Q88" s="104" cm="1">
        <f t="array" ref="Q88">SUM(SUMIFS('caseload data'!S:S,'caseload data'!$D:$D,"PSO",'caseload data'!$C:$C,'community caseload'!$B$85,'caseload data'!$B:$B,{"licence","community"}))</f>
        <v>0</v>
      </c>
      <c r="R88" s="104" cm="1">
        <f t="array" ref="R88">SUM(SUMIFS('caseload data'!T:T,'caseload data'!$D:$D,"PSO",'caseload data'!$C:$C,'community caseload'!$B$85,'caseload data'!$B:$B,{"licence","community"}))</f>
        <v>0</v>
      </c>
      <c r="T88" s="107" t="s">
        <v>912</v>
      </c>
      <c r="U88" s="104" cm="1">
        <f t="array" ref="U88">SUM(SUMIFS('caseload data'!E:E,'caseload data'!$D:$D,"PSO",'caseload data'!$C:$C,'community caseload'!$T$85,'caseload data'!$B:$B,{"licence","community"}))</f>
        <v>0</v>
      </c>
      <c r="V88" s="104" cm="1">
        <f t="array" ref="V88">SUM(SUMIFS('caseload data'!F:F,'caseload data'!$D:$D,"PSO",'caseload data'!$C:$C,'community caseload'!$T$85,'caseload data'!$B:$B,{"licence","community"}))</f>
        <v>0</v>
      </c>
      <c r="W88" s="104" cm="1">
        <f t="array" ref="W88">SUM(SUMIFS('caseload data'!G:G,'caseload data'!$D:$D,"PSO",'caseload data'!$C:$C,'community caseload'!$T$85,'caseload data'!$B:$B,{"licence","community"}))</f>
        <v>0</v>
      </c>
      <c r="X88" s="104" cm="1">
        <f t="array" ref="X88">SUM(SUMIFS('caseload data'!H:H,'caseload data'!$D:$D,"PSO",'caseload data'!$C:$C,'community caseload'!$T$85,'caseload data'!$B:$B,{"licence","community"}))</f>
        <v>0</v>
      </c>
      <c r="Y88" s="104" cm="1">
        <f t="array" ref="Y88">SUM(SUMIFS('caseload data'!I:I,'caseload data'!$D:$D,"PSO",'caseload data'!$C:$C,'community caseload'!$T$85,'caseload data'!$B:$B,{"licence","community"}))</f>
        <v>0</v>
      </c>
      <c r="Z88" s="104" cm="1">
        <f t="array" ref="Z88">SUM(SUMIFS('caseload data'!J:J,'caseload data'!$D:$D,"PSO",'caseload data'!$C:$C,'community caseload'!$T$85,'caseload data'!$B:$B,{"licence","community"}))</f>
        <v>0</v>
      </c>
      <c r="AA88" s="104" cm="1">
        <f t="array" ref="AA88">SUM(SUMIFS('caseload data'!K:K,'caseload data'!$D:$D,"PSO",'caseload data'!$C:$C,'community caseload'!$T$85,'caseload data'!$B:$B,{"licence","community"}))</f>
        <v>0</v>
      </c>
      <c r="AB88" s="104" cm="1">
        <f t="array" ref="AB88">SUM(SUMIFS('caseload data'!L:L,'caseload data'!$D:$D,"PSO",'caseload data'!$C:$C,'community caseload'!$T$85,'caseload data'!$B:$B,{"licence","community"}))</f>
        <v>0</v>
      </c>
      <c r="AC88" s="104" cm="1">
        <f t="array" ref="AC88">SUM(SUMIFS('caseload data'!M:M,'caseload data'!$D:$D,"PSO",'caseload data'!$C:$C,'community caseload'!$T$85,'caseload data'!$B:$B,{"licence","community"}))</f>
        <v>0</v>
      </c>
      <c r="AD88" s="104" cm="1">
        <f t="array" ref="AD88">SUM(SUMIFS('caseload data'!N:N,'caseload data'!$D:$D,"PSO",'caseload data'!$C:$C,'community caseload'!$T$85,'caseload data'!$B:$B,{"licence","community"}))</f>
        <v>0</v>
      </c>
      <c r="AE88" s="104" cm="1">
        <f t="array" ref="AE88">SUM(SUMIFS('caseload data'!O:O,'caseload data'!$D:$D,"PSO",'caseload data'!$C:$C,'community caseload'!$T$85,'caseload data'!$B:$B,{"licence","community"}))</f>
        <v>0</v>
      </c>
      <c r="AF88" s="104" cm="1">
        <f t="array" ref="AF88">SUM(SUMIFS('caseload data'!P:P,'caseload data'!$D:$D,"PSO",'caseload data'!$C:$C,'community caseload'!$T$85,'caseload data'!$B:$B,{"licence","community"}))</f>
        <v>0</v>
      </c>
      <c r="AG88" s="104" cm="1">
        <f t="array" ref="AG88">SUM(SUMIFS('caseload data'!Q:Q,'caseload data'!$D:$D,"PSO",'caseload data'!$C:$C,'community caseload'!$T$85,'caseload data'!$B:$B,{"licence","community"}))</f>
        <v>0</v>
      </c>
      <c r="AH88" s="104" cm="1">
        <f t="array" ref="AH88">SUM(SUMIFS('caseload data'!R:R,'caseload data'!$D:$D,"PSO",'caseload data'!$C:$C,'community caseload'!$T$85,'caseload data'!$B:$B,{"licence","community"}))</f>
        <v>0</v>
      </c>
      <c r="AI88" s="104" cm="1">
        <f t="array" ref="AI88">SUM(SUMIFS('caseload data'!S:S,'caseload data'!$D:$D,"PSO",'caseload data'!$C:$C,'community caseload'!$T$85,'caseload data'!$B:$B,{"licence","community"}))</f>
        <v>0</v>
      </c>
      <c r="AJ88" s="104" cm="1">
        <f t="array" ref="AJ88">SUM(SUMIFS('caseload data'!T:T,'caseload data'!$D:$D,"PSO",'caseload data'!$C:$C,'community caseload'!$T$85,'caseload data'!$B:$B,{"licence","community"}))</f>
        <v>0</v>
      </c>
    </row>
    <row r="89" spans="2:36" x14ac:dyDescent="0.15">
      <c r="B89" s="107" t="s">
        <v>913</v>
      </c>
      <c r="C89" s="104" cm="1">
        <f t="array" ref="C89">SUM(SUMIFS('caseload data'!E:E,'caseload data'!$D:$D,"TPO",'caseload data'!$C:$C,'community caseload'!$B$85,'caseload data'!$B:$B,{"licence","community"}))</f>
        <v>0</v>
      </c>
      <c r="D89" s="104" cm="1">
        <f t="array" ref="D89">SUM(SUMIFS('caseload data'!F:F,'caseload data'!$D:$D,"TPO",'caseload data'!$C:$C,'community caseload'!$B$85,'caseload data'!$B:$B,{"licence","community"}))</f>
        <v>0</v>
      </c>
      <c r="E89" s="104" cm="1">
        <f t="array" ref="E89">SUM(SUMIFS('caseload data'!G:G,'caseload data'!$D:$D,"TPO",'caseload data'!$C:$C,'community caseload'!$B$85,'caseload data'!$B:$B,{"licence","community"}))</f>
        <v>0</v>
      </c>
      <c r="F89" s="104" cm="1">
        <f t="array" ref="F89">SUM(SUMIFS('caseload data'!H:H,'caseload data'!$D:$D,"TPO",'caseload data'!$C:$C,'community caseload'!$B$85,'caseload data'!$B:$B,{"licence","community"}))</f>
        <v>0</v>
      </c>
      <c r="G89" s="104" cm="1">
        <f t="array" ref="G89">SUM(SUMIFS('caseload data'!I:I,'caseload data'!$D:$D,"TPO",'caseload data'!$C:$C,'community caseload'!$B$85,'caseload data'!$B:$B,{"licence","community"}))</f>
        <v>0</v>
      </c>
      <c r="H89" s="104" cm="1">
        <f t="array" ref="H89">SUM(SUMIFS('caseload data'!J:J,'caseload data'!$D:$D,"TPO",'caseload data'!$C:$C,'community caseload'!$B$85,'caseload data'!$B:$B,{"licence","community"}))</f>
        <v>0</v>
      </c>
      <c r="I89" s="104" cm="1">
        <f t="array" ref="I89">SUM(SUMIFS('caseload data'!K:K,'caseload data'!$D:$D,"TPO",'caseload data'!$C:$C,'community caseload'!$B$85,'caseload data'!$B:$B,{"licence","community"}))</f>
        <v>0</v>
      </c>
      <c r="J89" s="104" cm="1">
        <f t="array" ref="J89">SUM(SUMIFS('caseload data'!L:L,'caseload data'!$D:$D,"TPO",'caseload data'!$C:$C,'community caseload'!$B$85,'caseload data'!$B:$B,{"licence","community"}))</f>
        <v>0</v>
      </c>
      <c r="K89" s="104" cm="1">
        <f t="array" ref="K89">SUM(SUMIFS('caseload data'!M:M,'caseload data'!$D:$D,"TPO",'caseload data'!$C:$C,'community caseload'!$B$85,'caseload data'!$B:$B,{"licence","community"}))</f>
        <v>0</v>
      </c>
      <c r="L89" s="104" cm="1">
        <f t="array" ref="L89">SUM(SUMIFS('caseload data'!N:N,'caseload data'!$D:$D,"TPO",'caseload data'!$C:$C,'community caseload'!$B$85,'caseload data'!$B:$B,{"licence","community"}))</f>
        <v>0</v>
      </c>
      <c r="M89" s="104" cm="1">
        <f t="array" ref="M89">SUM(SUMIFS('caseload data'!O:O,'caseload data'!$D:$D,"TPO",'caseload data'!$C:$C,'community caseload'!$B$85,'caseload data'!$B:$B,{"licence","community"}))</f>
        <v>0</v>
      </c>
      <c r="N89" s="104" cm="1">
        <f t="array" ref="N89">SUM(SUMIFS('caseload data'!P:P,'caseload data'!$D:$D,"TPO",'caseload data'!$C:$C,'community caseload'!$B$85,'caseload data'!$B:$B,{"licence","community"}))</f>
        <v>0</v>
      </c>
      <c r="O89" s="104" cm="1">
        <f t="array" ref="O89">SUM(SUMIFS('caseload data'!Q:Q,'caseload data'!$D:$D,"TPO",'caseload data'!$C:$C,'community caseload'!$B$85,'caseload data'!$B:$B,{"licence","community"}))</f>
        <v>0</v>
      </c>
      <c r="P89" s="104" cm="1">
        <f t="array" ref="P89">SUM(SUMIFS('caseload data'!R:R,'caseload data'!$D:$D,"TPO",'caseload data'!$C:$C,'community caseload'!$B$85,'caseload data'!$B:$B,{"licence","community"}))</f>
        <v>0</v>
      </c>
      <c r="Q89" s="104" cm="1">
        <f t="array" ref="Q89">SUM(SUMIFS('caseload data'!S:S,'caseload data'!$D:$D,"TPO",'caseload data'!$C:$C,'community caseload'!$B$85,'caseload data'!$B:$B,{"licence","community"}))</f>
        <v>0</v>
      </c>
      <c r="R89" s="104" cm="1">
        <f t="array" ref="R89">SUM(SUMIFS('caseload data'!T:T,'caseload data'!$D:$D,"TPO",'caseload data'!$C:$C,'community caseload'!$B$85,'caseload data'!$B:$B,{"licence","community"}))</f>
        <v>0</v>
      </c>
      <c r="T89" s="107" t="s">
        <v>913</v>
      </c>
      <c r="U89" s="104" cm="1">
        <f t="array" ref="U89">SUM(SUMIFS('caseload data'!E:E,'caseload data'!$D:$D,"TPO",'caseload data'!$C:$C,'community caseload'!$T$85,'caseload data'!$B:$B,{"licence","community"}))</f>
        <v>0</v>
      </c>
      <c r="V89" s="104" cm="1">
        <f t="array" ref="V89">SUM(SUMIFS('caseload data'!F:F,'caseload data'!$D:$D,"TPO",'caseload data'!$C:$C,'community caseload'!$T$85,'caseload data'!$B:$B,{"licence","community"}))</f>
        <v>0</v>
      </c>
      <c r="W89" s="104" cm="1">
        <f t="array" ref="W89">SUM(SUMIFS('caseload data'!G:G,'caseload data'!$D:$D,"TPO",'caseload data'!$C:$C,'community caseload'!$T$85,'caseload data'!$B:$B,{"licence","community"}))</f>
        <v>0</v>
      </c>
      <c r="X89" s="104" cm="1">
        <f t="array" ref="X89">SUM(SUMIFS('caseload data'!H:H,'caseload data'!$D:$D,"TPO",'caseload data'!$C:$C,'community caseload'!$T$85,'caseload data'!$B:$B,{"licence","community"}))</f>
        <v>0</v>
      </c>
      <c r="Y89" s="104" cm="1">
        <f t="array" ref="Y89">SUM(SUMIFS('caseload data'!I:I,'caseload data'!$D:$D,"TPO",'caseload data'!$C:$C,'community caseload'!$T$85,'caseload data'!$B:$B,{"licence","community"}))</f>
        <v>0</v>
      </c>
      <c r="Z89" s="104" cm="1">
        <f t="array" ref="Z89">SUM(SUMIFS('caseload data'!J:J,'caseload data'!$D:$D,"TPO",'caseload data'!$C:$C,'community caseload'!$T$85,'caseload data'!$B:$B,{"licence","community"}))</f>
        <v>0</v>
      </c>
      <c r="AA89" s="104" cm="1">
        <f t="array" ref="AA89">SUM(SUMIFS('caseload data'!K:K,'caseload data'!$D:$D,"TPO",'caseload data'!$C:$C,'community caseload'!$T$85,'caseload data'!$B:$B,{"licence","community"}))</f>
        <v>0</v>
      </c>
      <c r="AB89" s="104" cm="1">
        <f t="array" ref="AB89">SUM(SUMIFS('caseload data'!L:L,'caseload data'!$D:$D,"TPO",'caseload data'!$C:$C,'community caseload'!$T$85,'caseload data'!$B:$B,{"licence","community"}))</f>
        <v>0</v>
      </c>
      <c r="AC89" s="104" cm="1">
        <f t="array" ref="AC89">SUM(SUMIFS('caseload data'!M:M,'caseload data'!$D:$D,"TPO",'caseload data'!$C:$C,'community caseload'!$T$85,'caseload data'!$B:$B,{"licence","community"}))</f>
        <v>0</v>
      </c>
      <c r="AD89" s="104" cm="1">
        <f t="array" ref="AD89">SUM(SUMIFS('caseload data'!N:N,'caseload data'!$D:$D,"TPO",'caseload data'!$C:$C,'community caseload'!$T$85,'caseload data'!$B:$B,{"licence","community"}))</f>
        <v>0</v>
      </c>
      <c r="AE89" s="104" cm="1">
        <f t="array" ref="AE89">SUM(SUMIFS('caseload data'!O:O,'caseload data'!$D:$D,"TPO",'caseload data'!$C:$C,'community caseload'!$T$85,'caseload data'!$B:$B,{"licence","community"}))</f>
        <v>0</v>
      </c>
      <c r="AF89" s="104" cm="1">
        <f t="array" ref="AF89">SUM(SUMIFS('caseload data'!P:P,'caseload data'!$D:$D,"TPO",'caseload data'!$C:$C,'community caseload'!$T$85,'caseload data'!$B:$B,{"licence","community"}))</f>
        <v>0</v>
      </c>
      <c r="AG89" s="104" cm="1">
        <f t="array" ref="AG89">SUM(SUMIFS('caseload data'!Q:Q,'caseload data'!$D:$D,"TPO",'caseload data'!$C:$C,'community caseload'!$T$85,'caseload data'!$B:$B,{"licence","community"}))</f>
        <v>0</v>
      </c>
      <c r="AH89" s="104" cm="1">
        <f t="array" ref="AH89">SUM(SUMIFS('caseload data'!R:R,'caseload data'!$D:$D,"TPO",'caseload data'!$C:$C,'community caseload'!$T$85,'caseload data'!$B:$B,{"licence","community"}))</f>
        <v>0</v>
      </c>
      <c r="AI89" s="104" cm="1">
        <f t="array" ref="AI89">SUM(SUMIFS('caseload data'!S:S,'caseload data'!$D:$D,"TPO",'caseload data'!$C:$C,'community caseload'!$T$85,'caseload data'!$B:$B,{"licence","community"}))</f>
        <v>0</v>
      </c>
      <c r="AJ89" s="104" cm="1">
        <f t="array" ref="AJ89">SUM(SUMIFS('caseload data'!T:T,'caseload data'!$D:$D,"TPO",'caseload data'!$C:$C,'community caseload'!$T$85,'caseload data'!$B:$B,{"licence","community"}))</f>
        <v>0</v>
      </c>
    </row>
    <row r="90" spans="2:36" x14ac:dyDescent="0.15">
      <c r="B90" s="108" t="s">
        <v>914</v>
      </c>
      <c r="C90" s="104" cm="1">
        <f t="array" ref="C90">SUM(SUMIFS('caseload data'!E:E,'caseload data'!$D:$D,"SPO",'caseload data'!$C:$C,'community caseload'!$B$85,'caseload data'!$B:$B,{"licence","community"}))</f>
        <v>0</v>
      </c>
      <c r="D90" s="104" cm="1">
        <f t="array" ref="D90">SUM(SUMIFS('caseload data'!F:F,'caseload data'!$D:$D,"SPO",'caseload data'!$C:$C,'community caseload'!$B$85,'caseload data'!$B:$B,{"licence","community"}))</f>
        <v>0</v>
      </c>
      <c r="E90" s="104" cm="1">
        <f t="array" ref="E90">SUM(SUMIFS('caseload data'!G:G,'caseload data'!$D:$D,"SPO",'caseload data'!$C:$C,'community caseload'!$B$85,'caseload data'!$B:$B,{"licence","community"}))</f>
        <v>0</v>
      </c>
      <c r="F90" s="104" cm="1">
        <f t="array" ref="F90">SUM(SUMIFS('caseload data'!H:H,'caseload data'!$D:$D,"SPO",'caseload data'!$C:$C,'community caseload'!$B$85,'caseload data'!$B:$B,{"licence","community"}))</f>
        <v>0</v>
      </c>
      <c r="G90" s="104" cm="1">
        <f t="array" ref="G90">SUM(SUMIFS('caseload data'!I:I,'caseload data'!$D:$D,"SPO",'caseload data'!$C:$C,'community caseload'!$B$85,'caseload data'!$B:$B,{"licence","community"}))</f>
        <v>0</v>
      </c>
      <c r="H90" s="104" cm="1">
        <f t="array" ref="H90">SUM(SUMIFS('caseload data'!J:J,'caseload data'!$D:$D,"SPO",'caseload data'!$C:$C,'community caseload'!$B$85,'caseload data'!$B:$B,{"licence","community"}))</f>
        <v>0</v>
      </c>
      <c r="I90" s="104" cm="1">
        <f t="array" ref="I90">SUM(SUMIFS('caseload data'!K:K,'caseload data'!$D:$D,"SPO",'caseload data'!$C:$C,'community caseload'!$B$85,'caseload data'!$B:$B,{"licence","community"}))</f>
        <v>0</v>
      </c>
      <c r="J90" s="104" cm="1">
        <f t="array" ref="J90">SUM(SUMIFS('caseload data'!L:L,'caseload data'!$D:$D,"SPO",'caseload data'!$C:$C,'community caseload'!$B$85,'caseload data'!$B:$B,{"licence","community"}))</f>
        <v>0</v>
      </c>
      <c r="K90" s="104" cm="1">
        <f t="array" ref="K90">SUM(SUMIFS('caseload data'!M:M,'caseload data'!$D:$D,"SPO",'caseload data'!$C:$C,'community caseload'!$B$85,'caseload data'!$B:$B,{"licence","community"}))</f>
        <v>0</v>
      </c>
      <c r="L90" s="104" cm="1">
        <f t="array" ref="L90">SUM(SUMIFS('caseload data'!N:N,'caseload data'!$D:$D,"SPO",'caseload data'!$C:$C,'community caseload'!$B$85,'caseload data'!$B:$B,{"licence","community"}))</f>
        <v>0</v>
      </c>
      <c r="M90" s="104" cm="1">
        <f t="array" ref="M90">SUM(SUMIFS('caseload data'!O:O,'caseload data'!$D:$D,"SPO",'caseload data'!$C:$C,'community caseload'!$B$85,'caseload data'!$B:$B,{"licence","community"}))</f>
        <v>0</v>
      </c>
      <c r="N90" s="104" cm="1">
        <f t="array" ref="N90">SUM(SUMIFS('caseload data'!P:P,'caseload data'!$D:$D,"SPO",'caseload data'!$C:$C,'community caseload'!$B$85,'caseload data'!$B:$B,{"licence","community"}))</f>
        <v>0</v>
      </c>
      <c r="O90" s="104" cm="1">
        <f t="array" ref="O90">SUM(SUMIFS('caseload data'!Q:Q,'caseload data'!$D:$D,"SPO",'caseload data'!$C:$C,'community caseload'!$B$85,'caseload data'!$B:$B,{"licence","community"}))</f>
        <v>0</v>
      </c>
      <c r="P90" s="104" cm="1">
        <f t="array" ref="P90">SUM(SUMIFS('caseload data'!R:R,'caseload data'!$D:$D,"SPO",'caseload data'!$C:$C,'community caseload'!$B$85,'caseload data'!$B:$B,{"licence","community"}))</f>
        <v>0</v>
      </c>
      <c r="Q90" s="104" cm="1">
        <f t="array" ref="Q90">SUM(SUMIFS('caseload data'!S:S,'caseload data'!$D:$D,"SPO",'caseload data'!$C:$C,'community caseload'!$B$85,'caseload data'!$B:$B,{"licence","community"}))</f>
        <v>0</v>
      </c>
      <c r="R90" s="104" cm="1">
        <f t="array" ref="R90">SUM(SUMIFS('caseload data'!T:T,'caseload data'!$D:$D,"SPO",'caseload data'!$C:$C,'community caseload'!$B$85,'caseload data'!$B:$B,{"licence","community"}))</f>
        <v>0</v>
      </c>
      <c r="T90" s="108" t="s">
        <v>914</v>
      </c>
      <c r="U90" s="104" cm="1">
        <f t="array" ref="U90">SUM(SUMIFS('caseload data'!E:E,'caseload data'!$D:$D,"SPO",'caseload data'!$C:$C,'community caseload'!$T$85,'caseload data'!$B:$B,{"licence","community"}))</f>
        <v>0</v>
      </c>
      <c r="V90" s="104" cm="1">
        <f t="array" ref="V90">SUM(SUMIFS('caseload data'!F:F,'caseload data'!$D:$D,"SPO",'caseload data'!$C:$C,'community caseload'!$T$85,'caseload data'!$B:$B,{"licence","community"}))</f>
        <v>0</v>
      </c>
      <c r="W90" s="104" cm="1">
        <f t="array" ref="W90">SUM(SUMIFS('caseload data'!G:G,'caseload data'!$D:$D,"SPO",'caseload data'!$C:$C,'community caseload'!$T$85,'caseload data'!$B:$B,{"licence","community"}))</f>
        <v>0</v>
      </c>
      <c r="X90" s="104" cm="1">
        <f t="array" ref="X90">SUM(SUMIFS('caseload data'!H:H,'caseload data'!$D:$D,"SPO",'caseload data'!$C:$C,'community caseload'!$T$85,'caseload data'!$B:$B,{"licence","community"}))</f>
        <v>0</v>
      </c>
      <c r="Y90" s="104" cm="1">
        <f t="array" ref="Y90">SUM(SUMIFS('caseload data'!I:I,'caseload data'!$D:$D,"SPO",'caseload data'!$C:$C,'community caseload'!$T$85,'caseload data'!$B:$B,{"licence","community"}))</f>
        <v>0</v>
      </c>
      <c r="Z90" s="104" cm="1">
        <f t="array" ref="Z90">SUM(SUMIFS('caseload data'!J:J,'caseload data'!$D:$D,"SPO",'caseload data'!$C:$C,'community caseload'!$T$85,'caseload data'!$B:$B,{"licence","community"}))</f>
        <v>0</v>
      </c>
      <c r="AA90" s="104" cm="1">
        <f t="array" ref="AA90">SUM(SUMIFS('caseload data'!K:K,'caseload data'!$D:$D,"SPO",'caseload data'!$C:$C,'community caseload'!$T$85,'caseload data'!$B:$B,{"licence","community"}))</f>
        <v>0</v>
      </c>
      <c r="AB90" s="104" cm="1">
        <f t="array" ref="AB90">SUM(SUMIFS('caseload data'!L:L,'caseload data'!$D:$D,"SPO",'caseload data'!$C:$C,'community caseload'!$T$85,'caseload data'!$B:$B,{"licence","community"}))</f>
        <v>0</v>
      </c>
      <c r="AC90" s="104" cm="1">
        <f t="array" ref="AC90">SUM(SUMIFS('caseload data'!M:M,'caseload data'!$D:$D,"SPO",'caseload data'!$C:$C,'community caseload'!$T$85,'caseload data'!$B:$B,{"licence","community"}))</f>
        <v>0</v>
      </c>
      <c r="AD90" s="104" cm="1">
        <f t="array" ref="AD90">SUM(SUMIFS('caseload data'!N:N,'caseload data'!$D:$D,"SPO",'caseload data'!$C:$C,'community caseload'!$T$85,'caseload data'!$B:$B,{"licence","community"}))</f>
        <v>0</v>
      </c>
      <c r="AE90" s="104" cm="1">
        <f t="array" ref="AE90">SUM(SUMIFS('caseload data'!O:O,'caseload data'!$D:$D,"SPO",'caseload data'!$C:$C,'community caseload'!$T$85,'caseload data'!$B:$B,{"licence","community"}))</f>
        <v>0</v>
      </c>
      <c r="AF90" s="104" cm="1">
        <f t="array" ref="AF90">SUM(SUMIFS('caseload data'!P:P,'caseload data'!$D:$D,"SPO",'caseload data'!$C:$C,'community caseload'!$T$85,'caseload data'!$B:$B,{"licence","community"}))</f>
        <v>0</v>
      </c>
      <c r="AG90" s="104" cm="1">
        <f t="array" ref="AG90">SUM(SUMIFS('caseload data'!Q:Q,'caseload data'!$D:$D,"SPO",'caseload data'!$C:$C,'community caseload'!$T$85,'caseload data'!$B:$B,{"licence","community"}))</f>
        <v>0</v>
      </c>
      <c r="AH90" s="104" cm="1">
        <f t="array" ref="AH90">SUM(SUMIFS('caseload data'!R:R,'caseload data'!$D:$D,"SPO",'caseload data'!$C:$C,'community caseload'!$T$85,'caseload data'!$B:$B,{"licence","community"}))</f>
        <v>0</v>
      </c>
      <c r="AI90" s="104" cm="1">
        <f t="array" ref="AI90">SUM(SUMIFS('caseload data'!S:S,'caseload data'!$D:$D,"SPO",'caseload data'!$C:$C,'community caseload'!$T$85,'caseload data'!$B:$B,{"licence","community"}))</f>
        <v>0</v>
      </c>
      <c r="AJ90" s="104" cm="1">
        <f t="array" ref="AJ90">SUM(SUMIFS('caseload data'!T:T,'caseload data'!$D:$D,"SPO",'caseload data'!$C:$C,'community caseload'!$T$85,'caseload data'!$B:$B,{"licence","community"}))</f>
        <v>0</v>
      </c>
    </row>
    <row r="92" spans="2:36" x14ac:dyDescent="0.15">
      <c r="B92" s="156">
        <f>HLOOKUP($B$5,Region_Table,26,0)</f>
        <v>0</v>
      </c>
      <c r="C92" s="367" t="s">
        <v>1167</v>
      </c>
      <c r="D92" s="368"/>
      <c r="E92" s="368"/>
      <c r="F92" s="368"/>
      <c r="G92" s="368"/>
      <c r="H92" s="368"/>
      <c r="I92" s="368"/>
      <c r="J92" s="368"/>
      <c r="K92" s="368"/>
      <c r="L92" s="368"/>
      <c r="M92" s="377"/>
      <c r="N92" s="377"/>
      <c r="O92" s="378"/>
      <c r="P92" s="371" cm="1">
        <f t="array" ref="P92">SUM(SUMIFS('caseload data'!V:V,'caseload data'!B:B,{"licence","community"},'caseload data'!$C:$C,'community caseload'!B92))</f>
        <v>0</v>
      </c>
      <c r="Q92" s="379"/>
      <c r="R92" s="380"/>
      <c r="T92" s="156">
        <f>HLOOKUP($B$5,Region_Table,27,0)</f>
        <v>0</v>
      </c>
      <c r="U92" s="367" t="s">
        <v>1167</v>
      </c>
      <c r="V92" s="368"/>
      <c r="W92" s="368"/>
      <c r="X92" s="368"/>
      <c r="Y92" s="368"/>
      <c r="Z92" s="368"/>
      <c r="AA92" s="368"/>
      <c r="AB92" s="368"/>
      <c r="AC92" s="368"/>
      <c r="AD92" s="368"/>
      <c r="AE92" s="377"/>
      <c r="AF92" s="377"/>
      <c r="AG92" s="378"/>
      <c r="AH92" s="371" cm="1">
        <f t="array" ref="AH92">SUM(SUMIFS('caseload data'!V:V,'caseload data'!B:B,{"licence","community"},'caseload data'!$C:$C,'community caseload'!T92))</f>
        <v>0</v>
      </c>
      <c r="AI92" s="379"/>
      <c r="AJ92" s="380"/>
    </row>
    <row r="93" spans="2:36" x14ac:dyDescent="0.15">
      <c r="B93" s="105" t="s">
        <v>1065</v>
      </c>
      <c r="C93" s="41" t="s">
        <v>922</v>
      </c>
      <c r="D93" s="41" t="s">
        <v>923</v>
      </c>
      <c r="E93" s="41" t="s">
        <v>924</v>
      </c>
      <c r="F93" s="41" t="s">
        <v>925</v>
      </c>
      <c r="G93" s="41" t="s">
        <v>926</v>
      </c>
      <c r="H93" s="41" t="s">
        <v>927</v>
      </c>
      <c r="I93" s="41" t="s">
        <v>928</v>
      </c>
      <c r="J93" s="41" t="s">
        <v>929</v>
      </c>
      <c r="K93" s="41" t="s">
        <v>930</v>
      </c>
      <c r="L93" s="41" t="s">
        <v>931</v>
      </c>
      <c r="M93" s="41" t="s">
        <v>932</v>
      </c>
      <c r="N93" s="41" t="s">
        <v>933</v>
      </c>
      <c r="O93" s="41" t="s">
        <v>934</v>
      </c>
      <c r="P93" s="41" t="s">
        <v>935</v>
      </c>
      <c r="Q93" s="41" t="s">
        <v>936</v>
      </c>
      <c r="R93" s="41" t="s">
        <v>937</v>
      </c>
      <c r="T93" s="105" t="s">
        <v>1065</v>
      </c>
      <c r="U93" s="41" t="s">
        <v>922</v>
      </c>
      <c r="V93" s="41" t="s">
        <v>923</v>
      </c>
      <c r="W93" s="41" t="s">
        <v>924</v>
      </c>
      <c r="X93" s="41" t="s">
        <v>925</v>
      </c>
      <c r="Y93" s="41" t="s">
        <v>926</v>
      </c>
      <c r="Z93" s="41" t="s">
        <v>927</v>
      </c>
      <c r="AA93" s="41" t="s">
        <v>928</v>
      </c>
      <c r="AB93" s="41" t="s">
        <v>929</v>
      </c>
      <c r="AC93" s="41" t="s">
        <v>930</v>
      </c>
      <c r="AD93" s="41" t="s">
        <v>931</v>
      </c>
      <c r="AE93" s="41" t="s">
        <v>932</v>
      </c>
      <c r="AF93" s="41" t="s">
        <v>933</v>
      </c>
      <c r="AG93" s="41" t="s">
        <v>934</v>
      </c>
      <c r="AH93" s="41" t="s">
        <v>935</v>
      </c>
      <c r="AI93" s="41" t="s">
        <v>936</v>
      </c>
      <c r="AJ93" s="41" t="s">
        <v>937</v>
      </c>
    </row>
    <row r="94" spans="2:36" x14ac:dyDescent="0.15">
      <c r="B94" s="106" t="s">
        <v>911</v>
      </c>
      <c r="C94" s="104" cm="1">
        <f t="array" ref="C94">SUM(SUMIFS('caseload data'!E:E,'caseload data'!$D:$D,"PO",'caseload data'!$C:$C,'community caseload'!$B$92,'caseload data'!$B:$B,{"licence","community"}))</f>
        <v>0</v>
      </c>
      <c r="D94" s="104" cm="1">
        <f t="array" ref="D94">SUM(SUMIFS('caseload data'!F:F,'caseload data'!$D:$D,"PO",'caseload data'!$C:$C,'community caseload'!$B$92,'caseload data'!$B:$B,{"licence","community"}))</f>
        <v>0</v>
      </c>
      <c r="E94" s="104" cm="1">
        <f t="array" ref="E94">SUM(SUMIFS('caseload data'!G:G,'caseload data'!$D:$D,"PO",'caseload data'!$C:$C,'community caseload'!$B$92,'caseload data'!$B:$B,{"licence","community"}))</f>
        <v>0</v>
      </c>
      <c r="F94" s="104" cm="1">
        <f t="array" ref="F94">SUM(SUMIFS('caseload data'!H:H,'caseload data'!$D:$D,"PO",'caseload data'!$C:$C,'community caseload'!$B$92,'caseload data'!$B:$B,{"licence","community"}))</f>
        <v>0</v>
      </c>
      <c r="G94" s="104" cm="1">
        <f t="array" ref="G94">SUM(SUMIFS('caseload data'!I:I,'caseload data'!$D:$D,"PO",'caseload data'!$C:$C,'community caseload'!$B$92,'caseload data'!$B:$B,{"licence","community"}))</f>
        <v>0</v>
      </c>
      <c r="H94" s="104" cm="1">
        <f t="array" ref="H94">SUM(SUMIFS('caseload data'!J:J,'caseload data'!$D:$D,"PO",'caseload data'!$C:$C,'community caseload'!$B$92,'caseload data'!$B:$B,{"licence","community"}))</f>
        <v>0</v>
      </c>
      <c r="I94" s="104" cm="1">
        <f t="array" ref="I94">SUM(SUMIFS('caseload data'!K:K,'caseload data'!$D:$D,"PO",'caseload data'!$C:$C,'community caseload'!$B$92,'caseload data'!$B:$B,{"licence","community"}))</f>
        <v>0</v>
      </c>
      <c r="J94" s="104" cm="1">
        <f t="array" ref="J94">SUM(SUMIFS('caseload data'!L:L,'caseload data'!$D:$D,"PO",'caseload data'!$C:$C,'community caseload'!$B$92,'caseload data'!$B:$B,{"licence","community"}))</f>
        <v>0</v>
      </c>
      <c r="K94" s="104" cm="1">
        <f t="array" ref="K94">SUM(SUMIFS('caseload data'!M:M,'caseload data'!$D:$D,"PO",'caseload data'!$C:$C,'community caseload'!$B$92,'caseload data'!$B:$B,{"licence","community"}))</f>
        <v>0</v>
      </c>
      <c r="L94" s="104" cm="1">
        <f t="array" ref="L94">SUM(SUMIFS('caseload data'!N:N,'caseload data'!$D:$D,"PO",'caseload data'!$C:$C,'community caseload'!$B$92,'caseload data'!$B:$B,{"licence","community"}))</f>
        <v>0</v>
      </c>
      <c r="M94" s="104" cm="1">
        <f t="array" ref="M94">SUM(SUMIFS('caseload data'!O:O,'caseload data'!$D:$D,"PO",'caseload data'!$C:$C,'community caseload'!$B$92,'caseload data'!$B:$B,{"licence","community"}))</f>
        <v>0</v>
      </c>
      <c r="N94" s="104" cm="1">
        <f t="array" ref="N94">SUM(SUMIFS('caseload data'!P:P,'caseload data'!$D:$D,"PO",'caseload data'!$C:$C,'community caseload'!$B$92,'caseload data'!$B:$B,{"licence","community"}))</f>
        <v>0</v>
      </c>
      <c r="O94" s="104" cm="1">
        <f t="array" ref="O94">SUM(SUMIFS('caseload data'!Q:Q,'caseload data'!$D:$D,"PO",'caseload data'!$C:$C,'community caseload'!$B$92,'caseload data'!$B:$B,{"licence","community"}))</f>
        <v>0</v>
      </c>
      <c r="P94" s="104" cm="1">
        <f t="array" ref="P94">SUM(SUMIFS('caseload data'!R:R,'caseload data'!$D:$D,"PO",'caseload data'!$C:$C,'community caseload'!$B$92,'caseload data'!$B:$B,{"licence","community"}))</f>
        <v>0</v>
      </c>
      <c r="Q94" s="104" cm="1">
        <f t="array" ref="Q94">SUM(SUMIFS('caseload data'!S:S,'caseload data'!$D:$D,"PO",'caseload data'!$C:$C,'community caseload'!$B$92,'caseload data'!$B:$B,{"licence","community"}))</f>
        <v>0</v>
      </c>
      <c r="R94" s="104" cm="1">
        <f t="array" ref="R94">SUM(SUMIFS('caseload data'!T:T,'caseload data'!$D:$D,"PO",'caseload data'!$C:$C,'community caseload'!$B$92,'caseload data'!$B:$B,{"licence","community"}))</f>
        <v>0</v>
      </c>
      <c r="T94" s="106" t="s">
        <v>911</v>
      </c>
      <c r="U94" s="104" cm="1">
        <f t="array" ref="U94">SUM(SUMIFS('caseload data'!E:E,'caseload data'!$D:$D,"PO",'caseload data'!$C:$C,'community caseload'!$T$92,'caseload data'!$B:$B,{"licence","community"}))</f>
        <v>0</v>
      </c>
      <c r="V94" s="104" cm="1">
        <f t="array" ref="V94">SUM(SUMIFS('caseload data'!F:F,'caseload data'!$D:$D,"PO",'caseload data'!$C:$C,'community caseload'!$T$92,'caseload data'!$B:$B,{"licence","community"}))</f>
        <v>0</v>
      </c>
      <c r="W94" s="104" cm="1">
        <f t="array" ref="W94">SUM(SUMIFS('caseload data'!G:G,'caseload data'!$D:$D,"PO",'caseload data'!$C:$C,'community caseload'!$T$92,'caseload data'!$B:$B,{"licence","community"}))</f>
        <v>0</v>
      </c>
      <c r="X94" s="104" cm="1">
        <f t="array" ref="X94">SUM(SUMIFS('caseload data'!H:H,'caseload data'!$D:$D,"PO",'caseload data'!$C:$C,'community caseload'!$T$92,'caseload data'!$B:$B,{"licence","community"}))</f>
        <v>0</v>
      </c>
      <c r="Y94" s="104" cm="1">
        <f t="array" ref="Y94">SUM(SUMIFS('caseload data'!I:I,'caseload data'!$D:$D,"PO",'caseload data'!$C:$C,'community caseload'!$T$92,'caseload data'!$B:$B,{"licence","community"}))</f>
        <v>0</v>
      </c>
      <c r="Z94" s="104" cm="1">
        <f t="array" ref="Z94">SUM(SUMIFS('caseload data'!J:J,'caseload data'!$D:$D,"PO",'caseload data'!$C:$C,'community caseload'!$T$92,'caseload data'!$B:$B,{"licence","community"}))</f>
        <v>0</v>
      </c>
      <c r="AA94" s="104" cm="1">
        <f t="array" ref="AA94">SUM(SUMIFS('caseload data'!K:K,'caseload data'!$D:$D,"PO",'caseload data'!$C:$C,'community caseload'!$T$92,'caseload data'!$B:$B,{"licence","community"}))</f>
        <v>0</v>
      </c>
      <c r="AB94" s="104" cm="1">
        <f t="array" ref="AB94">SUM(SUMIFS('caseload data'!L:L,'caseload data'!$D:$D,"PO",'caseload data'!$C:$C,'community caseload'!$T$92,'caseload data'!$B:$B,{"licence","community"}))</f>
        <v>0</v>
      </c>
      <c r="AC94" s="104" cm="1">
        <f t="array" ref="AC94">SUM(SUMIFS('caseload data'!M:M,'caseload data'!$D:$D,"PO",'caseload data'!$C:$C,'community caseload'!$T$92,'caseload data'!$B:$B,{"licence","community"}))</f>
        <v>0</v>
      </c>
      <c r="AD94" s="104" cm="1">
        <f t="array" ref="AD94">SUM(SUMIFS('caseload data'!N:N,'caseload data'!$D:$D,"PO",'caseload data'!$C:$C,'community caseload'!$T$92,'caseload data'!$B:$B,{"licence","community"}))</f>
        <v>0</v>
      </c>
      <c r="AE94" s="104" cm="1">
        <f t="array" ref="AE94">SUM(SUMIFS('caseload data'!O:O,'caseload data'!$D:$D,"PO",'caseload data'!$C:$C,'community caseload'!$T$92,'caseload data'!$B:$B,{"licence","community"}))</f>
        <v>0</v>
      </c>
      <c r="AF94" s="104" cm="1">
        <f t="array" ref="AF94">SUM(SUMIFS('caseload data'!P:P,'caseload data'!$D:$D,"PO",'caseload data'!$C:$C,'community caseload'!$T$92,'caseload data'!$B:$B,{"licence","community"}))</f>
        <v>0</v>
      </c>
      <c r="AG94" s="104" cm="1">
        <f t="array" ref="AG94">SUM(SUMIFS('caseload data'!Q:Q,'caseload data'!$D:$D,"PO",'caseload data'!$C:$C,'community caseload'!$T$92,'caseload data'!$B:$B,{"licence","community"}))</f>
        <v>0</v>
      </c>
      <c r="AH94" s="104" cm="1">
        <f t="array" ref="AH94">SUM(SUMIFS('caseload data'!R:R,'caseload data'!$D:$D,"PO",'caseload data'!$C:$C,'community caseload'!$T$92,'caseload data'!$B:$B,{"licence","community"}))</f>
        <v>0</v>
      </c>
      <c r="AI94" s="104" cm="1">
        <f t="array" ref="AI94">SUM(SUMIFS('caseload data'!S:S,'caseload data'!$D:$D,"PO",'caseload data'!$C:$C,'community caseload'!$T$92,'caseload data'!$B:$B,{"licence","community"}))</f>
        <v>0</v>
      </c>
      <c r="AJ94" s="104" cm="1">
        <f t="array" ref="AJ94">SUM(SUMIFS('caseload data'!T:T,'caseload data'!$D:$D,"PO",'caseload data'!$C:$C,'community caseload'!$T$92,'caseload data'!$B:$B,{"licence","community"}))</f>
        <v>0</v>
      </c>
    </row>
    <row r="95" spans="2:36" x14ac:dyDescent="0.15">
      <c r="B95" s="107" t="s">
        <v>912</v>
      </c>
      <c r="C95" s="104" cm="1">
        <f t="array" ref="C95">SUM(SUMIFS('caseload data'!E:E,'caseload data'!$D:$D,"PSO",'caseload data'!$C:$C,'community caseload'!$B$92,'caseload data'!$B:$B,{"licence","community"}))</f>
        <v>0</v>
      </c>
      <c r="D95" s="104" cm="1">
        <f t="array" ref="D95">SUM(SUMIFS('caseload data'!F:F,'caseload data'!$D:$D,"PSO",'caseload data'!$C:$C,'community caseload'!$B$92,'caseload data'!$B:$B,{"licence","community"}))</f>
        <v>0</v>
      </c>
      <c r="E95" s="104" cm="1">
        <f t="array" ref="E95">SUM(SUMIFS('caseload data'!G:G,'caseload data'!$D:$D,"PSO",'caseload data'!$C:$C,'community caseload'!$B$92,'caseload data'!$B:$B,{"licence","community"}))</f>
        <v>0</v>
      </c>
      <c r="F95" s="104" cm="1">
        <f t="array" ref="F95">SUM(SUMIFS('caseload data'!H:H,'caseload data'!$D:$D,"PSO",'caseload data'!$C:$C,'community caseload'!$B$92,'caseload data'!$B:$B,{"licence","community"}))</f>
        <v>0</v>
      </c>
      <c r="G95" s="104" cm="1">
        <f t="array" ref="G95">SUM(SUMIFS('caseload data'!I:I,'caseload data'!$D:$D,"PSO",'caseload data'!$C:$C,'community caseload'!$B$92,'caseload data'!$B:$B,{"licence","community"}))</f>
        <v>0</v>
      </c>
      <c r="H95" s="104" cm="1">
        <f t="array" ref="H95">SUM(SUMIFS('caseload data'!J:J,'caseload data'!$D:$D,"PSO",'caseload data'!$C:$C,'community caseload'!$B$92,'caseload data'!$B:$B,{"licence","community"}))</f>
        <v>0</v>
      </c>
      <c r="I95" s="104" cm="1">
        <f t="array" ref="I95">SUM(SUMIFS('caseload data'!K:K,'caseload data'!$D:$D,"PSO",'caseload data'!$C:$C,'community caseload'!$B$92,'caseload data'!$B:$B,{"licence","community"}))</f>
        <v>0</v>
      </c>
      <c r="J95" s="104" cm="1">
        <f t="array" ref="J95">SUM(SUMIFS('caseload data'!L:L,'caseload data'!$D:$D,"PSO",'caseload data'!$C:$C,'community caseload'!$B$92,'caseload data'!$B:$B,{"licence","community"}))</f>
        <v>0</v>
      </c>
      <c r="K95" s="104" cm="1">
        <f t="array" ref="K95">SUM(SUMIFS('caseload data'!M:M,'caseload data'!$D:$D,"PSO",'caseload data'!$C:$C,'community caseload'!$B$92,'caseload data'!$B:$B,{"licence","community"}))</f>
        <v>0</v>
      </c>
      <c r="L95" s="104" cm="1">
        <f t="array" ref="L95">SUM(SUMIFS('caseload data'!N:N,'caseload data'!$D:$D,"PSO",'caseload data'!$C:$C,'community caseload'!$B$92,'caseload data'!$B:$B,{"licence","community"}))</f>
        <v>0</v>
      </c>
      <c r="M95" s="104" cm="1">
        <f t="array" ref="M95">SUM(SUMIFS('caseload data'!O:O,'caseload data'!$D:$D,"PSO",'caseload data'!$C:$C,'community caseload'!$B$92,'caseload data'!$B:$B,{"licence","community"}))</f>
        <v>0</v>
      </c>
      <c r="N95" s="104" cm="1">
        <f t="array" ref="N95">SUM(SUMIFS('caseload data'!P:P,'caseload data'!$D:$D,"PSO",'caseload data'!$C:$C,'community caseload'!$B$92,'caseload data'!$B:$B,{"licence","community"}))</f>
        <v>0</v>
      </c>
      <c r="O95" s="104" cm="1">
        <f t="array" ref="O95">SUM(SUMIFS('caseload data'!Q:Q,'caseload data'!$D:$D,"PSO",'caseload data'!$C:$C,'community caseload'!$B$92,'caseload data'!$B:$B,{"licence","community"}))</f>
        <v>0</v>
      </c>
      <c r="P95" s="104" cm="1">
        <f t="array" ref="P95">SUM(SUMIFS('caseload data'!R:R,'caseload data'!$D:$D,"PSO",'caseload data'!$C:$C,'community caseload'!$B$92,'caseload data'!$B:$B,{"licence","community"}))</f>
        <v>0</v>
      </c>
      <c r="Q95" s="104" cm="1">
        <f t="array" ref="Q95">SUM(SUMIFS('caseload data'!S:S,'caseload data'!$D:$D,"PSO",'caseload data'!$C:$C,'community caseload'!$B$92,'caseload data'!$B:$B,{"licence","community"}))</f>
        <v>0</v>
      </c>
      <c r="R95" s="104" cm="1">
        <f t="array" ref="R95">SUM(SUMIFS('caseload data'!T:T,'caseload data'!$D:$D,"PSO",'caseload data'!$C:$C,'community caseload'!$B$92,'caseload data'!$B:$B,{"licence","community"}))</f>
        <v>0</v>
      </c>
      <c r="T95" s="107" t="s">
        <v>912</v>
      </c>
      <c r="U95" s="104" cm="1">
        <f t="array" ref="U95">SUM(SUMIFS('caseload data'!E:E,'caseload data'!$D:$D,"PSO",'caseload data'!$C:$C,'community caseload'!$T$92,'caseload data'!$B:$B,{"licence","community"}))</f>
        <v>0</v>
      </c>
      <c r="V95" s="104" cm="1">
        <f t="array" ref="V95">SUM(SUMIFS('caseload data'!F:F,'caseload data'!$D:$D,"PSO",'caseload data'!$C:$C,'community caseload'!$T$92,'caseload data'!$B:$B,{"licence","community"}))</f>
        <v>0</v>
      </c>
      <c r="W95" s="104" cm="1">
        <f t="array" ref="W95">SUM(SUMIFS('caseload data'!G:G,'caseload data'!$D:$D,"PSO",'caseload data'!$C:$C,'community caseload'!$T$92,'caseload data'!$B:$B,{"licence","community"}))</f>
        <v>0</v>
      </c>
      <c r="X95" s="104" cm="1">
        <f t="array" ref="X95">SUM(SUMIFS('caseload data'!H:H,'caseload data'!$D:$D,"PSO",'caseload data'!$C:$C,'community caseload'!$T$92,'caseload data'!$B:$B,{"licence","community"}))</f>
        <v>0</v>
      </c>
      <c r="Y95" s="104" cm="1">
        <f t="array" ref="Y95">SUM(SUMIFS('caseload data'!I:I,'caseload data'!$D:$D,"PSO",'caseload data'!$C:$C,'community caseload'!$T$92,'caseload data'!$B:$B,{"licence","community"}))</f>
        <v>0</v>
      </c>
      <c r="Z95" s="104" cm="1">
        <f t="array" ref="Z95">SUM(SUMIFS('caseload data'!J:J,'caseload data'!$D:$D,"PSO",'caseload data'!$C:$C,'community caseload'!$T$92,'caseload data'!$B:$B,{"licence","community"}))</f>
        <v>0</v>
      </c>
      <c r="AA95" s="104" cm="1">
        <f t="array" ref="AA95">SUM(SUMIFS('caseload data'!K:K,'caseload data'!$D:$D,"PSO",'caseload data'!$C:$C,'community caseload'!$T$92,'caseload data'!$B:$B,{"licence","community"}))</f>
        <v>0</v>
      </c>
      <c r="AB95" s="104" cm="1">
        <f t="array" ref="AB95">SUM(SUMIFS('caseload data'!L:L,'caseload data'!$D:$D,"PSO",'caseload data'!$C:$C,'community caseload'!$T$92,'caseload data'!$B:$B,{"licence","community"}))</f>
        <v>0</v>
      </c>
      <c r="AC95" s="104" cm="1">
        <f t="array" ref="AC95">SUM(SUMIFS('caseload data'!M:M,'caseload data'!$D:$D,"PSO",'caseload data'!$C:$C,'community caseload'!$T$92,'caseload data'!$B:$B,{"licence","community"}))</f>
        <v>0</v>
      </c>
      <c r="AD95" s="104" cm="1">
        <f t="array" ref="AD95">SUM(SUMIFS('caseload data'!N:N,'caseload data'!$D:$D,"PSO",'caseload data'!$C:$C,'community caseload'!$T$92,'caseload data'!$B:$B,{"licence","community"}))</f>
        <v>0</v>
      </c>
      <c r="AE95" s="104" cm="1">
        <f t="array" ref="AE95">SUM(SUMIFS('caseload data'!O:O,'caseload data'!$D:$D,"PSO",'caseload data'!$C:$C,'community caseload'!$T$92,'caseload data'!$B:$B,{"licence","community"}))</f>
        <v>0</v>
      </c>
      <c r="AF95" s="104" cm="1">
        <f t="array" ref="AF95">SUM(SUMIFS('caseload data'!P:P,'caseload data'!$D:$D,"PSO",'caseload data'!$C:$C,'community caseload'!$T$92,'caseload data'!$B:$B,{"licence","community"}))</f>
        <v>0</v>
      </c>
      <c r="AG95" s="104" cm="1">
        <f t="array" ref="AG95">SUM(SUMIFS('caseload data'!Q:Q,'caseload data'!$D:$D,"PSO",'caseload data'!$C:$C,'community caseload'!$T$92,'caseload data'!$B:$B,{"licence","community"}))</f>
        <v>0</v>
      </c>
      <c r="AH95" s="104" cm="1">
        <f t="array" ref="AH95">SUM(SUMIFS('caseload data'!R:R,'caseload data'!$D:$D,"PSO",'caseload data'!$C:$C,'community caseload'!$T$92,'caseload data'!$B:$B,{"licence","community"}))</f>
        <v>0</v>
      </c>
      <c r="AI95" s="104" cm="1">
        <f t="array" ref="AI95">SUM(SUMIFS('caseload data'!S:S,'caseload data'!$D:$D,"PSO",'caseload data'!$C:$C,'community caseload'!$T$92,'caseload data'!$B:$B,{"licence","community"}))</f>
        <v>0</v>
      </c>
      <c r="AJ95" s="104" cm="1">
        <f t="array" ref="AJ95">SUM(SUMIFS('caseload data'!T:T,'caseload data'!$D:$D,"PSO",'caseload data'!$C:$C,'community caseload'!$T$92,'caseload data'!$B:$B,{"licence","community"}))</f>
        <v>0</v>
      </c>
    </row>
    <row r="96" spans="2:36" x14ac:dyDescent="0.15">
      <c r="B96" s="107" t="s">
        <v>913</v>
      </c>
      <c r="C96" s="104" cm="1">
        <f t="array" ref="C96">SUM(SUMIFS('caseload data'!E:E,'caseload data'!$D:$D,"TPO",'caseload data'!$C:$C,'community caseload'!$B$92,'caseload data'!$B:$B,{"licence","community"}))</f>
        <v>0</v>
      </c>
      <c r="D96" s="104" cm="1">
        <f t="array" ref="D96">SUM(SUMIFS('caseload data'!F:F,'caseload data'!$D:$D,"TPO",'caseload data'!$C:$C,'community caseload'!$B$92,'caseload data'!$B:$B,{"licence","community"}))</f>
        <v>0</v>
      </c>
      <c r="E96" s="104" cm="1">
        <f t="array" ref="E96">SUM(SUMIFS('caseload data'!G:G,'caseload data'!$D:$D,"TPO",'caseload data'!$C:$C,'community caseload'!$B$92,'caseload data'!$B:$B,{"licence","community"}))</f>
        <v>0</v>
      </c>
      <c r="F96" s="104" cm="1">
        <f t="array" ref="F96">SUM(SUMIFS('caseload data'!H:H,'caseload data'!$D:$D,"TPO",'caseload data'!$C:$C,'community caseload'!$B$92,'caseload data'!$B:$B,{"licence","community"}))</f>
        <v>0</v>
      </c>
      <c r="G96" s="104" cm="1">
        <f t="array" ref="G96">SUM(SUMIFS('caseload data'!I:I,'caseload data'!$D:$D,"TPO",'caseload data'!$C:$C,'community caseload'!$B$92,'caseload data'!$B:$B,{"licence","community"}))</f>
        <v>0</v>
      </c>
      <c r="H96" s="104" cm="1">
        <f t="array" ref="H96">SUM(SUMIFS('caseload data'!J:J,'caseload data'!$D:$D,"TPO",'caseload data'!$C:$C,'community caseload'!$B$92,'caseload data'!$B:$B,{"licence","community"}))</f>
        <v>0</v>
      </c>
      <c r="I96" s="104" cm="1">
        <f t="array" ref="I96">SUM(SUMIFS('caseload data'!K:K,'caseload data'!$D:$D,"TPO",'caseload data'!$C:$C,'community caseload'!$B$92,'caseload data'!$B:$B,{"licence","community"}))</f>
        <v>0</v>
      </c>
      <c r="J96" s="104" cm="1">
        <f t="array" ref="J96">SUM(SUMIFS('caseload data'!L:L,'caseload data'!$D:$D,"TPO",'caseload data'!$C:$C,'community caseload'!$B$92,'caseload data'!$B:$B,{"licence","community"}))</f>
        <v>0</v>
      </c>
      <c r="K96" s="104" cm="1">
        <f t="array" ref="K96">SUM(SUMIFS('caseload data'!M:M,'caseload data'!$D:$D,"TPO",'caseload data'!$C:$C,'community caseload'!$B$92,'caseload data'!$B:$B,{"licence","community"}))</f>
        <v>0</v>
      </c>
      <c r="L96" s="104" cm="1">
        <f t="array" ref="L96">SUM(SUMIFS('caseload data'!N:N,'caseload data'!$D:$D,"TPO",'caseload data'!$C:$C,'community caseload'!$B$92,'caseload data'!$B:$B,{"licence","community"}))</f>
        <v>0</v>
      </c>
      <c r="M96" s="104" cm="1">
        <f t="array" ref="M96">SUM(SUMIFS('caseload data'!O:O,'caseload data'!$D:$D,"TPO",'caseload data'!$C:$C,'community caseload'!$B$92,'caseload data'!$B:$B,{"licence","community"}))</f>
        <v>0</v>
      </c>
      <c r="N96" s="104" cm="1">
        <f t="array" ref="N96">SUM(SUMIFS('caseload data'!P:P,'caseload data'!$D:$D,"TPO",'caseload data'!$C:$C,'community caseload'!$B$92,'caseload data'!$B:$B,{"licence","community"}))</f>
        <v>0</v>
      </c>
      <c r="O96" s="104" cm="1">
        <f t="array" ref="O96">SUM(SUMIFS('caseload data'!Q:Q,'caseload data'!$D:$D,"TPO",'caseload data'!$C:$C,'community caseload'!$B$92,'caseload data'!$B:$B,{"licence","community"}))</f>
        <v>0</v>
      </c>
      <c r="P96" s="104" cm="1">
        <f t="array" ref="P96">SUM(SUMIFS('caseload data'!R:R,'caseload data'!$D:$D,"TPO",'caseload data'!$C:$C,'community caseload'!$B$92,'caseload data'!$B:$B,{"licence","community"}))</f>
        <v>0</v>
      </c>
      <c r="Q96" s="104" cm="1">
        <f t="array" ref="Q96">SUM(SUMIFS('caseload data'!S:S,'caseload data'!$D:$D,"TPO",'caseload data'!$C:$C,'community caseload'!$B$92,'caseload data'!$B:$B,{"licence","community"}))</f>
        <v>0</v>
      </c>
      <c r="R96" s="104" cm="1">
        <f t="array" ref="R96">SUM(SUMIFS('caseload data'!T:T,'caseload data'!$D:$D,"TPO",'caseload data'!$C:$C,'community caseload'!$B$92,'caseload data'!$B:$B,{"licence","community"}))</f>
        <v>0</v>
      </c>
      <c r="T96" s="107" t="s">
        <v>913</v>
      </c>
      <c r="U96" s="104" cm="1">
        <f t="array" ref="U96">SUM(SUMIFS('caseload data'!E:E,'caseload data'!$D:$D,"TPO",'caseload data'!$C:$C,'community caseload'!$T$92,'caseload data'!$B:$B,{"licence","community"}))</f>
        <v>0</v>
      </c>
      <c r="V96" s="104" cm="1">
        <f t="array" ref="V96">SUM(SUMIFS('caseload data'!F:F,'caseload data'!$D:$D,"TPO",'caseload data'!$C:$C,'community caseload'!$T$92,'caseload data'!$B:$B,{"licence","community"}))</f>
        <v>0</v>
      </c>
      <c r="W96" s="104" cm="1">
        <f t="array" ref="W96">SUM(SUMIFS('caseload data'!G:G,'caseload data'!$D:$D,"TPO",'caseload data'!$C:$C,'community caseload'!$T$92,'caseload data'!$B:$B,{"licence","community"}))</f>
        <v>0</v>
      </c>
      <c r="X96" s="104" cm="1">
        <f t="array" ref="X96">SUM(SUMIFS('caseload data'!H:H,'caseload data'!$D:$D,"TPO",'caseload data'!$C:$C,'community caseload'!$T$92,'caseload data'!$B:$B,{"licence","community"}))</f>
        <v>0</v>
      </c>
      <c r="Y96" s="104" cm="1">
        <f t="array" ref="Y96">SUM(SUMIFS('caseload data'!I:I,'caseload data'!$D:$D,"TPO",'caseload data'!$C:$C,'community caseload'!$T$92,'caseload data'!$B:$B,{"licence","community"}))</f>
        <v>0</v>
      </c>
      <c r="Z96" s="104" cm="1">
        <f t="array" ref="Z96">SUM(SUMIFS('caseload data'!J:J,'caseload data'!$D:$D,"TPO",'caseload data'!$C:$C,'community caseload'!$T$92,'caseload data'!$B:$B,{"licence","community"}))</f>
        <v>0</v>
      </c>
      <c r="AA96" s="104" cm="1">
        <f t="array" ref="AA96">SUM(SUMIFS('caseload data'!K:K,'caseload data'!$D:$D,"TPO",'caseload data'!$C:$C,'community caseload'!$T$92,'caseload data'!$B:$B,{"licence","community"}))</f>
        <v>0</v>
      </c>
      <c r="AB96" s="104" cm="1">
        <f t="array" ref="AB96">SUM(SUMIFS('caseload data'!L:L,'caseload data'!$D:$D,"TPO",'caseload data'!$C:$C,'community caseload'!$T$92,'caseload data'!$B:$B,{"licence","community"}))</f>
        <v>0</v>
      </c>
      <c r="AC96" s="104" cm="1">
        <f t="array" ref="AC96">SUM(SUMIFS('caseload data'!M:M,'caseload data'!$D:$D,"TPO",'caseload data'!$C:$C,'community caseload'!$T$92,'caseload data'!$B:$B,{"licence","community"}))</f>
        <v>0</v>
      </c>
      <c r="AD96" s="104" cm="1">
        <f t="array" ref="AD96">SUM(SUMIFS('caseload data'!N:N,'caseload data'!$D:$D,"TPO",'caseload data'!$C:$C,'community caseload'!$T$92,'caseload data'!$B:$B,{"licence","community"}))</f>
        <v>0</v>
      </c>
      <c r="AE96" s="104" cm="1">
        <f t="array" ref="AE96">SUM(SUMIFS('caseload data'!O:O,'caseload data'!$D:$D,"TPO",'caseload data'!$C:$C,'community caseload'!$T$92,'caseload data'!$B:$B,{"licence","community"}))</f>
        <v>0</v>
      </c>
      <c r="AF96" s="104" cm="1">
        <f t="array" ref="AF96">SUM(SUMIFS('caseload data'!P:P,'caseload data'!$D:$D,"TPO",'caseload data'!$C:$C,'community caseload'!$T$92,'caseload data'!$B:$B,{"licence","community"}))</f>
        <v>0</v>
      </c>
      <c r="AG96" s="104" cm="1">
        <f t="array" ref="AG96">SUM(SUMIFS('caseload data'!Q:Q,'caseload data'!$D:$D,"TPO",'caseload data'!$C:$C,'community caseload'!$T$92,'caseload data'!$B:$B,{"licence","community"}))</f>
        <v>0</v>
      </c>
      <c r="AH96" s="104" cm="1">
        <f t="array" ref="AH96">SUM(SUMIFS('caseload data'!R:R,'caseload data'!$D:$D,"TPO",'caseload data'!$C:$C,'community caseload'!$T$92,'caseload data'!$B:$B,{"licence","community"}))</f>
        <v>0</v>
      </c>
      <c r="AI96" s="104" cm="1">
        <f t="array" ref="AI96">SUM(SUMIFS('caseload data'!S:S,'caseload data'!$D:$D,"TPO",'caseload data'!$C:$C,'community caseload'!$T$92,'caseload data'!$B:$B,{"licence","community"}))</f>
        <v>0</v>
      </c>
      <c r="AJ96" s="104" cm="1">
        <f t="array" ref="AJ96">SUM(SUMIFS('caseload data'!T:T,'caseload data'!$D:$D,"TPO",'caseload data'!$C:$C,'community caseload'!$T$92,'caseload data'!$B:$B,{"licence","community"}))</f>
        <v>0</v>
      </c>
    </row>
    <row r="97" spans="2:36" x14ac:dyDescent="0.15">
      <c r="B97" s="108" t="s">
        <v>914</v>
      </c>
      <c r="C97" s="104" cm="1">
        <f t="array" ref="C97">SUM(SUMIFS('caseload data'!E:E,'caseload data'!$D:$D,"SPO",'caseload data'!$C:$C,'community caseload'!$B$92,'caseload data'!$B:$B,{"licence","community"}))</f>
        <v>0</v>
      </c>
      <c r="D97" s="104" cm="1">
        <f t="array" ref="D97">SUM(SUMIFS('caseload data'!F:F,'caseload data'!$D:$D,"SPO",'caseload data'!$C:$C,'community caseload'!$B$92,'caseload data'!$B:$B,{"licence","community"}))</f>
        <v>0</v>
      </c>
      <c r="E97" s="104" cm="1">
        <f t="array" ref="E97">SUM(SUMIFS('caseload data'!G:G,'caseload data'!$D:$D,"SPO",'caseload data'!$C:$C,'community caseload'!$B$92,'caseload data'!$B:$B,{"licence","community"}))</f>
        <v>0</v>
      </c>
      <c r="F97" s="104" cm="1">
        <f t="array" ref="F97">SUM(SUMIFS('caseload data'!H:H,'caseload data'!$D:$D,"SPO",'caseload data'!$C:$C,'community caseload'!$B$92,'caseload data'!$B:$B,{"licence","community"}))</f>
        <v>0</v>
      </c>
      <c r="G97" s="104" cm="1">
        <f t="array" ref="G97">SUM(SUMIFS('caseload data'!I:I,'caseload data'!$D:$D,"SPO",'caseload data'!$C:$C,'community caseload'!$B$92,'caseload data'!$B:$B,{"licence","community"}))</f>
        <v>0</v>
      </c>
      <c r="H97" s="104" cm="1">
        <f t="array" ref="H97">SUM(SUMIFS('caseload data'!J:J,'caseload data'!$D:$D,"SPO",'caseload data'!$C:$C,'community caseload'!$B$92,'caseload data'!$B:$B,{"licence","community"}))</f>
        <v>0</v>
      </c>
      <c r="I97" s="104" cm="1">
        <f t="array" ref="I97">SUM(SUMIFS('caseload data'!K:K,'caseload data'!$D:$D,"SPO",'caseload data'!$C:$C,'community caseload'!$B$92,'caseload data'!$B:$B,{"licence","community"}))</f>
        <v>0</v>
      </c>
      <c r="J97" s="104" cm="1">
        <f t="array" ref="J97">SUM(SUMIFS('caseload data'!L:L,'caseload data'!$D:$D,"SPO",'caseload data'!$C:$C,'community caseload'!$B$92,'caseload data'!$B:$B,{"licence","community"}))</f>
        <v>0</v>
      </c>
      <c r="K97" s="104" cm="1">
        <f t="array" ref="K97">SUM(SUMIFS('caseload data'!M:M,'caseload data'!$D:$D,"SPO",'caseload data'!$C:$C,'community caseload'!$B$92,'caseload data'!$B:$B,{"licence","community"}))</f>
        <v>0</v>
      </c>
      <c r="L97" s="104" cm="1">
        <f t="array" ref="L97">SUM(SUMIFS('caseload data'!N:N,'caseload data'!$D:$D,"SPO",'caseload data'!$C:$C,'community caseload'!$B$92,'caseload data'!$B:$B,{"licence","community"}))</f>
        <v>0</v>
      </c>
      <c r="M97" s="104" cm="1">
        <f t="array" ref="M97">SUM(SUMIFS('caseload data'!O:O,'caseload data'!$D:$D,"SPO",'caseload data'!$C:$C,'community caseload'!$B$92,'caseload data'!$B:$B,{"licence","community"}))</f>
        <v>0</v>
      </c>
      <c r="N97" s="104" cm="1">
        <f t="array" ref="N97">SUM(SUMIFS('caseload data'!P:P,'caseload data'!$D:$D,"SPO",'caseload data'!$C:$C,'community caseload'!$B$92,'caseload data'!$B:$B,{"licence","community"}))</f>
        <v>0</v>
      </c>
      <c r="O97" s="104" cm="1">
        <f t="array" ref="O97">SUM(SUMIFS('caseload data'!Q:Q,'caseload data'!$D:$D,"SPO",'caseload data'!$C:$C,'community caseload'!$B$92,'caseload data'!$B:$B,{"licence","community"}))</f>
        <v>0</v>
      </c>
      <c r="P97" s="104" cm="1">
        <f t="array" ref="P97">SUM(SUMIFS('caseload data'!R:R,'caseload data'!$D:$D,"SPO",'caseload data'!$C:$C,'community caseload'!$B$92,'caseload data'!$B:$B,{"licence","community"}))</f>
        <v>0</v>
      </c>
      <c r="Q97" s="104" cm="1">
        <f t="array" ref="Q97">SUM(SUMIFS('caseload data'!S:S,'caseload data'!$D:$D,"SPO",'caseload data'!$C:$C,'community caseload'!$B$92,'caseload data'!$B:$B,{"licence","community"}))</f>
        <v>0</v>
      </c>
      <c r="R97" s="104" cm="1">
        <f t="array" ref="R97">SUM(SUMIFS('caseload data'!T:T,'caseload data'!$D:$D,"SPO",'caseload data'!$C:$C,'community caseload'!$B$92,'caseload data'!$B:$B,{"licence","community"}))</f>
        <v>0</v>
      </c>
      <c r="T97" s="108" t="s">
        <v>914</v>
      </c>
      <c r="U97" s="104" cm="1">
        <f t="array" ref="U97">SUM(SUMIFS('caseload data'!E:E,'caseload data'!$D:$D,"SPO",'caseload data'!$C:$C,'community caseload'!$T$92,'caseload data'!$B:$B,{"licence","community"}))</f>
        <v>0</v>
      </c>
      <c r="V97" s="104" cm="1">
        <f t="array" ref="V97">SUM(SUMIFS('caseload data'!F:F,'caseload data'!$D:$D,"SPO",'caseload data'!$C:$C,'community caseload'!$T$92,'caseload data'!$B:$B,{"licence","community"}))</f>
        <v>0</v>
      </c>
      <c r="W97" s="104" cm="1">
        <f t="array" ref="W97">SUM(SUMIFS('caseload data'!G:G,'caseload data'!$D:$D,"SPO",'caseload data'!$C:$C,'community caseload'!$T$92,'caseload data'!$B:$B,{"licence","community"}))</f>
        <v>0</v>
      </c>
      <c r="X97" s="104" cm="1">
        <f t="array" ref="X97">SUM(SUMIFS('caseload data'!H:H,'caseload data'!$D:$D,"SPO",'caseload data'!$C:$C,'community caseload'!$T$92,'caseload data'!$B:$B,{"licence","community"}))</f>
        <v>0</v>
      </c>
      <c r="Y97" s="104" cm="1">
        <f t="array" ref="Y97">SUM(SUMIFS('caseload data'!I:I,'caseload data'!$D:$D,"SPO",'caseload data'!$C:$C,'community caseload'!$T$92,'caseload data'!$B:$B,{"licence","community"}))</f>
        <v>0</v>
      </c>
      <c r="Z97" s="104" cm="1">
        <f t="array" ref="Z97">SUM(SUMIFS('caseload data'!J:J,'caseload data'!$D:$D,"SPO",'caseload data'!$C:$C,'community caseload'!$T$92,'caseload data'!$B:$B,{"licence","community"}))</f>
        <v>0</v>
      </c>
      <c r="AA97" s="104" cm="1">
        <f t="array" ref="AA97">SUM(SUMIFS('caseload data'!K:K,'caseload data'!$D:$D,"SPO",'caseload data'!$C:$C,'community caseload'!$T$92,'caseload data'!$B:$B,{"licence","community"}))</f>
        <v>0</v>
      </c>
      <c r="AB97" s="104" cm="1">
        <f t="array" ref="AB97">SUM(SUMIFS('caseload data'!L:L,'caseload data'!$D:$D,"SPO",'caseload data'!$C:$C,'community caseload'!$T$92,'caseload data'!$B:$B,{"licence","community"}))</f>
        <v>0</v>
      </c>
      <c r="AC97" s="104" cm="1">
        <f t="array" ref="AC97">SUM(SUMIFS('caseload data'!M:M,'caseload data'!$D:$D,"SPO",'caseload data'!$C:$C,'community caseload'!$T$92,'caseload data'!$B:$B,{"licence","community"}))</f>
        <v>0</v>
      </c>
      <c r="AD97" s="104" cm="1">
        <f t="array" ref="AD97">SUM(SUMIFS('caseload data'!N:N,'caseload data'!$D:$D,"SPO",'caseload data'!$C:$C,'community caseload'!$T$92,'caseload data'!$B:$B,{"licence","community"}))</f>
        <v>0</v>
      </c>
      <c r="AE97" s="104" cm="1">
        <f t="array" ref="AE97">SUM(SUMIFS('caseload data'!O:O,'caseload data'!$D:$D,"SPO",'caseload data'!$C:$C,'community caseload'!$T$92,'caseload data'!$B:$B,{"licence","community"}))</f>
        <v>0</v>
      </c>
      <c r="AF97" s="104" cm="1">
        <f t="array" ref="AF97">SUM(SUMIFS('caseload data'!P:P,'caseload data'!$D:$D,"SPO",'caseload data'!$C:$C,'community caseload'!$T$92,'caseload data'!$B:$B,{"licence","community"}))</f>
        <v>0</v>
      </c>
      <c r="AG97" s="104" cm="1">
        <f t="array" ref="AG97">SUM(SUMIFS('caseload data'!Q:Q,'caseload data'!$D:$D,"SPO",'caseload data'!$C:$C,'community caseload'!$T$92,'caseload data'!$B:$B,{"licence","community"}))</f>
        <v>0</v>
      </c>
      <c r="AH97" s="104" cm="1">
        <f t="array" ref="AH97">SUM(SUMIFS('caseload data'!R:R,'caseload data'!$D:$D,"SPO",'caseload data'!$C:$C,'community caseload'!$T$92,'caseload data'!$B:$B,{"licence","community"}))</f>
        <v>0</v>
      </c>
      <c r="AI97" s="104" cm="1">
        <f t="array" ref="AI97">SUM(SUMIFS('caseload data'!S:S,'caseload data'!$D:$D,"SPO",'caseload data'!$C:$C,'community caseload'!$T$92,'caseload data'!$B:$B,{"licence","community"}))</f>
        <v>0</v>
      </c>
      <c r="AJ97" s="104" cm="1">
        <f t="array" ref="AJ97">SUM(SUMIFS('caseload data'!T:T,'caseload data'!$D:$D,"SPO",'caseload data'!$C:$C,'community caseload'!$T$92,'caseload data'!$B:$B,{"licence","community"}))</f>
        <v>0</v>
      </c>
    </row>
    <row r="99" spans="2:36" x14ac:dyDescent="0.15">
      <c r="B99" s="156">
        <f>HLOOKUP($B$5,Region_Table,28,0)</f>
        <v>0</v>
      </c>
      <c r="C99" s="367" t="s">
        <v>1167</v>
      </c>
      <c r="D99" s="368"/>
      <c r="E99" s="368"/>
      <c r="F99" s="368"/>
      <c r="G99" s="368"/>
      <c r="H99" s="368"/>
      <c r="I99" s="368"/>
      <c r="J99" s="368"/>
      <c r="K99" s="368"/>
      <c r="L99" s="368"/>
      <c r="M99" s="377"/>
      <c r="N99" s="377"/>
      <c r="O99" s="378"/>
      <c r="P99" s="371" cm="1">
        <f t="array" ref="P99">SUM(SUMIFS('caseload data'!V:V,'caseload data'!B:B,{"licence","community"},'caseload data'!$C:$C,'community caseload'!B99))</f>
        <v>0</v>
      </c>
      <c r="Q99" s="379"/>
      <c r="R99" s="380"/>
    </row>
    <row r="100" spans="2:36" x14ac:dyDescent="0.15">
      <c r="B100" s="105" t="s">
        <v>1065</v>
      </c>
      <c r="C100" s="41" t="s">
        <v>922</v>
      </c>
      <c r="D100" s="41" t="s">
        <v>923</v>
      </c>
      <c r="E100" s="41" t="s">
        <v>924</v>
      </c>
      <c r="F100" s="41" t="s">
        <v>925</v>
      </c>
      <c r="G100" s="41" t="s">
        <v>926</v>
      </c>
      <c r="H100" s="41" t="s">
        <v>927</v>
      </c>
      <c r="I100" s="41" t="s">
        <v>928</v>
      </c>
      <c r="J100" s="41" t="s">
        <v>929</v>
      </c>
      <c r="K100" s="41" t="s">
        <v>930</v>
      </c>
      <c r="L100" s="41" t="s">
        <v>931</v>
      </c>
      <c r="M100" s="41" t="s">
        <v>932</v>
      </c>
      <c r="N100" s="41" t="s">
        <v>933</v>
      </c>
      <c r="O100" s="41" t="s">
        <v>934</v>
      </c>
      <c r="P100" s="41" t="s">
        <v>935</v>
      </c>
      <c r="Q100" s="41" t="s">
        <v>936</v>
      </c>
      <c r="R100" s="41" t="s">
        <v>937</v>
      </c>
    </row>
    <row r="101" spans="2:36" x14ac:dyDescent="0.15">
      <c r="B101" s="106" t="s">
        <v>911</v>
      </c>
      <c r="C101" s="104" cm="1">
        <f t="array" ref="C101">SUM(SUMIFS('caseload data'!E:E,'caseload data'!$D:$D,"PO",'caseload data'!$C:$C,'community caseload'!$B$99,'caseload data'!$B:$B,{"licence","community"}))</f>
        <v>0</v>
      </c>
      <c r="D101" s="104" cm="1">
        <f t="array" ref="D101">SUM(SUMIFS('caseload data'!F:F,'caseload data'!$D:$D,"PO",'caseload data'!$C:$C,'community caseload'!$B$99,'caseload data'!$B:$B,{"licence","community"}))</f>
        <v>0</v>
      </c>
      <c r="E101" s="104" cm="1">
        <f t="array" ref="E101">SUM(SUMIFS('caseload data'!G:G,'caseload data'!$D:$D,"PO",'caseload data'!$C:$C,'community caseload'!$B$99,'caseload data'!$B:$B,{"licence","community"}))</f>
        <v>0</v>
      </c>
      <c r="F101" s="104" cm="1">
        <f t="array" ref="F101">SUM(SUMIFS('caseload data'!H:H,'caseload data'!$D:$D,"PO",'caseload data'!$C:$C,'community caseload'!$B$99,'caseload data'!$B:$B,{"licence","community"}))</f>
        <v>0</v>
      </c>
      <c r="G101" s="104" cm="1">
        <f t="array" ref="G101">SUM(SUMIFS('caseload data'!I:I,'caseload data'!$D:$D,"PO",'caseload data'!$C:$C,'community caseload'!$B$99,'caseload data'!$B:$B,{"licence","community"}))</f>
        <v>0</v>
      </c>
      <c r="H101" s="104" cm="1">
        <f t="array" ref="H101">SUM(SUMIFS('caseload data'!J:J,'caseload data'!$D:$D,"PO",'caseload data'!$C:$C,'community caseload'!$B$99,'caseload data'!$B:$B,{"licence","community"}))</f>
        <v>0</v>
      </c>
      <c r="I101" s="104" cm="1">
        <f t="array" ref="I101">SUM(SUMIFS('caseload data'!K:K,'caseload data'!$D:$D,"PO",'caseload data'!$C:$C,'community caseload'!$B$99,'caseload data'!$B:$B,{"licence","community"}))</f>
        <v>0</v>
      </c>
      <c r="J101" s="104" cm="1">
        <f t="array" ref="J101">SUM(SUMIFS('caseload data'!L:L,'caseload data'!$D:$D,"PO",'caseload data'!$C:$C,'community caseload'!$B$99,'caseload data'!$B:$B,{"licence","community"}))</f>
        <v>0</v>
      </c>
      <c r="K101" s="104" cm="1">
        <f t="array" ref="K101">SUM(SUMIFS('caseload data'!M:M,'caseload data'!$D:$D,"PO",'caseload data'!$C:$C,'community caseload'!$B$99,'caseload data'!$B:$B,{"licence","community"}))</f>
        <v>0</v>
      </c>
      <c r="L101" s="104" cm="1">
        <f t="array" ref="L101">SUM(SUMIFS('caseload data'!N:N,'caseload data'!$D:$D,"PO",'caseload data'!$C:$C,'community caseload'!$B$99,'caseload data'!$B:$B,{"licence","community"}))</f>
        <v>0</v>
      </c>
      <c r="M101" s="104" cm="1">
        <f t="array" ref="M101">SUM(SUMIFS('caseload data'!O:O,'caseload data'!$D:$D,"PO",'caseload data'!$C:$C,'community caseload'!$B$99,'caseload data'!$B:$B,{"licence","community"}))</f>
        <v>0</v>
      </c>
      <c r="N101" s="104" cm="1">
        <f t="array" ref="N101">SUM(SUMIFS('caseload data'!P:P,'caseload data'!$D:$D,"PO",'caseload data'!$C:$C,'community caseload'!$B$99,'caseload data'!$B:$B,{"licence","community"}))</f>
        <v>0</v>
      </c>
      <c r="O101" s="104" cm="1">
        <f t="array" ref="O101">SUM(SUMIFS('caseload data'!Q:Q,'caseload data'!$D:$D,"PO",'caseload data'!$C:$C,'community caseload'!$B$99,'caseload data'!$B:$B,{"licence","community"}))</f>
        <v>0</v>
      </c>
      <c r="P101" s="104" cm="1">
        <f t="array" ref="P101">SUM(SUMIFS('caseload data'!R:R,'caseload data'!$D:$D,"PO",'caseload data'!$C:$C,'community caseload'!$B$99,'caseload data'!$B:$B,{"licence","community"}))</f>
        <v>0</v>
      </c>
      <c r="Q101" s="104" cm="1">
        <f t="array" ref="Q101">SUM(SUMIFS('caseload data'!S:S,'caseload data'!$D:$D,"PO",'caseload data'!$C:$C,'community caseload'!$B$99,'caseload data'!$B:$B,{"licence","community"}))</f>
        <v>0</v>
      </c>
      <c r="R101" s="104" cm="1">
        <f t="array" ref="R101">SUM(SUMIFS('caseload data'!T:T,'caseload data'!$D:$D,"PO",'caseload data'!$C:$C,'community caseload'!$B$99,'caseload data'!$B:$B,{"licence","community"}))</f>
        <v>0</v>
      </c>
    </row>
    <row r="102" spans="2:36" x14ac:dyDescent="0.15">
      <c r="B102" s="107" t="s">
        <v>912</v>
      </c>
      <c r="C102" s="104" cm="1">
        <f t="array" ref="C102">SUM(SUMIFS('caseload data'!E:E,'caseload data'!$D:$D,"PSO",'caseload data'!$C:$C,'community caseload'!$B$99,'caseload data'!$B:$B,{"licence","community"}))</f>
        <v>0</v>
      </c>
      <c r="D102" s="104" cm="1">
        <f t="array" ref="D102">SUM(SUMIFS('caseload data'!F:F,'caseload data'!$D:$D,"PSO",'caseload data'!$C:$C,'community caseload'!$B$99,'caseload data'!$B:$B,{"licence","community"}))</f>
        <v>0</v>
      </c>
      <c r="E102" s="104" cm="1">
        <f t="array" ref="E102">SUM(SUMIFS('caseload data'!G:G,'caseload data'!$D:$D,"PSO",'caseload data'!$C:$C,'community caseload'!$B$99,'caseload data'!$B:$B,{"licence","community"}))</f>
        <v>0</v>
      </c>
      <c r="F102" s="104" cm="1">
        <f t="array" ref="F102">SUM(SUMIFS('caseload data'!H:H,'caseload data'!$D:$D,"PSO",'caseload data'!$C:$C,'community caseload'!$B$99,'caseload data'!$B:$B,{"licence","community"}))</f>
        <v>0</v>
      </c>
      <c r="G102" s="104" cm="1">
        <f t="array" ref="G102">SUM(SUMIFS('caseload data'!I:I,'caseload data'!$D:$D,"PSO",'caseload data'!$C:$C,'community caseload'!$B$99,'caseload data'!$B:$B,{"licence","community"}))</f>
        <v>0</v>
      </c>
      <c r="H102" s="104" cm="1">
        <f t="array" ref="H102">SUM(SUMIFS('caseload data'!J:J,'caseload data'!$D:$D,"PSO",'caseload data'!$C:$C,'community caseload'!$B$99,'caseload data'!$B:$B,{"licence","community"}))</f>
        <v>0</v>
      </c>
      <c r="I102" s="104" cm="1">
        <f t="array" ref="I102">SUM(SUMIFS('caseload data'!K:K,'caseload data'!$D:$D,"PSO",'caseload data'!$C:$C,'community caseload'!$B$99,'caseload data'!$B:$B,{"licence","community"}))</f>
        <v>0</v>
      </c>
      <c r="J102" s="104" cm="1">
        <f t="array" ref="J102">SUM(SUMIFS('caseload data'!L:L,'caseload data'!$D:$D,"PSO",'caseload data'!$C:$C,'community caseload'!$B$99,'caseload data'!$B:$B,{"licence","community"}))</f>
        <v>0</v>
      </c>
      <c r="K102" s="104" cm="1">
        <f t="array" ref="K102">SUM(SUMIFS('caseload data'!M:M,'caseload data'!$D:$D,"PSO",'caseload data'!$C:$C,'community caseload'!$B$99,'caseload data'!$B:$B,{"licence","community"}))</f>
        <v>0</v>
      </c>
      <c r="L102" s="104" cm="1">
        <f t="array" ref="L102">SUM(SUMIFS('caseload data'!N:N,'caseload data'!$D:$D,"PSO",'caseload data'!$C:$C,'community caseload'!$B$99,'caseload data'!$B:$B,{"licence","community"}))</f>
        <v>0</v>
      </c>
      <c r="M102" s="104" cm="1">
        <f t="array" ref="M102">SUM(SUMIFS('caseload data'!O:O,'caseload data'!$D:$D,"PSO",'caseload data'!$C:$C,'community caseload'!$B$99,'caseload data'!$B:$B,{"licence","community"}))</f>
        <v>0</v>
      </c>
      <c r="N102" s="104" cm="1">
        <f t="array" ref="N102">SUM(SUMIFS('caseload data'!P:P,'caseload data'!$D:$D,"PSO",'caseload data'!$C:$C,'community caseload'!$B$99,'caseload data'!$B:$B,{"licence","community"}))</f>
        <v>0</v>
      </c>
      <c r="O102" s="104" cm="1">
        <f t="array" ref="O102">SUM(SUMIFS('caseload data'!Q:Q,'caseload data'!$D:$D,"PSO",'caseload data'!$C:$C,'community caseload'!$B$99,'caseload data'!$B:$B,{"licence","community"}))</f>
        <v>0</v>
      </c>
      <c r="P102" s="104" cm="1">
        <f t="array" ref="P102">SUM(SUMIFS('caseload data'!R:R,'caseload data'!$D:$D,"PSO",'caseload data'!$C:$C,'community caseload'!$B$99,'caseload data'!$B:$B,{"licence","community"}))</f>
        <v>0</v>
      </c>
      <c r="Q102" s="104" cm="1">
        <f t="array" ref="Q102">SUM(SUMIFS('caseload data'!S:S,'caseload data'!$D:$D,"PSO",'caseload data'!$C:$C,'community caseload'!$B$99,'caseload data'!$B:$B,{"licence","community"}))</f>
        <v>0</v>
      </c>
      <c r="R102" s="104" cm="1">
        <f t="array" ref="R102">SUM(SUMIFS('caseload data'!T:T,'caseload data'!$D:$D,"PSO",'caseload data'!$C:$C,'community caseload'!$B$99,'caseload data'!$B:$B,{"licence","community"}))</f>
        <v>0</v>
      </c>
    </row>
    <row r="103" spans="2:36" x14ac:dyDescent="0.15">
      <c r="B103" s="107" t="s">
        <v>913</v>
      </c>
      <c r="C103" s="104" cm="1">
        <f t="array" ref="C103">SUM(SUMIFS('caseload data'!E:E,'caseload data'!$D:$D,"TPO",'caseload data'!$C:$C,'community caseload'!$B$99,'caseload data'!$B:$B,{"licence","community"}))</f>
        <v>0</v>
      </c>
      <c r="D103" s="104" cm="1">
        <f t="array" ref="D103">SUM(SUMIFS('caseload data'!F:F,'caseload data'!$D:$D,"TPO",'caseload data'!$C:$C,'community caseload'!$B$99,'caseload data'!$B:$B,{"licence","community"}))</f>
        <v>0</v>
      </c>
      <c r="E103" s="104" cm="1">
        <f t="array" ref="E103">SUM(SUMIFS('caseload data'!G:G,'caseload data'!$D:$D,"TPO",'caseload data'!$C:$C,'community caseload'!$B$99,'caseload data'!$B:$B,{"licence","community"}))</f>
        <v>0</v>
      </c>
      <c r="F103" s="104" cm="1">
        <f t="array" ref="F103">SUM(SUMIFS('caseload data'!H:H,'caseload data'!$D:$D,"TPO",'caseload data'!$C:$C,'community caseload'!$B$99,'caseload data'!$B:$B,{"licence","community"}))</f>
        <v>0</v>
      </c>
      <c r="G103" s="104" cm="1">
        <f t="array" ref="G103">SUM(SUMIFS('caseload data'!I:I,'caseload data'!$D:$D,"TPO",'caseload data'!$C:$C,'community caseload'!$B$99,'caseload data'!$B:$B,{"licence","community"}))</f>
        <v>0</v>
      </c>
      <c r="H103" s="104" cm="1">
        <f t="array" ref="H103">SUM(SUMIFS('caseload data'!J:J,'caseload data'!$D:$D,"TPO",'caseload data'!$C:$C,'community caseload'!$B$99,'caseload data'!$B:$B,{"licence","community"}))</f>
        <v>0</v>
      </c>
      <c r="I103" s="104" cm="1">
        <f t="array" ref="I103">SUM(SUMIFS('caseload data'!K:K,'caseload data'!$D:$D,"TPO",'caseload data'!$C:$C,'community caseload'!$B$99,'caseload data'!$B:$B,{"licence","community"}))</f>
        <v>0</v>
      </c>
      <c r="J103" s="104" cm="1">
        <f t="array" ref="J103">SUM(SUMIFS('caseload data'!L:L,'caseload data'!$D:$D,"TPO",'caseload data'!$C:$C,'community caseload'!$B$99,'caseload data'!$B:$B,{"licence","community"}))</f>
        <v>0</v>
      </c>
      <c r="K103" s="104" cm="1">
        <f t="array" ref="K103">SUM(SUMIFS('caseload data'!M:M,'caseload data'!$D:$D,"TPO",'caseload data'!$C:$C,'community caseload'!$B$99,'caseload data'!$B:$B,{"licence","community"}))</f>
        <v>0</v>
      </c>
      <c r="L103" s="104" cm="1">
        <f t="array" ref="L103">SUM(SUMIFS('caseload data'!N:N,'caseload data'!$D:$D,"TPO",'caseload data'!$C:$C,'community caseload'!$B$99,'caseload data'!$B:$B,{"licence","community"}))</f>
        <v>0</v>
      </c>
      <c r="M103" s="104" cm="1">
        <f t="array" ref="M103">SUM(SUMIFS('caseload data'!O:O,'caseload data'!$D:$D,"TPO",'caseload data'!$C:$C,'community caseload'!$B$99,'caseload data'!$B:$B,{"licence","community"}))</f>
        <v>0</v>
      </c>
      <c r="N103" s="104" cm="1">
        <f t="array" ref="N103">SUM(SUMIFS('caseload data'!P:P,'caseload data'!$D:$D,"TPO",'caseload data'!$C:$C,'community caseload'!$B$99,'caseload data'!$B:$B,{"licence","community"}))</f>
        <v>0</v>
      </c>
      <c r="O103" s="104" cm="1">
        <f t="array" ref="O103">SUM(SUMIFS('caseload data'!Q:Q,'caseload data'!$D:$D,"TPO",'caseload data'!$C:$C,'community caseload'!$B$99,'caseload data'!$B:$B,{"licence","community"}))</f>
        <v>0</v>
      </c>
      <c r="P103" s="104" cm="1">
        <f t="array" ref="P103">SUM(SUMIFS('caseload data'!R:R,'caseload data'!$D:$D,"TPO",'caseload data'!$C:$C,'community caseload'!$B$99,'caseload data'!$B:$B,{"licence","community"}))</f>
        <v>0</v>
      </c>
      <c r="Q103" s="104" cm="1">
        <f t="array" ref="Q103">SUM(SUMIFS('caseload data'!S:S,'caseload data'!$D:$D,"TPO",'caseload data'!$C:$C,'community caseload'!$B$99,'caseload data'!$B:$B,{"licence","community"}))</f>
        <v>0</v>
      </c>
      <c r="R103" s="104" cm="1">
        <f t="array" ref="R103">SUM(SUMIFS('caseload data'!T:T,'caseload data'!$D:$D,"TPO",'caseload data'!$C:$C,'community caseload'!$B$99,'caseload data'!$B:$B,{"licence","community"}))</f>
        <v>0</v>
      </c>
    </row>
    <row r="104" spans="2:36" x14ac:dyDescent="0.15">
      <c r="B104" s="108" t="s">
        <v>914</v>
      </c>
      <c r="C104" s="104" cm="1">
        <f t="array" ref="C104">SUM(SUMIFS('caseload data'!E:E,'caseload data'!$D:$D,"SPO",'caseload data'!$C:$C,'community caseload'!$B$99,'caseload data'!$B:$B,{"licence","community"}))</f>
        <v>0</v>
      </c>
      <c r="D104" s="104" cm="1">
        <f t="array" ref="D104">SUM(SUMIFS('caseload data'!F:F,'caseload data'!$D:$D,"SPO",'caseload data'!$C:$C,'community caseload'!$B$99,'caseload data'!$B:$B,{"licence","community"}))</f>
        <v>0</v>
      </c>
      <c r="E104" s="104" cm="1">
        <f t="array" ref="E104">SUM(SUMIFS('caseload data'!G:G,'caseload data'!$D:$D,"SPO",'caseload data'!$C:$C,'community caseload'!$B$99,'caseload data'!$B:$B,{"licence","community"}))</f>
        <v>0</v>
      </c>
      <c r="F104" s="104" cm="1">
        <f t="array" ref="F104">SUM(SUMIFS('caseload data'!H:H,'caseload data'!$D:$D,"SPO",'caseload data'!$C:$C,'community caseload'!$B$99,'caseload data'!$B:$B,{"licence","community"}))</f>
        <v>0</v>
      </c>
      <c r="G104" s="104" cm="1">
        <f t="array" ref="G104">SUM(SUMIFS('caseload data'!I:I,'caseload data'!$D:$D,"SPO",'caseload data'!$C:$C,'community caseload'!$B$99,'caseload data'!$B:$B,{"licence","community"}))</f>
        <v>0</v>
      </c>
      <c r="H104" s="104" cm="1">
        <f t="array" ref="H104">SUM(SUMIFS('caseload data'!J:J,'caseload data'!$D:$D,"SPO",'caseload data'!$C:$C,'community caseload'!$B$99,'caseload data'!$B:$B,{"licence","community"}))</f>
        <v>0</v>
      </c>
      <c r="I104" s="104" cm="1">
        <f t="array" ref="I104">SUM(SUMIFS('caseload data'!K:K,'caseload data'!$D:$D,"SPO",'caseload data'!$C:$C,'community caseload'!$B$99,'caseload data'!$B:$B,{"licence","community"}))</f>
        <v>0</v>
      </c>
      <c r="J104" s="104" cm="1">
        <f t="array" ref="J104">SUM(SUMIFS('caseload data'!L:L,'caseload data'!$D:$D,"SPO",'caseload data'!$C:$C,'community caseload'!$B$99,'caseload data'!$B:$B,{"licence","community"}))</f>
        <v>0</v>
      </c>
      <c r="K104" s="104" cm="1">
        <f t="array" ref="K104">SUM(SUMIFS('caseload data'!M:M,'caseload data'!$D:$D,"SPO",'caseload data'!$C:$C,'community caseload'!$B$99,'caseload data'!$B:$B,{"licence","community"}))</f>
        <v>0</v>
      </c>
      <c r="L104" s="104" cm="1">
        <f t="array" ref="L104">SUM(SUMIFS('caseload data'!N:N,'caseload data'!$D:$D,"SPO",'caseload data'!$C:$C,'community caseload'!$B$99,'caseload data'!$B:$B,{"licence","community"}))</f>
        <v>0</v>
      </c>
      <c r="M104" s="104" cm="1">
        <f t="array" ref="M104">SUM(SUMIFS('caseload data'!O:O,'caseload data'!$D:$D,"SPO",'caseload data'!$C:$C,'community caseload'!$B$99,'caseload data'!$B:$B,{"licence","community"}))</f>
        <v>0</v>
      </c>
      <c r="N104" s="104" cm="1">
        <f t="array" ref="N104">SUM(SUMIFS('caseload data'!P:P,'caseload data'!$D:$D,"SPO",'caseload data'!$C:$C,'community caseload'!$B$99,'caseload data'!$B:$B,{"licence","community"}))</f>
        <v>0</v>
      </c>
      <c r="O104" s="104" cm="1">
        <f t="array" ref="O104">SUM(SUMIFS('caseload data'!Q:Q,'caseload data'!$D:$D,"SPO",'caseload data'!$C:$C,'community caseload'!$B$99,'caseload data'!$B:$B,{"licence","community"}))</f>
        <v>0</v>
      </c>
      <c r="P104" s="104" cm="1">
        <f t="array" ref="P104">SUM(SUMIFS('caseload data'!R:R,'caseload data'!$D:$D,"SPO",'caseload data'!$C:$C,'community caseload'!$B$99,'caseload data'!$B:$B,{"licence","community"}))</f>
        <v>0</v>
      </c>
      <c r="Q104" s="104" cm="1">
        <f t="array" ref="Q104">SUM(SUMIFS('caseload data'!S:S,'caseload data'!$D:$D,"SPO",'caseload data'!$C:$C,'community caseload'!$B$99,'caseload data'!$B:$B,{"licence","community"}))</f>
        <v>0</v>
      </c>
      <c r="R104" s="104" cm="1">
        <f t="array" ref="R104">SUM(SUMIFS('caseload data'!T:T,'caseload data'!$D:$D,"SPO",'caseload data'!$C:$C,'community caseload'!$B$99,'caseload data'!$B:$B,{"licence","community"}))</f>
        <v>0</v>
      </c>
    </row>
  </sheetData>
  <mergeCells count="56">
    <mergeCell ref="C99:O99"/>
    <mergeCell ref="P99:R99"/>
    <mergeCell ref="U71:AG71"/>
    <mergeCell ref="AH71:AJ71"/>
    <mergeCell ref="U78:AG78"/>
    <mergeCell ref="AH78:AJ78"/>
    <mergeCell ref="U85:AG85"/>
    <mergeCell ref="AH85:AJ85"/>
    <mergeCell ref="U92:AG92"/>
    <mergeCell ref="AH92:AJ92"/>
    <mergeCell ref="C78:O78"/>
    <mergeCell ref="P78:R78"/>
    <mergeCell ref="C85:O85"/>
    <mergeCell ref="P85:R85"/>
    <mergeCell ref="C92:O92"/>
    <mergeCell ref="P92:R92"/>
    <mergeCell ref="C71:O71"/>
    <mergeCell ref="P71:R71"/>
    <mergeCell ref="C64:O64"/>
    <mergeCell ref="P64:R64"/>
    <mergeCell ref="U64:AG64"/>
    <mergeCell ref="AH64:AJ64"/>
    <mergeCell ref="B1:AX1"/>
    <mergeCell ref="B2:AX2"/>
    <mergeCell ref="C8:O8"/>
    <mergeCell ref="P8:R8"/>
    <mergeCell ref="U8:AG8"/>
    <mergeCell ref="AH8:AJ8"/>
    <mergeCell ref="C15:O15"/>
    <mergeCell ref="P15:R15"/>
    <mergeCell ref="U15:AG15"/>
    <mergeCell ref="AH15:AJ15"/>
    <mergeCell ref="C22:O22"/>
    <mergeCell ref="P22:R22"/>
    <mergeCell ref="U22:AG22"/>
    <mergeCell ref="AH22:AJ22"/>
    <mergeCell ref="C29:O29"/>
    <mergeCell ref="P29:R29"/>
    <mergeCell ref="U29:AG29"/>
    <mergeCell ref="AH29:AJ29"/>
    <mergeCell ref="C36:O36"/>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s>
  <conditionalFormatting sqref="C11:C12">
    <cfRule type="cellIs" dxfId="1321" priority="647" operator="equal">
      <formula>0</formula>
    </cfRule>
    <cfRule type="cellIs" dxfId="1320" priority="648" operator="notEqual">
      <formula>0</formula>
    </cfRule>
  </conditionalFormatting>
  <conditionalFormatting sqref="D11:D12">
    <cfRule type="cellIs" dxfId="1319" priority="645" operator="equal">
      <formula>0</formula>
    </cfRule>
    <cfRule type="cellIs" dxfId="1318" priority="646" operator="notEqual">
      <formula>0</formula>
    </cfRule>
  </conditionalFormatting>
  <conditionalFormatting sqref="E11:E12">
    <cfRule type="cellIs" dxfId="1317" priority="643" operator="equal">
      <formula>0</formula>
    </cfRule>
    <cfRule type="cellIs" dxfId="1316" priority="644" operator="notEqual">
      <formula>0</formula>
    </cfRule>
  </conditionalFormatting>
  <conditionalFormatting sqref="F11:F12">
    <cfRule type="cellIs" dxfId="1315" priority="641" operator="equal">
      <formula>0</formula>
    </cfRule>
    <cfRule type="cellIs" dxfId="1314" priority="642" operator="notEqual">
      <formula>0</formula>
    </cfRule>
  </conditionalFormatting>
  <conditionalFormatting sqref="G11:G12">
    <cfRule type="cellIs" dxfId="1313" priority="639" operator="equal">
      <formula>0</formula>
    </cfRule>
    <cfRule type="cellIs" dxfId="1312" priority="640" operator="notEqual">
      <formula>0</formula>
    </cfRule>
  </conditionalFormatting>
  <conditionalFormatting sqref="H11:H12">
    <cfRule type="cellIs" dxfId="1311" priority="637" operator="equal">
      <formula>0</formula>
    </cfRule>
    <cfRule type="cellIs" dxfId="1310" priority="638" operator="notEqual">
      <formula>0</formula>
    </cfRule>
  </conditionalFormatting>
  <conditionalFormatting sqref="I11:I12">
    <cfRule type="cellIs" dxfId="1309" priority="635" operator="equal">
      <formula>0</formula>
    </cfRule>
    <cfRule type="cellIs" dxfId="1308" priority="636" operator="notEqual">
      <formula>0</formula>
    </cfRule>
  </conditionalFormatting>
  <conditionalFormatting sqref="J11:J12">
    <cfRule type="cellIs" dxfId="1307" priority="633" operator="equal">
      <formula>0</formula>
    </cfRule>
    <cfRule type="cellIs" dxfId="1306" priority="634" operator="notEqual">
      <formula>0</formula>
    </cfRule>
  </conditionalFormatting>
  <conditionalFormatting sqref="O10">
    <cfRule type="cellIs" dxfId="1305" priority="631" operator="equal">
      <formula>0</formula>
    </cfRule>
    <cfRule type="cellIs" dxfId="1304" priority="632" operator="notEqual">
      <formula>0</formula>
    </cfRule>
  </conditionalFormatting>
  <conditionalFormatting sqref="P10">
    <cfRule type="cellIs" dxfId="1303" priority="629" operator="equal">
      <formula>0</formula>
    </cfRule>
    <cfRule type="cellIs" dxfId="1302" priority="630" operator="notEqual">
      <formula>0</formula>
    </cfRule>
  </conditionalFormatting>
  <conditionalFormatting sqref="Q10">
    <cfRule type="cellIs" dxfId="1301" priority="627" operator="equal">
      <formula>0</formula>
    </cfRule>
    <cfRule type="cellIs" dxfId="1300" priority="628" operator="notEqual">
      <formula>0</formula>
    </cfRule>
  </conditionalFormatting>
  <conditionalFormatting sqref="R10">
    <cfRule type="cellIs" dxfId="1299" priority="625" operator="equal">
      <formula>0</formula>
    </cfRule>
    <cfRule type="cellIs" dxfId="1298" priority="626" operator="notEqual">
      <formula>0</formula>
    </cfRule>
  </conditionalFormatting>
  <conditionalFormatting sqref="C18:C19">
    <cfRule type="cellIs" dxfId="1297" priority="623" operator="equal">
      <formula>0</formula>
    </cfRule>
    <cfRule type="cellIs" dxfId="1296" priority="624" operator="notEqual">
      <formula>0</formula>
    </cfRule>
  </conditionalFormatting>
  <conditionalFormatting sqref="D18:D19">
    <cfRule type="cellIs" dxfId="1295" priority="621" operator="equal">
      <formula>0</formula>
    </cfRule>
    <cfRule type="cellIs" dxfId="1294" priority="622" operator="notEqual">
      <formula>0</formula>
    </cfRule>
  </conditionalFormatting>
  <conditionalFormatting sqref="E18:E19">
    <cfRule type="cellIs" dxfId="1293" priority="619" operator="equal">
      <formula>0</formula>
    </cfRule>
    <cfRule type="cellIs" dxfId="1292" priority="620" operator="notEqual">
      <formula>0</formula>
    </cfRule>
  </conditionalFormatting>
  <conditionalFormatting sqref="F18:F19">
    <cfRule type="cellIs" dxfId="1291" priority="617" operator="equal">
      <formula>0</formula>
    </cfRule>
    <cfRule type="cellIs" dxfId="1290" priority="618" operator="notEqual">
      <formula>0</formula>
    </cfRule>
  </conditionalFormatting>
  <conditionalFormatting sqref="G18:G19">
    <cfRule type="cellIs" dxfId="1289" priority="615" operator="equal">
      <formula>0</formula>
    </cfRule>
    <cfRule type="cellIs" dxfId="1288" priority="616" operator="notEqual">
      <formula>0</formula>
    </cfRule>
  </conditionalFormatting>
  <conditionalFormatting sqref="H18:H19">
    <cfRule type="cellIs" dxfId="1287" priority="613" operator="equal">
      <formula>0</formula>
    </cfRule>
    <cfRule type="cellIs" dxfId="1286" priority="614" operator="notEqual">
      <formula>0</formula>
    </cfRule>
  </conditionalFormatting>
  <conditionalFormatting sqref="I18:I19">
    <cfRule type="cellIs" dxfId="1285" priority="611" operator="equal">
      <formula>0</formula>
    </cfRule>
    <cfRule type="cellIs" dxfId="1284" priority="612" operator="notEqual">
      <formula>0</formula>
    </cfRule>
  </conditionalFormatting>
  <conditionalFormatting sqref="J18:J19">
    <cfRule type="cellIs" dxfId="1283" priority="609" operator="equal">
      <formula>0</formula>
    </cfRule>
    <cfRule type="cellIs" dxfId="1282" priority="610" operator="notEqual">
      <formula>0</formula>
    </cfRule>
  </conditionalFormatting>
  <conditionalFormatting sqref="O17">
    <cfRule type="cellIs" dxfId="1281" priority="607" operator="equal">
      <formula>0</formula>
    </cfRule>
    <cfRule type="cellIs" dxfId="1280" priority="608" operator="notEqual">
      <formula>0</formula>
    </cfRule>
  </conditionalFormatting>
  <conditionalFormatting sqref="P17">
    <cfRule type="cellIs" dxfId="1279" priority="605" operator="equal">
      <formula>0</formula>
    </cfRule>
    <cfRule type="cellIs" dxfId="1278" priority="606" operator="notEqual">
      <formula>0</formula>
    </cfRule>
  </conditionalFormatting>
  <conditionalFormatting sqref="Q17">
    <cfRule type="cellIs" dxfId="1277" priority="603" operator="equal">
      <formula>0</formula>
    </cfRule>
    <cfRule type="cellIs" dxfId="1276" priority="604" operator="notEqual">
      <formula>0</formula>
    </cfRule>
  </conditionalFormatting>
  <conditionalFormatting sqref="R17">
    <cfRule type="cellIs" dxfId="1275" priority="601" operator="equal">
      <formula>0</formula>
    </cfRule>
    <cfRule type="cellIs" dxfId="1274" priority="602" operator="notEqual">
      <formula>0</formula>
    </cfRule>
  </conditionalFormatting>
  <conditionalFormatting sqref="C25:C26">
    <cfRule type="cellIs" dxfId="1273" priority="599" operator="equal">
      <formula>0</formula>
    </cfRule>
    <cfRule type="cellIs" dxfId="1272" priority="600" operator="notEqual">
      <formula>0</formula>
    </cfRule>
  </conditionalFormatting>
  <conditionalFormatting sqref="D25:D26">
    <cfRule type="cellIs" dxfId="1271" priority="597" operator="equal">
      <formula>0</formula>
    </cfRule>
    <cfRule type="cellIs" dxfId="1270" priority="598" operator="notEqual">
      <formula>0</formula>
    </cfRule>
  </conditionalFormatting>
  <conditionalFormatting sqref="E25:E26">
    <cfRule type="cellIs" dxfId="1269" priority="595" operator="equal">
      <formula>0</formula>
    </cfRule>
    <cfRule type="cellIs" dxfId="1268" priority="596" operator="notEqual">
      <formula>0</formula>
    </cfRule>
  </conditionalFormatting>
  <conditionalFormatting sqref="F25:F26">
    <cfRule type="cellIs" dxfId="1267" priority="593" operator="equal">
      <formula>0</formula>
    </cfRule>
    <cfRule type="cellIs" dxfId="1266" priority="594" operator="notEqual">
      <formula>0</formula>
    </cfRule>
  </conditionalFormatting>
  <conditionalFormatting sqref="G25:G26">
    <cfRule type="cellIs" dxfId="1265" priority="591" operator="equal">
      <formula>0</formula>
    </cfRule>
    <cfRule type="cellIs" dxfId="1264" priority="592" operator="notEqual">
      <formula>0</formula>
    </cfRule>
  </conditionalFormatting>
  <conditionalFormatting sqref="H25:H26">
    <cfRule type="cellIs" dxfId="1263" priority="589" operator="equal">
      <formula>0</formula>
    </cfRule>
    <cfRule type="cellIs" dxfId="1262" priority="590" operator="notEqual">
      <formula>0</formula>
    </cfRule>
  </conditionalFormatting>
  <conditionalFormatting sqref="I25:I26">
    <cfRule type="cellIs" dxfId="1261" priority="587" operator="equal">
      <formula>0</formula>
    </cfRule>
    <cfRule type="cellIs" dxfId="1260" priority="588" operator="notEqual">
      <formula>0</formula>
    </cfRule>
  </conditionalFormatting>
  <conditionalFormatting sqref="J25:J26">
    <cfRule type="cellIs" dxfId="1259" priority="585" operator="equal">
      <formula>0</formula>
    </cfRule>
    <cfRule type="cellIs" dxfId="1258" priority="586" operator="notEqual">
      <formula>0</formula>
    </cfRule>
  </conditionalFormatting>
  <conditionalFormatting sqref="O24">
    <cfRule type="cellIs" dxfId="1257" priority="583" operator="equal">
      <formula>0</formula>
    </cfRule>
    <cfRule type="cellIs" dxfId="1256" priority="584" operator="notEqual">
      <formula>0</formula>
    </cfRule>
  </conditionalFormatting>
  <conditionalFormatting sqref="P24">
    <cfRule type="cellIs" dxfId="1255" priority="581" operator="equal">
      <formula>0</formula>
    </cfRule>
    <cfRule type="cellIs" dxfId="1254" priority="582" operator="notEqual">
      <formula>0</formula>
    </cfRule>
  </conditionalFormatting>
  <conditionalFormatting sqref="Q24">
    <cfRule type="cellIs" dxfId="1253" priority="579" operator="equal">
      <formula>0</formula>
    </cfRule>
    <cfRule type="cellIs" dxfId="1252" priority="580" operator="notEqual">
      <formula>0</formula>
    </cfRule>
  </conditionalFormatting>
  <conditionalFormatting sqref="R24">
    <cfRule type="cellIs" dxfId="1251" priority="577" operator="equal">
      <formula>0</formula>
    </cfRule>
    <cfRule type="cellIs" dxfId="1250" priority="578" operator="notEqual">
      <formula>0</formula>
    </cfRule>
  </conditionalFormatting>
  <conditionalFormatting sqref="C32:C33">
    <cfRule type="cellIs" dxfId="1249" priority="575" operator="equal">
      <formula>0</formula>
    </cfRule>
    <cfRule type="cellIs" dxfId="1248" priority="576" operator="notEqual">
      <formula>0</formula>
    </cfRule>
  </conditionalFormatting>
  <conditionalFormatting sqref="D32:D33">
    <cfRule type="cellIs" dxfId="1247" priority="573" operator="equal">
      <formula>0</formula>
    </cfRule>
    <cfRule type="cellIs" dxfId="1246" priority="574" operator="notEqual">
      <formula>0</formula>
    </cfRule>
  </conditionalFormatting>
  <conditionalFormatting sqref="E32:E33">
    <cfRule type="cellIs" dxfId="1245" priority="571" operator="equal">
      <formula>0</formula>
    </cfRule>
    <cfRule type="cellIs" dxfId="1244" priority="572" operator="notEqual">
      <formula>0</formula>
    </cfRule>
  </conditionalFormatting>
  <conditionalFormatting sqref="F32:F33">
    <cfRule type="cellIs" dxfId="1243" priority="569" operator="equal">
      <formula>0</formula>
    </cfRule>
    <cfRule type="cellIs" dxfId="1242" priority="570" operator="notEqual">
      <formula>0</formula>
    </cfRule>
  </conditionalFormatting>
  <conditionalFormatting sqref="G32:G33">
    <cfRule type="cellIs" dxfId="1241" priority="567" operator="equal">
      <formula>0</formula>
    </cfRule>
    <cfRule type="cellIs" dxfId="1240" priority="568" operator="notEqual">
      <formula>0</formula>
    </cfRule>
  </conditionalFormatting>
  <conditionalFormatting sqref="H32:H33">
    <cfRule type="cellIs" dxfId="1239" priority="565" operator="equal">
      <formula>0</formula>
    </cfRule>
    <cfRule type="cellIs" dxfId="1238" priority="566" operator="notEqual">
      <formula>0</formula>
    </cfRule>
  </conditionalFormatting>
  <conditionalFormatting sqref="I32:I33">
    <cfRule type="cellIs" dxfId="1237" priority="563" operator="equal">
      <formula>0</formula>
    </cfRule>
    <cfRule type="cellIs" dxfId="1236" priority="564" operator="notEqual">
      <formula>0</formula>
    </cfRule>
  </conditionalFormatting>
  <conditionalFormatting sqref="J32:J33">
    <cfRule type="cellIs" dxfId="1235" priority="561" operator="equal">
      <formula>0</formula>
    </cfRule>
    <cfRule type="cellIs" dxfId="1234" priority="562" operator="notEqual">
      <formula>0</formula>
    </cfRule>
  </conditionalFormatting>
  <conditionalFormatting sqref="O31">
    <cfRule type="cellIs" dxfId="1233" priority="559" operator="equal">
      <formula>0</formula>
    </cfRule>
    <cfRule type="cellIs" dxfId="1232" priority="560" operator="notEqual">
      <formula>0</formula>
    </cfRule>
  </conditionalFormatting>
  <conditionalFormatting sqref="P31">
    <cfRule type="cellIs" dxfId="1231" priority="557" operator="equal">
      <formula>0</formula>
    </cfRule>
    <cfRule type="cellIs" dxfId="1230" priority="558" operator="notEqual">
      <formula>0</formula>
    </cfRule>
  </conditionalFormatting>
  <conditionalFormatting sqref="Q31">
    <cfRule type="cellIs" dxfId="1229" priority="555" operator="equal">
      <formula>0</formula>
    </cfRule>
    <cfRule type="cellIs" dxfId="1228" priority="556" operator="notEqual">
      <formula>0</formula>
    </cfRule>
  </conditionalFormatting>
  <conditionalFormatting sqref="R31">
    <cfRule type="cellIs" dxfId="1227" priority="553" operator="equal">
      <formula>0</formula>
    </cfRule>
    <cfRule type="cellIs" dxfId="1226" priority="554" operator="notEqual">
      <formula>0</formula>
    </cfRule>
  </conditionalFormatting>
  <conditionalFormatting sqref="C39:C40">
    <cfRule type="cellIs" dxfId="1225" priority="551" operator="equal">
      <formula>0</formula>
    </cfRule>
    <cfRule type="cellIs" dxfId="1224" priority="552" operator="notEqual">
      <formula>0</formula>
    </cfRule>
  </conditionalFormatting>
  <conditionalFormatting sqref="D39:D40">
    <cfRule type="cellIs" dxfId="1223" priority="549" operator="equal">
      <formula>0</formula>
    </cfRule>
    <cfRule type="cellIs" dxfId="1222" priority="550" operator="notEqual">
      <formula>0</formula>
    </cfRule>
  </conditionalFormatting>
  <conditionalFormatting sqref="E39:E40">
    <cfRule type="cellIs" dxfId="1221" priority="547" operator="equal">
      <formula>0</formula>
    </cfRule>
    <cfRule type="cellIs" dxfId="1220" priority="548" operator="notEqual">
      <formula>0</formula>
    </cfRule>
  </conditionalFormatting>
  <conditionalFormatting sqref="F39:F40">
    <cfRule type="cellIs" dxfId="1219" priority="545" operator="equal">
      <formula>0</formula>
    </cfRule>
    <cfRule type="cellIs" dxfId="1218" priority="546" operator="notEqual">
      <formula>0</formula>
    </cfRule>
  </conditionalFormatting>
  <conditionalFormatting sqref="G39:G40">
    <cfRule type="cellIs" dxfId="1217" priority="543" operator="equal">
      <formula>0</formula>
    </cfRule>
    <cfRule type="cellIs" dxfId="1216" priority="544" operator="notEqual">
      <formula>0</formula>
    </cfRule>
  </conditionalFormatting>
  <conditionalFormatting sqref="H39:H40">
    <cfRule type="cellIs" dxfId="1215" priority="541" operator="equal">
      <formula>0</formula>
    </cfRule>
    <cfRule type="cellIs" dxfId="1214" priority="542" operator="notEqual">
      <formula>0</formula>
    </cfRule>
  </conditionalFormatting>
  <conditionalFormatting sqref="I39:I40">
    <cfRule type="cellIs" dxfId="1213" priority="539" operator="equal">
      <formula>0</formula>
    </cfRule>
    <cfRule type="cellIs" dxfId="1212" priority="540" operator="notEqual">
      <formula>0</formula>
    </cfRule>
  </conditionalFormatting>
  <conditionalFormatting sqref="J39:J40">
    <cfRule type="cellIs" dxfId="1211" priority="537" operator="equal">
      <formula>0</formula>
    </cfRule>
    <cfRule type="cellIs" dxfId="1210" priority="538" operator="notEqual">
      <formula>0</formula>
    </cfRule>
  </conditionalFormatting>
  <conditionalFormatting sqref="O38">
    <cfRule type="cellIs" dxfId="1209" priority="535" operator="equal">
      <formula>0</formula>
    </cfRule>
    <cfRule type="cellIs" dxfId="1208" priority="536" operator="notEqual">
      <formula>0</formula>
    </cfRule>
  </conditionalFormatting>
  <conditionalFormatting sqref="P38">
    <cfRule type="cellIs" dxfId="1207" priority="533" operator="equal">
      <formula>0</formula>
    </cfRule>
    <cfRule type="cellIs" dxfId="1206" priority="534" operator="notEqual">
      <formula>0</formula>
    </cfRule>
  </conditionalFormatting>
  <conditionalFormatting sqref="Q38">
    <cfRule type="cellIs" dxfId="1205" priority="531" operator="equal">
      <formula>0</formula>
    </cfRule>
    <cfRule type="cellIs" dxfId="1204" priority="532" operator="notEqual">
      <formula>0</formula>
    </cfRule>
  </conditionalFormatting>
  <conditionalFormatting sqref="R38">
    <cfRule type="cellIs" dxfId="1203" priority="529" operator="equal">
      <formula>0</formula>
    </cfRule>
    <cfRule type="cellIs" dxfId="1202" priority="530" operator="notEqual">
      <formula>0</formula>
    </cfRule>
  </conditionalFormatting>
  <conditionalFormatting sqref="C46:C47">
    <cfRule type="cellIs" dxfId="1201" priority="527" operator="equal">
      <formula>0</formula>
    </cfRule>
    <cfRule type="cellIs" dxfId="1200" priority="528" operator="notEqual">
      <formula>0</formula>
    </cfRule>
  </conditionalFormatting>
  <conditionalFormatting sqref="D46:D47">
    <cfRule type="cellIs" dxfId="1199" priority="525" operator="equal">
      <formula>0</formula>
    </cfRule>
    <cfRule type="cellIs" dxfId="1198" priority="526" operator="notEqual">
      <formula>0</formula>
    </cfRule>
  </conditionalFormatting>
  <conditionalFormatting sqref="E46:E47">
    <cfRule type="cellIs" dxfId="1197" priority="523" operator="equal">
      <formula>0</formula>
    </cfRule>
    <cfRule type="cellIs" dxfId="1196" priority="524" operator="notEqual">
      <formula>0</formula>
    </cfRule>
  </conditionalFormatting>
  <conditionalFormatting sqref="F46:F47">
    <cfRule type="cellIs" dxfId="1195" priority="521" operator="equal">
      <formula>0</formula>
    </cfRule>
    <cfRule type="cellIs" dxfId="1194" priority="522" operator="notEqual">
      <formula>0</formula>
    </cfRule>
  </conditionalFormatting>
  <conditionalFormatting sqref="G46:G47">
    <cfRule type="cellIs" dxfId="1193" priority="519" operator="equal">
      <formula>0</formula>
    </cfRule>
    <cfRule type="cellIs" dxfId="1192" priority="520" operator="notEqual">
      <formula>0</formula>
    </cfRule>
  </conditionalFormatting>
  <conditionalFormatting sqref="H46:H47">
    <cfRule type="cellIs" dxfId="1191" priority="517" operator="equal">
      <formula>0</formula>
    </cfRule>
    <cfRule type="cellIs" dxfId="1190" priority="518" operator="notEqual">
      <formula>0</formula>
    </cfRule>
  </conditionalFormatting>
  <conditionalFormatting sqref="I46:I47">
    <cfRule type="cellIs" dxfId="1189" priority="515" operator="equal">
      <formula>0</formula>
    </cfRule>
    <cfRule type="cellIs" dxfId="1188" priority="516" operator="notEqual">
      <formula>0</formula>
    </cfRule>
  </conditionalFormatting>
  <conditionalFormatting sqref="J46:J47">
    <cfRule type="cellIs" dxfId="1187" priority="513" operator="equal">
      <formula>0</formula>
    </cfRule>
    <cfRule type="cellIs" dxfId="1186" priority="514" operator="notEqual">
      <formula>0</formula>
    </cfRule>
  </conditionalFormatting>
  <conditionalFormatting sqref="O45">
    <cfRule type="cellIs" dxfId="1185" priority="511" operator="equal">
      <formula>0</formula>
    </cfRule>
    <cfRule type="cellIs" dxfId="1184" priority="512" operator="notEqual">
      <formula>0</formula>
    </cfRule>
  </conditionalFormatting>
  <conditionalFormatting sqref="P45">
    <cfRule type="cellIs" dxfId="1183" priority="509" operator="equal">
      <formula>0</formula>
    </cfRule>
    <cfRule type="cellIs" dxfId="1182" priority="510" operator="notEqual">
      <formula>0</formula>
    </cfRule>
  </conditionalFormatting>
  <conditionalFormatting sqref="Q45">
    <cfRule type="cellIs" dxfId="1181" priority="507" operator="equal">
      <formula>0</formula>
    </cfRule>
    <cfRule type="cellIs" dxfId="1180" priority="508" operator="notEqual">
      <formula>0</formula>
    </cfRule>
  </conditionalFormatting>
  <conditionalFormatting sqref="R45">
    <cfRule type="cellIs" dxfId="1179" priority="505" operator="equal">
      <formula>0</formula>
    </cfRule>
    <cfRule type="cellIs" dxfId="1178" priority="506" operator="notEqual">
      <formula>0</formula>
    </cfRule>
  </conditionalFormatting>
  <conditionalFormatting sqref="C53:C54">
    <cfRule type="cellIs" dxfId="1177" priority="503" operator="equal">
      <formula>0</formula>
    </cfRule>
    <cfRule type="cellIs" dxfId="1176" priority="504" operator="notEqual">
      <formula>0</formula>
    </cfRule>
  </conditionalFormatting>
  <conditionalFormatting sqref="D53:D54">
    <cfRule type="cellIs" dxfId="1175" priority="501" operator="equal">
      <formula>0</formula>
    </cfRule>
    <cfRule type="cellIs" dxfId="1174" priority="502" operator="notEqual">
      <formula>0</formula>
    </cfRule>
  </conditionalFormatting>
  <conditionalFormatting sqref="E53:E54">
    <cfRule type="cellIs" dxfId="1173" priority="499" operator="equal">
      <formula>0</formula>
    </cfRule>
    <cfRule type="cellIs" dxfId="1172" priority="500" operator="notEqual">
      <formula>0</formula>
    </cfRule>
  </conditionalFormatting>
  <conditionalFormatting sqref="F53:F54">
    <cfRule type="cellIs" dxfId="1171" priority="497" operator="equal">
      <formula>0</formula>
    </cfRule>
    <cfRule type="cellIs" dxfId="1170" priority="498" operator="notEqual">
      <formula>0</formula>
    </cfRule>
  </conditionalFormatting>
  <conditionalFormatting sqref="G53:G54">
    <cfRule type="cellIs" dxfId="1169" priority="495" operator="equal">
      <formula>0</formula>
    </cfRule>
    <cfRule type="cellIs" dxfId="1168" priority="496" operator="notEqual">
      <formula>0</formula>
    </cfRule>
  </conditionalFormatting>
  <conditionalFormatting sqref="H53:H54">
    <cfRule type="cellIs" dxfId="1167" priority="493" operator="equal">
      <formula>0</formula>
    </cfRule>
    <cfRule type="cellIs" dxfId="1166" priority="494" operator="notEqual">
      <formula>0</formula>
    </cfRule>
  </conditionalFormatting>
  <conditionalFormatting sqref="I53:I54">
    <cfRule type="cellIs" dxfId="1165" priority="491" operator="equal">
      <formula>0</formula>
    </cfRule>
    <cfRule type="cellIs" dxfId="1164" priority="492" operator="notEqual">
      <formula>0</formula>
    </cfRule>
  </conditionalFormatting>
  <conditionalFormatting sqref="J53:J54">
    <cfRule type="cellIs" dxfId="1163" priority="489" operator="equal">
      <formula>0</formula>
    </cfRule>
    <cfRule type="cellIs" dxfId="1162" priority="490" operator="notEqual">
      <formula>0</formula>
    </cfRule>
  </conditionalFormatting>
  <conditionalFormatting sqref="O52">
    <cfRule type="cellIs" dxfId="1161" priority="487" operator="equal">
      <formula>0</formula>
    </cfRule>
    <cfRule type="cellIs" dxfId="1160" priority="488" operator="notEqual">
      <formula>0</formula>
    </cfRule>
  </conditionalFormatting>
  <conditionalFormatting sqref="P52">
    <cfRule type="cellIs" dxfId="1159" priority="485" operator="equal">
      <formula>0</formula>
    </cfRule>
    <cfRule type="cellIs" dxfId="1158" priority="486" operator="notEqual">
      <formula>0</formula>
    </cfRule>
  </conditionalFormatting>
  <conditionalFormatting sqref="Q52">
    <cfRule type="cellIs" dxfId="1157" priority="483" operator="equal">
      <formula>0</formula>
    </cfRule>
    <cfRule type="cellIs" dxfId="1156" priority="484" operator="notEqual">
      <formula>0</formula>
    </cfRule>
  </conditionalFormatting>
  <conditionalFormatting sqref="R52">
    <cfRule type="cellIs" dxfId="1155" priority="481" operator="equal">
      <formula>0</formula>
    </cfRule>
    <cfRule type="cellIs" dxfId="1154" priority="482" operator="notEqual">
      <formula>0</formula>
    </cfRule>
  </conditionalFormatting>
  <conditionalFormatting sqref="C60:C61">
    <cfRule type="cellIs" dxfId="1153" priority="479" operator="equal">
      <formula>0</formula>
    </cfRule>
    <cfRule type="cellIs" dxfId="1152" priority="480" operator="notEqual">
      <formula>0</formula>
    </cfRule>
  </conditionalFormatting>
  <conditionalFormatting sqref="D60:D61">
    <cfRule type="cellIs" dxfId="1151" priority="477" operator="equal">
      <formula>0</formula>
    </cfRule>
    <cfRule type="cellIs" dxfId="1150" priority="478" operator="notEqual">
      <formula>0</formula>
    </cfRule>
  </conditionalFormatting>
  <conditionalFormatting sqref="E60:E61">
    <cfRule type="cellIs" dxfId="1149" priority="475" operator="equal">
      <formula>0</formula>
    </cfRule>
    <cfRule type="cellIs" dxfId="1148" priority="476" operator="notEqual">
      <formula>0</formula>
    </cfRule>
  </conditionalFormatting>
  <conditionalFormatting sqref="F60:F61">
    <cfRule type="cellIs" dxfId="1147" priority="473" operator="equal">
      <formula>0</formula>
    </cfRule>
    <cfRule type="cellIs" dxfId="1146" priority="474" operator="notEqual">
      <formula>0</formula>
    </cfRule>
  </conditionalFormatting>
  <conditionalFormatting sqref="G60:G61">
    <cfRule type="cellIs" dxfId="1145" priority="471" operator="equal">
      <formula>0</formula>
    </cfRule>
    <cfRule type="cellIs" dxfId="1144" priority="472" operator="notEqual">
      <formula>0</formula>
    </cfRule>
  </conditionalFormatting>
  <conditionalFormatting sqref="H60:H61">
    <cfRule type="cellIs" dxfId="1143" priority="469" operator="equal">
      <formula>0</formula>
    </cfRule>
    <cfRule type="cellIs" dxfId="1142" priority="470" operator="notEqual">
      <formula>0</formula>
    </cfRule>
  </conditionalFormatting>
  <conditionalFormatting sqref="I60:I61">
    <cfRule type="cellIs" dxfId="1141" priority="467" operator="equal">
      <formula>0</formula>
    </cfRule>
    <cfRule type="cellIs" dxfId="1140" priority="468" operator="notEqual">
      <formula>0</formula>
    </cfRule>
  </conditionalFormatting>
  <conditionalFormatting sqref="J60:J61">
    <cfRule type="cellIs" dxfId="1139" priority="465" operator="equal">
      <formula>0</formula>
    </cfRule>
    <cfRule type="cellIs" dxfId="1138" priority="466" operator="notEqual">
      <formula>0</formula>
    </cfRule>
  </conditionalFormatting>
  <conditionalFormatting sqref="O59">
    <cfRule type="cellIs" dxfId="1137" priority="463" operator="equal">
      <formula>0</formula>
    </cfRule>
    <cfRule type="cellIs" dxfId="1136" priority="464" operator="notEqual">
      <formula>0</formula>
    </cfRule>
  </conditionalFormatting>
  <conditionalFormatting sqref="P59">
    <cfRule type="cellIs" dxfId="1135" priority="461" operator="equal">
      <formula>0</formula>
    </cfRule>
    <cfRule type="cellIs" dxfId="1134" priority="462" operator="notEqual">
      <formula>0</formula>
    </cfRule>
  </conditionalFormatting>
  <conditionalFormatting sqref="Q59">
    <cfRule type="cellIs" dxfId="1133" priority="459" operator="equal">
      <formula>0</formula>
    </cfRule>
    <cfRule type="cellIs" dxfId="1132" priority="460" operator="notEqual">
      <formula>0</formula>
    </cfRule>
  </conditionalFormatting>
  <conditionalFormatting sqref="R59">
    <cfRule type="cellIs" dxfId="1131" priority="457" operator="equal">
      <formula>0</formula>
    </cfRule>
    <cfRule type="cellIs" dxfId="1130" priority="458" operator="notEqual">
      <formula>0</formula>
    </cfRule>
  </conditionalFormatting>
  <conditionalFormatting sqref="C67:C68">
    <cfRule type="cellIs" dxfId="1129" priority="455" operator="equal">
      <formula>0</formula>
    </cfRule>
    <cfRule type="cellIs" dxfId="1128" priority="456" operator="notEqual">
      <formula>0</formula>
    </cfRule>
  </conditionalFormatting>
  <conditionalFormatting sqref="D67:D68">
    <cfRule type="cellIs" dxfId="1127" priority="453" operator="equal">
      <formula>0</formula>
    </cfRule>
    <cfRule type="cellIs" dxfId="1126" priority="454" operator="notEqual">
      <formula>0</formula>
    </cfRule>
  </conditionalFormatting>
  <conditionalFormatting sqref="E67:E68">
    <cfRule type="cellIs" dxfId="1125" priority="451" operator="equal">
      <formula>0</formula>
    </cfRule>
    <cfRule type="cellIs" dxfId="1124" priority="452" operator="notEqual">
      <formula>0</formula>
    </cfRule>
  </conditionalFormatting>
  <conditionalFormatting sqref="F67:F68">
    <cfRule type="cellIs" dxfId="1123" priority="449" operator="equal">
      <formula>0</formula>
    </cfRule>
    <cfRule type="cellIs" dxfId="1122" priority="450" operator="notEqual">
      <formula>0</formula>
    </cfRule>
  </conditionalFormatting>
  <conditionalFormatting sqref="G67:G68">
    <cfRule type="cellIs" dxfId="1121" priority="447" operator="equal">
      <formula>0</formula>
    </cfRule>
    <cfRule type="cellIs" dxfId="1120" priority="448" operator="notEqual">
      <formula>0</formula>
    </cfRule>
  </conditionalFormatting>
  <conditionalFormatting sqref="H67:H68">
    <cfRule type="cellIs" dxfId="1119" priority="445" operator="equal">
      <formula>0</formula>
    </cfRule>
    <cfRule type="cellIs" dxfId="1118" priority="446" operator="notEqual">
      <formula>0</formula>
    </cfRule>
  </conditionalFormatting>
  <conditionalFormatting sqref="I67:I68">
    <cfRule type="cellIs" dxfId="1117" priority="443" operator="equal">
      <formula>0</formula>
    </cfRule>
    <cfRule type="cellIs" dxfId="1116" priority="444" operator="notEqual">
      <formula>0</formula>
    </cfRule>
  </conditionalFormatting>
  <conditionalFormatting sqref="J67:J68">
    <cfRule type="cellIs" dxfId="1115" priority="441" operator="equal">
      <formula>0</formula>
    </cfRule>
    <cfRule type="cellIs" dxfId="1114" priority="442" operator="notEqual">
      <formula>0</formula>
    </cfRule>
  </conditionalFormatting>
  <conditionalFormatting sqref="O66">
    <cfRule type="cellIs" dxfId="1113" priority="439" operator="equal">
      <formula>0</formula>
    </cfRule>
    <cfRule type="cellIs" dxfId="1112" priority="440" operator="notEqual">
      <formula>0</formula>
    </cfRule>
  </conditionalFormatting>
  <conditionalFormatting sqref="P66">
    <cfRule type="cellIs" dxfId="1111" priority="437" operator="equal">
      <formula>0</formula>
    </cfRule>
    <cfRule type="cellIs" dxfId="1110" priority="438" operator="notEqual">
      <formula>0</formula>
    </cfRule>
  </conditionalFormatting>
  <conditionalFormatting sqref="Q66">
    <cfRule type="cellIs" dxfId="1109" priority="435" operator="equal">
      <formula>0</formula>
    </cfRule>
    <cfRule type="cellIs" dxfId="1108" priority="436" operator="notEqual">
      <formula>0</formula>
    </cfRule>
  </conditionalFormatting>
  <conditionalFormatting sqref="R66">
    <cfRule type="cellIs" dxfId="1107" priority="433" operator="equal">
      <formula>0</formula>
    </cfRule>
    <cfRule type="cellIs" dxfId="1106" priority="434" operator="notEqual">
      <formula>0</formula>
    </cfRule>
  </conditionalFormatting>
  <conditionalFormatting sqref="C74:C75">
    <cfRule type="cellIs" dxfId="1105" priority="431" operator="equal">
      <formula>0</formula>
    </cfRule>
    <cfRule type="cellIs" dxfId="1104" priority="432" operator="notEqual">
      <formula>0</formula>
    </cfRule>
  </conditionalFormatting>
  <conditionalFormatting sqref="D74:D75">
    <cfRule type="cellIs" dxfId="1103" priority="429" operator="equal">
      <formula>0</formula>
    </cfRule>
    <cfRule type="cellIs" dxfId="1102" priority="430" operator="notEqual">
      <formula>0</formula>
    </cfRule>
  </conditionalFormatting>
  <conditionalFormatting sqref="E74:E75">
    <cfRule type="cellIs" dxfId="1101" priority="427" operator="equal">
      <formula>0</formula>
    </cfRule>
    <cfRule type="cellIs" dxfId="1100" priority="428" operator="notEqual">
      <formula>0</formula>
    </cfRule>
  </conditionalFormatting>
  <conditionalFormatting sqref="F74:F75">
    <cfRule type="cellIs" dxfId="1099" priority="425" operator="equal">
      <formula>0</formula>
    </cfRule>
    <cfRule type="cellIs" dxfId="1098" priority="426" operator="notEqual">
      <formula>0</formula>
    </cfRule>
  </conditionalFormatting>
  <conditionalFormatting sqref="G74:G75">
    <cfRule type="cellIs" dxfId="1097" priority="423" operator="equal">
      <formula>0</formula>
    </cfRule>
    <cfRule type="cellIs" dxfId="1096" priority="424" operator="notEqual">
      <formula>0</formula>
    </cfRule>
  </conditionalFormatting>
  <conditionalFormatting sqref="H74:H75">
    <cfRule type="cellIs" dxfId="1095" priority="421" operator="equal">
      <formula>0</formula>
    </cfRule>
    <cfRule type="cellIs" dxfId="1094" priority="422" operator="notEqual">
      <formula>0</formula>
    </cfRule>
  </conditionalFormatting>
  <conditionalFormatting sqref="I74:I75">
    <cfRule type="cellIs" dxfId="1093" priority="419" operator="equal">
      <formula>0</formula>
    </cfRule>
    <cfRule type="cellIs" dxfId="1092" priority="420" operator="notEqual">
      <formula>0</formula>
    </cfRule>
  </conditionalFormatting>
  <conditionalFormatting sqref="J74:J75">
    <cfRule type="cellIs" dxfId="1091" priority="417" operator="equal">
      <formula>0</formula>
    </cfRule>
    <cfRule type="cellIs" dxfId="1090" priority="418" operator="notEqual">
      <formula>0</formula>
    </cfRule>
  </conditionalFormatting>
  <conditionalFormatting sqref="O73">
    <cfRule type="cellIs" dxfId="1089" priority="415" operator="equal">
      <formula>0</formula>
    </cfRule>
    <cfRule type="cellIs" dxfId="1088" priority="416" operator="notEqual">
      <formula>0</formula>
    </cfRule>
  </conditionalFormatting>
  <conditionalFormatting sqref="P73">
    <cfRule type="cellIs" dxfId="1087" priority="413" operator="equal">
      <formula>0</formula>
    </cfRule>
    <cfRule type="cellIs" dxfId="1086" priority="414" operator="notEqual">
      <formula>0</formula>
    </cfRule>
  </conditionalFormatting>
  <conditionalFormatting sqref="Q73">
    <cfRule type="cellIs" dxfId="1085" priority="411" operator="equal">
      <formula>0</formula>
    </cfRule>
    <cfRule type="cellIs" dxfId="1084" priority="412" operator="notEqual">
      <formula>0</formula>
    </cfRule>
  </conditionalFormatting>
  <conditionalFormatting sqref="R73">
    <cfRule type="cellIs" dxfId="1083" priority="409" operator="equal">
      <formula>0</formula>
    </cfRule>
    <cfRule type="cellIs" dxfId="1082" priority="410" operator="notEqual">
      <formula>0</formula>
    </cfRule>
  </conditionalFormatting>
  <conditionalFormatting sqref="U67:U68">
    <cfRule type="cellIs" dxfId="1081" priority="407" operator="equal">
      <formula>0</formula>
    </cfRule>
    <cfRule type="cellIs" dxfId="1080" priority="408" operator="notEqual">
      <formula>0</formula>
    </cfRule>
  </conditionalFormatting>
  <conditionalFormatting sqref="V67:V68">
    <cfRule type="cellIs" dxfId="1079" priority="405" operator="equal">
      <formula>0</formula>
    </cfRule>
    <cfRule type="cellIs" dxfId="1078" priority="406" operator="notEqual">
      <formula>0</formula>
    </cfRule>
  </conditionalFormatting>
  <conditionalFormatting sqref="W67:W68">
    <cfRule type="cellIs" dxfId="1077" priority="403" operator="equal">
      <formula>0</formula>
    </cfRule>
    <cfRule type="cellIs" dxfId="1076" priority="404" operator="notEqual">
      <formula>0</formula>
    </cfRule>
  </conditionalFormatting>
  <conditionalFormatting sqref="X67:X68">
    <cfRule type="cellIs" dxfId="1075" priority="401" operator="equal">
      <formula>0</formula>
    </cfRule>
    <cfRule type="cellIs" dxfId="1074" priority="402" operator="notEqual">
      <formula>0</formula>
    </cfRule>
  </conditionalFormatting>
  <conditionalFormatting sqref="Y67:Y68">
    <cfRule type="cellIs" dxfId="1073" priority="399" operator="equal">
      <formula>0</formula>
    </cfRule>
    <cfRule type="cellIs" dxfId="1072" priority="400" operator="notEqual">
      <formula>0</formula>
    </cfRule>
  </conditionalFormatting>
  <conditionalFormatting sqref="Z67:Z68">
    <cfRule type="cellIs" dxfId="1071" priority="397" operator="equal">
      <formula>0</formula>
    </cfRule>
    <cfRule type="cellIs" dxfId="1070" priority="398" operator="notEqual">
      <formula>0</formula>
    </cfRule>
  </conditionalFormatting>
  <conditionalFormatting sqref="AA67:AA68">
    <cfRule type="cellIs" dxfId="1069" priority="395" operator="equal">
      <formula>0</formula>
    </cfRule>
    <cfRule type="cellIs" dxfId="1068" priority="396" operator="notEqual">
      <formula>0</formula>
    </cfRule>
  </conditionalFormatting>
  <conditionalFormatting sqref="AB67:AB68">
    <cfRule type="cellIs" dxfId="1067" priority="393" operator="equal">
      <formula>0</formula>
    </cfRule>
    <cfRule type="cellIs" dxfId="1066" priority="394" operator="notEqual">
      <formula>0</formula>
    </cfRule>
  </conditionalFormatting>
  <conditionalFormatting sqref="AG66">
    <cfRule type="cellIs" dxfId="1065" priority="391" operator="equal">
      <formula>0</formula>
    </cfRule>
    <cfRule type="cellIs" dxfId="1064" priority="392" operator="notEqual">
      <formula>0</formula>
    </cfRule>
  </conditionalFormatting>
  <conditionalFormatting sqref="AH66">
    <cfRule type="cellIs" dxfId="1063" priority="389" operator="equal">
      <formula>0</formula>
    </cfRule>
    <cfRule type="cellIs" dxfId="1062" priority="390" operator="notEqual">
      <formula>0</formula>
    </cfRule>
  </conditionalFormatting>
  <conditionalFormatting sqref="AI66">
    <cfRule type="cellIs" dxfId="1061" priority="387" operator="equal">
      <formula>0</formula>
    </cfRule>
    <cfRule type="cellIs" dxfId="1060" priority="388" operator="notEqual">
      <formula>0</formula>
    </cfRule>
  </conditionalFormatting>
  <conditionalFormatting sqref="AJ66">
    <cfRule type="cellIs" dxfId="1059" priority="385" operator="equal">
      <formula>0</formula>
    </cfRule>
    <cfRule type="cellIs" dxfId="1058" priority="386" operator="notEqual">
      <formula>0</formula>
    </cfRule>
  </conditionalFormatting>
  <conditionalFormatting sqref="U60:U61">
    <cfRule type="cellIs" dxfId="1057" priority="383" operator="equal">
      <formula>0</formula>
    </cfRule>
    <cfRule type="cellIs" dxfId="1056" priority="384" operator="notEqual">
      <formula>0</formula>
    </cfRule>
  </conditionalFormatting>
  <conditionalFormatting sqref="V60:V61">
    <cfRule type="cellIs" dxfId="1055" priority="381" operator="equal">
      <formula>0</formula>
    </cfRule>
    <cfRule type="cellIs" dxfId="1054" priority="382" operator="notEqual">
      <formula>0</formula>
    </cfRule>
  </conditionalFormatting>
  <conditionalFormatting sqref="W60:W61">
    <cfRule type="cellIs" dxfId="1053" priority="379" operator="equal">
      <formula>0</formula>
    </cfRule>
    <cfRule type="cellIs" dxfId="1052" priority="380" operator="notEqual">
      <formula>0</formula>
    </cfRule>
  </conditionalFormatting>
  <conditionalFormatting sqref="X60:X61">
    <cfRule type="cellIs" dxfId="1051" priority="377" operator="equal">
      <formula>0</formula>
    </cfRule>
    <cfRule type="cellIs" dxfId="1050" priority="378" operator="notEqual">
      <formula>0</formula>
    </cfRule>
  </conditionalFormatting>
  <conditionalFormatting sqref="Y60:Y61">
    <cfRule type="cellIs" dxfId="1049" priority="375" operator="equal">
      <formula>0</formula>
    </cfRule>
    <cfRule type="cellIs" dxfId="1048" priority="376" operator="notEqual">
      <formula>0</formula>
    </cfRule>
  </conditionalFormatting>
  <conditionalFormatting sqref="Z60:Z61">
    <cfRule type="cellIs" dxfId="1047" priority="373" operator="equal">
      <formula>0</formula>
    </cfRule>
    <cfRule type="cellIs" dxfId="1046" priority="374" operator="notEqual">
      <formula>0</formula>
    </cfRule>
  </conditionalFormatting>
  <conditionalFormatting sqref="AA60:AA61">
    <cfRule type="cellIs" dxfId="1045" priority="371" operator="equal">
      <formula>0</formula>
    </cfRule>
    <cfRule type="cellIs" dxfId="1044" priority="372" operator="notEqual">
      <formula>0</formula>
    </cfRule>
  </conditionalFormatting>
  <conditionalFormatting sqref="AB60:AB61">
    <cfRule type="cellIs" dxfId="1043" priority="369" operator="equal">
      <formula>0</formula>
    </cfRule>
    <cfRule type="cellIs" dxfId="1042" priority="370" operator="notEqual">
      <formula>0</formula>
    </cfRule>
  </conditionalFormatting>
  <conditionalFormatting sqref="AG59">
    <cfRule type="cellIs" dxfId="1041" priority="367" operator="equal">
      <formula>0</formula>
    </cfRule>
    <cfRule type="cellIs" dxfId="1040" priority="368" operator="notEqual">
      <formula>0</formula>
    </cfRule>
  </conditionalFormatting>
  <conditionalFormatting sqref="AH59">
    <cfRule type="cellIs" dxfId="1039" priority="365" operator="equal">
      <formula>0</formula>
    </cfRule>
    <cfRule type="cellIs" dxfId="1038" priority="366" operator="notEqual">
      <formula>0</formula>
    </cfRule>
  </conditionalFormatting>
  <conditionalFormatting sqref="AI59">
    <cfRule type="cellIs" dxfId="1037" priority="363" operator="equal">
      <formula>0</formula>
    </cfRule>
    <cfRule type="cellIs" dxfId="1036" priority="364" operator="notEqual">
      <formula>0</formula>
    </cfRule>
  </conditionalFormatting>
  <conditionalFormatting sqref="AJ59">
    <cfRule type="cellIs" dxfId="1035" priority="361" operator="equal">
      <formula>0</formula>
    </cfRule>
    <cfRule type="cellIs" dxfId="1034" priority="362" operator="notEqual">
      <formula>0</formula>
    </cfRule>
  </conditionalFormatting>
  <conditionalFormatting sqref="U53:U54">
    <cfRule type="cellIs" dxfId="1033" priority="359" operator="equal">
      <formula>0</formula>
    </cfRule>
    <cfRule type="cellIs" dxfId="1032" priority="360" operator="notEqual">
      <formula>0</formula>
    </cfRule>
  </conditionalFormatting>
  <conditionalFormatting sqref="V53:V54">
    <cfRule type="cellIs" dxfId="1031" priority="357" operator="equal">
      <formula>0</formula>
    </cfRule>
    <cfRule type="cellIs" dxfId="1030" priority="358" operator="notEqual">
      <formula>0</formula>
    </cfRule>
  </conditionalFormatting>
  <conditionalFormatting sqref="W53:W54">
    <cfRule type="cellIs" dxfId="1029" priority="355" operator="equal">
      <formula>0</formula>
    </cfRule>
    <cfRule type="cellIs" dxfId="1028" priority="356" operator="notEqual">
      <formula>0</formula>
    </cfRule>
  </conditionalFormatting>
  <conditionalFormatting sqref="X53:X54">
    <cfRule type="cellIs" dxfId="1027" priority="353" operator="equal">
      <formula>0</formula>
    </cfRule>
    <cfRule type="cellIs" dxfId="1026" priority="354" operator="notEqual">
      <formula>0</formula>
    </cfRule>
  </conditionalFormatting>
  <conditionalFormatting sqref="Y53:Y54">
    <cfRule type="cellIs" dxfId="1025" priority="351" operator="equal">
      <formula>0</formula>
    </cfRule>
    <cfRule type="cellIs" dxfId="1024" priority="352" operator="notEqual">
      <formula>0</formula>
    </cfRule>
  </conditionalFormatting>
  <conditionalFormatting sqref="Z53:Z54">
    <cfRule type="cellIs" dxfId="1023" priority="349" operator="equal">
      <formula>0</formula>
    </cfRule>
    <cfRule type="cellIs" dxfId="1022" priority="350" operator="notEqual">
      <formula>0</formula>
    </cfRule>
  </conditionalFormatting>
  <conditionalFormatting sqref="AA53:AA54">
    <cfRule type="cellIs" dxfId="1021" priority="347" operator="equal">
      <formula>0</formula>
    </cfRule>
    <cfRule type="cellIs" dxfId="1020" priority="348" operator="notEqual">
      <formula>0</formula>
    </cfRule>
  </conditionalFormatting>
  <conditionalFormatting sqref="AB53:AB54">
    <cfRule type="cellIs" dxfId="1019" priority="345" operator="equal">
      <formula>0</formula>
    </cfRule>
    <cfRule type="cellIs" dxfId="1018" priority="346" operator="notEqual">
      <formula>0</formula>
    </cfRule>
  </conditionalFormatting>
  <conditionalFormatting sqref="AG52">
    <cfRule type="cellIs" dxfId="1017" priority="343" operator="equal">
      <formula>0</formula>
    </cfRule>
    <cfRule type="cellIs" dxfId="1016" priority="344" operator="notEqual">
      <formula>0</formula>
    </cfRule>
  </conditionalFormatting>
  <conditionalFormatting sqref="AH52">
    <cfRule type="cellIs" dxfId="1015" priority="341" operator="equal">
      <formula>0</formula>
    </cfRule>
    <cfRule type="cellIs" dxfId="1014" priority="342" operator="notEqual">
      <formula>0</formula>
    </cfRule>
  </conditionalFormatting>
  <conditionalFormatting sqref="AI52">
    <cfRule type="cellIs" dxfId="1013" priority="339" operator="equal">
      <formula>0</formula>
    </cfRule>
    <cfRule type="cellIs" dxfId="1012" priority="340" operator="notEqual">
      <formula>0</formula>
    </cfRule>
  </conditionalFormatting>
  <conditionalFormatting sqref="AJ52">
    <cfRule type="cellIs" dxfId="1011" priority="337" operator="equal">
      <formula>0</formula>
    </cfRule>
    <cfRule type="cellIs" dxfId="1010" priority="338" operator="notEqual">
      <formula>0</formula>
    </cfRule>
  </conditionalFormatting>
  <conditionalFormatting sqref="U46:U47">
    <cfRule type="cellIs" dxfId="1009" priority="335" operator="equal">
      <formula>0</formula>
    </cfRule>
    <cfRule type="cellIs" dxfId="1008" priority="336" operator="notEqual">
      <formula>0</formula>
    </cfRule>
  </conditionalFormatting>
  <conditionalFormatting sqref="V46:V47">
    <cfRule type="cellIs" dxfId="1007" priority="333" operator="equal">
      <formula>0</formula>
    </cfRule>
    <cfRule type="cellIs" dxfId="1006" priority="334" operator="notEqual">
      <formula>0</formula>
    </cfRule>
  </conditionalFormatting>
  <conditionalFormatting sqref="W46:W47">
    <cfRule type="cellIs" dxfId="1005" priority="331" operator="equal">
      <formula>0</formula>
    </cfRule>
    <cfRule type="cellIs" dxfId="1004" priority="332" operator="notEqual">
      <formula>0</formula>
    </cfRule>
  </conditionalFormatting>
  <conditionalFormatting sqref="X46:X47">
    <cfRule type="cellIs" dxfId="1003" priority="329" operator="equal">
      <formula>0</formula>
    </cfRule>
    <cfRule type="cellIs" dxfId="1002" priority="330" operator="notEqual">
      <formula>0</formula>
    </cfRule>
  </conditionalFormatting>
  <conditionalFormatting sqref="Y46:Y47">
    <cfRule type="cellIs" dxfId="1001" priority="327" operator="equal">
      <formula>0</formula>
    </cfRule>
    <cfRule type="cellIs" dxfId="1000" priority="328" operator="notEqual">
      <formula>0</formula>
    </cfRule>
  </conditionalFormatting>
  <conditionalFormatting sqref="Z46:Z47">
    <cfRule type="cellIs" dxfId="999" priority="325" operator="equal">
      <formula>0</formula>
    </cfRule>
    <cfRule type="cellIs" dxfId="998" priority="326" operator="notEqual">
      <formula>0</formula>
    </cfRule>
  </conditionalFormatting>
  <conditionalFormatting sqref="AA46:AA47">
    <cfRule type="cellIs" dxfId="997" priority="323" operator="equal">
      <formula>0</formula>
    </cfRule>
    <cfRule type="cellIs" dxfId="996" priority="324" operator="notEqual">
      <formula>0</formula>
    </cfRule>
  </conditionalFormatting>
  <conditionalFormatting sqref="AB46:AB47">
    <cfRule type="cellIs" dxfId="995" priority="321" operator="equal">
      <formula>0</formula>
    </cfRule>
    <cfRule type="cellIs" dxfId="994" priority="322" operator="notEqual">
      <formula>0</formula>
    </cfRule>
  </conditionalFormatting>
  <conditionalFormatting sqref="AG45">
    <cfRule type="cellIs" dxfId="993" priority="319" operator="equal">
      <formula>0</formula>
    </cfRule>
    <cfRule type="cellIs" dxfId="992" priority="320" operator="notEqual">
      <formula>0</formula>
    </cfRule>
  </conditionalFormatting>
  <conditionalFormatting sqref="AH45">
    <cfRule type="cellIs" dxfId="991" priority="317" operator="equal">
      <formula>0</formula>
    </cfRule>
    <cfRule type="cellIs" dxfId="990" priority="318" operator="notEqual">
      <formula>0</formula>
    </cfRule>
  </conditionalFormatting>
  <conditionalFormatting sqref="AI45">
    <cfRule type="cellIs" dxfId="989" priority="315" operator="equal">
      <formula>0</formula>
    </cfRule>
    <cfRule type="cellIs" dxfId="988" priority="316" operator="notEqual">
      <formula>0</formula>
    </cfRule>
  </conditionalFormatting>
  <conditionalFormatting sqref="AJ45">
    <cfRule type="cellIs" dxfId="987" priority="313" operator="equal">
      <formula>0</formula>
    </cfRule>
    <cfRule type="cellIs" dxfId="986" priority="314" operator="notEqual">
      <formula>0</formula>
    </cfRule>
  </conditionalFormatting>
  <conditionalFormatting sqref="U39:U40">
    <cfRule type="cellIs" dxfId="985" priority="311" operator="equal">
      <formula>0</formula>
    </cfRule>
    <cfRule type="cellIs" dxfId="984" priority="312" operator="notEqual">
      <formula>0</formula>
    </cfRule>
  </conditionalFormatting>
  <conditionalFormatting sqref="V39:V40">
    <cfRule type="cellIs" dxfId="983" priority="309" operator="equal">
      <formula>0</formula>
    </cfRule>
    <cfRule type="cellIs" dxfId="982" priority="310" operator="notEqual">
      <formula>0</formula>
    </cfRule>
  </conditionalFormatting>
  <conditionalFormatting sqref="W39:W40">
    <cfRule type="cellIs" dxfId="981" priority="307" operator="equal">
      <formula>0</formula>
    </cfRule>
    <cfRule type="cellIs" dxfId="980" priority="308" operator="notEqual">
      <formula>0</formula>
    </cfRule>
  </conditionalFormatting>
  <conditionalFormatting sqref="X39:X40">
    <cfRule type="cellIs" dxfId="979" priority="305" operator="equal">
      <formula>0</formula>
    </cfRule>
    <cfRule type="cellIs" dxfId="978" priority="306" operator="notEqual">
      <formula>0</formula>
    </cfRule>
  </conditionalFormatting>
  <conditionalFormatting sqref="Y39:Y40">
    <cfRule type="cellIs" dxfId="977" priority="303" operator="equal">
      <formula>0</formula>
    </cfRule>
    <cfRule type="cellIs" dxfId="976" priority="304" operator="notEqual">
      <formula>0</formula>
    </cfRule>
  </conditionalFormatting>
  <conditionalFormatting sqref="Z39:Z40">
    <cfRule type="cellIs" dxfId="975" priority="301" operator="equal">
      <formula>0</formula>
    </cfRule>
    <cfRule type="cellIs" dxfId="974" priority="302" operator="notEqual">
      <formula>0</formula>
    </cfRule>
  </conditionalFormatting>
  <conditionalFormatting sqref="AA39:AA40">
    <cfRule type="cellIs" dxfId="973" priority="299" operator="equal">
      <formula>0</formula>
    </cfRule>
    <cfRule type="cellIs" dxfId="972" priority="300" operator="notEqual">
      <formula>0</formula>
    </cfRule>
  </conditionalFormatting>
  <conditionalFormatting sqref="AB39:AB40">
    <cfRule type="cellIs" dxfId="971" priority="297" operator="equal">
      <formula>0</formula>
    </cfRule>
    <cfRule type="cellIs" dxfId="970" priority="298" operator="notEqual">
      <formula>0</formula>
    </cfRule>
  </conditionalFormatting>
  <conditionalFormatting sqref="AG38">
    <cfRule type="cellIs" dxfId="969" priority="295" operator="equal">
      <formula>0</formula>
    </cfRule>
    <cfRule type="cellIs" dxfId="968" priority="296" operator="notEqual">
      <formula>0</formula>
    </cfRule>
  </conditionalFormatting>
  <conditionalFormatting sqref="AH38">
    <cfRule type="cellIs" dxfId="967" priority="293" operator="equal">
      <formula>0</formula>
    </cfRule>
    <cfRule type="cellIs" dxfId="966" priority="294" operator="notEqual">
      <formula>0</formula>
    </cfRule>
  </conditionalFormatting>
  <conditionalFormatting sqref="AI38">
    <cfRule type="cellIs" dxfId="965" priority="291" operator="equal">
      <formula>0</formula>
    </cfRule>
    <cfRule type="cellIs" dxfId="964" priority="292" operator="notEqual">
      <formula>0</formula>
    </cfRule>
  </conditionalFormatting>
  <conditionalFormatting sqref="AJ38">
    <cfRule type="cellIs" dxfId="963" priority="289" operator="equal">
      <formula>0</formula>
    </cfRule>
    <cfRule type="cellIs" dxfId="962" priority="290" operator="notEqual">
      <formula>0</formula>
    </cfRule>
  </conditionalFormatting>
  <conditionalFormatting sqref="U32:U33">
    <cfRule type="cellIs" dxfId="961" priority="287" operator="equal">
      <formula>0</formula>
    </cfRule>
    <cfRule type="cellIs" dxfId="960" priority="288" operator="notEqual">
      <formula>0</formula>
    </cfRule>
  </conditionalFormatting>
  <conditionalFormatting sqref="V32:V33">
    <cfRule type="cellIs" dxfId="959" priority="285" operator="equal">
      <formula>0</formula>
    </cfRule>
    <cfRule type="cellIs" dxfId="958" priority="286" operator="notEqual">
      <formula>0</formula>
    </cfRule>
  </conditionalFormatting>
  <conditionalFormatting sqref="W32:W33">
    <cfRule type="cellIs" dxfId="957" priority="283" operator="equal">
      <formula>0</formula>
    </cfRule>
    <cfRule type="cellIs" dxfId="956" priority="284" operator="notEqual">
      <formula>0</formula>
    </cfRule>
  </conditionalFormatting>
  <conditionalFormatting sqref="X32:X33">
    <cfRule type="cellIs" dxfId="955" priority="281" operator="equal">
      <formula>0</formula>
    </cfRule>
    <cfRule type="cellIs" dxfId="954" priority="282" operator="notEqual">
      <formula>0</formula>
    </cfRule>
  </conditionalFormatting>
  <conditionalFormatting sqref="Y32:Y33">
    <cfRule type="cellIs" dxfId="953" priority="279" operator="equal">
      <formula>0</formula>
    </cfRule>
    <cfRule type="cellIs" dxfId="952" priority="280" operator="notEqual">
      <formula>0</formula>
    </cfRule>
  </conditionalFormatting>
  <conditionalFormatting sqref="Z32:Z33">
    <cfRule type="cellIs" dxfId="951" priority="277" operator="equal">
      <formula>0</formula>
    </cfRule>
    <cfRule type="cellIs" dxfId="950" priority="278" operator="notEqual">
      <formula>0</formula>
    </cfRule>
  </conditionalFormatting>
  <conditionalFormatting sqref="AA32:AA33">
    <cfRule type="cellIs" dxfId="949" priority="275" operator="equal">
      <formula>0</formula>
    </cfRule>
    <cfRule type="cellIs" dxfId="948" priority="276" operator="notEqual">
      <formula>0</formula>
    </cfRule>
  </conditionalFormatting>
  <conditionalFormatting sqref="AB32:AB33">
    <cfRule type="cellIs" dxfId="947" priority="273" operator="equal">
      <formula>0</formula>
    </cfRule>
    <cfRule type="cellIs" dxfId="946" priority="274" operator="notEqual">
      <formula>0</formula>
    </cfRule>
  </conditionalFormatting>
  <conditionalFormatting sqref="AG31">
    <cfRule type="cellIs" dxfId="945" priority="271" operator="equal">
      <formula>0</formula>
    </cfRule>
    <cfRule type="cellIs" dxfId="944" priority="272" operator="notEqual">
      <formula>0</formula>
    </cfRule>
  </conditionalFormatting>
  <conditionalFormatting sqref="AH31">
    <cfRule type="cellIs" dxfId="943" priority="269" operator="equal">
      <formula>0</formula>
    </cfRule>
    <cfRule type="cellIs" dxfId="942" priority="270" operator="notEqual">
      <formula>0</formula>
    </cfRule>
  </conditionalFormatting>
  <conditionalFormatting sqref="AI31">
    <cfRule type="cellIs" dxfId="941" priority="267" operator="equal">
      <formula>0</formula>
    </cfRule>
    <cfRule type="cellIs" dxfId="940" priority="268" operator="notEqual">
      <formula>0</formula>
    </cfRule>
  </conditionalFormatting>
  <conditionalFormatting sqref="AJ31">
    <cfRule type="cellIs" dxfId="939" priority="265" operator="equal">
      <formula>0</formula>
    </cfRule>
    <cfRule type="cellIs" dxfId="938" priority="266" operator="notEqual">
      <formula>0</formula>
    </cfRule>
  </conditionalFormatting>
  <conditionalFormatting sqref="U25:U26">
    <cfRule type="cellIs" dxfId="937" priority="263" operator="equal">
      <formula>0</formula>
    </cfRule>
    <cfRule type="cellIs" dxfId="936" priority="264" operator="notEqual">
      <formula>0</formula>
    </cfRule>
  </conditionalFormatting>
  <conditionalFormatting sqref="V25:V26">
    <cfRule type="cellIs" dxfId="935" priority="261" operator="equal">
      <formula>0</formula>
    </cfRule>
    <cfRule type="cellIs" dxfId="934" priority="262" operator="notEqual">
      <formula>0</formula>
    </cfRule>
  </conditionalFormatting>
  <conditionalFormatting sqref="W25:W26">
    <cfRule type="cellIs" dxfId="933" priority="259" operator="equal">
      <formula>0</formula>
    </cfRule>
    <cfRule type="cellIs" dxfId="932" priority="260" operator="notEqual">
      <formula>0</formula>
    </cfRule>
  </conditionalFormatting>
  <conditionalFormatting sqref="X25:X26">
    <cfRule type="cellIs" dxfId="931" priority="257" operator="equal">
      <formula>0</formula>
    </cfRule>
    <cfRule type="cellIs" dxfId="930" priority="258" operator="notEqual">
      <formula>0</formula>
    </cfRule>
  </conditionalFormatting>
  <conditionalFormatting sqref="Y25:Y26">
    <cfRule type="cellIs" dxfId="929" priority="255" operator="equal">
      <formula>0</formula>
    </cfRule>
    <cfRule type="cellIs" dxfId="928" priority="256" operator="notEqual">
      <formula>0</formula>
    </cfRule>
  </conditionalFormatting>
  <conditionalFormatting sqref="Z25:Z26">
    <cfRule type="cellIs" dxfId="927" priority="253" operator="equal">
      <formula>0</formula>
    </cfRule>
    <cfRule type="cellIs" dxfId="926" priority="254" operator="notEqual">
      <formula>0</formula>
    </cfRule>
  </conditionalFormatting>
  <conditionalFormatting sqref="AA25:AA26">
    <cfRule type="cellIs" dxfId="925" priority="251" operator="equal">
      <formula>0</formula>
    </cfRule>
    <cfRule type="cellIs" dxfId="924" priority="252" operator="notEqual">
      <formula>0</formula>
    </cfRule>
  </conditionalFormatting>
  <conditionalFormatting sqref="AB25:AB26">
    <cfRule type="cellIs" dxfId="923" priority="249" operator="equal">
      <formula>0</formula>
    </cfRule>
    <cfRule type="cellIs" dxfId="922" priority="250" operator="notEqual">
      <formula>0</formula>
    </cfRule>
  </conditionalFormatting>
  <conditionalFormatting sqref="AG24">
    <cfRule type="cellIs" dxfId="921" priority="247" operator="equal">
      <formula>0</formula>
    </cfRule>
    <cfRule type="cellIs" dxfId="920" priority="248" operator="notEqual">
      <formula>0</formula>
    </cfRule>
  </conditionalFormatting>
  <conditionalFormatting sqref="AH24">
    <cfRule type="cellIs" dxfId="919" priority="245" operator="equal">
      <formula>0</formula>
    </cfRule>
    <cfRule type="cellIs" dxfId="918" priority="246" operator="notEqual">
      <formula>0</formula>
    </cfRule>
  </conditionalFormatting>
  <conditionalFormatting sqref="AI24">
    <cfRule type="cellIs" dxfId="917" priority="243" operator="equal">
      <formula>0</formula>
    </cfRule>
    <cfRule type="cellIs" dxfId="916" priority="244" operator="notEqual">
      <formula>0</formula>
    </cfRule>
  </conditionalFormatting>
  <conditionalFormatting sqref="AJ24">
    <cfRule type="cellIs" dxfId="915" priority="241" operator="equal">
      <formula>0</formula>
    </cfRule>
    <cfRule type="cellIs" dxfId="914" priority="242" operator="notEqual">
      <formula>0</formula>
    </cfRule>
  </conditionalFormatting>
  <conditionalFormatting sqref="U18:U19">
    <cfRule type="cellIs" dxfId="913" priority="239" operator="equal">
      <formula>0</formula>
    </cfRule>
    <cfRule type="cellIs" dxfId="912" priority="240" operator="notEqual">
      <formula>0</formula>
    </cfRule>
  </conditionalFormatting>
  <conditionalFormatting sqref="V18:V19">
    <cfRule type="cellIs" dxfId="911" priority="237" operator="equal">
      <formula>0</formula>
    </cfRule>
    <cfRule type="cellIs" dxfId="910" priority="238" operator="notEqual">
      <formula>0</formula>
    </cfRule>
  </conditionalFormatting>
  <conditionalFormatting sqref="W18:W19">
    <cfRule type="cellIs" dxfId="909" priority="235" operator="equal">
      <formula>0</formula>
    </cfRule>
    <cfRule type="cellIs" dxfId="908" priority="236" operator="notEqual">
      <formula>0</formula>
    </cfRule>
  </conditionalFormatting>
  <conditionalFormatting sqref="X18:X19">
    <cfRule type="cellIs" dxfId="907" priority="233" operator="equal">
      <formula>0</formula>
    </cfRule>
    <cfRule type="cellIs" dxfId="906" priority="234" operator="notEqual">
      <formula>0</formula>
    </cfRule>
  </conditionalFormatting>
  <conditionalFormatting sqref="Y18:Y19">
    <cfRule type="cellIs" dxfId="905" priority="231" operator="equal">
      <formula>0</formula>
    </cfRule>
    <cfRule type="cellIs" dxfId="904" priority="232" operator="notEqual">
      <formula>0</formula>
    </cfRule>
  </conditionalFormatting>
  <conditionalFormatting sqref="Z18:Z19">
    <cfRule type="cellIs" dxfId="903" priority="229" operator="equal">
      <formula>0</formula>
    </cfRule>
    <cfRule type="cellIs" dxfId="902" priority="230" operator="notEqual">
      <formula>0</formula>
    </cfRule>
  </conditionalFormatting>
  <conditionalFormatting sqref="AA18:AA19">
    <cfRule type="cellIs" dxfId="901" priority="227" operator="equal">
      <formula>0</formula>
    </cfRule>
    <cfRule type="cellIs" dxfId="900" priority="228" operator="notEqual">
      <formula>0</formula>
    </cfRule>
  </conditionalFormatting>
  <conditionalFormatting sqref="AB18:AB19">
    <cfRule type="cellIs" dxfId="899" priority="225" operator="equal">
      <formula>0</formula>
    </cfRule>
    <cfRule type="cellIs" dxfId="898" priority="226" operator="notEqual">
      <formula>0</formula>
    </cfRule>
  </conditionalFormatting>
  <conditionalFormatting sqref="AG17">
    <cfRule type="cellIs" dxfId="897" priority="223" operator="equal">
      <formula>0</formula>
    </cfRule>
    <cfRule type="cellIs" dxfId="896" priority="224" operator="notEqual">
      <formula>0</formula>
    </cfRule>
  </conditionalFormatting>
  <conditionalFormatting sqref="AH17">
    <cfRule type="cellIs" dxfId="895" priority="221" operator="equal">
      <formula>0</formula>
    </cfRule>
    <cfRule type="cellIs" dxfId="894" priority="222" operator="notEqual">
      <formula>0</formula>
    </cfRule>
  </conditionalFormatting>
  <conditionalFormatting sqref="AI17">
    <cfRule type="cellIs" dxfId="893" priority="219" operator="equal">
      <formula>0</formula>
    </cfRule>
    <cfRule type="cellIs" dxfId="892" priority="220" operator="notEqual">
      <formula>0</formula>
    </cfRule>
  </conditionalFormatting>
  <conditionalFormatting sqref="AJ17">
    <cfRule type="cellIs" dxfId="891" priority="217" operator="equal">
      <formula>0</formula>
    </cfRule>
    <cfRule type="cellIs" dxfId="890" priority="218" operator="notEqual">
      <formula>0</formula>
    </cfRule>
  </conditionalFormatting>
  <conditionalFormatting sqref="U11:U12">
    <cfRule type="cellIs" dxfId="889" priority="215" operator="equal">
      <formula>0</formula>
    </cfRule>
    <cfRule type="cellIs" dxfId="888" priority="216" operator="notEqual">
      <formula>0</formula>
    </cfRule>
  </conditionalFormatting>
  <conditionalFormatting sqref="V11:V12">
    <cfRule type="cellIs" dxfId="887" priority="213" operator="equal">
      <formula>0</formula>
    </cfRule>
    <cfRule type="cellIs" dxfId="886" priority="214" operator="notEqual">
      <formula>0</formula>
    </cfRule>
  </conditionalFormatting>
  <conditionalFormatting sqref="W11:W12">
    <cfRule type="cellIs" dxfId="885" priority="211" operator="equal">
      <formula>0</formula>
    </cfRule>
    <cfRule type="cellIs" dxfId="884" priority="212" operator="notEqual">
      <formula>0</formula>
    </cfRule>
  </conditionalFormatting>
  <conditionalFormatting sqref="X11:X12">
    <cfRule type="cellIs" dxfId="883" priority="209" operator="equal">
      <formula>0</formula>
    </cfRule>
    <cfRule type="cellIs" dxfId="882" priority="210" operator="notEqual">
      <formula>0</formula>
    </cfRule>
  </conditionalFormatting>
  <conditionalFormatting sqref="Y11:Y12">
    <cfRule type="cellIs" dxfId="881" priority="207" operator="equal">
      <formula>0</formula>
    </cfRule>
    <cfRule type="cellIs" dxfId="880" priority="208" operator="notEqual">
      <formula>0</formula>
    </cfRule>
  </conditionalFormatting>
  <conditionalFormatting sqref="Z11:Z12">
    <cfRule type="cellIs" dxfId="879" priority="205" operator="equal">
      <formula>0</formula>
    </cfRule>
    <cfRule type="cellIs" dxfId="878" priority="206" operator="notEqual">
      <formula>0</formula>
    </cfRule>
  </conditionalFormatting>
  <conditionalFormatting sqref="AA11:AA12">
    <cfRule type="cellIs" dxfId="877" priority="203" operator="equal">
      <formula>0</formula>
    </cfRule>
    <cfRule type="cellIs" dxfId="876" priority="204" operator="notEqual">
      <formula>0</formula>
    </cfRule>
  </conditionalFormatting>
  <conditionalFormatting sqref="AB11:AB12">
    <cfRule type="cellIs" dxfId="875" priority="201" operator="equal">
      <formula>0</formula>
    </cfRule>
    <cfRule type="cellIs" dxfId="874" priority="202" operator="notEqual">
      <formula>0</formula>
    </cfRule>
  </conditionalFormatting>
  <conditionalFormatting sqref="AG10">
    <cfRule type="cellIs" dxfId="873" priority="199" operator="equal">
      <formula>0</formula>
    </cfRule>
    <cfRule type="cellIs" dxfId="872" priority="200" operator="notEqual">
      <formula>0</formula>
    </cfRule>
  </conditionalFormatting>
  <conditionalFormatting sqref="AH10">
    <cfRule type="cellIs" dxfId="871" priority="197" operator="equal">
      <formula>0</formula>
    </cfRule>
    <cfRule type="cellIs" dxfId="870" priority="198" operator="notEqual">
      <formula>0</formula>
    </cfRule>
  </conditionalFormatting>
  <conditionalFormatting sqref="AI10">
    <cfRule type="cellIs" dxfId="869" priority="195" operator="equal">
      <formula>0</formula>
    </cfRule>
    <cfRule type="cellIs" dxfId="868" priority="196" operator="notEqual">
      <formula>0</formula>
    </cfRule>
  </conditionalFormatting>
  <conditionalFormatting sqref="AJ10">
    <cfRule type="cellIs" dxfId="867" priority="193" operator="equal">
      <formula>0</formula>
    </cfRule>
    <cfRule type="cellIs" dxfId="866" priority="194" operator="notEqual">
      <formula>0</formula>
    </cfRule>
  </conditionalFormatting>
  <conditionalFormatting sqref="C81:C82">
    <cfRule type="cellIs" dxfId="865" priority="191" operator="equal">
      <formula>0</formula>
    </cfRule>
    <cfRule type="cellIs" dxfId="864" priority="192" operator="notEqual">
      <formula>0</formula>
    </cfRule>
  </conditionalFormatting>
  <conditionalFormatting sqref="D81:D82">
    <cfRule type="cellIs" dxfId="863" priority="189" operator="equal">
      <formula>0</formula>
    </cfRule>
    <cfRule type="cellIs" dxfId="862" priority="190" operator="notEqual">
      <formula>0</formula>
    </cfRule>
  </conditionalFormatting>
  <conditionalFormatting sqref="E81:E82">
    <cfRule type="cellIs" dxfId="861" priority="187" operator="equal">
      <formula>0</formula>
    </cfRule>
    <cfRule type="cellIs" dxfId="860" priority="188" operator="notEqual">
      <formula>0</formula>
    </cfRule>
  </conditionalFormatting>
  <conditionalFormatting sqref="F81:F82">
    <cfRule type="cellIs" dxfId="859" priority="185" operator="equal">
      <formula>0</formula>
    </cfRule>
    <cfRule type="cellIs" dxfId="858" priority="186" operator="notEqual">
      <formula>0</formula>
    </cfRule>
  </conditionalFormatting>
  <conditionalFormatting sqref="G81:G82">
    <cfRule type="cellIs" dxfId="857" priority="183" operator="equal">
      <formula>0</formula>
    </cfRule>
    <cfRule type="cellIs" dxfId="856" priority="184" operator="notEqual">
      <formula>0</formula>
    </cfRule>
  </conditionalFormatting>
  <conditionalFormatting sqref="H81:H82">
    <cfRule type="cellIs" dxfId="855" priority="181" operator="equal">
      <formula>0</formula>
    </cfRule>
    <cfRule type="cellIs" dxfId="854" priority="182" operator="notEqual">
      <formula>0</formula>
    </cfRule>
  </conditionalFormatting>
  <conditionalFormatting sqref="I81:I82">
    <cfRule type="cellIs" dxfId="853" priority="179" operator="equal">
      <formula>0</formula>
    </cfRule>
    <cfRule type="cellIs" dxfId="852" priority="180" operator="notEqual">
      <formula>0</formula>
    </cfRule>
  </conditionalFormatting>
  <conditionalFormatting sqref="J81:J82">
    <cfRule type="cellIs" dxfId="851" priority="177" operator="equal">
      <formula>0</formula>
    </cfRule>
    <cfRule type="cellIs" dxfId="850" priority="178" operator="notEqual">
      <formula>0</formula>
    </cfRule>
  </conditionalFormatting>
  <conditionalFormatting sqref="O80">
    <cfRule type="cellIs" dxfId="849" priority="175" operator="equal">
      <formula>0</formula>
    </cfRule>
    <cfRule type="cellIs" dxfId="848" priority="176" operator="notEqual">
      <formula>0</formula>
    </cfRule>
  </conditionalFormatting>
  <conditionalFormatting sqref="P80">
    <cfRule type="cellIs" dxfId="847" priority="173" operator="equal">
      <formula>0</formula>
    </cfRule>
    <cfRule type="cellIs" dxfId="846" priority="174" operator="notEqual">
      <formula>0</formula>
    </cfRule>
  </conditionalFormatting>
  <conditionalFormatting sqref="Q80">
    <cfRule type="cellIs" dxfId="845" priority="171" operator="equal">
      <formula>0</formula>
    </cfRule>
    <cfRule type="cellIs" dxfId="844" priority="172" operator="notEqual">
      <formula>0</formula>
    </cfRule>
  </conditionalFormatting>
  <conditionalFormatting sqref="R80">
    <cfRule type="cellIs" dxfId="843" priority="169" operator="equal">
      <formula>0</formula>
    </cfRule>
    <cfRule type="cellIs" dxfId="842" priority="170" operator="notEqual">
      <formula>0</formula>
    </cfRule>
  </conditionalFormatting>
  <conditionalFormatting sqref="C88:C89">
    <cfRule type="cellIs" dxfId="841" priority="167" operator="equal">
      <formula>0</formula>
    </cfRule>
    <cfRule type="cellIs" dxfId="840" priority="168" operator="notEqual">
      <formula>0</formula>
    </cfRule>
  </conditionalFormatting>
  <conditionalFormatting sqref="D88:D89">
    <cfRule type="cellIs" dxfId="839" priority="165" operator="equal">
      <formula>0</formula>
    </cfRule>
    <cfRule type="cellIs" dxfId="838" priority="166" operator="notEqual">
      <formula>0</formula>
    </cfRule>
  </conditionalFormatting>
  <conditionalFormatting sqref="E88:E89">
    <cfRule type="cellIs" dxfId="837" priority="163" operator="equal">
      <formula>0</formula>
    </cfRule>
    <cfRule type="cellIs" dxfId="836" priority="164" operator="notEqual">
      <formula>0</formula>
    </cfRule>
  </conditionalFormatting>
  <conditionalFormatting sqref="F88:F89">
    <cfRule type="cellIs" dxfId="835" priority="161" operator="equal">
      <formula>0</formula>
    </cfRule>
    <cfRule type="cellIs" dxfId="834" priority="162" operator="notEqual">
      <formula>0</formula>
    </cfRule>
  </conditionalFormatting>
  <conditionalFormatting sqref="G88:G89">
    <cfRule type="cellIs" dxfId="833" priority="159" operator="equal">
      <formula>0</formula>
    </cfRule>
    <cfRule type="cellIs" dxfId="832" priority="160" operator="notEqual">
      <formula>0</formula>
    </cfRule>
  </conditionalFormatting>
  <conditionalFormatting sqref="H88:H89">
    <cfRule type="cellIs" dxfId="831" priority="157" operator="equal">
      <formula>0</formula>
    </cfRule>
    <cfRule type="cellIs" dxfId="830" priority="158" operator="notEqual">
      <formula>0</formula>
    </cfRule>
  </conditionalFormatting>
  <conditionalFormatting sqref="I88:I89">
    <cfRule type="cellIs" dxfId="829" priority="155" operator="equal">
      <formula>0</formula>
    </cfRule>
    <cfRule type="cellIs" dxfId="828" priority="156" operator="notEqual">
      <formula>0</formula>
    </cfRule>
  </conditionalFormatting>
  <conditionalFormatting sqref="J88:J89">
    <cfRule type="cellIs" dxfId="827" priority="153" operator="equal">
      <formula>0</formula>
    </cfRule>
    <cfRule type="cellIs" dxfId="826" priority="154" operator="notEqual">
      <formula>0</formula>
    </cfRule>
  </conditionalFormatting>
  <conditionalFormatting sqref="O87">
    <cfRule type="cellIs" dxfId="825" priority="151" operator="equal">
      <formula>0</formula>
    </cfRule>
    <cfRule type="cellIs" dxfId="824" priority="152" operator="notEqual">
      <formula>0</formula>
    </cfRule>
  </conditionalFormatting>
  <conditionalFormatting sqref="P87">
    <cfRule type="cellIs" dxfId="823" priority="149" operator="equal">
      <formula>0</formula>
    </cfRule>
    <cfRule type="cellIs" dxfId="822" priority="150" operator="notEqual">
      <formula>0</formula>
    </cfRule>
  </conditionalFormatting>
  <conditionalFormatting sqref="Q87">
    <cfRule type="cellIs" dxfId="821" priority="147" operator="equal">
      <formula>0</formula>
    </cfRule>
    <cfRule type="cellIs" dxfId="820" priority="148" operator="notEqual">
      <formula>0</formula>
    </cfRule>
  </conditionalFormatting>
  <conditionalFormatting sqref="R87">
    <cfRule type="cellIs" dxfId="819" priority="145" operator="equal">
      <formula>0</formula>
    </cfRule>
    <cfRule type="cellIs" dxfId="818" priority="146" operator="notEqual">
      <formula>0</formula>
    </cfRule>
  </conditionalFormatting>
  <conditionalFormatting sqref="C95:C96">
    <cfRule type="cellIs" dxfId="817" priority="143" operator="equal">
      <formula>0</formula>
    </cfRule>
    <cfRule type="cellIs" dxfId="816" priority="144" operator="notEqual">
      <formula>0</formula>
    </cfRule>
  </conditionalFormatting>
  <conditionalFormatting sqref="D95:D96">
    <cfRule type="cellIs" dxfId="815" priority="141" operator="equal">
      <formula>0</formula>
    </cfRule>
    <cfRule type="cellIs" dxfId="814" priority="142" operator="notEqual">
      <formula>0</formula>
    </cfRule>
  </conditionalFormatting>
  <conditionalFormatting sqref="E95:E96">
    <cfRule type="cellIs" dxfId="813" priority="139" operator="equal">
      <formula>0</formula>
    </cfRule>
    <cfRule type="cellIs" dxfId="812" priority="140" operator="notEqual">
      <formula>0</formula>
    </cfRule>
  </conditionalFormatting>
  <conditionalFormatting sqref="F95:F96">
    <cfRule type="cellIs" dxfId="811" priority="137" operator="equal">
      <formula>0</formula>
    </cfRule>
    <cfRule type="cellIs" dxfId="810" priority="138" operator="notEqual">
      <formula>0</formula>
    </cfRule>
  </conditionalFormatting>
  <conditionalFormatting sqref="G95:G96">
    <cfRule type="cellIs" dxfId="809" priority="135" operator="equal">
      <formula>0</formula>
    </cfRule>
    <cfRule type="cellIs" dxfId="808" priority="136" operator="notEqual">
      <formula>0</formula>
    </cfRule>
  </conditionalFormatting>
  <conditionalFormatting sqref="H95:H96">
    <cfRule type="cellIs" dxfId="807" priority="133" operator="equal">
      <formula>0</formula>
    </cfRule>
    <cfRule type="cellIs" dxfId="806" priority="134" operator="notEqual">
      <formula>0</formula>
    </cfRule>
  </conditionalFormatting>
  <conditionalFormatting sqref="I95:I96">
    <cfRule type="cellIs" dxfId="805" priority="131" operator="equal">
      <formula>0</formula>
    </cfRule>
    <cfRule type="cellIs" dxfId="804" priority="132" operator="notEqual">
      <formula>0</formula>
    </cfRule>
  </conditionalFormatting>
  <conditionalFormatting sqref="J95:J96">
    <cfRule type="cellIs" dxfId="803" priority="129" operator="equal">
      <formula>0</formula>
    </cfRule>
    <cfRule type="cellIs" dxfId="802" priority="130" operator="notEqual">
      <formula>0</formula>
    </cfRule>
  </conditionalFormatting>
  <conditionalFormatting sqref="O94">
    <cfRule type="cellIs" dxfId="801" priority="127" operator="equal">
      <formula>0</formula>
    </cfRule>
    <cfRule type="cellIs" dxfId="800" priority="128" operator="notEqual">
      <formula>0</formula>
    </cfRule>
  </conditionalFormatting>
  <conditionalFormatting sqref="P94">
    <cfRule type="cellIs" dxfId="799" priority="125" operator="equal">
      <formula>0</formula>
    </cfRule>
    <cfRule type="cellIs" dxfId="798" priority="126" operator="notEqual">
      <formula>0</formula>
    </cfRule>
  </conditionalFormatting>
  <conditionalFormatting sqref="Q94">
    <cfRule type="cellIs" dxfId="797" priority="123" operator="equal">
      <formula>0</formula>
    </cfRule>
    <cfRule type="cellIs" dxfId="796" priority="124" operator="notEqual">
      <formula>0</formula>
    </cfRule>
  </conditionalFormatting>
  <conditionalFormatting sqref="R94">
    <cfRule type="cellIs" dxfId="795" priority="121" operator="equal">
      <formula>0</formula>
    </cfRule>
    <cfRule type="cellIs" dxfId="794" priority="122" operator="notEqual">
      <formula>0</formula>
    </cfRule>
  </conditionalFormatting>
  <conditionalFormatting sqref="C102:C103">
    <cfRule type="cellIs" dxfId="793" priority="119" operator="equal">
      <formula>0</formula>
    </cfRule>
    <cfRule type="cellIs" dxfId="792" priority="120" operator="notEqual">
      <formula>0</formula>
    </cfRule>
  </conditionalFormatting>
  <conditionalFormatting sqref="D102:D103">
    <cfRule type="cellIs" dxfId="791" priority="117" operator="equal">
      <formula>0</formula>
    </cfRule>
    <cfRule type="cellIs" dxfId="790" priority="118" operator="notEqual">
      <formula>0</formula>
    </cfRule>
  </conditionalFormatting>
  <conditionalFormatting sqref="E102:E103">
    <cfRule type="cellIs" dxfId="789" priority="115" operator="equal">
      <formula>0</formula>
    </cfRule>
    <cfRule type="cellIs" dxfId="788" priority="116" operator="notEqual">
      <formula>0</formula>
    </cfRule>
  </conditionalFormatting>
  <conditionalFormatting sqref="F102:F103">
    <cfRule type="cellIs" dxfId="787" priority="113" operator="equal">
      <formula>0</formula>
    </cfRule>
    <cfRule type="cellIs" dxfId="786" priority="114" operator="notEqual">
      <formula>0</formula>
    </cfRule>
  </conditionalFormatting>
  <conditionalFormatting sqref="G102:G103">
    <cfRule type="cellIs" dxfId="785" priority="111" operator="equal">
      <formula>0</formula>
    </cfRule>
    <cfRule type="cellIs" dxfId="784" priority="112" operator="notEqual">
      <formula>0</formula>
    </cfRule>
  </conditionalFormatting>
  <conditionalFormatting sqref="H102:H103">
    <cfRule type="cellIs" dxfId="783" priority="109" operator="equal">
      <formula>0</formula>
    </cfRule>
    <cfRule type="cellIs" dxfId="782" priority="110" operator="notEqual">
      <formula>0</formula>
    </cfRule>
  </conditionalFormatting>
  <conditionalFormatting sqref="I102:I103">
    <cfRule type="cellIs" dxfId="781" priority="107" operator="equal">
      <formula>0</formula>
    </cfRule>
    <cfRule type="cellIs" dxfId="780" priority="108" operator="notEqual">
      <formula>0</formula>
    </cfRule>
  </conditionalFormatting>
  <conditionalFormatting sqref="J102:J103">
    <cfRule type="cellIs" dxfId="779" priority="105" operator="equal">
      <formula>0</formula>
    </cfRule>
    <cfRule type="cellIs" dxfId="778" priority="106" operator="notEqual">
      <formula>0</formula>
    </cfRule>
  </conditionalFormatting>
  <conditionalFormatting sqref="O101">
    <cfRule type="cellIs" dxfId="777" priority="103" operator="equal">
      <formula>0</formula>
    </cfRule>
    <cfRule type="cellIs" dxfId="776" priority="104" operator="notEqual">
      <formula>0</formula>
    </cfRule>
  </conditionalFormatting>
  <conditionalFormatting sqref="P101">
    <cfRule type="cellIs" dxfId="775" priority="101" operator="equal">
      <formula>0</formula>
    </cfRule>
    <cfRule type="cellIs" dxfId="774" priority="102" operator="notEqual">
      <formula>0</formula>
    </cfRule>
  </conditionalFormatting>
  <conditionalFormatting sqref="Q101">
    <cfRule type="cellIs" dxfId="773" priority="99" operator="equal">
      <formula>0</formula>
    </cfRule>
    <cfRule type="cellIs" dxfId="772" priority="100" operator="notEqual">
      <formula>0</formula>
    </cfRule>
  </conditionalFormatting>
  <conditionalFormatting sqref="R101">
    <cfRule type="cellIs" dxfId="771" priority="97" operator="equal">
      <formula>0</formula>
    </cfRule>
    <cfRule type="cellIs" dxfId="770" priority="98" operator="notEqual">
      <formula>0</formula>
    </cfRule>
  </conditionalFormatting>
  <conditionalFormatting sqref="U74:U75">
    <cfRule type="cellIs" dxfId="769" priority="95" operator="equal">
      <formula>0</formula>
    </cfRule>
    <cfRule type="cellIs" dxfId="768" priority="96" operator="notEqual">
      <formula>0</formula>
    </cfRule>
  </conditionalFormatting>
  <conditionalFormatting sqref="V74:V75">
    <cfRule type="cellIs" dxfId="767" priority="93" operator="equal">
      <formula>0</formula>
    </cfRule>
    <cfRule type="cellIs" dxfId="766" priority="94" operator="notEqual">
      <formula>0</formula>
    </cfRule>
  </conditionalFormatting>
  <conditionalFormatting sqref="W74:W75">
    <cfRule type="cellIs" dxfId="765" priority="91" operator="equal">
      <formula>0</formula>
    </cfRule>
    <cfRule type="cellIs" dxfId="764" priority="92" operator="notEqual">
      <formula>0</formula>
    </cfRule>
  </conditionalFormatting>
  <conditionalFormatting sqref="X74:X75">
    <cfRule type="cellIs" dxfId="763" priority="89" operator="equal">
      <formula>0</formula>
    </cfRule>
    <cfRule type="cellIs" dxfId="762" priority="90" operator="notEqual">
      <formula>0</formula>
    </cfRule>
  </conditionalFormatting>
  <conditionalFormatting sqref="Y74:Y75">
    <cfRule type="cellIs" dxfId="761" priority="87" operator="equal">
      <formula>0</formula>
    </cfRule>
    <cfRule type="cellIs" dxfId="760" priority="88" operator="notEqual">
      <formula>0</formula>
    </cfRule>
  </conditionalFormatting>
  <conditionalFormatting sqref="Z74:Z75">
    <cfRule type="cellIs" dxfId="759" priority="85" operator="equal">
      <formula>0</formula>
    </cfRule>
    <cfRule type="cellIs" dxfId="758" priority="86" operator="notEqual">
      <formula>0</formula>
    </cfRule>
  </conditionalFormatting>
  <conditionalFormatting sqref="AA74:AA75">
    <cfRule type="cellIs" dxfId="757" priority="83" operator="equal">
      <formula>0</formula>
    </cfRule>
    <cfRule type="cellIs" dxfId="756" priority="84" operator="notEqual">
      <formula>0</formula>
    </cfRule>
  </conditionalFormatting>
  <conditionalFormatting sqref="AB74:AB75">
    <cfRule type="cellIs" dxfId="755" priority="81" operator="equal">
      <formula>0</formula>
    </cfRule>
    <cfRule type="cellIs" dxfId="754" priority="82" operator="notEqual">
      <formula>0</formula>
    </cfRule>
  </conditionalFormatting>
  <conditionalFormatting sqref="AG73">
    <cfRule type="cellIs" dxfId="753" priority="79" operator="equal">
      <formula>0</formula>
    </cfRule>
    <cfRule type="cellIs" dxfId="752" priority="80" operator="notEqual">
      <formula>0</formula>
    </cfRule>
  </conditionalFormatting>
  <conditionalFormatting sqref="AH73">
    <cfRule type="cellIs" dxfId="751" priority="77" operator="equal">
      <formula>0</formula>
    </cfRule>
    <cfRule type="cellIs" dxfId="750" priority="78" operator="notEqual">
      <formula>0</formula>
    </cfRule>
  </conditionalFormatting>
  <conditionalFormatting sqref="AI73">
    <cfRule type="cellIs" dxfId="749" priority="75" operator="equal">
      <formula>0</formula>
    </cfRule>
    <cfRule type="cellIs" dxfId="748" priority="76" operator="notEqual">
      <formula>0</formula>
    </cfRule>
  </conditionalFormatting>
  <conditionalFormatting sqref="AJ73">
    <cfRule type="cellIs" dxfId="747" priority="73" operator="equal">
      <formula>0</formula>
    </cfRule>
    <cfRule type="cellIs" dxfId="746" priority="74" operator="notEqual">
      <formula>0</formula>
    </cfRule>
  </conditionalFormatting>
  <conditionalFormatting sqref="U81:U82">
    <cfRule type="cellIs" dxfId="745" priority="71" operator="equal">
      <formula>0</formula>
    </cfRule>
    <cfRule type="cellIs" dxfId="744" priority="72" operator="notEqual">
      <formula>0</formula>
    </cfRule>
  </conditionalFormatting>
  <conditionalFormatting sqref="V81:V82">
    <cfRule type="cellIs" dxfId="743" priority="69" operator="equal">
      <formula>0</formula>
    </cfRule>
    <cfRule type="cellIs" dxfId="742" priority="70" operator="notEqual">
      <formula>0</formula>
    </cfRule>
  </conditionalFormatting>
  <conditionalFormatting sqref="W81:W82">
    <cfRule type="cellIs" dxfId="741" priority="67" operator="equal">
      <formula>0</formula>
    </cfRule>
    <cfRule type="cellIs" dxfId="740" priority="68" operator="notEqual">
      <formula>0</formula>
    </cfRule>
  </conditionalFormatting>
  <conditionalFormatting sqref="X81:X82">
    <cfRule type="cellIs" dxfId="739" priority="65" operator="equal">
      <formula>0</formula>
    </cfRule>
    <cfRule type="cellIs" dxfId="738" priority="66" operator="notEqual">
      <formula>0</formula>
    </cfRule>
  </conditionalFormatting>
  <conditionalFormatting sqref="Y81:Y82">
    <cfRule type="cellIs" dxfId="737" priority="63" operator="equal">
      <formula>0</formula>
    </cfRule>
    <cfRule type="cellIs" dxfId="736" priority="64" operator="notEqual">
      <formula>0</formula>
    </cfRule>
  </conditionalFormatting>
  <conditionalFormatting sqref="Z81:Z82">
    <cfRule type="cellIs" dxfId="735" priority="61" operator="equal">
      <formula>0</formula>
    </cfRule>
    <cfRule type="cellIs" dxfId="734" priority="62" operator="notEqual">
      <formula>0</formula>
    </cfRule>
  </conditionalFormatting>
  <conditionalFormatting sqref="AA81:AA82">
    <cfRule type="cellIs" dxfId="733" priority="59" operator="equal">
      <formula>0</formula>
    </cfRule>
    <cfRule type="cellIs" dxfId="732" priority="60" operator="notEqual">
      <formula>0</formula>
    </cfRule>
  </conditionalFormatting>
  <conditionalFormatting sqref="AB81:AB82">
    <cfRule type="cellIs" dxfId="731" priority="57" operator="equal">
      <formula>0</formula>
    </cfRule>
    <cfRule type="cellIs" dxfId="730" priority="58" operator="notEqual">
      <formula>0</formula>
    </cfRule>
  </conditionalFormatting>
  <conditionalFormatting sqref="AG80">
    <cfRule type="cellIs" dxfId="729" priority="55" operator="equal">
      <formula>0</formula>
    </cfRule>
    <cfRule type="cellIs" dxfId="728" priority="56" operator="notEqual">
      <formula>0</formula>
    </cfRule>
  </conditionalFormatting>
  <conditionalFormatting sqref="AH80">
    <cfRule type="cellIs" dxfId="727" priority="53" operator="equal">
      <formula>0</formula>
    </cfRule>
    <cfRule type="cellIs" dxfId="726" priority="54" operator="notEqual">
      <formula>0</formula>
    </cfRule>
  </conditionalFormatting>
  <conditionalFormatting sqref="AI80">
    <cfRule type="cellIs" dxfId="725" priority="51" operator="equal">
      <formula>0</formula>
    </cfRule>
    <cfRule type="cellIs" dxfId="724" priority="52" operator="notEqual">
      <formula>0</formula>
    </cfRule>
  </conditionalFormatting>
  <conditionalFormatting sqref="AJ80">
    <cfRule type="cellIs" dxfId="723" priority="49" operator="equal">
      <formula>0</formula>
    </cfRule>
    <cfRule type="cellIs" dxfId="722" priority="50" operator="notEqual">
      <formula>0</formula>
    </cfRule>
  </conditionalFormatting>
  <conditionalFormatting sqref="U88:U89">
    <cfRule type="cellIs" dxfId="721" priority="47" operator="equal">
      <formula>0</formula>
    </cfRule>
    <cfRule type="cellIs" dxfId="720" priority="48" operator="notEqual">
      <formula>0</formula>
    </cfRule>
  </conditionalFormatting>
  <conditionalFormatting sqref="V88:V89">
    <cfRule type="cellIs" dxfId="719" priority="45" operator="equal">
      <formula>0</formula>
    </cfRule>
    <cfRule type="cellIs" dxfId="718" priority="46" operator="notEqual">
      <formula>0</formula>
    </cfRule>
  </conditionalFormatting>
  <conditionalFormatting sqref="W88:W89">
    <cfRule type="cellIs" dxfId="717" priority="43" operator="equal">
      <formula>0</formula>
    </cfRule>
    <cfRule type="cellIs" dxfId="716" priority="44" operator="notEqual">
      <formula>0</formula>
    </cfRule>
  </conditionalFormatting>
  <conditionalFormatting sqref="X88:X89">
    <cfRule type="cellIs" dxfId="715" priority="41" operator="equal">
      <formula>0</formula>
    </cfRule>
    <cfRule type="cellIs" dxfId="714" priority="42" operator="notEqual">
      <formula>0</formula>
    </cfRule>
  </conditionalFormatting>
  <conditionalFormatting sqref="Y88:Y89">
    <cfRule type="cellIs" dxfId="713" priority="39" operator="equal">
      <formula>0</formula>
    </cfRule>
    <cfRule type="cellIs" dxfId="712" priority="40" operator="notEqual">
      <formula>0</formula>
    </cfRule>
  </conditionalFormatting>
  <conditionalFormatting sqref="Z88:Z89">
    <cfRule type="cellIs" dxfId="711" priority="37" operator="equal">
      <formula>0</formula>
    </cfRule>
    <cfRule type="cellIs" dxfId="710" priority="38" operator="notEqual">
      <formula>0</formula>
    </cfRule>
  </conditionalFormatting>
  <conditionalFormatting sqref="AA88:AA89">
    <cfRule type="cellIs" dxfId="709" priority="35" operator="equal">
      <formula>0</formula>
    </cfRule>
    <cfRule type="cellIs" dxfId="708" priority="36" operator="notEqual">
      <formula>0</formula>
    </cfRule>
  </conditionalFormatting>
  <conditionalFormatting sqref="AB88:AB89">
    <cfRule type="cellIs" dxfId="707" priority="33" operator="equal">
      <formula>0</formula>
    </cfRule>
    <cfRule type="cellIs" dxfId="706" priority="34" operator="notEqual">
      <formula>0</formula>
    </cfRule>
  </conditionalFormatting>
  <conditionalFormatting sqref="AG87">
    <cfRule type="cellIs" dxfId="705" priority="31" operator="equal">
      <formula>0</formula>
    </cfRule>
    <cfRule type="cellIs" dxfId="704" priority="32" operator="notEqual">
      <formula>0</formula>
    </cfRule>
  </conditionalFormatting>
  <conditionalFormatting sqref="AH87">
    <cfRule type="cellIs" dxfId="703" priority="29" operator="equal">
      <formula>0</formula>
    </cfRule>
    <cfRule type="cellIs" dxfId="702" priority="30" operator="notEqual">
      <formula>0</formula>
    </cfRule>
  </conditionalFormatting>
  <conditionalFormatting sqref="AI87">
    <cfRule type="cellIs" dxfId="701" priority="27" operator="equal">
      <formula>0</formula>
    </cfRule>
    <cfRule type="cellIs" dxfId="700" priority="28" operator="notEqual">
      <formula>0</formula>
    </cfRule>
  </conditionalFormatting>
  <conditionalFormatting sqref="AJ87">
    <cfRule type="cellIs" dxfId="699" priority="25" operator="equal">
      <formula>0</formula>
    </cfRule>
    <cfRule type="cellIs" dxfId="698" priority="26" operator="notEqual">
      <formula>0</formula>
    </cfRule>
  </conditionalFormatting>
  <conditionalFormatting sqref="U95:U96">
    <cfRule type="cellIs" dxfId="697" priority="23" operator="equal">
      <formula>0</formula>
    </cfRule>
    <cfRule type="cellIs" dxfId="696" priority="24" operator="notEqual">
      <formula>0</formula>
    </cfRule>
  </conditionalFormatting>
  <conditionalFormatting sqref="V95:V96">
    <cfRule type="cellIs" dxfId="695" priority="21" operator="equal">
      <formula>0</formula>
    </cfRule>
    <cfRule type="cellIs" dxfId="694" priority="22" operator="notEqual">
      <formula>0</formula>
    </cfRule>
  </conditionalFormatting>
  <conditionalFormatting sqref="W95:W96">
    <cfRule type="cellIs" dxfId="693" priority="19" operator="equal">
      <formula>0</formula>
    </cfRule>
    <cfRule type="cellIs" dxfId="692" priority="20" operator="notEqual">
      <formula>0</formula>
    </cfRule>
  </conditionalFormatting>
  <conditionalFormatting sqref="X95:X96">
    <cfRule type="cellIs" dxfId="691" priority="17" operator="equal">
      <formula>0</formula>
    </cfRule>
    <cfRule type="cellIs" dxfId="690" priority="18" operator="notEqual">
      <formula>0</formula>
    </cfRule>
  </conditionalFormatting>
  <conditionalFormatting sqref="Y95:Y96">
    <cfRule type="cellIs" dxfId="689" priority="15" operator="equal">
      <formula>0</formula>
    </cfRule>
    <cfRule type="cellIs" dxfId="688" priority="16" operator="notEqual">
      <formula>0</formula>
    </cfRule>
  </conditionalFormatting>
  <conditionalFormatting sqref="Z95:Z96">
    <cfRule type="cellIs" dxfId="687" priority="13" operator="equal">
      <formula>0</formula>
    </cfRule>
    <cfRule type="cellIs" dxfId="686" priority="14" operator="notEqual">
      <formula>0</formula>
    </cfRule>
  </conditionalFormatting>
  <conditionalFormatting sqref="AA95:AA96">
    <cfRule type="cellIs" dxfId="685" priority="11" operator="equal">
      <formula>0</formula>
    </cfRule>
    <cfRule type="cellIs" dxfId="684" priority="12" operator="notEqual">
      <formula>0</formula>
    </cfRule>
  </conditionalFormatting>
  <conditionalFormatting sqref="AB95:AB96">
    <cfRule type="cellIs" dxfId="683" priority="9" operator="equal">
      <formula>0</formula>
    </cfRule>
    <cfRule type="cellIs" dxfId="682" priority="10" operator="notEqual">
      <formula>0</formula>
    </cfRule>
  </conditionalFormatting>
  <conditionalFormatting sqref="AG94">
    <cfRule type="cellIs" dxfId="681" priority="7" operator="equal">
      <formula>0</formula>
    </cfRule>
    <cfRule type="cellIs" dxfId="680" priority="8" operator="notEqual">
      <formula>0</formula>
    </cfRule>
  </conditionalFormatting>
  <conditionalFormatting sqref="AH94">
    <cfRule type="cellIs" dxfId="679" priority="5" operator="equal">
      <formula>0</formula>
    </cfRule>
    <cfRule type="cellIs" dxfId="678" priority="6" operator="notEqual">
      <formula>0</formula>
    </cfRule>
  </conditionalFormatting>
  <conditionalFormatting sqref="AI94">
    <cfRule type="cellIs" dxfId="677" priority="3" operator="equal">
      <formula>0</formula>
    </cfRule>
    <cfRule type="cellIs" dxfId="676" priority="4" operator="notEqual">
      <formula>0</formula>
    </cfRule>
  </conditionalFormatting>
  <conditionalFormatting sqref="AJ94">
    <cfRule type="cellIs" dxfId="675" priority="1" operator="equal">
      <formula>0</formula>
    </cfRule>
    <cfRule type="cellIs" dxfId="674" priority="2" operator="notEqual">
      <formula>0</formula>
    </cfRule>
  </conditionalFormatting>
  <dataValidations count="1">
    <dataValidation type="list" allowBlank="1" showInputMessage="1" showErrorMessage="1" sqref="B5" xr:uid="{06BFA5DE-4C4E-45B5-8AA6-1CDB4F7763C4}">
      <formula1>Regions</formula1>
    </dataValidation>
  </dataValidations>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8"/>
  <dimension ref="A1:AX104"/>
  <sheetViews>
    <sheetView showGridLines="0" topLeftCell="Q83" zoomScale="70" zoomScaleNormal="70" workbookViewId="0">
      <selection activeCell="U101" sqref="U101:AJ104"/>
    </sheetView>
  </sheetViews>
  <sheetFormatPr baseColWidth="10" defaultColWidth="9.1640625" defaultRowHeight="14" x14ac:dyDescent="0.15"/>
  <cols>
    <col min="1" max="1" width="2.5" customWidth="1"/>
    <col min="2" max="2" width="36.1640625" customWidth="1"/>
    <col min="20" max="20" width="33" customWidth="1"/>
  </cols>
  <sheetData>
    <row r="1" spans="1:50" ht="101.25" customHeight="1" x14ac:dyDescent="0.15">
      <c r="A1" s="394" t="s">
        <v>1169</v>
      </c>
      <c r="B1" s="394"/>
      <c r="C1" s="394"/>
      <c r="D1" s="394"/>
      <c r="E1" s="394"/>
      <c r="F1" s="394"/>
      <c r="G1" s="394"/>
      <c r="H1" s="394"/>
      <c r="I1" s="394"/>
      <c r="J1" s="394"/>
      <c r="K1" s="394"/>
      <c r="L1" s="394"/>
      <c r="M1" s="394"/>
      <c r="N1" s="394"/>
      <c r="O1" s="394"/>
      <c r="P1" s="394"/>
      <c r="Q1" s="394"/>
      <c r="R1" s="394"/>
      <c r="S1" s="394"/>
      <c r="T1" s="394"/>
      <c r="U1" s="394"/>
      <c r="V1" s="394"/>
      <c r="W1" s="394"/>
      <c r="X1" s="394"/>
      <c r="Y1" s="394"/>
      <c r="Z1" s="394"/>
      <c r="AA1" s="394"/>
      <c r="AB1" s="394"/>
      <c r="AC1" s="394"/>
      <c r="AD1" s="394"/>
      <c r="AE1" s="394"/>
      <c r="AF1" s="394"/>
      <c r="AG1" s="394"/>
      <c r="AH1" s="394"/>
      <c r="AI1" s="394"/>
      <c r="AJ1" s="394"/>
      <c r="AK1" s="394"/>
      <c r="AL1" s="394"/>
      <c r="AM1" s="394"/>
      <c r="AN1" s="394"/>
      <c r="AO1" s="394"/>
      <c r="AP1" s="394"/>
      <c r="AQ1" s="394"/>
      <c r="AR1" s="394"/>
      <c r="AS1" s="394"/>
      <c r="AT1" s="394"/>
      <c r="AU1" s="394"/>
      <c r="AV1" s="394"/>
      <c r="AW1" s="394"/>
      <c r="AX1" s="394"/>
    </row>
    <row r="2" spans="1:50" ht="66" customHeight="1" x14ac:dyDescent="0.15">
      <c r="A2" s="385"/>
      <c r="B2" s="385"/>
      <c r="C2" s="385"/>
      <c r="D2" s="385"/>
      <c r="E2" s="385"/>
      <c r="F2" s="385"/>
      <c r="G2" s="385"/>
      <c r="H2" s="385"/>
      <c r="I2" s="385"/>
      <c r="J2" s="385"/>
      <c r="K2" s="385"/>
      <c r="L2" s="385"/>
      <c r="M2" s="385"/>
      <c r="N2" s="385"/>
      <c r="O2" s="385"/>
      <c r="P2" s="385"/>
      <c r="Q2" s="385"/>
      <c r="R2" s="385"/>
      <c r="S2" s="385"/>
      <c r="T2" s="385"/>
      <c r="U2" s="385"/>
      <c r="V2" s="385"/>
      <c r="W2" s="385"/>
      <c r="X2" s="385"/>
      <c r="Y2" s="385"/>
      <c r="Z2" s="385"/>
      <c r="AA2" s="385"/>
      <c r="AB2" s="385"/>
      <c r="AC2" s="385"/>
      <c r="AD2" s="385"/>
      <c r="AE2" s="385"/>
      <c r="AF2" s="385"/>
      <c r="AG2" s="385"/>
      <c r="AH2" s="385"/>
      <c r="AI2" s="385"/>
      <c r="AJ2" s="385"/>
      <c r="AK2" s="385"/>
      <c r="AL2" s="385"/>
      <c r="AM2" s="385"/>
      <c r="AN2" s="385"/>
      <c r="AO2" s="385"/>
      <c r="AP2" s="385"/>
      <c r="AQ2" s="385"/>
      <c r="AR2" s="385"/>
      <c r="AS2" s="385"/>
      <c r="AT2" s="385"/>
      <c r="AU2" s="385"/>
      <c r="AV2" s="385"/>
      <c r="AW2" s="385"/>
      <c r="AX2" s="385"/>
    </row>
    <row r="3" spans="1:50" s="54" customFormat="1" ht="16" x14ac:dyDescent="0.15">
      <c r="B3" s="53"/>
      <c r="C3" s="53"/>
      <c r="D3" s="53"/>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row>
    <row r="4" spans="1:50" ht="30" x14ac:dyDescent="0.15">
      <c r="B4" s="39" t="s">
        <v>999</v>
      </c>
    </row>
    <row r="5" spans="1:50" ht="15" x14ac:dyDescent="0.15">
      <c r="B5" s="60" t="s">
        <v>24</v>
      </c>
      <c r="P5" s="43"/>
    </row>
    <row r="6" spans="1:50" x14ac:dyDescent="0.15">
      <c r="B6" s="52"/>
    </row>
    <row r="8" spans="1:50" ht="44.25" customHeight="1" x14ac:dyDescent="0.15">
      <c r="B8" s="156" t="str">
        <f>HLOOKUP($B$5,Region_Table,2,0)</f>
        <v>Barking and Dagenham and Havering</v>
      </c>
      <c r="C8" s="367" t="s">
        <v>1170</v>
      </c>
      <c r="D8" s="368"/>
      <c r="E8" s="368"/>
      <c r="F8" s="368"/>
      <c r="G8" s="368"/>
      <c r="H8" s="368"/>
      <c r="I8" s="368"/>
      <c r="J8" s="368"/>
      <c r="K8" s="368"/>
      <c r="L8" s="368"/>
      <c r="M8" s="377"/>
      <c r="N8" s="377"/>
      <c r="O8" s="378"/>
      <c r="P8" s="371">
        <f>SUM(SUMIFS('caseload data'!V:V,'caseload data'!B:B,{"licence","community"},'caseload data'!C:C,B8))</f>
        <v>0</v>
      </c>
      <c r="Q8" s="379"/>
      <c r="R8" s="380"/>
      <c r="S8" s="73"/>
      <c r="T8" s="156" t="str">
        <f>HLOOKUP($B$5,Region_Table,3,0)</f>
        <v>Brent - N07</v>
      </c>
      <c r="U8" s="367" t="s">
        <v>1170</v>
      </c>
      <c r="V8" s="368"/>
      <c r="W8" s="368"/>
      <c r="X8" s="368"/>
      <c r="Y8" s="368"/>
      <c r="Z8" s="368"/>
      <c r="AA8" s="368"/>
      <c r="AB8" s="368"/>
      <c r="AC8" s="368"/>
      <c r="AD8" s="368"/>
      <c r="AE8" s="377"/>
      <c r="AF8" s="377"/>
      <c r="AG8" s="378"/>
      <c r="AH8" s="371">
        <f>SUM(SUMIFS('caseload data'!V:V,'caseload data'!B:B,{"licence","community"},'caseload data'!C:C,T8))</f>
        <v>0</v>
      </c>
      <c r="AI8" s="379"/>
      <c r="AJ8" s="380"/>
    </row>
    <row r="9" spans="1:50" x14ac:dyDescent="0.15">
      <c r="B9" s="105" t="s">
        <v>1065</v>
      </c>
      <c r="C9" s="41" t="s">
        <v>922</v>
      </c>
      <c r="D9" s="41" t="s">
        <v>923</v>
      </c>
      <c r="E9" s="41" t="s">
        <v>924</v>
      </c>
      <c r="F9" s="41" t="s">
        <v>925</v>
      </c>
      <c r="G9" s="41" t="s">
        <v>926</v>
      </c>
      <c r="H9" s="41" t="s">
        <v>927</v>
      </c>
      <c r="I9" s="41" t="s">
        <v>928</v>
      </c>
      <c r="J9" s="41" t="s">
        <v>929</v>
      </c>
      <c r="K9" s="41" t="s">
        <v>930</v>
      </c>
      <c r="L9" s="41" t="s">
        <v>931</v>
      </c>
      <c r="M9" s="41" t="s">
        <v>932</v>
      </c>
      <c r="N9" s="41" t="s">
        <v>933</v>
      </c>
      <c r="O9" s="41" t="s">
        <v>934</v>
      </c>
      <c r="P9" s="41" t="s">
        <v>935</v>
      </c>
      <c r="Q9" s="41" t="s">
        <v>936</v>
      </c>
      <c r="R9" s="41" t="s">
        <v>937</v>
      </c>
      <c r="S9" s="73"/>
      <c r="T9" s="105" t="s">
        <v>1065</v>
      </c>
      <c r="U9" s="41" t="s">
        <v>922</v>
      </c>
      <c r="V9" s="41" t="s">
        <v>923</v>
      </c>
      <c r="W9" s="41" t="s">
        <v>924</v>
      </c>
      <c r="X9" s="41" t="s">
        <v>925</v>
      </c>
      <c r="Y9" s="41" t="s">
        <v>926</v>
      </c>
      <c r="Z9" s="41" t="s">
        <v>927</v>
      </c>
      <c r="AA9" s="41" t="s">
        <v>928</v>
      </c>
      <c r="AB9" s="41" t="s">
        <v>929</v>
      </c>
      <c r="AC9" s="41" t="s">
        <v>930</v>
      </c>
      <c r="AD9" s="41" t="s">
        <v>931</v>
      </c>
      <c r="AE9" s="41" t="s">
        <v>932</v>
      </c>
      <c r="AF9" s="41" t="s">
        <v>933</v>
      </c>
      <c r="AG9" s="41" t="s">
        <v>934</v>
      </c>
      <c r="AH9" s="41" t="s">
        <v>935</v>
      </c>
      <c r="AI9" s="41" t="s">
        <v>936</v>
      </c>
      <c r="AJ9" s="41" t="s">
        <v>937</v>
      </c>
    </row>
    <row r="10" spans="1:50" x14ac:dyDescent="0.15">
      <c r="B10" s="106" t="s">
        <v>911</v>
      </c>
      <c r="C10" s="181" t="str">
        <f>IFERROR(SUM(SUMIFS('caseload data'!E:E,'caseload data'!$C:$C,'community %'!$B$8,'caseload data'!$D:$D,"PO",'caseload data'!$B:$B,{"licence","community"}))/SUM(SUMIFS('caseload data'!E:E,'caseload data'!$B:$B,{"licence","community"},'caseload data'!$C:$C,'community %'!$B$8)),"")</f>
        <v/>
      </c>
      <c r="D10" s="181" t="str">
        <f>IFERROR(SUM(SUMIFS('caseload data'!F:F,'caseload data'!$C:$C,'community %'!$B$8,'caseload data'!$D:$D,"PO",'caseload data'!$B:$B,{"licence","community"}))/SUM(SUMIFS('caseload data'!F:F,'caseload data'!$B:$B,{"licence","community"},'caseload data'!$C:$C,'community %'!$B$8)),"")</f>
        <v/>
      </c>
      <c r="E10" s="181" t="str">
        <f>IFERROR(SUM(SUMIFS('caseload data'!G:G,'caseload data'!$C:$C,'community %'!$B$8,'caseload data'!$D:$D,"PO",'caseload data'!$B:$B,{"licence","community"}))/SUM(SUMIFS('caseload data'!G:G,'caseload data'!$B:$B,{"licence","community"},'caseload data'!$C:$C,'community %'!$B$8)),"")</f>
        <v/>
      </c>
      <c r="F10" s="181" t="str">
        <f>IFERROR(SUM(SUMIFS('caseload data'!H:H,'caseload data'!$C:$C,'community %'!$B$8,'caseload data'!$D:$D,"PO",'caseload data'!$B:$B,{"licence","community"}))/SUM(SUMIFS('caseload data'!H:H,'caseload data'!$B:$B,{"licence","community"},'caseload data'!$C:$C,'community %'!$B$8)),"")</f>
        <v/>
      </c>
      <c r="G10" s="181" t="str">
        <f>IFERROR(SUM(SUMIFS('caseload data'!I:I,'caseload data'!$C:$C,'community %'!$B$8,'caseload data'!$D:$D,"PO",'caseload data'!$B:$B,{"licence","community"}))/SUM(SUMIFS('caseload data'!I:I,'caseload data'!$B:$B,{"licence","community"},'caseload data'!$C:$C,'community %'!$B$8)),"")</f>
        <v/>
      </c>
      <c r="H10" s="181" t="str">
        <f>IFERROR(SUM(SUMIFS('caseload data'!J:J,'caseload data'!$C:$C,'community %'!$B$8,'caseload data'!$D:$D,"PO",'caseload data'!$B:$B,{"licence","community"}))/SUM(SUMIFS('caseload data'!J:J,'caseload data'!$B:$B,{"licence","community"},'caseload data'!$C:$C,'community %'!$B$8)),"")</f>
        <v/>
      </c>
      <c r="I10" s="181" t="str">
        <f>IFERROR(SUM(SUMIFS('caseload data'!K:K,'caseload data'!$C:$C,'community %'!$B$8,'caseload data'!$D:$D,"PO",'caseload data'!$B:$B,{"licence","community"}))/SUM(SUMIFS('caseload data'!K:K,'caseload data'!$B:$B,{"licence","community"},'caseload data'!$C:$C,'community %'!$B$8)),"")</f>
        <v/>
      </c>
      <c r="J10" s="181" t="str">
        <f>IFERROR(SUM(SUMIFS('caseload data'!L:L,'caseload data'!$C:$C,'community %'!$B$8,'caseload data'!$D:$D,"PO",'caseload data'!$B:$B,{"licence","community"}))/SUM(SUMIFS('caseload data'!L:L,'caseload data'!$B:$B,{"licence","community"},'caseload data'!$C:$C,'community %'!$B$8)),"")</f>
        <v/>
      </c>
      <c r="K10" s="181" t="str">
        <f>IFERROR(SUM(SUMIFS('caseload data'!M:M,'caseload data'!$C:$C,'community %'!$B$8,'caseload data'!$D:$D,"PO",'caseload data'!$B:$B,{"licence","community"}))/SUM(SUMIFS('caseload data'!M:M,'caseload data'!$B:$B,{"licence","community"},'caseload data'!$C:$C,'community %'!$B$8)),"")</f>
        <v/>
      </c>
      <c r="L10" s="181" t="str">
        <f>IFERROR(SUM(SUMIFS('caseload data'!N:N,'caseload data'!$C:$C,'community %'!$B$8,'caseload data'!$D:$D,"PO",'caseload data'!$B:$B,{"licence","community"}))/SUM(SUMIFS('caseload data'!N:N,'caseload data'!$B:$B,{"licence","community"},'caseload data'!$C:$C,'community %'!$B$8)),"")</f>
        <v/>
      </c>
      <c r="M10" s="181" t="str">
        <f>IFERROR(SUM(SUMIFS('caseload data'!O:O,'caseload data'!$C:$C,'community %'!$B$8,'caseload data'!$D:$D,"PO",'caseload data'!$B:$B,{"licence","community"}))/SUM(SUMIFS('caseload data'!O:O,'caseload data'!$B:$B,{"licence","community"},'caseload data'!$C:$C,'community %'!$B$8)),"")</f>
        <v/>
      </c>
      <c r="N10" s="181" t="str">
        <f>IFERROR(SUM(SUMIFS('caseload data'!P:P,'caseload data'!$C:$C,'community %'!$B$8,'caseload data'!$D:$D,"PO",'caseload data'!$B:$B,{"licence","community"}))/SUM(SUMIFS('caseload data'!P:P,'caseload data'!$B:$B,{"licence","community"},'caseload data'!$C:$C,'community %'!$B$8)),"")</f>
        <v/>
      </c>
      <c r="O10" s="181" t="str">
        <f>IFERROR(SUM(SUMIFS('caseload data'!Q:Q,'caseload data'!$C:$C,'community %'!$B$8,'caseload data'!$D:$D,"PO",'caseload data'!$B:$B,{"licence","community"}))/SUM(SUMIFS('caseload data'!Q:Q,'caseload data'!$B:$B,{"licence","community"},'caseload data'!$C:$C,'community %'!$B$8)),"")</f>
        <v/>
      </c>
      <c r="P10" s="181" t="str">
        <f>IFERROR(SUM(SUMIFS('caseload data'!R:R,'caseload data'!$C:$C,'community %'!$B$8,'caseload data'!$D:$D,"PO",'caseload data'!$B:$B,{"licence","community"}))/SUM(SUMIFS('caseload data'!R:R,'caseload data'!$B:$B,{"licence","community"},'caseload data'!$C:$C,'community %'!$B$8)),"")</f>
        <v/>
      </c>
      <c r="Q10" s="181" t="str">
        <f>IFERROR(SUM(SUMIFS('caseload data'!S:S,'caseload data'!$C:$C,'community %'!$B$8,'caseload data'!$D:$D,"PO",'caseload data'!$B:$B,{"licence","community"}))/SUM(SUMIFS('caseload data'!S:S,'caseload data'!$B:$B,{"licence","community"},'caseload data'!$C:$C,'community %'!$B$8)),"")</f>
        <v/>
      </c>
      <c r="R10" s="181" t="str">
        <f>IFERROR(SUM(SUMIFS('caseload data'!T:T,'caseload data'!$C:$C,'community %'!$B$8,'caseload data'!$D:$D,"PO",'caseload data'!$B:$B,{"licence","community"}))/SUM(SUMIFS('caseload data'!T:T,'caseload data'!$B:$B,{"licence","community"},'caseload data'!$C:$C,'community %'!$B$8)),"")</f>
        <v/>
      </c>
      <c r="S10" s="73"/>
      <c r="T10" s="106" t="s">
        <v>911</v>
      </c>
      <c r="U10" s="181" t="str">
        <f>IFERROR(SUM(SUMIFS('caseload data'!E:E,'caseload data'!$C:$C,'community %'!$T$8,'caseload data'!$D:$D,"PO",'caseload data'!$B:$B,{"licence","community"}))/SUM(SUMIFS('caseload data'!E:E,'caseload data'!$B:$B,{"licence","community"},'caseload data'!$C:$C,'community %'!$T$8)),"")</f>
        <v/>
      </c>
      <c r="V10" s="181" t="str">
        <f>IFERROR(SUM(SUMIFS('caseload data'!F:F,'caseload data'!$C:$C,'community %'!$T$8,'caseload data'!$D:$D,"PO",'caseload data'!$B:$B,{"licence","community"}))/SUM(SUMIFS('caseload data'!F:F,'caseload data'!$B:$B,{"licence","community"},'caseload data'!$C:$C,'community %'!$T$8)),"")</f>
        <v/>
      </c>
      <c r="W10" s="181" t="str">
        <f>IFERROR(SUM(SUMIFS('caseload data'!G:G,'caseload data'!$C:$C,'community %'!$T$8,'caseload data'!$D:$D,"PO",'caseload data'!$B:$B,{"licence","community"}))/SUM(SUMIFS('caseload data'!G:G,'caseload data'!$B:$B,{"licence","community"},'caseload data'!$C:$C,'community %'!$T$8)),"")</f>
        <v/>
      </c>
      <c r="X10" s="181" t="str">
        <f>IFERROR(SUM(SUMIFS('caseload data'!H:H,'caseload data'!$C:$C,'community %'!$T$8,'caseload data'!$D:$D,"PO",'caseload data'!$B:$B,{"licence","community"}))/SUM(SUMIFS('caseload data'!H:H,'caseload data'!$B:$B,{"licence","community"},'caseload data'!$C:$C,'community %'!$T$8)),"")</f>
        <v/>
      </c>
      <c r="Y10" s="181" t="str">
        <f>IFERROR(SUM(SUMIFS('caseload data'!I:I,'caseload data'!$C:$C,'community %'!$T$8,'caseload data'!$D:$D,"PO",'caseload data'!$B:$B,{"licence","community"}))/SUM(SUMIFS('caseload data'!I:I,'caseload data'!$B:$B,{"licence","community"},'caseload data'!$C:$C,'community %'!$T$8)),"")</f>
        <v/>
      </c>
      <c r="Z10" s="181" t="str">
        <f>IFERROR(SUM(SUMIFS('caseload data'!J:J,'caseload data'!$C:$C,'community %'!$T$8,'caseload data'!$D:$D,"PO",'caseload data'!$B:$B,{"licence","community"}))/SUM(SUMIFS('caseload data'!J:J,'caseload data'!$B:$B,{"licence","community"},'caseload data'!$C:$C,'community %'!$T$8)),"")</f>
        <v/>
      </c>
      <c r="AA10" s="181" t="str">
        <f>IFERROR(SUM(SUMIFS('caseload data'!K:K,'caseload data'!$C:$C,'community %'!$T$8,'caseload data'!$D:$D,"PO",'caseload data'!$B:$B,{"licence","community"}))/SUM(SUMIFS('caseload data'!K:K,'caseload data'!$B:$B,{"licence","community"},'caseload data'!$C:$C,'community %'!$T$8)),"")</f>
        <v/>
      </c>
      <c r="AB10" s="181" t="str">
        <f>IFERROR(SUM(SUMIFS('caseload data'!L:L,'caseload data'!$C:$C,'community %'!$T$8,'caseload data'!$D:$D,"PO",'caseload data'!$B:$B,{"licence","community"}))/SUM(SUMIFS('caseload data'!L:L,'caseload data'!$B:$B,{"licence","community"},'caseload data'!$C:$C,'community %'!$T$8)),"")</f>
        <v/>
      </c>
      <c r="AC10" s="181" t="str">
        <f>IFERROR(SUM(SUMIFS('caseload data'!M:M,'caseload data'!$C:$C,'community %'!$T$8,'caseload data'!$D:$D,"PO",'caseload data'!$B:$B,{"licence","community"}))/SUM(SUMIFS('caseload data'!M:M,'caseload data'!$B:$B,{"licence","community"},'caseload data'!$C:$C,'community %'!$T$8)),"")</f>
        <v/>
      </c>
      <c r="AD10" s="181" t="str">
        <f>IFERROR(SUM(SUMIFS('caseload data'!N:N,'caseload data'!$C:$C,'community %'!$T$8,'caseload data'!$D:$D,"PO",'caseload data'!$B:$B,{"licence","community"}))/SUM(SUMIFS('caseload data'!N:N,'caseload data'!$B:$B,{"licence","community"},'caseload data'!$C:$C,'community %'!$T$8)),"")</f>
        <v/>
      </c>
      <c r="AE10" s="181" t="str">
        <f>IFERROR(SUM(SUMIFS('caseload data'!O:O,'caseload data'!$C:$C,'community %'!$T$8,'caseload data'!$D:$D,"PO",'caseload data'!$B:$B,{"licence","community"}))/SUM(SUMIFS('caseload data'!O:O,'caseload data'!$B:$B,{"licence","community"},'caseload data'!$C:$C,'community %'!$T$8)),"")</f>
        <v/>
      </c>
      <c r="AF10" s="181" t="str">
        <f>IFERROR(SUM(SUMIFS('caseload data'!P:P,'caseload data'!$C:$C,'community %'!$T$8,'caseload data'!$D:$D,"PO",'caseload data'!$B:$B,{"licence","community"}))/SUM(SUMIFS('caseload data'!P:P,'caseload data'!$B:$B,{"licence","community"},'caseload data'!$C:$C,'community %'!$T$8)),"")</f>
        <v/>
      </c>
      <c r="AG10" s="181" t="str">
        <f>IFERROR(SUM(SUMIFS('caseload data'!Q:Q,'caseload data'!$C:$C,'community %'!$T$8,'caseload data'!$D:$D,"PO",'caseload data'!$B:$B,{"licence","community"}))/SUM(SUMIFS('caseload data'!Q:Q,'caseload data'!$B:$B,{"licence","community"},'caseload data'!$C:$C,'community %'!$T$8)),"")</f>
        <v/>
      </c>
      <c r="AH10" s="181" t="str">
        <f>IFERROR(SUM(SUMIFS('caseload data'!R:R,'caseload data'!$C:$C,'community %'!$T$8,'caseload data'!$D:$D,"PO",'caseload data'!$B:$B,{"licence","community"}))/SUM(SUMIFS('caseload data'!R:R,'caseload data'!$B:$B,{"licence","community"},'caseload data'!$C:$C,'community %'!$T$8)),"")</f>
        <v/>
      </c>
      <c r="AI10" s="181" t="str">
        <f>IFERROR(SUM(SUMIFS('caseload data'!S:S,'caseload data'!$C:$C,'community %'!$T$8,'caseload data'!$D:$D,"PO",'caseload data'!$B:$B,{"licence","community"}))/SUM(SUMIFS('caseload data'!S:S,'caseload data'!$B:$B,{"licence","community"},'caseload data'!$C:$C,'community %'!$T$8)),"")</f>
        <v/>
      </c>
      <c r="AJ10" s="181" t="str">
        <f>IFERROR(SUM(SUMIFS('caseload data'!T:T,'caseload data'!$C:$C,'community %'!$T$8,'caseload data'!$D:$D,"PO",'caseload data'!$B:$B,{"licence","community"}))/SUM(SUMIFS('caseload data'!T:T,'caseload data'!$B:$B,{"licence","community"},'caseload data'!$C:$C,'community %'!$T$8)),"")</f>
        <v/>
      </c>
    </row>
    <row r="11" spans="1:50" x14ac:dyDescent="0.15">
      <c r="B11" s="107" t="s">
        <v>912</v>
      </c>
      <c r="C11" s="181" t="str">
        <f>IFERROR(SUM(SUMIFS('caseload data'!E:E,'caseload data'!$C:$C,'community %'!$B$8,'caseload data'!$D:$D,"PSO",'caseload data'!$B:$B,{"licence","community"}))/SUM(SUMIFS('caseload data'!E:E,'caseload data'!$B:$B,{"licence","community"},'caseload data'!$C:$C,'community %'!$B$8)),"")</f>
        <v/>
      </c>
      <c r="D11" s="181" t="str">
        <f>IFERROR(SUM(SUMIFS('caseload data'!F:F,'caseload data'!$C:$C,'community %'!$B$8,'caseload data'!$D:$D,"PSO",'caseload data'!$B:$B,{"licence","community"}))/SUM(SUMIFS('caseload data'!F:F,'caseload data'!$B:$B,{"licence","community"},'caseload data'!$C:$C,'community %'!$B$8)),"")</f>
        <v/>
      </c>
      <c r="E11" s="181" t="str">
        <f>IFERROR(SUM(SUMIFS('caseload data'!G:G,'caseload data'!$C:$C,'community %'!$B$8,'caseload data'!$D:$D,"PSO",'caseload data'!$B:$B,{"licence","community"}))/SUM(SUMIFS('caseload data'!G:G,'caseload data'!$B:$B,{"licence","community"},'caseload data'!$C:$C,'community %'!$B$8)),"")</f>
        <v/>
      </c>
      <c r="F11" s="181" t="str">
        <f>IFERROR(SUM(SUMIFS('caseload data'!H:H,'caseload data'!$C:$C,'community %'!$B$8,'caseload data'!$D:$D,"PSO",'caseload data'!$B:$B,{"licence","community"}))/SUM(SUMIFS('caseload data'!H:H,'caseload data'!$B:$B,{"licence","community"},'caseload data'!$C:$C,'community %'!$B$8)),"")</f>
        <v/>
      </c>
      <c r="G11" s="181" t="str">
        <f>IFERROR(SUM(SUMIFS('caseload data'!I:I,'caseload data'!$C:$C,'community %'!$B$8,'caseload data'!$D:$D,"PSO",'caseload data'!$B:$B,{"licence","community"}))/SUM(SUMIFS('caseload data'!I:I,'caseload data'!$B:$B,{"licence","community"},'caseload data'!$C:$C,'community %'!$B$8)),"")</f>
        <v/>
      </c>
      <c r="H11" s="181" t="str">
        <f>IFERROR(SUM(SUMIFS('caseload data'!J:J,'caseload data'!$C:$C,'community %'!$B$8,'caseload data'!$D:$D,"PSO",'caseload data'!$B:$B,{"licence","community"}))/SUM(SUMIFS('caseload data'!J:J,'caseload data'!$B:$B,{"licence","community"},'caseload data'!$C:$C,'community %'!$B$8)),"")</f>
        <v/>
      </c>
      <c r="I11" s="181" t="str">
        <f>IFERROR(SUM(SUMIFS('caseload data'!K:K,'caseload data'!$C:$C,'community %'!$B$8,'caseload data'!$D:$D,"PSO",'caseload data'!$B:$B,{"licence","community"}))/SUM(SUMIFS('caseload data'!K:K,'caseload data'!$B:$B,{"licence","community"},'caseload data'!$C:$C,'community %'!$B$8)),"")</f>
        <v/>
      </c>
      <c r="J11" s="181" t="str">
        <f>IFERROR(SUM(SUMIFS('caseload data'!L:L,'caseload data'!$C:$C,'community %'!$B$8,'caseload data'!$D:$D,"PSO",'caseload data'!$B:$B,{"licence","community"}))/SUM(SUMIFS('caseload data'!L:L,'caseload data'!$B:$B,{"licence","community"},'caseload data'!$C:$C,'community %'!$B$8)),"")</f>
        <v/>
      </c>
      <c r="K11" s="181" t="str">
        <f>IFERROR(SUM(SUMIFS('caseload data'!M:M,'caseload data'!$C:$C,'community %'!$B$8,'caseload data'!$D:$D,"PSO",'caseload data'!$B:$B,{"licence","community"}))/SUM(SUMIFS('caseload data'!M:M,'caseload data'!$B:$B,{"licence","community"},'caseload data'!$C:$C,'community %'!$B$8)),"")</f>
        <v/>
      </c>
      <c r="L11" s="181" t="str">
        <f>IFERROR(SUM(SUMIFS('caseload data'!N:N,'caseload data'!$C:$C,'community %'!$B$8,'caseload data'!$D:$D,"PSO",'caseload data'!$B:$B,{"licence","community"}))/SUM(SUMIFS('caseload data'!N:N,'caseload data'!$B:$B,{"licence","community"},'caseload data'!$C:$C,'community %'!$B$8)),"")</f>
        <v/>
      </c>
      <c r="M11" s="181" t="str">
        <f>IFERROR(SUM(SUMIFS('caseload data'!O:O,'caseload data'!$C:$C,'community %'!$B$8,'caseload data'!$D:$D,"PSO",'caseload data'!$B:$B,{"licence","community"}))/SUM(SUMIFS('caseload data'!O:O,'caseload data'!$B:$B,{"licence","community"},'caseload data'!$C:$C,'community %'!$B$8)),"")</f>
        <v/>
      </c>
      <c r="N11" s="181" t="str">
        <f>IFERROR(SUM(SUMIFS('caseload data'!P:P,'caseload data'!$C:$C,'community %'!$B$8,'caseload data'!$D:$D,"PSO",'caseload data'!$B:$B,{"licence","community"}))/SUM(SUMIFS('caseload data'!P:P,'caseload data'!$B:$B,{"licence","community"},'caseload data'!$C:$C,'community %'!$B$8)),"")</f>
        <v/>
      </c>
      <c r="O11" s="181" t="str">
        <f>IFERROR(SUM(SUMIFS('caseload data'!Q:Q,'caseload data'!$C:$C,'community %'!$B$8,'caseload data'!$D:$D,"PSO",'caseload data'!$B:$B,{"licence","community"}))/SUM(SUMIFS('caseload data'!Q:Q,'caseload data'!$B:$B,{"licence","community"},'caseload data'!$C:$C,'community %'!$B$8)),"")</f>
        <v/>
      </c>
      <c r="P11" s="181" t="str">
        <f>IFERROR(SUM(SUMIFS('caseload data'!R:R,'caseload data'!$C:$C,'community %'!$B$8,'caseload data'!$D:$D,"PSO",'caseload data'!$B:$B,{"licence","community"}))/SUM(SUMIFS('caseload data'!R:R,'caseload data'!$B:$B,{"licence","community"},'caseload data'!$C:$C,'community %'!$B$8)),"")</f>
        <v/>
      </c>
      <c r="Q11" s="181" t="str">
        <f>IFERROR(SUM(SUMIFS('caseload data'!S:S,'caseload data'!$C:$C,'community %'!$B$8,'caseload data'!$D:$D,"PSO",'caseload data'!$B:$B,{"licence","community"}))/SUM(SUMIFS('caseload data'!S:S,'caseload data'!$B:$B,{"licence","community"},'caseload data'!$C:$C,'community %'!$B$8)),"")</f>
        <v/>
      </c>
      <c r="R11" s="181" t="str">
        <f>IFERROR(SUM(SUMIFS('caseload data'!T:T,'caseload data'!$C:$C,'community %'!$B$8,'caseload data'!$D:$D,"PSO",'caseload data'!$B:$B,{"licence","community"}))/SUM(SUMIFS('caseload data'!T:T,'caseload data'!$B:$B,{"licence","community"},'caseload data'!$C:$C,'community %'!$B$8)),"")</f>
        <v/>
      </c>
      <c r="S11" s="73"/>
      <c r="T11" s="107" t="s">
        <v>912</v>
      </c>
      <c r="U11" s="181" t="str">
        <f>IFERROR(SUM(SUMIFS('caseload data'!E:E,'caseload data'!$C:$C,'community %'!$T$8,'caseload data'!$D:$D,"PSO",'caseload data'!$B:$B,{"licence","community"}))/SUM(SUMIFS('caseload data'!E:E,'caseload data'!$B:$B,{"licence","community"},'caseload data'!$C:$C,'community %'!$T$8)),"")</f>
        <v/>
      </c>
      <c r="V11" s="181" t="str">
        <f>IFERROR(SUM(SUMIFS('caseload data'!F:F,'caseload data'!$C:$C,'community %'!$T$8,'caseload data'!$D:$D,"PSO",'caseload data'!$B:$B,{"licence","community"}))/SUM(SUMIFS('caseload data'!F:F,'caseload data'!$B:$B,{"licence","community"},'caseload data'!$C:$C,'community %'!$T$8)),"")</f>
        <v/>
      </c>
      <c r="W11" s="181" t="str">
        <f>IFERROR(SUM(SUMIFS('caseload data'!G:G,'caseload data'!$C:$C,'community %'!$T$8,'caseload data'!$D:$D,"PSO",'caseload data'!$B:$B,{"licence","community"}))/SUM(SUMIFS('caseload data'!G:G,'caseload data'!$B:$B,{"licence","community"},'caseload data'!$C:$C,'community %'!$T$8)),"")</f>
        <v/>
      </c>
      <c r="X11" s="181" t="str">
        <f>IFERROR(SUM(SUMIFS('caseload data'!H:H,'caseload data'!$C:$C,'community %'!$T$8,'caseload data'!$D:$D,"PSO",'caseload data'!$B:$B,{"licence","community"}))/SUM(SUMIFS('caseload data'!H:H,'caseload data'!$B:$B,{"licence","community"},'caseload data'!$C:$C,'community %'!$T$8)),"")</f>
        <v/>
      </c>
      <c r="Y11" s="181" t="str">
        <f>IFERROR(SUM(SUMIFS('caseload data'!I:I,'caseload data'!$C:$C,'community %'!$T$8,'caseload data'!$D:$D,"PSO",'caseload data'!$B:$B,{"licence","community"}))/SUM(SUMIFS('caseload data'!I:I,'caseload data'!$B:$B,{"licence","community"},'caseload data'!$C:$C,'community %'!$T$8)),"")</f>
        <v/>
      </c>
      <c r="Z11" s="181" t="str">
        <f>IFERROR(SUM(SUMIFS('caseload data'!J:J,'caseload data'!$C:$C,'community %'!$T$8,'caseload data'!$D:$D,"PSO",'caseload data'!$B:$B,{"licence","community"}))/SUM(SUMIFS('caseload data'!J:J,'caseload data'!$B:$B,{"licence","community"},'caseload data'!$C:$C,'community %'!$T$8)),"")</f>
        <v/>
      </c>
      <c r="AA11" s="181" t="str">
        <f>IFERROR(SUM(SUMIFS('caseload data'!K:K,'caseload data'!$C:$C,'community %'!$T$8,'caseload data'!$D:$D,"PSO",'caseload data'!$B:$B,{"licence","community"}))/SUM(SUMIFS('caseload data'!K:K,'caseload data'!$B:$B,{"licence","community"},'caseload data'!$C:$C,'community %'!$T$8)),"")</f>
        <v/>
      </c>
      <c r="AB11" s="181" t="str">
        <f>IFERROR(SUM(SUMIFS('caseload data'!L:L,'caseload data'!$C:$C,'community %'!$T$8,'caseload data'!$D:$D,"PSO",'caseload data'!$B:$B,{"licence","community"}))/SUM(SUMIFS('caseload data'!L:L,'caseload data'!$B:$B,{"licence","community"},'caseload data'!$C:$C,'community %'!$T$8)),"")</f>
        <v/>
      </c>
      <c r="AC11" s="181" t="str">
        <f>IFERROR(SUM(SUMIFS('caseload data'!M:M,'caseload data'!$C:$C,'community %'!$T$8,'caseload data'!$D:$D,"PSO",'caseload data'!$B:$B,{"licence","community"}))/SUM(SUMIFS('caseload data'!M:M,'caseload data'!$B:$B,{"licence","community"},'caseload data'!$C:$C,'community %'!$T$8)),"")</f>
        <v/>
      </c>
      <c r="AD11" s="181" t="str">
        <f>IFERROR(SUM(SUMIFS('caseload data'!N:N,'caseload data'!$C:$C,'community %'!$T$8,'caseload data'!$D:$D,"PSO",'caseload data'!$B:$B,{"licence","community"}))/SUM(SUMIFS('caseload data'!N:N,'caseload data'!$B:$B,{"licence","community"},'caseload data'!$C:$C,'community %'!$T$8)),"")</f>
        <v/>
      </c>
      <c r="AE11" s="181" t="str">
        <f>IFERROR(SUM(SUMIFS('caseload data'!O:O,'caseload data'!$C:$C,'community %'!$T$8,'caseload data'!$D:$D,"PSO",'caseload data'!$B:$B,{"licence","community"}))/SUM(SUMIFS('caseload data'!O:O,'caseload data'!$B:$B,{"licence","community"},'caseload data'!$C:$C,'community %'!$T$8)),"")</f>
        <v/>
      </c>
      <c r="AF11" s="181" t="str">
        <f>IFERROR(SUM(SUMIFS('caseload data'!P:P,'caseload data'!$C:$C,'community %'!$T$8,'caseload data'!$D:$D,"PSO",'caseload data'!$B:$B,{"licence","community"}))/SUM(SUMIFS('caseload data'!P:P,'caseload data'!$B:$B,{"licence","community"},'caseload data'!$C:$C,'community %'!$T$8)),"")</f>
        <v/>
      </c>
      <c r="AG11" s="181" t="str">
        <f>IFERROR(SUM(SUMIFS('caseload data'!Q:Q,'caseload data'!$C:$C,'community %'!$T$8,'caseload data'!$D:$D,"PSO",'caseload data'!$B:$B,{"licence","community"}))/SUM(SUMIFS('caseload data'!Q:Q,'caseload data'!$B:$B,{"licence","community"},'caseload data'!$C:$C,'community %'!$T$8)),"")</f>
        <v/>
      </c>
      <c r="AH11" s="181" t="str">
        <f>IFERROR(SUM(SUMIFS('caseload data'!R:R,'caseload data'!$C:$C,'community %'!$T$8,'caseload data'!$D:$D,"PSO",'caseload data'!$B:$B,{"licence","community"}))/SUM(SUMIFS('caseload data'!R:R,'caseload data'!$B:$B,{"licence","community"},'caseload data'!$C:$C,'community %'!$T$8)),"")</f>
        <v/>
      </c>
      <c r="AI11" s="181" t="str">
        <f>IFERROR(SUM(SUMIFS('caseload data'!S:S,'caseload data'!$C:$C,'community %'!$T$8,'caseload data'!$D:$D,"PSO",'caseload data'!$B:$B,{"licence","community"}))/SUM(SUMIFS('caseload data'!S:S,'caseload data'!$B:$B,{"licence","community"},'caseload data'!$C:$C,'community %'!$T$8)),"")</f>
        <v/>
      </c>
      <c r="AJ11" s="181" t="str">
        <f>IFERROR(SUM(SUMIFS('caseload data'!T:T,'caseload data'!$C:$C,'community %'!$T$8,'caseload data'!$D:$D,"PSO",'caseload data'!$B:$B,{"licence","community"}))/SUM(SUMIFS('caseload data'!T:T,'caseload data'!$B:$B,{"licence","community"},'caseload data'!$C:$C,'community %'!$T$8)),"")</f>
        <v/>
      </c>
    </row>
    <row r="12" spans="1:50" x14ac:dyDescent="0.15">
      <c r="B12" s="107" t="s">
        <v>913</v>
      </c>
      <c r="C12" s="181" t="str">
        <f>IFERROR(SUM(SUMIFS('caseload data'!E:E,'caseload data'!$C:$C,'community %'!$B$8,'caseload data'!$D:$D,"TPO",'caseload data'!$B:$B,{"licence","community"}))/SUM(SUMIFS('caseload data'!E:E,'caseload data'!$B:$B,{"licence","community"},'caseload data'!$C:$C,'community %'!$B$8)),"")</f>
        <v/>
      </c>
      <c r="D12" s="181" t="str">
        <f>IFERROR(SUM(SUMIFS('caseload data'!F:F,'caseload data'!$C:$C,'community %'!$B$8,'caseload data'!$D:$D,"TPO",'caseload data'!$B:$B,{"licence","community"}))/SUM(SUMIFS('caseload data'!F:F,'caseload data'!$B:$B,{"licence","community"},'caseload data'!$C:$C,'community %'!$B$8)),"")</f>
        <v/>
      </c>
      <c r="E12" s="181" t="str">
        <f>IFERROR(SUM(SUMIFS('caseload data'!G:G,'caseload data'!$C:$C,'community %'!$B$8,'caseload data'!$D:$D,"TPO",'caseload data'!$B:$B,{"licence","community"}))/SUM(SUMIFS('caseload data'!G:G,'caseload data'!$B:$B,{"licence","community"},'caseload data'!$C:$C,'community %'!$B$8)),"")</f>
        <v/>
      </c>
      <c r="F12" s="181" t="str">
        <f>IFERROR(SUM(SUMIFS('caseload data'!H:H,'caseload data'!$C:$C,'community %'!$B$8,'caseload data'!$D:$D,"TPO",'caseload data'!$B:$B,{"licence","community"}))/SUM(SUMIFS('caseload data'!H:H,'caseload data'!$B:$B,{"licence","community"},'caseload data'!$C:$C,'community %'!$B$8)),"")</f>
        <v/>
      </c>
      <c r="G12" s="181" t="str">
        <f>IFERROR(SUM(SUMIFS('caseload data'!I:I,'caseload data'!$C:$C,'community %'!$B$8,'caseload data'!$D:$D,"TPO",'caseload data'!$B:$B,{"licence","community"}))/SUM(SUMIFS('caseload data'!I:I,'caseload data'!$B:$B,{"licence","community"},'caseload data'!$C:$C,'community %'!$B$8)),"")</f>
        <v/>
      </c>
      <c r="H12" s="181" t="str">
        <f>IFERROR(SUM(SUMIFS('caseload data'!J:J,'caseload data'!$C:$C,'community %'!$B$8,'caseload data'!$D:$D,"TPO",'caseload data'!$B:$B,{"licence","community"}))/SUM(SUMIFS('caseload data'!J:J,'caseload data'!$B:$B,{"licence","community"},'caseload data'!$C:$C,'community %'!$B$8)),"")</f>
        <v/>
      </c>
      <c r="I12" s="181" t="str">
        <f>IFERROR(SUM(SUMIFS('caseload data'!K:K,'caseload data'!$C:$C,'community %'!$B$8,'caseload data'!$D:$D,"TPO",'caseload data'!$B:$B,{"licence","community"}))/SUM(SUMIFS('caseload data'!K:K,'caseload data'!$B:$B,{"licence","community"},'caseload data'!$C:$C,'community %'!$B$8)),"")</f>
        <v/>
      </c>
      <c r="J12" s="181" t="str">
        <f>IFERROR(SUM(SUMIFS('caseload data'!L:L,'caseload data'!$C:$C,'community %'!$B$8,'caseload data'!$D:$D,"TPO",'caseload data'!$B:$B,{"licence","community"}))/SUM(SUMIFS('caseload data'!L:L,'caseload data'!$B:$B,{"licence","community"},'caseload data'!$C:$C,'community %'!$B$8)),"")</f>
        <v/>
      </c>
      <c r="K12" s="181" t="str">
        <f>IFERROR(SUM(SUMIFS('caseload data'!M:M,'caseload data'!$C:$C,'community %'!$B$8,'caseload data'!$D:$D,"TPO",'caseload data'!$B:$B,{"licence","community"}))/SUM(SUMIFS('caseload data'!M:M,'caseload data'!$B:$B,{"licence","community"},'caseload data'!$C:$C,'community %'!$B$8)),"")</f>
        <v/>
      </c>
      <c r="L12" s="181" t="str">
        <f>IFERROR(SUM(SUMIFS('caseload data'!N:N,'caseload data'!$C:$C,'community %'!$B$8,'caseload data'!$D:$D,"TPO",'caseload data'!$B:$B,{"licence","community"}))/SUM(SUMIFS('caseload data'!N:N,'caseload data'!$B:$B,{"licence","community"},'caseload data'!$C:$C,'community %'!$B$8)),"")</f>
        <v/>
      </c>
      <c r="M12" s="181" t="str">
        <f>IFERROR(SUM(SUMIFS('caseload data'!O:O,'caseload data'!$C:$C,'community %'!$B$8,'caseload data'!$D:$D,"TPO",'caseload data'!$B:$B,{"licence","community"}))/SUM(SUMIFS('caseload data'!O:O,'caseload data'!$B:$B,{"licence","community"},'caseload data'!$C:$C,'community %'!$B$8)),"")</f>
        <v/>
      </c>
      <c r="N12" s="181" t="str">
        <f>IFERROR(SUM(SUMIFS('caseload data'!P:P,'caseload data'!$C:$C,'community %'!$B$8,'caseload data'!$D:$D,"TPO",'caseload data'!$B:$B,{"licence","community"}))/SUM(SUMIFS('caseload data'!P:P,'caseload data'!$B:$B,{"licence","community"},'caseload data'!$C:$C,'community %'!$B$8)),"")</f>
        <v/>
      </c>
      <c r="O12" s="181" t="str">
        <f>IFERROR(SUM(SUMIFS('caseload data'!Q:Q,'caseload data'!$C:$C,'community %'!$B$8,'caseload data'!$D:$D,"TPO",'caseload data'!$B:$B,{"licence","community"}))/SUM(SUMIFS('caseload data'!Q:Q,'caseload data'!$B:$B,{"licence","community"},'caseload data'!$C:$C,'community %'!$B$8)),"")</f>
        <v/>
      </c>
      <c r="P12" s="181" t="str">
        <f>IFERROR(SUM(SUMIFS('caseload data'!R:R,'caseload data'!$C:$C,'community %'!$B$8,'caseload data'!$D:$D,"TPO",'caseload data'!$B:$B,{"licence","community"}))/SUM(SUMIFS('caseload data'!R:R,'caseload data'!$B:$B,{"licence","community"},'caseload data'!$C:$C,'community %'!$B$8)),"")</f>
        <v/>
      </c>
      <c r="Q12" s="181" t="str">
        <f>IFERROR(SUM(SUMIFS('caseload data'!S:S,'caseload data'!$C:$C,'community %'!$B$8,'caseload data'!$D:$D,"TPO",'caseload data'!$B:$B,{"licence","community"}))/SUM(SUMIFS('caseload data'!S:S,'caseload data'!$B:$B,{"licence","community"},'caseload data'!$C:$C,'community %'!$B$8)),"")</f>
        <v/>
      </c>
      <c r="R12" s="181" t="str">
        <f>IFERROR(SUM(SUMIFS('caseload data'!T:T,'caseload data'!$C:$C,'community %'!$B$8,'caseload data'!$D:$D,"TPO",'caseload data'!$B:$B,{"licence","community"}))/SUM(SUMIFS('caseload data'!T:T,'caseload data'!$B:$B,{"licence","community"},'caseload data'!$C:$C,'community %'!$B$8)),"")</f>
        <v/>
      </c>
      <c r="S12" s="73"/>
      <c r="T12" s="107" t="s">
        <v>913</v>
      </c>
      <c r="U12" s="181" t="str">
        <f>IFERROR(SUM(SUMIFS('caseload data'!E:E,'caseload data'!$C:$C,'community %'!$T$8,'caseload data'!$D:$D,"TPO",'caseload data'!$B:$B,{"licence","community"}))/SUM(SUMIFS('caseload data'!E:E,'caseload data'!$B:$B,{"licence","community"},'caseload data'!$C:$C,'community %'!$T$8)),"")</f>
        <v/>
      </c>
      <c r="V12" s="181" t="str">
        <f>IFERROR(SUM(SUMIFS('caseload data'!F:F,'caseload data'!$C:$C,'community %'!$T$8,'caseload data'!$D:$D,"TPO",'caseload data'!$B:$B,{"licence","community"}))/SUM(SUMIFS('caseload data'!F:F,'caseload data'!$B:$B,{"licence","community"},'caseload data'!$C:$C,'community %'!$T$8)),"")</f>
        <v/>
      </c>
      <c r="W12" s="181" t="str">
        <f>IFERROR(SUM(SUMIFS('caseload data'!G:G,'caseload data'!$C:$C,'community %'!$T$8,'caseload data'!$D:$D,"TPO",'caseload data'!$B:$B,{"licence","community"}))/SUM(SUMIFS('caseload data'!G:G,'caseload data'!$B:$B,{"licence","community"},'caseload data'!$C:$C,'community %'!$T$8)),"")</f>
        <v/>
      </c>
      <c r="X12" s="181" t="str">
        <f>IFERROR(SUM(SUMIFS('caseload data'!H:H,'caseload data'!$C:$C,'community %'!$T$8,'caseload data'!$D:$D,"TPO",'caseload data'!$B:$B,{"licence","community"}))/SUM(SUMIFS('caseload data'!H:H,'caseload data'!$B:$B,{"licence","community"},'caseload data'!$C:$C,'community %'!$T$8)),"")</f>
        <v/>
      </c>
      <c r="Y12" s="181" t="str">
        <f>IFERROR(SUM(SUMIFS('caseload data'!I:I,'caseload data'!$C:$C,'community %'!$T$8,'caseload data'!$D:$D,"TPO",'caseload data'!$B:$B,{"licence","community"}))/SUM(SUMIFS('caseload data'!I:I,'caseload data'!$B:$B,{"licence","community"},'caseload data'!$C:$C,'community %'!$T$8)),"")</f>
        <v/>
      </c>
      <c r="Z12" s="181" t="str">
        <f>IFERROR(SUM(SUMIFS('caseload data'!J:J,'caseload data'!$C:$C,'community %'!$T$8,'caseload data'!$D:$D,"TPO",'caseload data'!$B:$B,{"licence","community"}))/SUM(SUMIFS('caseload data'!J:J,'caseload data'!$B:$B,{"licence","community"},'caseload data'!$C:$C,'community %'!$T$8)),"")</f>
        <v/>
      </c>
      <c r="AA12" s="181" t="str">
        <f>IFERROR(SUM(SUMIFS('caseload data'!K:K,'caseload data'!$C:$C,'community %'!$T$8,'caseload data'!$D:$D,"TPO",'caseload data'!$B:$B,{"licence","community"}))/SUM(SUMIFS('caseload data'!K:K,'caseload data'!$B:$B,{"licence","community"},'caseload data'!$C:$C,'community %'!$T$8)),"")</f>
        <v/>
      </c>
      <c r="AB12" s="181" t="str">
        <f>IFERROR(SUM(SUMIFS('caseload data'!L:L,'caseload data'!$C:$C,'community %'!$T$8,'caseload data'!$D:$D,"TPO",'caseload data'!$B:$B,{"licence","community"}))/SUM(SUMIFS('caseload data'!L:L,'caseload data'!$B:$B,{"licence","community"},'caseload data'!$C:$C,'community %'!$T$8)),"")</f>
        <v/>
      </c>
      <c r="AC12" s="181" t="str">
        <f>IFERROR(SUM(SUMIFS('caseload data'!M:M,'caseload data'!$C:$C,'community %'!$T$8,'caseload data'!$D:$D,"TPO",'caseload data'!$B:$B,{"licence","community"}))/SUM(SUMIFS('caseload data'!M:M,'caseload data'!$B:$B,{"licence","community"},'caseload data'!$C:$C,'community %'!$T$8)),"")</f>
        <v/>
      </c>
      <c r="AD12" s="181" t="str">
        <f>IFERROR(SUM(SUMIFS('caseload data'!N:N,'caseload data'!$C:$C,'community %'!$T$8,'caseload data'!$D:$D,"TPO",'caseload data'!$B:$B,{"licence","community"}))/SUM(SUMIFS('caseload data'!N:N,'caseload data'!$B:$B,{"licence","community"},'caseload data'!$C:$C,'community %'!$T$8)),"")</f>
        <v/>
      </c>
      <c r="AE12" s="181" t="str">
        <f>IFERROR(SUM(SUMIFS('caseload data'!O:O,'caseload data'!$C:$C,'community %'!$T$8,'caseload data'!$D:$D,"TPO",'caseload data'!$B:$B,{"licence","community"}))/SUM(SUMIFS('caseload data'!O:O,'caseload data'!$B:$B,{"licence","community"},'caseload data'!$C:$C,'community %'!$T$8)),"")</f>
        <v/>
      </c>
      <c r="AF12" s="181" t="str">
        <f>IFERROR(SUM(SUMIFS('caseload data'!P:P,'caseload data'!$C:$C,'community %'!$T$8,'caseload data'!$D:$D,"TPO",'caseload data'!$B:$B,{"licence","community"}))/SUM(SUMIFS('caseload data'!P:P,'caseload data'!$B:$B,{"licence","community"},'caseload data'!$C:$C,'community %'!$T$8)),"")</f>
        <v/>
      </c>
      <c r="AG12" s="181" t="str">
        <f>IFERROR(SUM(SUMIFS('caseload data'!Q:Q,'caseload data'!$C:$C,'community %'!$T$8,'caseload data'!$D:$D,"TPO",'caseload data'!$B:$B,{"licence","community"}))/SUM(SUMIFS('caseload data'!Q:Q,'caseload data'!$B:$B,{"licence","community"},'caseload data'!$C:$C,'community %'!$T$8)),"")</f>
        <v/>
      </c>
      <c r="AH12" s="181" t="str">
        <f>IFERROR(SUM(SUMIFS('caseload data'!R:R,'caseload data'!$C:$C,'community %'!$T$8,'caseload data'!$D:$D,"TPO",'caseload data'!$B:$B,{"licence","community"}))/SUM(SUMIFS('caseload data'!R:R,'caseload data'!$B:$B,{"licence","community"},'caseload data'!$C:$C,'community %'!$T$8)),"")</f>
        <v/>
      </c>
      <c r="AI12" s="181" t="str">
        <f>IFERROR(SUM(SUMIFS('caseload data'!S:S,'caseload data'!$C:$C,'community %'!$T$8,'caseload data'!$D:$D,"TPO",'caseload data'!$B:$B,{"licence","community"}))/SUM(SUMIFS('caseload data'!S:S,'caseload data'!$B:$B,{"licence","community"},'caseload data'!$C:$C,'community %'!$T$8)),"")</f>
        <v/>
      </c>
      <c r="AJ12" s="181" t="str">
        <f>IFERROR(SUM(SUMIFS('caseload data'!T:T,'caseload data'!$C:$C,'community %'!$T$8,'caseload data'!$D:$D,"TPO",'caseload data'!$B:$B,{"licence","community"}))/SUM(SUMIFS('caseload data'!T:T,'caseload data'!$B:$B,{"licence","community"},'caseload data'!$C:$C,'community %'!$T$8)),"")</f>
        <v/>
      </c>
    </row>
    <row r="13" spans="1:50" x14ac:dyDescent="0.15">
      <c r="B13" s="108" t="s">
        <v>914</v>
      </c>
      <c r="C13" s="181" t="str">
        <f>IFERROR(SUM(SUMIFS('caseload data'!E:E,'caseload data'!$C:$C,'community %'!$B$8,'caseload data'!$D:$D,"SPO",'caseload data'!$B:$B,{"licence","community"}))/SUM(SUMIFS('caseload data'!E:E,'caseload data'!$B:$B,{"licence","community"},'caseload data'!$C:$C,'community %'!$B$8)),"")</f>
        <v/>
      </c>
      <c r="D13" s="181" t="str">
        <f>IFERROR(SUM(SUMIFS('caseload data'!F:F,'caseload data'!$C:$C,'community %'!$B$8,'caseload data'!$D:$D,"SPO",'caseload data'!$B:$B,{"licence","community"}))/SUM(SUMIFS('caseload data'!F:F,'caseload data'!$B:$B,{"licence","community"},'caseload data'!$C:$C,'community %'!$B$8)),"")</f>
        <v/>
      </c>
      <c r="E13" s="181" t="str">
        <f>IFERROR(SUM(SUMIFS('caseload data'!G:G,'caseload data'!$C:$C,'community %'!$B$8,'caseload data'!$D:$D,"SPO",'caseload data'!$B:$B,{"licence","community"}))/SUM(SUMIFS('caseload data'!G:G,'caseload data'!$B:$B,{"licence","community"},'caseload data'!$C:$C,'community %'!$B$8)),"")</f>
        <v/>
      </c>
      <c r="F13" s="181" t="str">
        <f>IFERROR(SUM(SUMIFS('caseload data'!H:H,'caseload data'!$C:$C,'community %'!$B$8,'caseload data'!$D:$D,"SPO",'caseload data'!$B:$B,{"licence","community"}))/SUM(SUMIFS('caseload data'!H:H,'caseload data'!$B:$B,{"licence","community"},'caseload data'!$C:$C,'community %'!$B$8)),"")</f>
        <v/>
      </c>
      <c r="G13" s="181" t="str">
        <f>IFERROR(SUM(SUMIFS('caseload data'!I:I,'caseload data'!$C:$C,'community %'!$B$8,'caseload data'!$D:$D,"SPO",'caseload data'!$B:$B,{"licence","community"}))/SUM(SUMIFS('caseload data'!I:I,'caseload data'!$B:$B,{"licence","community"},'caseload data'!$C:$C,'community %'!$B$8)),"")</f>
        <v/>
      </c>
      <c r="H13" s="181" t="str">
        <f>IFERROR(SUM(SUMIFS('caseload data'!J:J,'caseload data'!$C:$C,'community %'!$B$8,'caseload data'!$D:$D,"SPO",'caseload data'!$B:$B,{"licence","community"}))/SUM(SUMIFS('caseload data'!J:J,'caseload data'!$B:$B,{"licence","community"},'caseload data'!$C:$C,'community %'!$B$8)),"")</f>
        <v/>
      </c>
      <c r="I13" s="181" t="str">
        <f>IFERROR(SUM(SUMIFS('caseload data'!K:K,'caseload data'!$C:$C,'community %'!$B$8,'caseload data'!$D:$D,"SPO",'caseload data'!$B:$B,{"licence","community"}))/SUM(SUMIFS('caseload data'!K:K,'caseload data'!$B:$B,{"licence","community"},'caseload data'!$C:$C,'community %'!$B$8)),"")</f>
        <v/>
      </c>
      <c r="J13" s="181" t="str">
        <f>IFERROR(SUM(SUMIFS('caseload data'!L:L,'caseload data'!$C:$C,'community %'!$B$8,'caseload data'!$D:$D,"SPO",'caseload data'!$B:$B,{"licence","community"}))/SUM(SUMIFS('caseload data'!L:L,'caseload data'!$B:$B,{"licence","community"},'caseload data'!$C:$C,'community %'!$B$8)),"")</f>
        <v/>
      </c>
      <c r="K13" s="181" t="str">
        <f>IFERROR(SUM(SUMIFS('caseload data'!M:M,'caseload data'!$C:$C,'community %'!$B$8,'caseload data'!$D:$D,"SPO",'caseload data'!$B:$B,{"licence","community"}))/SUM(SUMIFS('caseload data'!M:M,'caseload data'!$B:$B,{"licence","community"},'caseload data'!$C:$C,'community %'!$B$8)),"")</f>
        <v/>
      </c>
      <c r="L13" s="181" t="str">
        <f>IFERROR(SUM(SUMIFS('caseload data'!N:N,'caseload data'!$C:$C,'community %'!$B$8,'caseload data'!$D:$D,"SPO",'caseload data'!$B:$B,{"licence","community"}))/SUM(SUMIFS('caseload data'!N:N,'caseload data'!$B:$B,{"licence","community"},'caseload data'!$C:$C,'community %'!$B$8)),"")</f>
        <v/>
      </c>
      <c r="M13" s="181" t="str">
        <f>IFERROR(SUM(SUMIFS('caseload data'!O:O,'caseload data'!$C:$C,'community %'!$B$8,'caseload data'!$D:$D,"SPO",'caseload data'!$B:$B,{"licence","community"}))/SUM(SUMIFS('caseload data'!O:O,'caseload data'!$B:$B,{"licence","community"},'caseload data'!$C:$C,'community %'!$B$8)),"")</f>
        <v/>
      </c>
      <c r="N13" s="181" t="str">
        <f>IFERROR(SUM(SUMIFS('caseload data'!P:P,'caseload data'!$C:$C,'community %'!$B$8,'caseload data'!$D:$D,"SPO",'caseload data'!$B:$B,{"licence","community"}))/SUM(SUMIFS('caseload data'!P:P,'caseload data'!$B:$B,{"licence","community"},'caseload data'!$C:$C,'community %'!$B$8)),"")</f>
        <v/>
      </c>
      <c r="O13" s="181" t="str">
        <f>IFERROR(SUM(SUMIFS('caseload data'!Q:Q,'caseload data'!$C:$C,'community %'!$B$8,'caseload data'!$D:$D,"SPO",'caseload data'!$B:$B,{"licence","community"}))/SUM(SUMIFS('caseload data'!Q:Q,'caseload data'!$B:$B,{"licence","community"},'caseload data'!$C:$C,'community %'!$B$8)),"")</f>
        <v/>
      </c>
      <c r="P13" s="181" t="str">
        <f>IFERROR(SUM(SUMIFS('caseload data'!R:R,'caseload data'!$C:$C,'community %'!$B$8,'caseload data'!$D:$D,"SPO",'caseload data'!$B:$B,{"licence","community"}))/SUM(SUMIFS('caseload data'!R:R,'caseload data'!$B:$B,{"licence","community"},'caseload data'!$C:$C,'community %'!$B$8)),"")</f>
        <v/>
      </c>
      <c r="Q13" s="181" t="str">
        <f>IFERROR(SUM(SUMIFS('caseload data'!S:S,'caseload data'!$C:$C,'community %'!$B$8,'caseload data'!$D:$D,"SPO",'caseload data'!$B:$B,{"licence","community"}))/SUM(SUMIFS('caseload data'!S:S,'caseload data'!$B:$B,{"licence","community"},'caseload data'!$C:$C,'community %'!$B$8)),"")</f>
        <v/>
      </c>
      <c r="R13" s="181" t="str">
        <f>IFERROR(SUM(SUMIFS('caseload data'!T:T,'caseload data'!$C:$C,'community %'!$B$8,'caseload data'!$D:$D,"SPO",'caseload data'!$B:$B,{"licence","community"}))/SUM(SUMIFS('caseload data'!T:T,'caseload data'!$B:$B,{"licence","community"},'caseload data'!$C:$C,'community %'!$B$8)),"")</f>
        <v/>
      </c>
      <c r="S13" s="73"/>
      <c r="T13" s="108" t="s">
        <v>914</v>
      </c>
      <c r="U13" s="181" t="str">
        <f>IFERROR(SUM(SUMIFS('caseload data'!E:E,'caseload data'!$C:$C,'community %'!$T$8,'caseload data'!$D:$D,"SPO",'caseload data'!$B:$B,{"licence","community"}))/SUM(SUMIFS('caseload data'!E:E,'caseload data'!$B:$B,{"licence","community"},'caseload data'!$C:$C,'community %'!$T$8)),"")</f>
        <v/>
      </c>
      <c r="V13" s="181" t="str">
        <f>IFERROR(SUM(SUMIFS('caseload data'!F:F,'caseload data'!$C:$C,'community %'!$T$8,'caseload data'!$D:$D,"SPO",'caseload data'!$B:$B,{"licence","community"}))/SUM(SUMIFS('caseload data'!F:F,'caseload data'!$B:$B,{"licence","community"},'caseload data'!$C:$C,'community %'!$T$8)),"")</f>
        <v/>
      </c>
      <c r="W13" s="181" t="str">
        <f>IFERROR(SUM(SUMIFS('caseload data'!G:G,'caseload data'!$C:$C,'community %'!$T$8,'caseload data'!$D:$D,"SPO",'caseload data'!$B:$B,{"licence","community"}))/SUM(SUMIFS('caseload data'!G:G,'caseload data'!$B:$B,{"licence","community"},'caseload data'!$C:$C,'community %'!$T$8)),"")</f>
        <v/>
      </c>
      <c r="X13" s="181" t="str">
        <f>IFERROR(SUM(SUMIFS('caseload data'!H:H,'caseload data'!$C:$C,'community %'!$T$8,'caseload data'!$D:$D,"SPO",'caseload data'!$B:$B,{"licence","community"}))/SUM(SUMIFS('caseload data'!H:H,'caseload data'!$B:$B,{"licence","community"},'caseload data'!$C:$C,'community %'!$T$8)),"")</f>
        <v/>
      </c>
      <c r="Y13" s="181" t="str">
        <f>IFERROR(SUM(SUMIFS('caseload data'!I:I,'caseload data'!$C:$C,'community %'!$T$8,'caseload data'!$D:$D,"SPO",'caseload data'!$B:$B,{"licence","community"}))/SUM(SUMIFS('caseload data'!I:I,'caseload data'!$B:$B,{"licence","community"},'caseload data'!$C:$C,'community %'!$T$8)),"")</f>
        <v/>
      </c>
      <c r="Z13" s="181" t="str">
        <f>IFERROR(SUM(SUMIFS('caseload data'!J:J,'caseload data'!$C:$C,'community %'!$T$8,'caseload data'!$D:$D,"SPO",'caseload data'!$B:$B,{"licence","community"}))/SUM(SUMIFS('caseload data'!J:J,'caseload data'!$B:$B,{"licence","community"},'caseload data'!$C:$C,'community %'!$T$8)),"")</f>
        <v/>
      </c>
      <c r="AA13" s="181" t="str">
        <f>IFERROR(SUM(SUMIFS('caseload data'!K:K,'caseload data'!$C:$C,'community %'!$T$8,'caseload data'!$D:$D,"SPO",'caseload data'!$B:$B,{"licence","community"}))/SUM(SUMIFS('caseload data'!K:K,'caseload data'!$B:$B,{"licence","community"},'caseload data'!$C:$C,'community %'!$T$8)),"")</f>
        <v/>
      </c>
      <c r="AB13" s="181" t="str">
        <f>IFERROR(SUM(SUMIFS('caseload data'!L:L,'caseload data'!$C:$C,'community %'!$T$8,'caseload data'!$D:$D,"SPO",'caseload data'!$B:$B,{"licence","community"}))/SUM(SUMIFS('caseload data'!L:L,'caseload data'!$B:$B,{"licence","community"},'caseload data'!$C:$C,'community %'!$T$8)),"")</f>
        <v/>
      </c>
      <c r="AC13" s="181" t="str">
        <f>IFERROR(SUM(SUMIFS('caseload data'!M:M,'caseload data'!$C:$C,'community %'!$T$8,'caseload data'!$D:$D,"SPO",'caseload data'!$B:$B,{"licence","community"}))/SUM(SUMIFS('caseload data'!M:M,'caseload data'!$B:$B,{"licence","community"},'caseload data'!$C:$C,'community %'!$T$8)),"")</f>
        <v/>
      </c>
      <c r="AD13" s="181" t="str">
        <f>IFERROR(SUM(SUMIFS('caseload data'!N:N,'caseload data'!$C:$C,'community %'!$T$8,'caseload data'!$D:$D,"SPO",'caseload data'!$B:$B,{"licence","community"}))/SUM(SUMIFS('caseload data'!N:N,'caseload data'!$B:$B,{"licence","community"},'caseload data'!$C:$C,'community %'!$T$8)),"")</f>
        <v/>
      </c>
      <c r="AE13" s="181" t="str">
        <f>IFERROR(SUM(SUMIFS('caseload data'!O:O,'caseload data'!$C:$C,'community %'!$T$8,'caseload data'!$D:$D,"SPO",'caseload data'!$B:$B,{"licence","community"}))/SUM(SUMIFS('caseload data'!O:O,'caseload data'!$B:$B,{"licence","community"},'caseload data'!$C:$C,'community %'!$T$8)),"")</f>
        <v/>
      </c>
      <c r="AF13" s="181" t="str">
        <f>IFERROR(SUM(SUMIFS('caseload data'!P:P,'caseload data'!$C:$C,'community %'!$T$8,'caseload data'!$D:$D,"SPO",'caseload data'!$B:$B,{"licence","community"}))/SUM(SUMIFS('caseload data'!P:P,'caseload data'!$B:$B,{"licence","community"},'caseload data'!$C:$C,'community %'!$T$8)),"")</f>
        <v/>
      </c>
      <c r="AG13" s="181" t="str">
        <f>IFERROR(SUM(SUMIFS('caseload data'!Q:Q,'caseload data'!$C:$C,'community %'!$T$8,'caseload data'!$D:$D,"SPO",'caseload data'!$B:$B,{"licence","community"}))/SUM(SUMIFS('caseload data'!Q:Q,'caseload data'!$B:$B,{"licence","community"},'caseload data'!$C:$C,'community %'!$T$8)),"")</f>
        <v/>
      </c>
      <c r="AH13" s="181" t="str">
        <f>IFERROR(SUM(SUMIFS('caseload data'!R:R,'caseload data'!$C:$C,'community %'!$T$8,'caseload data'!$D:$D,"SPO",'caseload data'!$B:$B,{"licence","community"}))/SUM(SUMIFS('caseload data'!R:R,'caseload data'!$B:$B,{"licence","community"},'caseload data'!$C:$C,'community %'!$T$8)),"")</f>
        <v/>
      </c>
      <c r="AI13" s="181" t="str">
        <f>IFERROR(SUM(SUMIFS('caseload data'!S:S,'caseload data'!$C:$C,'community %'!$T$8,'caseload data'!$D:$D,"SPO",'caseload data'!$B:$B,{"licence","community"}))/SUM(SUMIFS('caseload data'!S:S,'caseload data'!$B:$B,{"licence","community"},'caseload data'!$C:$C,'community %'!$T$8)),"")</f>
        <v/>
      </c>
      <c r="AJ13" s="181" t="str">
        <f>IFERROR(SUM(SUMIFS('caseload data'!T:T,'caseload data'!$C:$C,'community %'!$T$8,'caseload data'!$D:$D,"SPO",'caseload data'!$B:$B,{"licence","community"}))/SUM(SUMIFS('caseload data'!T:T,'caseload data'!$B:$B,{"licence","community"},'caseload data'!$C:$C,'community %'!$T$8)),"")</f>
        <v/>
      </c>
    </row>
    <row r="14" spans="1:50" x14ac:dyDescent="0.15">
      <c r="B14" s="101"/>
      <c r="C14" s="73"/>
      <c r="D14" s="73"/>
      <c r="E14" s="73"/>
      <c r="F14" s="73"/>
      <c r="G14" s="73"/>
      <c r="H14" s="73"/>
      <c r="I14" s="73"/>
      <c r="J14" s="73"/>
      <c r="K14" s="73"/>
      <c r="L14" s="73"/>
      <c r="M14" s="73"/>
      <c r="N14" s="73"/>
      <c r="O14" s="73"/>
      <c r="P14" s="73"/>
      <c r="Q14" s="73"/>
      <c r="R14" s="73"/>
      <c r="S14" s="73"/>
      <c r="T14" s="101"/>
      <c r="U14" s="73"/>
      <c r="V14" s="73"/>
      <c r="W14" s="73"/>
      <c r="X14" s="73"/>
      <c r="Y14" s="73"/>
      <c r="Z14" s="73"/>
      <c r="AA14" s="73"/>
      <c r="AB14" s="73"/>
      <c r="AC14" s="73"/>
      <c r="AD14" s="73"/>
      <c r="AE14" s="73"/>
      <c r="AF14" s="73"/>
      <c r="AG14" s="73"/>
      <c r="AH14" s="73"/>
      <c r="AI14" s="73"/>
      <c r="AJ14" s="73"/>
    </row>
    <row r="15" spans="1:50" ht="41.25" customHeight="1" x14ac:dyDescent="0.15">
      <c r="B15" s="156" t="str">
        <f>HLOOKUP($B$5,Region_Table,4,0)</f>
        <v>Camden, Islington</v>
      </c>
      <c r="C15" s="367" t="s">
        <v>1170</v>
      </c>
      <c r="D15" s="368"/>
      <c r="E15" s="368"/>
      <c r="F15" s="368"/>
      <c r="G15" s="368"/>
      <c r="H15" s="368"/>
      <c r="I15" s="368"/>
      <c r="J15" s="368"/>
      <c r="K15" s="368"/>
      <c r="L15" s="368"/>
      <c r="M15" s="377"/>
      <c r="N15" s="377"/>
      <c r="O15" s="378"/>
      <c r="P15" s="371" cm="1">
        <f t="array" ref="P15">SUM(SUMIFS('caseload data'!V:V,'caseload data'!B:B,{"licence","community"},'caseload data'!$C:$C,B15))</f>
        <v>0</v>
      </c>
      <c r="Q15" s="379"/>
      <c r="R15" s="380"/>
      <c r="S15" s="73"/>
      <c r="T15" s="156" t="str">
        <f>HLOOKUP($B$5,Region_Table,5,0)</f>
        <v>Community Integration</v>
      </c>
      <c r="U15" s="367" t="s">
        <v>1170</v>
      </c>
      <c r="V15" s="368"/>
      <c r="W15" s="368"/>
      <c r="X15" s="368"/>
      <c r="Y15" s="368"/>
      <c r="Z15" s="368"/>
      <c r="AA15" s="368"/>
      <c r="AB15" s="368"/>
      <c r="AC15" s="368"/>
      <c r="AD15" s="368"/>
      <c r="AE15" s="377"/>
      <c r="AF15" s="377"/>
      <c r="AG15" s="378"/>
      <c r="AH15" s="371" cm="1">
        <f t="array" ref="AH15">SUM(SUMIFS('caseload data'!V:V,'caseload data'!B:B,{"licence","community"},'caseload data'!$C:$C,T15))</f>
        <v>0</v>
      </c>
      <c r="AI15" s="379"/>
      <c r="AJ15" s="380"/>
    </row>
    <row r="16" spans="1:50" x14ac:dyDescent="0.15">
      <c r="B16" s="105" t="s">
        <v>1065</v>
      </c>
      <c r="C16" s="41" t="s">
        <v>922</v>
      </c>
      <c r="D16" s="41" t="s">
        <v>923</v>
      </c>
      <c r="E16" s="41" t="s">
        <v>924</v>
      </c>
      <c r="F16" s="41" t="s">
        <v>925</v>
      </c>
      <c r="G16" s="41" t="s">
        <v>926</v>
      </c>
      <c r="H16" s="41" t="s">
        <v>927</v>
      </c>
      <c r="I16" s="41" t="s">
        <v>928</v>
      </c>
      <c r="J16" s="41" t="s">
        <v>929</v>
      </c>
      <c r="K16" s="41" t="s">
        <v>930</v>
      </c>
      <c r="L16" s="41" t="s">
        <v>931</v>
      </c>
      <c r="M16" s="41" t="s">
        <v>932</v>
      </c>
      <c r="N16" s="41" t="s">
        <v>933</v>
      </c>
      <c r="O16" s="41" t="s">
        <v>934</v>
      </c>
      <c r="P16" s="41" t="s">
        <v>935</v>
      </c>
      <c r="Q16" s="41" t="s">
        <v>936</v>
      </c>
      <c r="R16" s="41" t="s">
        <v>937</v>
      </c>
      <c r="S16" s="73"/>
      <c r="T16" s="105" t="s">
        <v>1065</v>
      </c>
      <c r="U16" s="41" t="s">
        <v>922</v>
      </c>
      <c r="V16" s="41" t="s">
        <v>923</v>
      </c>
      <c r="W16" s="41" t="s">
        <v>924</v>
      </c>
      <c r="X16" s="41" t="s">
        <v>925</v>
      </c>
      <c r="Y16" s="41" t="s">
        <v>926</v>
      </c>
      <c r="Z16" s="41" t="s">
        <v>927</v>
      </c>
      <c r="AA16" s="41" t="s">
        <v>928</v>
      </c>
      <c r="AB16" s="41" t="s">
        <v>929</v>
      </c>
      <c r="AC16" s="41" t="s">
        <v>930</v>
      </c>
      <c r="AD16" s="41" t="s">
        <v>931</v>
      </c>
      <c r="AE16" s="41" t="s">
        <v>932</v>
      </c>
      <c r="AF16" s="41" t="s">
        <v>933</v>
      </c>
      <c r="AG16" s="41" t="s">
        <v>934</v>
      </c>
      <c r="AH16" s="41" t="s">
        <v>935</v>
      </c>
      <c r="AI16" s="41" t="s">
        <v>936</v>
      </c>
      <c r="AJ16" s="41" t="s">
        <v>937</v>
      </c>
    </row>
    <row r="17" spans="2:36" x14ac:dyDescent="0.15">
      <c r="B17" s="106" t="s">
        <v>911</v>
      </c>
      <c r="C17" s="181" t="str">
        <f>IFERROR(SUM(SUMIFS('caseload data'!E:E,'caseload data'!$C:$C,'community %'!$B$15,'caseload data'!$D:$D,"PO",'caseload data'!$B:$B,{"licence","community"}))/SUM(SUMIFS('caseload data'!E:E,'caseload data'!$B:$B,{"licence","community"},'caseload data'!$C:$C,'community %'!$B$15)),"")</f>
        <v/>
      </c>
      <c r="D17" s="181" t="str">
        <f>IFERROR(SUM(SUMIFS('caseload data'!F:F,'caseload data'!$C:$C,'community %'!$B$15,'caseload data'!$D:$D,"PO",'caseload data'!$B:$B,{"licence","community"}))/SUM(SUMIFS('caseload data'!F:F,'caseload data'!$B:$B,{"licence","community"},'caseload data'!$C:$C,'community %'!$B$15)),"")</f>
        <v/>
      </c>
      <c r="E17" s="181" t="str">
        <f>IFERROR(SUM(SUMIFS('caseload data'!G:G,'caseload data'!$C:$C,'community %'!$B$15,'caseload data'!$D:$D,"PO",'caseload data'!$B:$B,{"licence","community"}))/SUM(SUMIFS('caseload data'!G:G,'caseload data'!$B:$B,{"licence","community"},'caseload data'!$C:$C,'community %'!$B$15)),"")</f>
        <v/>
      </c>
      <c r="F17" s="181" t="str">
        <f>IFERROR(SUM(SUMIFS('caseload data'!H:H,'caseload data'!$C:$C,'community %'!$B$15,'caseload data'!$D:$D,"PO",'caseload data'!$B:$B,{"licence","community"}))/SUM(SUMIFS('caseload data'!H:H,'caseload data'!$B:$B,{"licence","community"},'caseload data'!$C:$C,'community %'!$B$15)),"")</f>
        <v/>
      </c>
      <c r="G17" s="181" t="str">
        <f>IFERROR(SUM(SUMIFS('caseload data'!I:I,'caseload data'!$C:$C,'community %'!$B$15,'caseload data'!$D:$D,"PO",'caseload data'!$B:$B,{"licence","community"}))/SUM(SUMIFS('caseload data'!I:I,'caseload data'!$B:$B,{"licence","community"},'caseload data'!$C:$C,'community %'!$B$15)),"")</f>
        <v/>
      </c>
      <c r="H17" s="181" t="str">
        <f>IFERROR(SUM(SUMIFS('caseload data'!J:J,'caseload data'!$C:$C,'community %'!$B$15,'caseload data'!$D:$D,"PO",'caseload data'!$B:$B,{"licence","community"}))/SUM(SUMIFS('caseload data'!J:J,'caseload data'!$B:$B,{"licence","community"},'caseload data'!$C:$C,'community %'!$B$15)),"")</f>
        <v/>
      </c>
      <c r="I17" s="181" t="str">
        <f>IFERROR(SUM(SUMIFS('caseload data'!K:K,'caseload data'!$C:$C,'community %'!$B$15,'caseload data'!$D:$D,"PO",'caseload data'!$B:$B,{"licence","community"}))/SUM(SUMIFS('caseload data'!K:K,'caseload data'!$B:$B,{"licence","community"},'caseload data'!$C:$C,'community %'!$B$15)),"")</f>
        <v/>
      </c>
      <c r="J17" s="181" t="str">
        <f>IFERROR(SUM(SUMIFS('caseload data'!L:L,'caseload data'!$C:$C,'community %'!$B$15,'caseload data'!$D:$D,"PO",'caseload data'!$B:$B,{"licence","community"}))/SUM(SUMIFS('caseload data'!L:L,'caseload data'!$B:$B,{"licence","community"},'caseload data'!$C:$C,'community %'!$B$15)),"")</f>
        <v/>
      </c>
      <c r="K17" s="181" t="str">
        <f>IFERROR(SUM(SUMIFS('caseload data'!M:M,'caseload data'!$C:$C,'community %'!$B$15,'caseload data'!$D:$D,"PO",'caseload data'!$B:$B,{"licence","community"}))/SUM(SUMIFS('caseload data'!M:M,'caseload data'!$B:$B,{"licence","community"},'caseload data'!$C:$C,'community %'!$B$15)),"")</f>
        <v/>
      </c>
      <c r="L17" s="181" t="str">
        <f>IFERROR(SUM(SUMIFS('caseload data'!N:N,'caseload data'!$C:$C,'community %'!$B$15,'caseload data'!$D:$D,"PO",'caseload data'!$B:$B,{"licence","community"}))/SUM(SUMIFS('caseload data'!N:N,'caseload data'!$B:$B,{"licence","community"},'caseload data'!$C:$C,'community %'!$B$15)),"")</f>
        <v/>
      </c>
      <c r="M17" s="181" t="str">
        <f>IFERROR(SUM(SUMIFS('caseload data'!O:O,'caseload data'!$C:$C,'community %'!$B$15,'caseload data'!$D:$D,"PO",'caseload data'!$B:$B,{"licence","community"}))/SUM(SUMIFS('caseload data'!O:O,'caseload data'!$B:$B,{"licence","community"},'caseload data'!$C:$C,'community %'!$B$15)),"")</f>
        <v/>
      </c>
      <c r="N17" s="181" t="str">
        <f>IFERROR(SUM(SUMIFS('caseload data'!P:P,'caseload data'!$C:$C,'community %'!$B$15,'caseload data'!$D:$D,"PO",'caseload data'!$B:$B,{"licence","community"}))/SUM(SUMIFS('caseload data'!P:P,'caseload data'!$B:$B,{"licence","community"},'caseload data'!$C:$C,'community %'!$B$15)),"")</f>
        <v/>
      </c>
      <c r="O17" s="181" t="str">
        <f>IFERROR(SUM(SUMIFS('caseload data'!Q:Q,'caseload data'!$C:$C,'community %'!$B$15,'caseload data'!$D:$D,"PO",'caseload data'!$B:$B,{"licence","community"}))/SUM(SUMIFS('caseload data'!Q:Q,'caseload data'!$B:$B,{"licence","community"},'caseload data'!$C:$C,'community %'!$B$15)),"")</f>
        <v/>
      </c>
      <c r="P17" s="181" t="str">
        <f>IFERROR(SUM(SUMIFS('caseload data'!R:R,'caseload data'!$C:$C,'community %'!$B$15,'caseload data'!$D:$D,"PO",'caseload data'!$B:$B,{"licence","community"}))/SUM(SUMIFS('caseload data'!R:R,'caseload data'!$B:$B,{"licence","community"},'caseload data'!$C:$C,'community %'!$B$15)),"")</f>
        <v/>
      </c>
      <c r="Q17" s="181" t="str">
        <f>IFERROR(SUM(SUMIFS('caseload data'!S:S,'caseload data'!$C:$C,'community %'!$B$15,'caseload data'!$D:$D,"PO",'caseload data'!$B:$B,{"licence","community"}))/SUM(SUMIFS('caseload data'!S:S,'caseload data'!$B:$B,{"licence","community"},'caseload data'!$C:$C,'community %'!$B$15)),"")</f>
        <v/>
      </c>
      <c r="R17" s="181" t="str">
        <f>IFERROR(SUM(SUMIFS('caseload data'!T:T,'caseload data'!$C:$C,'community %'!$B$15,'caseload data'!$D:$D,"PO",'caseload data'!$B:$B,{"licence","community"}))/SUM(SUMIFS('caseload data'!T:T,'caseload data'!$B:$B,{"licence","community"},'caseload data'!$C:$C,'community %'!$B$15)),"")</f>
        <v/>
      </c>
      <c r="S17" s="73"/>
      <c r="T17" s="106" t="s">
        <v>911</v>
      </c>
      <c r="U17" s="181" t="str">
        <f>IFERROR(SUM(SUMIFS('caseload data'!E:E,'caseload data'!$C:$C,'community %'!$T$15,'caseload data'!$D:$D,"PO",'caseload data'!$B:$B,{"licence","community"}))/SUM(SUMIFS('caseload data'!E:E,'caseload data'!$B:$B,{"licence","community"},'caseload data'!$C:$C,'community %'!$T$15)),"")</f>
        <v/>
      </c>
      <c r="V17" s="181" t="str">
        <f>IFERROR(SUM(SUMIFS('caseload data'!F:F,'caseload data'!$C:$C,'community %'!$T$15,'caseload data'!$D:$D,"PO",'caseload data'!$B:$B,{"licence","community"}))/SUM(SUMIFS('caseload data'!F:F,'caseload data'!$B:$B,{"licence","community"},'caseload data'!$C:$C,'community %'!$T$15)),"")</f>
        <v/>
      </c>
      <c r="W17" s="181" t="str">
        <f>IFERROR(SUM(SUMIFS('caseload data'!G:G,'caseload data'!$C:$C,'community %'!$T$15,'caseload data'!$D:$D,"PO",'caseload data'!$B:$B,{"licence","community"}))/SUM(SUMIFS('caseload data'!G:G,'caseload data'!$B:$B,{"licence","community"},'caseload data'!$C:$C,'community %'!$T$15)),"")</f>
        <v/>
      </c>
      <c r="X17" s="181" t="str">
        <f>IFERROR(SUM(SUMIFS('caseload data'!H:H,'caseload data'!$C:$C,'community %'!$T$15,'caseload data'!$D:$D,"PO",'caseload data'!$B:$B,{"licence","community"}))/SUM(SUMIFS('caseload data'!H:H,'caseload data'!$B:$B,{"licence","community"},'caseload data'!$C:$C,'community %'!$T$15)),"")</f>
        <v/>
      </c>
      <c r="Y17" s="181" t="str">
        <f>IFERROR(SUM(SUMIFS('caseload data'!I:I,'caseload data'!$C:$C,'community %'!$T$15,'caseload data'!$D:$D,"PO",'caseload data'!$B:$B,{"licence","community"}))/SUM(SUMIFS('caseload data'!I:I,'caseload data'!$B:$B,{"licence","community"},'caseload data'!$C:$C,'community %'!$T$15)),"")</f>
        <v/>
      </c>
      <c r="Z17" s="181" t="str">
        <f>IFERROR(SUM(SUMIFS('caseload data'!J:J,'caseload data'!$C:$C,'community %'!$T$15,'caseload data'!$D:$D,"PO",'caseload data'!$B:$B,{"licence","community"}))/SUM(SUMIFS('caseload data'!J:J,'caseload data'!$B:$B,{"licence","community"},'caseload data'!$C:$C,'community %'!$T$15)),"")</f>
        <v/>
      </c>
      <c r="AA17" s="181" t="str">
        <f>IFERROR(SUM(SUMIFS('caseload data'!K:K,'caseload data'!$C:$C,'community %'!$T$15,'caseload data'!$D:$D,"PO",'caseload data'!$B:$B,{"licence","community"}))/SUM(SUMIFS('caseload data'!K:K,'caseload data'!$B:$B,{"licence","community"},'caseload data'!$C:$C,'community %'!$T$15)),"")</f>
        <v/>
      </c>
      <c r="AB17" s="181" t="str">
        <f>IFERROR(SUM(SUMIFS('caseload data'!L:L,'caseload data'!$C:$C,'community %'!$T$15,'caseload data'!$D:$D,"PO",'caseload data'!$B:$B,{"licence","community"}))/SUM(SUMIFS('caseload data'!L:L,'caseload data'!$B:$B,{"licence","community"},'caseload data'!$C:$C,'community %'!$T$15)),"")</f>
        <v/>
      </c>
      <c r="AC17" s="181" t="str">
        <f>IFERROR(SUM(SUMIFS('caseload data'!M:M,'caseload data'!$C:$C,'community %'!$T$15,'caseload data'!$D:$D,"PO",'caseload data'!$B:$B,{"licence","community"}))/SUM(SUMIFS('caseload data'!M:M,'caseload data'!$B:$B,{"licence","community"},'caseload data'!$C:$C,'community %'!$T$15)),"")</f>
        <v/>
      </c>
      <c r="AD17" s="181" t="str">
        <f>IFERROR(SUM(SUMIFS('caseload data'!N:N,'caseload data'!$C:$C,'community %'!$T$15,'caseload data'!$D:$D,"PO",'caseload data'!$B:$B,{"licence","community"}))/SUM(SUMIFS('caseload data'!N:N,'caseload data'!$B:$B,{"licence","community"},'caseload data'!$C:$C,'community %'!$T$15)),"")</f>
        <v/>
      </c>
      <c r="AE17" s="181" t="str">
        <f>IFERROR(SUM(SUMIFS('caseload data'!O:O,'caseload data'!$C:$C,'community %'!$T$15,'caseload data'!$D:$D,"PO",'caseload data'!$B:$B,{"licence","community"}))/SUM(SUMIFS('caseload data'!O:O,'caseload data'!$B:$B,{"licence","community"},'caseload data'!$C:$C,'community %'!$T$15)),"")</f>
        <v/>
      </c>
      <c r="AF17" s="181" t="str">
        <f>IFERROR(SUM(SUMIFS('caseload data'!P:P,'caseload data'!$C:$C,'community %'!$T$15,'caseload data'!$D:$D,"PO",'caseload data'!$B:$B,{"licence","community"}))/SUM(SUMIFS('caseload data'!P:P,'caseload data'!$B:$B,{"licence","community"},'caseload data'!$C:$C,'community %'!$T$15)),"")</f>
        <v/>
      </c>
      <c r="AG17" s="181" t="str">
        <f>IFERROR(SUM(SUMIFS('caseload data'!Q:Q,'caseload data'!$C:$C,'community %'!$T$15,'caseload data'!$D:$D,"PO",'caseload data'!$B:$B,{"licence","community"}))/SUM(SUMIFS('caseload data'!Q:Q,'caseload data'!$B:$B,{"licence","community"},'caseload data'!$C:$C,'community %'!$T$15)),"")</f>
        <v/>
      </c>
      <c r="AH17" s="181" t="str">
        <f>IFERROR(SUM(SUMIFS('caseload data'!R:R,'caseload data'!$C:$C,'community %'!$T$15,'caseload data'!$D:$D,"PO",'caseload data'!$B:$B,{"licence","community"}))/SUM(SUMIFS('caseload data'!R:R,'caseload data'!$B:$B,{"licence","community"},'caseload data'!$C:$C,'community %'!$T$15)),"")</f>
        <v/>
      </c>
      <c r="AI17" s="181" t="str">
        <f>IFERROR(SUM(SUMIFS('caseload data'!S:S,'caseload data'!$C:$C,'community %'!$T$15,'caseload data'!$D:$D,"PO",'caseload data'!$B:$B,{"licence","community"}))/SUM(SUMIFS('caseload data'!S:S,'caseload data'!$B:$B,{"licence","community"},'caseload data'!$C:$C,'community %'!$T$15)),"")</f>
        <v/>
      </c>
      <c r="AJ17" s="181" t="str">
        <f>IFERROR(SUM(SUMIFS('caseload data'!T:T,'caseload data'!$C:$C,'community %'!$T$15,'caseload data'!$D:$D,"PO",'caseload data'!$B:$B,{"licence","community"}))/SUM(SUMIFS('caseload data'!T:T,'caseload data'!$B:$B,{"licence","community"},'caseload data'!$C:$C,'community %'!$T$15)),"")</f>
        <v/>
      </c>
    </row>
    <row r="18" spans="2:36" x14ac:dyDescent="0.15">
      <c r="B18" s="107" t="s">
        <v>912</v>
      </c>
      <c r="C18" s="181" t="str">
        <f>IFERROR(SUM(SUMIFS('caseload data'!E:E,'caseload data'!$C:$C,'community %'!$B$15,'caseload data'!$D:$D,"PSO",'caseload data'!$B:$B,{"licence","community"}))/SUM(SUMIFS('caseload data'!E:E,'caseload data'!$B:$B,{"licence","community"},'caseload data'!$C:$C,'community %'!$B$15)),"")</f>
        <v/>
      </c>
      <c r="D18" s="181" t="str">
        <f>IFERROR(SUM(SUMIFS('caseload data'!F:F,'caseload data'!$C:$C,'community %'!$B$15,'caseload data'!$D:$D,"PSO",'caseload data'!$B:$B,{"licence","community"}))/SUM(SUMIFS('caseload data'!F:F,'caseload data'!$B:$B,{"licence","community"},'caseload data'!$C:$C,'community %'!$B$15)),"")</f>
        <v/>
      </c>
      <c r="E18" s="181" t="str">
        <f>IFERROR(SUM(SUMIFS('caseload data'!G:G,'caseload data'!$C:$C,'community %'!$B$15,'caseload data'!$D:$D,"PSO",'caseload data'!$B:$B,{"licence","community"}))/SUM(SUMIFS('caseload data'!G:G,'caseload data'!$B:$B,{"licence","community"},'caseload data'!$C:$C,'community %'!$B$15)),"")</f>
        <v/>
      </c>
      <c r="F18" s="181" t="str">
        <f>IFERROR(SUM(SUMIFS('caseload data'!H:H,'caseload data'!$C:$C,'community %'!$B$15,'caseload data'!$D:$D,"PSO",'caseload data'!$B:$B,{"licence","community"}))/SUM(SUMIFS('caseload data'!H:H,'caseload data'!$B:$B,{"licence","community"},'caseload data'!$C:$C,'community %'!$B$15)),"")</f>
        <v/>
      </c>
      <c r="G18" s="181" t="str">
        <f>IFERROR(SUM(SUMIFS('caseload data'!I:I,'caseload data'!$C:$C,'community %'!$B$15,'caseload data'!$D:$D,"PSO",'caseload data'!$B:$B,{"licence","community"}))/SUM(SUMIFS('caseload data'!I:I,'caseload data'!$B:$B,{"licence","community"},'caseload data'!$C:$C,'community %'!$B$15)),"")</f>
        <v/>
      </c>
      <c r="H18" s="181" t="str">
        <f>IFERROR(SUM(SUMIFS('caseload data'!J:J,'caseload data'!$C:$C,'community %'!$B$15,'caseload data'!$D:$D,"PSO",'caseload data'!$B:$B,{"licence","community"}))/SUM(SUMIFS('caseload data'!J:J,'caseload data'!$B:$B,{"licence","community"},'caseload data'!$C:$C,'community %'!$B$15)),"")</f>
        <v/>
      </c>
      <c r="I18" s="181" t="str">
        <f>IFERROR(SUM(SUMIFS('caseload data'!K:K,'caseload data'!$C:$C,'community %'!$B$15,'caseload data'!$D:$D,"PSO",'caseload data'!$B:$B,{"licence","community"}))/SUM(SUMIFS('caseload data'!K:K,'caseload data'!$B:$B,{"licence","community"},'caseload data'!$C:$C,'community %'!$B$15)),"")</f>
        <v/>
      </c>
      <c r="J18" s="181" t="str">
        <f>IFERROR(SUM(SUMIFS('caseload data'!L:L,'caseload data'!$C:$C,'community %'!$B$15,'caseload data'!$D:$D,"PSO",'caseload data'!$B:$B,{"licence","community"}))/SUM(SUMIFS('caseload data'!L:L,'caseload data'!$B:$B,{"licence","community"},'caseload data'!$C:$C,'community %'!$B$15)),"")</f>
        <v/>
      </c>
      <c r="K18" s="181" t="str">
        <f>IFERROR(SUM(SUMIFS('caseload data'!M:M,'caseload data'!$C:$C,'community %'!$B$15,'caseload data'!$D:$D,"PSO",'caseload data'!$B:$B,{"licence","community"}))/SUM(SUMIFS('caseload data'!M:M,'caseload data'!$B:$B,{"licence","community"},'caseload data'!$C:$C,'community %'!$B$15)),"")</f>
        <v/>
      </c>
      <c r="L18" s="181" t="str">
        <f>IFERROR(SUM(SUMIFS('caseload data'!N:N,'caseload data'!$C:$C,'community %'!$B$15,'caseload data'!$D:$D,"PSO",'caseload data'!$B:$B,{"licence","community"}))/SUM(SUMIFS('caseload data'!N:N,'caseload data'!$B:$B,{"licence","community"},'caseload data'!$C:$C,'community %'!$B$15)),"")</f>
        <v/>
      </c>
      <c r="M18" s="181" t="str">
        <f>IFERROR(SUM(SUMIFS('caseload data'!O:O,'caseload data'!$C:$C,'community %'!$B$15,'caseload data'!$D:$D,"PSO",'caseload data'!$B:$B,{"licence","community"}))/SUM(SUMIFS('caseload data'!O:O,'caseload data'!$B:$B,{"licence","community"},'caseload data'!$C:$C,'community %'!$B$15)),"")</f>
        <v/>
      </c>
      <c r="N18" s="181" t="str">
        <f>IFERROR(SUM(SUMIFS('caseload data'!P:P,'caseload data'!$C:$C,'community %'!$B$15,'caseload data'!$D:$D,"PSO",'caseload data'!$B:$B,{"licence","community"}))/SUM(SUMIFS('caseload data'!P:P,'caseload data'!$B:$B,{"licence","community"},'caseload data'!$C:$C,'community %'!$B$15)),"")</f>
        <v/>
      </c>
      <c r="O18" s="181" t="str">
        <f>IFERROR(SUM(SUMIFS('caseload data'!Q:Q,'caseload data'!$C:$C,'community %'!$B$15,'caseload data'!$D:$D,"PSO",'caseload data'!$B:$B,{"licence","community"}))/SUM(SUMIFS('caseload data'!Q:Q,'caseload data'!$B:$B,{"licence","community"},'caseload data'!$C:$C,'community %'!$B$15)),"")</f>
        <v/>
      </c>
      <c r="P18" s="181" t="str">
        <f>IFERROR(SUM(SUMIFS('caseload data'!R:R,'caseload data'!$C:$C,'community %'!$B$15,'caseload data'!$D:$D,"PSO",'caseload data'!$B:$B,{"licence","community"}))/SUM(SUMIFS('caseload data'!R:R,'caseload data'!$B:$B,{"licence","community"},'caseload data'!$C:$C,'community %'!$B$15)),"")</f>
        <v/>
      </c>
      <c r="Q18" s="181" t="str">
        <f>IFERROR(SUM(SUMIFS('caseload data'!S:S,'caseload data'!$C:$C,'community %'!$B$15,'caseload data'!$D:$D,"PSO",'caseload data'!$B:$B,{"licence","community"}))/SUM(SUMIFS('caseload data'!S:S,'caseload data'!$B:$B,{"licence","community"},'caseload data'!$C:$C,'community %'!$B$15)),"")</f>
        <v/>
      </c>
      <c r="R18" s="181" t="str">
        <f>IFERROR(SUM(SUMIFS('caseload data'!T:T,'caseload data'!$C:$C,'community %'!$B$15,'caseload data'!$D:$D,"PSO",'caseload data'!$B:$B,{"licence","community"}))/SUM(SUMIFS('caseload data'!T:T,'caseload data'!$B:$B,{"licence","community"},'caseload data'!$C:$C,'community %'!$B$15)),"")</f>
        <v/>
      </c>
      <c r="S18" s="73"/>
      <c r="T18" s="107" t="s">
        <v>912</v>
      </c>
      <c r="U18" s="181" t="str">
        <f>IFERROR(SUM(SUMIFS('caseload data'!E:E,'caseload data'!$C:$C,'community %'!$T$15,'caseload data'!$D:$D,"PSO",'caseload data'!$B:$B,{"licence","community"}))/SUM(SUMIFS('caseload data'!E:E,'caseload data'!$B:$B,{"licence","community"},'caseload data'!$C:$C,'community %'!$T$15)),"")</f>
        <v/>
      </c>
      <c r="V18" s="181" t="str">
        <f>IFERROR(SUM(SUMIFS('caseload data'!F:F,'caseload data'!$C:$C,'community %'!$T$15,'caseload data'!$D:$D,"PSO",'caseload data'!$B:$B,{"licence","community"}))/SUM(SUMIFS('caseload data'!F:F,'caseload data'!$B:$B,{"licence","community"},'caseload data'!$C:$C,'community %'!$T$15)),"")</f>
        <v/>
      </c>
      <c r="W18" s="181" t="str">
        <f>IFERROR(SUM(SUMIFS('caseload data'!G:G,'caseload data'!$C:$C,'community %'!$T$15,'caseload data'!$D:$D,"PSO",'caseload data'!$B:$B,{"licence","community"}))/SUM(SUMIFS('caseload data'!G:G,'caseload data'!$B:$B,{"licence","community"},'caseload data'!$C:$C,'community %'!$T$15)),"")</f>
        <v/>
      </c>
      <c r="X18" s="181" t="str">
        <f>IFERROR(SUM(SUMIFS('caseload data'!H:H,'caseload data'!$C:$C,'community %'!$T$15,'caseload data'!$D:$D,"PSO",'caseload data'!$B:$B,{"licence","community"}))/SUM(SUMIFS('caseload data'!H:H,'caseload data'!$B:$B,{"licence","community"},'caseload data'!$C:$C,'community %'!$T$15)),"")</f>
        <v/>
      </c>
      <c r="Y18" s="181" t="str">
        <f>IFERROR(SUM(SUMIFS('caseload data'!I:I,'caseload data'!$C:$C,'community %'!$T$15,'caseload data'!$D:$D,"PSO",'caseload data'!$B:$B,{"licence","community"}))/SUM(SUMIFS('caseload data'!I:I,'caseload data'!$B:$B,{"licence","community"},'caseload data'!$C:$C,'community %'!$T$15)),"")</f>
        <v/>
      </c>
      <c r="Z18" s="181" t="str">
        <f>IFERROR(SUM(SUMIFS('caseload data'!J:J,'caseload data'!$C:$C,'community %'!$T$15,'caseload data'!$D:$D,"PSO",'caseload data'!$B:$B,{"licence","community"}))/SUM(SUMIFS('caseload data'!J:J,'caseload data'!$B:$B,{"licence","community"},'caseload data'!$C:$C,'community %'!$T$15)),"")</f>
        <v/>
      </c>
      <c r="AA18" s="181" t="str">
        <f>IFERROR(SUM(SUMIFS('caseload data'!K:K,'caseload data'!$C:$C,'community %'!$T$15,'caseload data'!$D:$D,"PSO",'caseload data'!$B:$B,{"licence","community"}))/SUM(SUMIFS('caseload data'!K:K,'caseload data'!$B:$B,{"licence","community"},'caseload data'!$C:$C,'community %'!$T$15)),"")</f>
        <v/>
      </c>
      <c r="AB18" s="181" t="str">
        <f>IFERROR(SUM(SUMIFS('caseload data'!L:L,'caseload data'!$C:$C,'community %'!$T$15,'caseload data'!$D:$D,"PSO",'caseload data'!$B:$B,{"licence","community"}))/SUM(SUMIFS('caseload data'!L:L,'caseload data'!$B:$B,{"licence","community"},'caseload data'!$C:$C,'community %'!$T$15)),"")</f>
        <v/>
      </c>
      <c r="AC18" s="181" t="str">
        <f>IFERROR(SUM(SUMIFS('caseload data'!M:M,'caseload data'!$C:$C,'community %'!$T$15,'caseload data'!$D:$D,"PSO",'caseload data'!$B:$B,{"licence","community"}))/SUM(SUMIFS('caseload data'!M:M,'caseload data'!$B:$B,{"licence","community"},'caseload data'!$C:$C,'community %'!$T$15)),"")</f>
        <v/>
      </c>
      <c r="AD18" s="181" t="str">
        <f>IFERROR(SUM(SUMIFS('caseload data'!N:N,'caseload data'!$C:$C,'community %'!$T$15,'caseload data'!$D:$D,"PSO",'caseload data'!$B:$B,{"licence","community"}))/SUM(SUMIFS('caseload data'!N:N,'caseload data'!$B:$B,{"licence","community"},'caseload data'!$C:$C,'community %'!$T$15)),"")</f>
        <v/>
      </c>
      <c r="AE18" s="181" t="str">
        <f>IFERROR(SUM(SUMIFS('caseload data'!O:O,'caseload data'!$C:$C,'community %'!$T$15,'caseload data'!$D:$D,"PSO",'caseload data'!$B:$B,{"licence","community"}))/SUM(SUMIFS('caseload data'!O:O,'caseload data'!$B:$B,{"licence","community"},'caseload data'!$C:$C,'community %'!$T$15)),"")</f>
        <v/>
      </c>
      <c r="AF18" s="181" t="str">
        <f>IFERROR(SUM(SUMIFS('caseload data'!P:P,'caseload data'!$C:$C,'community %'!$T$15,'caseload data'!$D:$D,"PSO",'caseload data'!$B:$B,{"licence","community"}))/SUM(SUMIFS('caseload data'!P:P,'caseload data'!$B:$B,{"licence","community"},'caseload data'!$C:$C,'community %'!$T$15)),"")</f>
        <v/>
      </c>
      <c r="AG18" s="181" t="str">
        <f>IFERROR(SUM(SUMIFS('caseload data'!Q:Q,'caseload data'!$C:$C,'community %'!$T$15,'caseload data'!$D:$D,"PSO",'caseload data'!$B:$B,{"licence","community"}))/SUM(SUMIFS('caseload data'!Q:Q,'caseload data'!$B:$B,{"licence","community"},'caseload data'!$C:$C,'community %'!$T$15)),"")</f>
        <v/>
      </c>
      <c r="AH18" s="181" t="str">
        <f>IFERROR(SUM(SUMIFS('caseload data'!R:R,'caseload data'!$C:$C,'community %'!$T$15,'caseload data'!$D:$D,"PSO",'caseload data'!$B:$B,{"licence","community"}))/SUM(SUMIFS('caseload data'!R:R,'caseload data'!$B:$B,{"licence","community"},'caseload data'!$C:$C,'community %'!$T$15)),"")</f>
        <v/>
      </c>
      <c r="AI18" s="181" t="str">
        <f>IFERROR(SUM(SUMIFS('caseload data'!S:S,'caseload data'!$C:$C,'community %'!$T$15,'caseload data'!$D:$D,"PSO",'caseload data'!$B:$B,{"licence","community"}))/SUM(SUMIFS('caseload data'!S:S,'caseload data'!$B:$B,{"licence","community"},'caseload data'!$C:$C,'community %'!$T$15)),"")</f>
        <v/>
      </c>
      <c r="AJ18" s="181" t="str">
        <f>IFERROR(SUM(SUMIFS('caseload data'!T:T,'caseload data'!$C:$C,'community %'!$T$15,'caseload data'!$D:$D,"PSO",'caseload data'!$B:$B,{"licence","community"}))/SUM(SUMIFS('caseload data'!T:T,'caseload data'!$B:$B,{"licence","community"},'caseload data'!$C:$C,'community %'!$T$15)),"")</f>
        <v/>
      </c>
    </row>
    <row r="19" spans="2:36" x14ac:dyDescent="0.15">
      <c r="B19" s="107" t="s">
        <v>913</v>
      </c>
      <c r="C19" s="181" t="str">
        <f>IFERROR(SUM(SUMIFS('caseload data'!E:E,'caseload data'!$C:$C,'community %'!$B$15,'caseload data'!$D:$D,"TPO",'caseload data'!$B:$B,{"licence","community"}))/SUM(SUMIFS('caseload data'!E:E,'caseload data'!$B:$B,{"licence","community"},'caseload data'!$C:$C,'community %'!$B$15)),"")</f>
        <v/>
      </c>
      <c r="D19" s="181" t="str">
        <f>IFERROR(SUM(SUMIFS('caseload data'!F:F,'caseload data'!$C:$C,'community %'!$B$15,'caseload data'!$D:$D,"TPO",'caseload data'!$B:$B,{"licence","community"}))/SUM(SUMIFS('caseload data'!F:F,'caseload data'!$B:$B,{"licence","community"},'caseload data'!$C:$C,'community %'!$B$15)),"")</f>
        <v/>
      </c>
      <c r="E19" s="181" t="str">
        <f>IFERROR(SUM(SUMIFS('caseload data'!G:G,'caseload data'!$C:$C,'community %'!$B$15,'caseload data'!$D:$D,"TPO",'caseload data'!$B:$B,{"licence","community"}))/SUM(SUMIFS('caseload data'!G:G,'caseload data'!$B:$B,{"licence","community"},'caseload data'!$C:$C,'community %'!$B$15)),"")</f>
        <v/>
      </c>
      <c r="F19" s="181" t="str">
        <f>IFERROR(SUM(SUMIFS('caseload data'!H:H,'caseload data'!$C:$C,'community %'!$B$15,'caseload data'!$D:$D,"TPO",'caseload data'!$B:$B,{"licence","community"}))/SUM(SUMIFS('caseload data'!H:H,'caseload data'!$B:$B,{"licence","community"},'caseload data'!$C:$C,'community %'!$B$15)),"")</f>
        <v/>
      </c>
      <c r="G19" s="181" t="str">
        <f>IFERROR(SUM(SUMIFS('caseload data'!I:I,'caseload data'!$C:$C,'community %'!$B$15,'caseload data'!$D:$D,"TPO",'caseload data'!$B:$B,{"licence","community"}))/SUM(SUMIFS('caseload data'!I:I,'caseload data'!$B:$B,{"licence","community"},'caseload data'!$C:$C,'community %'!$B$15)),"")</f>
        <v/>
      </c>
      <c r="H19" s="181" t="str">
        <f>IFERROR(SUM(SUMIFS('caseload data'!J:J,'caseload data'!$C:$C,'community %'!$B$15,'caseload data'!$D:$D,"TPO",'caseload data'!$B:$B,{"licence","community"}))/SUM(SUMIFS('caseload data'!J:J,'caseload data'!$B:$B,{"licence","community"},'caseload data'!$C:$C,'community %'!$B$15)),"")</f>
        <v/>
      </c>
      <c r="I19" s="181" t="str">
        <f>IFERROR(SUM(SUMIFS('caseload data'!K:K,'caseload data'!$C:$C,'community %'!$B$15,'caseload data'!$D:$D,"TPO",'caseload data'!$B:$B,{"licence","community"}))/SUM(SUMIFS('caseload data'!K:K,'caseload data'!$B:$B,{"licence","community"},'caseload data'!$C:$C,'community %'!$B$15)),"")</f>
        <v/>
      </c>
      <c r="J19" s="181" t="str">
        <f>IFERROR(SUM(SUMIFS('caseload data'!L:L,'caseload data'!$C:$C,'community %'!$B$15,'caseload data'!$D:$D,"TPO",'caseload data'!$B:$B,{"licence","community"}))/SUM(SUMIFS('caseload data'!L:L,'caseload data'!$B:$B,{"licence","community"},'caseload data'!$C:$C,'community %'!$B$15)),"")</f>
        <v/>
      </c>
      <c r="K19" s="181" t="str">
        <f>IFERROR(SUM(SUMIFS('caseload data'!M:M,'caseload data'!$C:$C,'community %'!$B$15,'caseload data'!$D:$D,"TPO",'caseload data'!$B:$B,{"licence","community"}))/SUM(SUMIFS('caseload data'!M:M,'caseload data'!$B:$B,{"licence","community"},'caseload data'!$C:$C,'community %'!$B$15)),"")</f>
        <v/>
      </c>
      <c r="L19" s="181" t="str">
        <f>IFERROR(SUM(SUMIFS('caseload data'!N:N,'caseload data'!$C:$C,'community %'!$B$15,'caseload data'!$D:$D,"TPO",'caseload data'!$B:$B,{"licence","community"}))/SUM(SUMIFS('caseload data'!N:N,'caseload data'!$B:$B,{"licence","community"},'caseload data'!$C:$C,'community %'!$B$15)),"")</f>
        <v/>
      </c>
      <c r="M19" s="181" t="str">
        <f>IFERROR(SUM(SUMIFS('caseload data'!O:O,'caseload data'!$C:$C,'community %'!$B$15,'caseload data'!$D:$D,"TPO",'caseload data'!$B:$B,{"licence","community"}))/SUM(SUMIFS('caseload data'!O:O,'caseload data'!$B:$B,{"licence","community"},'caseload data'!$C:$C,'community %'!$B$15)),"")</f>
        <v/>
      </c>
      <c r="N19" s="181" t="str">
        <f>IFERROR(SUM(SUMIFS('caseload data'!P:P,'caseload data'!$C:$C,'community %'!$B$15,'caseload data'!$D:$D,"TPO",'caseload data'!$B:$B,{"licence","community"}))/SUM(SUMIFS('caseload data'!P:P,'caseload data'!$B:$B,{"licence","community"},'caseload data'!$C:$C,'community %'!$B$15)),"")</f>
        <v/>
      </c>
      <c r="O19" s="181" t="str">
        <f>IFERROR(SUM(SUMIFS('caseload data'!Q:Q,'caseload data'!$C:$C,'community %'!$B$15,'caseload data'!$D:$D,"TPO",'caseload data'!$B:$B,{"licence","community"}))/SUM(SUMIFS('caseload data'!Q:Q,'caseload data'!$B:$B,{"licence","community"},'caseload data'!$C:$C,'community %'!$B$15)),"")</f>
        <v/>
      </c>
      <c r="P19" s="181" t="str">
        <f>IFERROR(SUM(SUMIFS('caseload data'!R:R,'caseload data'!$C:$C,'community %'!$B$15,'caseload data'!$D:$D,"TPO",'caseload data'!$B:$B,{"licence","community"}))/SUM(SUMIFS('caseload data'!R:R,'caseload data'!$B:$B,{"licence","community"},'caseload data'!$C:$C,'community %'!$B$15)),"")</f>
        <v/>
      </c>
      <c r="Q19" s="181" t="str">
        <f>IFERROR(SUM(SUMIFS('caseload data'!S:S,'caseload data'!$C:$C,'community %'!$B$15,'caseload data'!$D:$D,"TPO",'caseload data'!$B:$B,{"licence","community"}))/SUM(SUMIFS('caseload data'!S:S,'caseload data'!$B:$B,{"licence","community"},'caseload data'!$C:$C,'community %'!$B$15)),"")</f>
        <v/>
      </c>
      <c r="R19" s="181" t="str">
        <f>IFERROR(SUM(SUMIFS('caseload data'!T:T,'caseload data'!$C:$C,'community %'!$B$15,'caseload data'!$D:$D,"TPO",'caseload data'!$B:$B,{"licence","community"}))/SUM(SUMIFS('caseload data'!T:T,'caseload data'!$B:$B,{"licence","community"},'caseload data'!$C:$C,'community %'!$B$15)),"")</f>
        <v/>
      </c>
      <c r="S19" s="73"/>
      <c r="T19" s="107" t="s">
        <v>913</v>
      </c>
      <c r="U19" s="181" t="str">
        <f>IFERROR(SUM(SUMIFS('caseload data'!E:E,'caseload data'!$C:$C,'community %'!$T$15,'caseload data'!$D:$D,"TPO",'caseload data'!$B:$B,{"licence","community"}))/SUM(SUMIFS('caseload data'!E:E,'caseload data'!$B:$B,{"licence","community"},'caseload data'!$C:$C,'community %'!$T$15)),"")</f>
        <v/>
      </c>
      <c r="V19" s="181" t="str">
        <f>IFERROR(SUM(SUMIFS('caseload data'!F:F,'caseload data'!$C:$C,'community %'!$T$15,'caseload data'!$D:$D,"TPO",'caseload data'!$B:$B,{"licence","community"}))/SUM(SUMIFS('caseload data'!F:F,'caseload data'!$B:$B,{"licence","community"},'caseload data'!$C:$C,'community %'!$T$15)),"")</f>
        <v/>
      </c>
      <c r="W19" s="181" t="str">
        <f>IFERROR(SUM(SUMIFS('caseload data'!G:G,'caseload data'!$C:$C,'community %'!$T$15,'caseload data'!$D:$D,"TPO",'caseload data'!$B:$B,{"licence","community"}))/SUM(SUMIFS('caseload data'!G:G,'caseload data'!$B:$B,{"licence","community"},'caseload data'!$C:$C,'community %'!$T$15)),"")</f>
        <v/>
      </c>
      <c r="X19" s="181" t="str">
        <f>IFERROR(SUM(SUMIFS('caseload data'!H:H,'caseload data'!$C:$C,'community %'!$T$15,'caseload data'!$D:$D,"TPO",'caseload data'!$B:$B,{"licence","community"}))/SUM(SUMIFS('caseload data'!H:H,'caseload data'!$B:$B,{"licence","community"},'caseload data'!$C:$C,'community %'!$T$15)),"")</f>
        <v/>
      </c>
      <c r="Y19" s="181" t="str">
        <f>IFERROR(SUM(SUMIFS('caseload data'!I:I,'caseload data'!$C:$C,'community %'!$T$15,'caseload data'!$D:$D,"TPO",'caseload data'!$B:$B,{"licence","community"}))/SUM(SUMIFS('caseload data'!I:I,'caseload data'!$B:$B,{"licence","community"},'caseload data'!$C:$C,'community %'!$T$15)),"")</f>
        <v/>
      </c>
      <c r="Z19" s="181" t="str">
        <f>IFERROR(SUM(SUMIFS('caseload data'!J:J,'caseload data'!$C:$C,'community %'!$T$15,'caseload data'!$D:$D,"TPO",'caseload data'!$B:$B,{"licence","community"}))/SUM(SUMIFS('caseload data'!J:J,'caseload data'!$B:$B,{"licence","community"},'caseload data'!$C:$C,'community %'!$T$15)),"")</f>
        <v/>
      </c>
      <c r="AA19" s="181" t="str">
        <f>IFERROR(SUM(SUMIFS('caseload data'!K:K,'caseload data'!$C:$C,'community %'!$T$15,'caseload data'!$D:$D,"TPO",'caseload data'!$B:$B,{"licence","community"}))/SUM(SUMIFS('caseload data'!K:K,'caseload data'!$B:$B,{"licence","community"},'caseload data'!$C:$C,'community %'!$T$15)),"")</f>
        <v/>
      </c>
      <c r="AB19" s="181" t="str">
        <f>IFERROR(SUM(SUMIFS('caseload data'!L:L,'caseload data'!$C:$C,'community %'!$T$15,'caseload data'!$D:$D,"TPO",'caseload data'!$B:$B,{"licence","community"}))/SUM(SUMIFS('caseload data'!L:L,'caseload data'!$B:$B,{"licence","community"},'caseload data'!$C:$C,'community %'!$T$15)),"")</f>
        <v/>
      </c>
      <c r="AC19" s="181" t="str">
        <f>IFERROR(SUM(SUMIFS('caseload data'!M:M,'caseload data'!$C:$C,'community %'!$T$15,'caseload data'!$D:$D,"TPO",'caseload data'!$B:$B,{"licence","community"}))/SUM(SUMIFS('caseload data'!M:M,'caseload data'!$B:$B,{"licence","community"},'caseload data'!$C:$C,'community %'!$T$15)),"")</f>
        <v/>
      </c>
      <c r="AD19" s="181" t="str">
        <f>IFERROR(SUM(SUMIFS('caseload data'!N:N,'caseload data'!$C:$C,'community %'!$T$15,'caseload data'!$D:$D,"TPO",'caseload data'!$B:$B,{"licence","community"}))/SUM(SUMIFS('caseload data'!N:N,'caseload data'!$B:$B,{"licence","community"},'caseload data'!$C:$C,'community %'!$T$15)),"")</f>
        <v/>
      </c>
      <c r="AE19" s="181" t="str">
        <f>IFERROR(SUM(SUMIFS('caseload data'!O:O,'caseload data'!$C:$C,'community %'!$T$15,'caseload data'!$D:$D,"TPO",'caseload data'!$B:$B,{"licence","community"}))/SUM(SUMIFS('caseload data'!O:O,'caseload data'!$B:$B,{"licence","community"},'caseload data'!$C:$C,'community %'!$T$15)),"")</f>
        <v/>
      </c>
      <c r="AF19" s="181" t="str">
        <f>IFERROR(SUM(SUMIFS('caseload data'!P:P,'caseload data'!$C:$C,'community %'!$T$15,'caseload data'!$D:$D,"TPO",'caseload data'!$B:$B,{"licence","community"}))/SUM(SUMIFS('caseload data'!P:P,'caseload data'!$B:$B,{"licence","community"},'caseload data'!$C:$C,'community %'!$T$15)),"")</f>
        <v/>
      </c>
      <c r="AG19" s="181" t="str">
        <f>IFERROR(SUM(SUMIFS('caseload data'!Q:Q,'caseload data'!$C:$C,'community %'!$T$15,'caseload data'!$D:$D,"TPO",'caseload data'!$B:$B,{"licence","community"}))/SUM(SUMIFS('caseload data'!Q:Q,'caseload data'!$B:$B,{"licence","community"},'caseload data'!$C:$C,'community %'!$T$15)),"")</f>
        <v/>
      </c>
      <c r="AH19" s="181" t="str">
        <f>IFERROR(SUM(SUMIFS('caseload data'!R:R,'caseload data'!$C:$C,'community %'!$T$15,'caseload data'!$D:$D,"TPO",'caseload data'!$B:$B,{"licence","community"}))/SUM(SUMIFS('caseload data'!R:R,'caseload data'!$B:$B,{"licence","community"},'caseload data'!$C:$C,'community %'!$T$15)),"")</f>
        <v/>
      </c>
      <c r="AI19" s="181" t="str">
        <f>IFERROR(SUM(SUMIFS('caseload data'!S:S,'caseload data'!$C:$C,'community %'!$T$15,'caseload data'!$D:$D,"TPO",'caseload data'!$B:$B,{"licence","community"}))/SUM(SUMIFS('caseload data'!S:S,'caseload data'!$B:$B,{"licence","community"},'caseload data'!$C:$C,'community %'!$T$15)),"")</f>
        <v/>
      </c>
      <c r="AJ19" s="181" t="str">
        <f>IFERROR(SUM(SUMIFS('caseload data'!T:T,'caseload data'!$C:$C,'community %'!$T$15,'caseload data'!$D:$D,"TPO",'caseload data'!$B:$B,{"licence","community"}))/SUM(SUMIFS('caseload data'!T:T,'caseload data'!$B:$B,{"licence","community"},'caseload data'!$C:$C,'community %'!$T$15)),"")</f>
        <v/>
      </c>
    </row>
    <row r="20" spans="2:36" x14ac:dyDescent="0.15">
      <c r="B20" s="108" t="s">
        <v>914</v>
      </c>
      <c r="C20" s="181" t="str">
        <f>IFERROR(SUM(SUMIFS('caseload data'!E:E,'caseload data'!$C:$C,'community %'!$B$15,'caseload data'!$D:$D,"SPO",'caseload data'!$B:$B,{"licence","community"}))/SUM(SUMIFS('caseload data'!E:E,'caseload data'!$B:$B,{"licence","community"},'caseload data'!$C:$C,'community %'!$B$15)),"")</f>
        <v/>
      </c>
      <c r="D20" s="181" t="str">
        <f>IFERROR(SUM(SUMIFS('caseload data'!F:F,'caseload data'!$C:$C,'community %'!$B$15,'caseload data'!$D:$D,"SPO",'caseload data'!$B:$B,{"licence","community"}))/SUM(SUMIFS('caseload data'!F:F,'caseload data'!$B:$B,{"licence","community"},'caseload data'!$C:$C,'community %'!$B$15)),"")</f>
        <v/>
      </c>
      <c r="E20" s="181" t="str">
        <f>IFERROR(SUM(SUMIFS('caseload data'!G:G,'caseload data'!$C:$C,'community %'!$B$15,'caseload data'!$D:$D,"SPO",'caseload data'!$B:$B,{"licence","community"}))/SUM(SUMIFS('caseload data'!G:G,'caseload data'!$B:$B,{"licence","community"},'caseload data'!$C:$C,'community %'!$B$15)),"")</f>
        <v/>
      </c>
      <c r="F20" s="181" t="str">
        <f>IFERROR(SUM(SUMIFS('caseload data'!H:H,'caseload data'!$C:$C,'community %'!$B$15,'caseload data'!$D:$D,"SPO",'caseload data'!$B:$B,{"licence","community"}))/SUM(SUMIFS('caseload data'!H:H,'caseload data'!$B:$B,{"licence","community"},'caseload data'!$C:$C,'community %'!$B$15)),"")</f>
        <v/>
      </c>
      <c r="G20" s="181" t="str">
        <f>IFERROR(SUM(SUMIFS('caseload data'!I:I,'caseload data'!$C:$C,'community %'!$B$15,'caseload data'!$D:$D,"SPO",'caseload data'!$B:$B,{"licence","community"}))/SUM(SUMIFS('caseload data'!I:I,'caseload data'!$B:$B,{"licence","community"},'caseload data'!$C:$C,'community %'!$B$15)),"")</f>
        <v/>
      </c>
      <c r="H20" s="181" t="str">
        <f>IFERROR(SUM(SUMIFS('caseload data'!J:J,'caseload data'!$C:$C,'community %'!$B$15,'caseload data'!$D:$D,"SPO",'caseload data'!$B:$B,{"licence","community"}))/SUM(SUMIFS('caseload data'!J:J,'caseload data'!$B:$B,{"licence","community"},'caseload data'!$C:$C,'community %'!$B$15)),"")</f>
        <v/>
      </c>
      <c r="I20" s="181" t="str">
        <f>IFERROR(SUM(SUMIFS('caseload data'!K:K,'caseload data'!$C:$C,'community %'!$B$15,'caseload data'!$D:$D,"SPO",'caseload data'!$B:$B,{"licence","community"}))/SUM(SUMIFS('caseload data'!K:K,'caseload data'!$B:$B,{"licence","community"},'caseload data'!$C:$C,'community %'!$B$15)),"")</f>
        <v/>
      </c>
      <c r="J20" s="181" t="str">
        <f>IFERROR(SUM(SUMIFS('caseload data'!L:L,'caseload data'!$C:$C,'community %'!$B$15,'caseload data'!$D:$D,"SPO",'caseload data'!$B:$B,{"licence","community"}))/SUM(SUMIFS('caseload data'!L:L,'caseload data'!$B:$B,{"licence","community"},'caseload data'!$C:$C,'community %'!$B$15)),"")</f>
        <v/>
      </c>
      <c r="K20" s="181" t="str">
        <f>IFERROR(SUM(SUMIFS('caseload data'!M:M,'caseload data'!$C:$C,'community %'!$B$15,'caseload data'!$D:$D,"SPO",'caseload data'!$B:$B,{"licence","community"}))/SUM(SUMIFS('caseload data'!M:M,'caseload data'!$B:$B,{"licence","community"},'caseload data'!$C:$C,'community %'!$B$15)),"")</f>
        <v/>
      </c>
      <c r="L20" s="181" t="str">
        <f>IFERROR(SUM(SUMIFS('caseload data'!N:N,'caseload data'!$C:$C,'community %'!$B$15,'caseload data'!$D:$D,"SPO",'caseload data'!$B:$B,{"licence","community"}))/SUM(SUMIFS('caseload data'!N:N,'caseload data'!$B:$B,{"licence","community"},'caseload data'!$C:$C,'community %'!$B$15)),"")</f>
        <v/>
      </c>
      <c r="M20" s="181" t="str">
        <f>IFERROR(SUM(SUMIFS('caseload data'!O:O,'caseload data'!$C:$C,'community %'!$B$15,'caseload data'!$D:$D,"SPO",'caseload data'!$B:$B,{"licence","community"}))/SUM(SUMIFS('caseload data'!O:O,'caseload data'!$B:$B,{"licence","community"},'caseload data'!$C:$C,'community %'!$B$15)),"")</f>
        <v/>
      </c>
      <c r="N20" s="181" t="str">
        <f>IFERROR(SUM(SUMIFS('caseload data'!P:P,'caseload data'!$C:$C,'community %'!$B$15,'caseload data'!$D:$D,"SPO",'caseload data'!$B:$B,{"licence","community"}))/SUM(SUMIFS('caseload data'!P:P,'caseload data'!$B:$B,{"licence","community"},'caseload data'!$C:$C,'community %'!$B$15)),"")</f>
        <v/>
      </c>
      <c r="O20" s="181" t="str">
        <f>IFERROR(SUM(SUMIFS('caseload data'!Q:Q,'caseload data'!$C:$C,'community %'!$B$15,'caseload data'!$D:$D,"SPO",'caseload data'!$B:$B,{"licence","community"}))/SUM(SUMIFS('caseload data'!Q:Q,'caseload data'!$B:$B,{"licence","community"},'caseload data'!$C:$C,'community %'!$B$15)),"")</f>
        <v/>
      </c>
      <c r="P20" s="181" t="str">
        <f>IFERROR(SUM(SUMIFS('caseload data'!R:R,'caseload data'!$C:$C,'community %'!$B$15,'caseload data'!$D:$D,"SPO",'caseload data'!$B:$B,{"licence","community"}))/SUM(SUMIFS('caseload data'!R:R,'caseload data'!$B:$B,{"licence","community"},'caseload data'!$C:$C,'community %'!$B$15)),"")</f>
        <v/>
      </c>
      <c r="Q20" s="181" t="str">
        <f>IFERROR(SUM(SUMIFS('caseload data'!S:S,'caseload data'!$C:$C,'community %'!$B$15,'caseload data'!$D:$D,"SPO",'caseload data'!$B:$B,{"licence","community"}))/SUM(SUMIFS('caseload data'!S:S,'caseload data'!$B:$B,{"licence","community"},'caseload data'!$C:$C,'community %'!$B$15)),"")</f>
        <v/>
      </c>
      <c r="R20" s="181" t="str">
        <f>IFERROR(SUM(SUMIFS('caseload data'!T:T,'caseload data'!$C:$C,'community %'!$B$15,'caseload data'!$D:$D,"SPO",'caseload data'!$B:$B,{"licence","community"}))/SUM(SUMIFS('caseload data'!T:T,'caseload data'!$B:$B,{"licence","community"},'caseload data'!$C:$C,'community %'!$B$15)),"")</f>
        <v/>
      </c>
      <c r="S20" s="73"/>
      <c r="T20" s="108" t="s">
        <v>914</v>
      </c>
      <c r="U20" s="181" t="str">
        <f>IFERROR(SUM(SUMIFS('caseload data'!E:E,'caseload data'!$C:$C,'community %'!$T$15,'caseload data'!$D:$D,"SPO",'caseload data'!$B:$B,{"licence","community"}))/SUM(SUMIFS('caseload data'!E:E,'caseload data'!$B:$B,{"licence","community"},'caseload data'!$C:$C,'community %'!$T$15)),"")</f>
        <v/>
      </c>
      <c r="V20" s="181" t="str">
        <f>IFERROR(SUM(SUMIFS('caseload data'!F:F,'caseload data'!$C:$C,'community %'!$T$15,'caseload data'!$D:$D,"SPO",'caseload data'!$B:$B,{"licence","community"}))/SUM(SUMIFS('caseload data'!F:F,'caseload data'!$B:$B,{"licence","community"},'caseload data'!$C:$C,'community %'!$T$15)),"")</f>
        <v/>
      </c>
      <c r="W20" s="181" t="str">
        <f>IFERROR(SUM(SUMIFS('caseload data'!G:G,'caseload data'!$C:$C,'community %'!$T$15,'caseload data'!$D:$D,"SPO",'caseload data'!$B:$B,{"licence","community"}))/SUM(SUMIFS('caseload data'!G:G,'caseload data'!$B:$B,{"licence","community"},'caseload data'!$C:$C,'community %'!$T$15)),"")</f>
        <v/>
      </c>
      <c r="X20" s="181" t="str">
        <f>IFERROR(SUM(SUMIFS('caseload data'!H:H,'caseload data'!$C:$C,'community %'!$T$15,'caseload data'!$D:$D,"SPO",'caseload data'!$B:$B,{"licence","community"}))/SUM(SUMIFS('caseload data'!H:H,'caseload data'!$B:$B,{"licence","community"},'caseload data'!$C:$C,'community %'!$T$15)),"")</f>
        <v/>
      </c>
      <c r="Y20" s="181" t="str">
        <f>IFERROR(SUM(SUMIFS('caseload data'!I:I,'caseload data'!$C:$C,'community %'!$T$15,'caseload data'!$D:$D,"SPO",'caseload data'!$B:$B,{"licence","community"}))/SUM(SUMIFS('caseload data'!I:I,'caseload data'!$B:$B,{"licence","community"},'caseload data'!$C:$C,'community %'!$T$15)),"")</f>
        <v/>
      </c>
      <c r="Z20" s="181" t="str">
        <f>IFERROR(SUM(SUMIFS('caseload data'!J:J,'caseload data'!$C:$C,'community %'!$T$15,'caseload data'!$D:$D,"SPO",'caseload data'!$B:$B,{"licence","community"}))/SUM(SUMIFS('caseload data'!J:J,'caseload data'!$B:$B,{"licence","community"},'caseload data'!$C:$C,'community %'!$T$15)),"")</f>
        <v/>
      </c>
      <c r="AA20" s="181" t="str">
        <f>IFERROR(SUM(SUMIFS('caseload data'!K:K,'caseload data'!$C:$C,'community %'!$T$15,'caseload data'!$D:$D,"SPO",'caseload data'!$B:$B,{"licence","community"}))/SUM(SUMIFS('caseload data'!K:K,'caseload data'!$B:$B,{"licence","community"},'caseload data'!$C:$C,'community %'!$T$15)),"")</f>
        <v/>
      </c>
      <c r="AB20" s="181" t="str">
        <f>IFERROR(SUM(SUMIFS('caseload data'!L:L,'caseload data'!$C:$C,'community %'!$T$15,'caseload data'!$D:$D,"SPO",'caseload data'!$B:$B,{"licence","community"}))/SUM(SUMIFS('caseload data'!L:L,'caseload data'!$B:$B,{"licence","community"},'caseload data'!$C:$C,'community %'!$T$15)),"")</f>
        <v/>
      </c>
      <c r="AC20" s="181" t="str">
        <f>IFERROR(SUM(SUMIFS('caseload data'!M:M,'caseload data'!$C:$C,'community %'!$T$15,'caseload data'!$D:$D,"SPO",'caseload data'!$B:$B,{"licence","community"}))/SUM(SUMIFS('caseload data'!M:M,'caseload data'!$B:$B,{"licence","community"},'caseload data'!$C:$C,'community %'!$T$15)),"")</f>
        <v/>
      </c>
      <c r="AD20" s="181" t="str">
        <f>IFERROR(SUM(SUMIFS('caseload data'!N:N,'caseload data'!$C:$C,'community %'!$T$15,'caseload data'!$D:$D,"SPO",'caseload data'!$B:$B,{"licence","community"}))/SUM(SUMIFS('caseload data'!N:N,'caseload data'!$B:$B,{"licence","community"},'caseload data'!$C:$C,'community %'!$T$15)),"")</f>
        <v/>
      </c>
      <c r="AE20" s="181" t="str">
        <f>IFERROR(SUM(SUMIFS('caseload data'!O:O,'caseload data'!$C:$C,'community %'!$T$15,'caseload data'!$D:$D,"SPO",'caseload data'!$B:$B,{"licence","community"}))/SUM(SUMIFS('caseload data'!O:O,'caseload data'!$B:$B,{"licence","community"},'caseload data'!$C:$C,'community %'!$T$15)),"")</f>
        <v/>
      </c>
      <c r="AF20" s="181" t="str">
        <f>IFERROR(SUM(SUMIFS('caseload data'!P:P,'caseload data'!$C:$C,'community %'!$T$15,'caseload data'!$D:$D,"SPO",'caseload data'!$B:$B,{"licence","community"}))/SUM(SUMIFS('caseload data'!P:P,'caseload data'!$B:$B,{"licence","community"},'caseload data'!$C:$C,'community %'!$T$15)),"")</f>
        <v/>
      </c>
      <c r="AG20" s="181" t="str">
        <f>IFERROR(SUM(SUMIFS('caseload data'!Q:Q,'caseload data'!$C:$C,'community %'!$T$15,'caseload data'!$D:$D,"SPO",'caseload data'!$B:$B,{"licence","community"}))/SUM(SUMIFS('caseload data'!Q:Q,'caseload data'!$B:$B,{"licence","community"},'caseload data'!$C:$C,'community %'!$T$15)),"")</f>
        <v/>
      </c>
      <c r="AH20" s="181" t="str">
        <f>IFERROR(SUM(SUMIFS('caseload data'!R:R,'caseload data'!$C:$C,'community %'!$T$15,'caseload data'!$D:$D,"SPO",'caseload data'!$B:$B,{"licence","community"}))/SUM(SUMIFS('caseload data'!R:R,'caseload data'!$B:$B,{"licence","community"},'caseload data'!$C:$C,'community %'!$T$15)),"")</f>
        <v/>
      </c>
      <c r="AI20" s="181" t="str">
        <f>IFERROR(SUM(SUMIFS('caseload data'!S:S,'caseload data'!$C:$C,'community %'!$T$15,'caseload data'!$D:$D,"SPO",'caseload data'!$B:$B,{"licence","community"}))/SUM(SUMIFS('caseload data'!S:S,'caseload data'!$B:$B,{"licence","community"},'caseload data'!$C:$C,'community %'!$T$15)),"")</f>
        <v/>
      </c>
      <c r="AJ20" s="181" t="str">
        <f>IFERROR(SUM(SUMIFS('caseload data'!T:T,'caseload data'!$C:$C,'community %'!$T$15,'caseload data'!$D:$D,"SPO",'caseload data'!$B:$B,{"licence","community"}))/SUM(SUMIFS('caseload data'!T:T,'caseload data'!$B:$B,{"licence","community"},'caseload data'!$C:$C,'community %'!$T$15)),"")</f>
        <v/>
      </c>
    </row>
    <row r="21" spans="2:36" x14ac:dyDescent="0.15">
      <c r="B21" s="101"/>
      <c r="C21" s="73"/>
      <c r="D21" s="73"/>
      <c r="E21" s="73"/>
      <c r="F21" s="73"/>
      <c r="G21" s="73"/>
      <c r="H21" s="73"/>
      <c r="I21" s="73"/>
      <c r="J21" s="73"/>
      <c r="K21" s="73"/>
      <c r="L21" s="73"/>
      <c r="M21" s="73"/>
      <c r="N21" s="73"/>
      <c r="O21" s="73"/>
      <c r="P21" s="73"/>
      <c r="Q21" s="73"/>
      <c r="R21" s="73"/>
      <c r="S21" s="73"/>
      <c r="T21" s="101"/>
      <c r="U21" s="73"/>
      <c r="V21" s="73"/>
      <c r="W21" s="73"/>
      <c r="X21" s="73"/>
      <c r="Y21" s="73"/>
      <c r="Z21" s="73"/>
      <c r="AA21" s="73"/>
      <c r="AB21" s="73"/>
      <c r="AC21" s="73"/>
      <c r="AD21" s="73"/>
      <c r="AE21" s="73"/>
      <c r="AF21" s="73"/>
      <c r="AG21" s="73"/>
      <c r="AH21" s="73"/>
      <c r="AI21" s="73"/>
      <c r="AJ21" s="73"/>
    </row>
    <row r="22" spans="2:36" ht="48" customHeight="1" x14ac:dyDescent="0.15">
      <c r="B22" s="156" t="str">
        <f>HLOOKUP($B$5,Region_Table,6,0)</f>
        <v>Corporate Services - N07</v>
      </c>
      <c r="C22" s="367" t="s">
        <v>1170</v>
      </c>
      <c r="D22" s="368"/>
      <c r="E22" s="368"/>
      <c r="F22" s="368"/>
      <c r="G22" s="368"/>
      <c r="H22" s="368"/>
      <c r="I22" s="368"/>
      <c r="J22" s="368"/>
      <c r="K22" s="368"/>
      <c r="L22" s="368"/>
      <c r="M22" s="377"/>
      <c r="N22" s="377"/>
      <c r="O22" s="378"/>
      <c r="P22" s="371" cm="1">
        <f t="array" ref="P22">SUM(SUMIFS('caseload data'!V:V,'caseload data'!B:B,{"licence","community"},'caseload data'!$C:$C,B22))</f>
        <v>0</v>
      </c>
      <c r="Q22" s="379"/>
      <c r="R22" s="380"/>
      <c r="S22" s="73"/>
      <c r="T22" s="156" t="str">
        <f>HLOOKUP($B$5,Region_Table,7,0)</f>
        <v>Croydon - N07</v>
      </c>
      <c r="U22" s="367" t="s">
        <v>1170</v>
      </c>
      <c r="V22" s="368"/>
      <c r="W22" s="368"/>
      <c r="X22" s="368"/>
      <c r="Y22" s="368"/>
      <c r="Z22" s="368"/>
      <c r="AA22" s="368"/>
      <c r="AB22" s="368"/>
      <c r="AC22" s="368"/>
      <c r="AD22" s="368"/>
      <c r="AE22" s="377"/>
      <c r="AF22" s="377"/>
      <c r="AG22" s="378"/>
      <c r="AH22" s="371" cm="1">
        <f t="array" ref="AH22">SUM(SUMIFS('caseload data'!V:V,'caseload data'!B:B,{"licence","community"},'caseload data'!$C:$C,T22))</f>
        <v>0</v>
      </c>
      <c r="AI22" s="379"/>
      <c r="AJ22" s="380"/>
    </row>
    <row r="23" spans="2:36" x14ac:dyDescent="0.15">
      <c r="B23" s="105" t="s">
        <v>1065</v>
      </c>
      <c r="C23" s="41" t="s">
        <v>922</v>
      </c>
      <c r="D23" s="41" t="s">
        <v>923</v>
      </c>
      <c r="E23" s="41" t="s">
        <v>924</v>
      </c>
      <c r="F23" s="41" t="s">
        <v>925</v>
      </c>
      <c r="G23" s="41" t="s">
        <v>926</v>
      </c>
      <c r="H23" s="41" t="s">
        <v>927</v>
      </c>
      <c r="I23" s="41" t="s">
        <v>928</v>
      </c>
      <c r="J23" s="41" t="s">
        <v>929</v>
      </c>
      <c r="K23" s="41" t="s">
        <v>930</v>
      </c>
      <c r="L23" s="41" t="s">
        <v>931</v>
      </c>
      <c r="M23" s="41" t="s">
        <v>932</v>
      </c>
      <c r="N23" s="41" t="s">
        <v>933</v>
      </c>
      <c r="O23" s="41" t="s">
        <v>934</v>
      </c>
      <c r="P23" s="41" t="s">
        <v>935</v>
      </c>
      <c r="Q23" s="41" t="s">
        <v>936</v>
      </c>
      <c r="R23" s="41" t="s">
        <v>937</v>
      </c>
      <c r="S23" s="73"/>
      <c r="T23" s="105" t="s">
        <v>1065</v>
      </c>
      <c r="U23" s="41" t="s">
        <v>922</v>
      </c>
      <c r="V23" s="41" t="s">
        <v>923</v>
      </c>
      <c r="W23" s="41" t="s">
        <v>924</v>
      </c>
      <c r="X23" s="41" t="s">
        <v>925</v>
      </c>
      <c r="Y23" s="41" t="s">
        <v>926</v>
      </c>
      <c r="Z23" s="41" t="s">
        <v>927</v>
      </c>
      <c r="AA23" s="41" t="s">
        <v>928</v>
      </c>
      <c r="AB23" s="41" t="s">
        <v>929</v>
      </c>
      <c r="AC23" s="41" t="s">
        <v>930</v>
      </c>
      <c r="AD23" s="41" t="s">
        <v>931</v>
      </c>
      <c r="AE23" s="41" t="s">
        <v>932</v>
      </c>
      <c r="AF23" s="41" t="s">
        <v>933</v>
      </c>
      <c r="AG23" s="41" t="s">
        <v>934</v>
      </c>
      <c r="AH23" s="41" t="s">
        <v>935</v>
      </c>
      <c r="AI23" s="41" t="s">
        <v>936</v>
      </c>
      <c r="AJ23" s="41" t="s">
        <v>937</v>
      </c>
    </row>
    <row r="24" spans="2:36" x14ac:dyDescent="0.15">
      <c r="B24" s="106" t="s">
        <v>911</v>
      </c>
      <c r="C24" s="181" t="str">
        <f>IFERROR(SUM(SUMIFS('caseload data'!E:E,'caseload data'!$C:$C,'community %'!$B$22,'caseload data'!$D:$D,"PO",'caseload data'!$B:$B,{"licence","community"}))/SUM(SUMIFS('caseload data'!E:E,'caseload data'!$B:$B,{"licence","community"},'caseload data'!$C:$C,'community %'!$B$22)),"")</f>
        <v/>
      </c>
      <c r="D24" s="181" t="str">
        <f>IFERROR(SUM(SUMIFS('caseload data'!F:F,'caseload data'!$C:$C,'community %'!$B$22,'caseload data'!$D:$D,"PO",'caseload data'!$B:$B,{"licence","community"}))/SUM(SUMIFS('caseload data'!F:F,'caseload data'!$B:$B,{"licence","community"},'caseload data'!$C:$C,'community %'!$B$22)),"")</f>
        <v/>
      </c>
      <c r="E24" s="181" t="str">
        <f>IFERROR(SUM(SUMIFS('caseload data'!G:G,'caseload data'!$C:$C,'community %'!$B$22,'caseload data'!$D:$D,"PO",'caseload data'!$B:$B,{"licence","community"}))/SUM(SUMIFS('caseload data'!G:G,'caseload data'!$B:$B,{"licence","community"},'caseload data'!$C:$C,'community %'!$B$22)),"")</f>
        <v/>
      </c>
      <c r="F24" s="181" t="str">
        <f>IFERROR(SUM(SUMIFS('caseload data'!H:H,'caseload data'!$C:$C,'community %'!$B$22,'caseload data'!$D:$D,"PO",'caseload data'!$B:$B,{"licence","community"}))/SUM(SUMIFS('caseload data'!H:H,'caseload data'!$B:$B,{"licence","community"},'caseload data'!$C:$C,'community %'!$B$22)),"")</f>
        <v/>
      </c>
      <c r="G24" s="181" t="str">
        <f>IFERROR(SUM(SUMIFS('caseload data'!I:I,'caseload data'!$C:$C,'community %'!$B$22,'caseload data'!$D:$D,"PO",'caseload data'!$B:$B,{"licence","community"}))/SUM(SUMIFS('caseload data'!I:I,'caseload data'!$B:$B,{"licence","community"},'caseload data'!$C:$C,'community %'!$B$22)),"")</f>
        <v/>
      </c>
      <c r="H24" s="181" t="str">
        <f>IFERROR(SUM(SUMIFS('caseload data'!J:J,'caseload data'!$C:$C,'community %'!$B$22,'caseload data'!$D:$D,"PO",'caseload data'!$B:$B,{"licence","community"}))/SUM(SUMIFS('caseload data'!J:J,'caseload data'!$B:$B,{"licence","community"},'caseload data'!$C:$C,'community %'!$B$22)),"")</f>
        <v/>
      </c>
      <c r="I24" s="181" t="str">
        <f>IFERROR(SUM(SUMIFS('caseload data'!K:K,'caseload data'!$C:$C,'community %'!$B$22,'caseload data'!$D:$D,"PO",'caseload data'!$B:$B,{"licence","community"}))/SUM(SUMIFS('caseload data'!K:K,'caseload data'!$B:$B,{"licence","community"},'caseload data'!$C:$C,'community %'!$B$22)),"")</f>
        <v/>
      </c>
      <c r="J24" s="181" t="str">
        <f>IFERROR(SUM(SUMIFS('caseload data'!L:L,'caseload data'!$C:$C,'community %'!$B$22,'caseload data'!$D:$D,"PO",'caseload data'!$B:$B,{"licence","community"}))/SUM(SUMIFS('caseload data'!L:L,'caseload data'!$B:$B,{"licence","community"},'caseload data'!$C:$C,'community %'!$B$22)),"")</f>
        <v/>
      </c>
      <c r="K24" s="181" t="str">
        <f>IFERROR(SUM(SUMIFS('caseload data'!M:M,'caseload data'!$C:$C,'community %'!$B$22,'caseload data'!$D:$D,"PO",'caseload data'!$B:$B,{"licence","community"}))/SUM(SUMIFS('caseload data'!M:M,'caseload data'!$B:$B,{"licence","community"},'caseload data'!$C:$C,'community %'!$B$22)),"")</f>
        <v/>
      </c>
      <c r="L24" s="181" t="str">
        <f>IFERROR(SUM(SUMIFS('caseload data'!N:N,'caseload data'!$C:$C,'community %'!$B$22,'caseload data'!$D:$D,"PO",'caseload data'!$B:$B,{"licence","community"}))/SUM(SUMIFS('caseload data'!N:N,'caseload data'!$B:$B,{"licence","community"},'caseload data'!$C:$C,'community %'!$B$22)),"")</f>
        <v/>
      </c>
      <c r="M24" s="181" t="str">
        <f>IFERROR(SUM(SUMIFS('caseload data'!O:O,'caseload data'!$C:$C,'community %'!$B$22,'caseload data'!$D:$D,"PO",'caseload data'!$B:$B,{"licence","community"}))/SUM(SUMIFS('caseload data'!O:O,'caseload data'!$B:$B,{"licence","community"},'caseload data'!$C:$C,'community %'!$B$22)),"")</f>
        <v/>
      </c>
      <c r="N24" s="181" t="str">
        <f>IFERROR(SUM(SUMIFS('caseload data'!P:P,'caseload data'!$C:$C,'community %'!$B$22,'caseload data'!$D:$D,"PO",'caseload data'!$B:$B,{"licence","community"}))/SUM(SUMIFS('caseload data'!P:P,'caseload data'!$B:$B,{"licence","community"},'caseload data'!$C:$C,'community %'!$B$22)),"")</f>
        <v/>
      </c>
      <c r="O24" s="181" t="str">
        <f>IFERROR(SUM(SUMIFS('caseload data'!Q:Q,'caseload data'!$C:$C,'community %'!$B$22,'caseload data'!$D:$D,"PO",'caseload data'!$B:$B,{"licence","community"}))/SUM(SUMIFS('caseload data'!Q:Q,'caseload data'!$B:$B,{"licence","community"},'caseload data'!$C:$C,'community %'!$B$22)),"")</f>
        <v/>
      </c>
      <c r="P24" s="181" t="str">
        <f>IFERROR(SUM(SUMIFS('caseload data'!R:R,'caseload data'!$C:$C,'community %'!$B$22,'caseload data'!$D:$D,"PO",'caseload data'!$B:$B,{"licence","community"}))/SUM(SUMIFS('caseload data'!R:R,'caseload data'!$B:$B,{"licence","community"},'caseload data'!$C:$C,'community %'!$B$22)),"")</f>
        <v/>
      </c>
      <c r="Q24" s="181" t="str">
        <f>IFERROR(SUM(SUMIFS('caseload data'!S:S,'caseload data'!$C:$C,'community %'!$B$22,'caseload data'!$D:$D,"PO",'caseload data'!$B:$B,{"licence","community"}))/SUM(SUMIFS('caseload data'!S:S,'caseload data'!$B:$B,{"licence","community"},'caseload data'!$C:$C,'community %'!$B$22)),"")</f>
        <v/>
      </c>
      <c r="R24" s="181" t="str">
        <f>IFERROR(SUM(SUMIFS('caseload data'!T:T,'caseload data'!$C:$C,'community %'!$B$22,'caseload data'!$D:$D,"PO",'caseload data'!$B:$B,{"licence","community"}))/SUM(SUMIFS('caseload data'!T:T,'caseload data'!$B:$B,{"licence","community"},'caseload data'!$C:$C,'community %'!$B$22)),"")</f>
        <v/>
      </c>
      <c r="S24" s="73"/>
      <c r="T24" s="106" t="s">
        <v>911</v>
      </c>
      <c r="U24" s="181" t="str">
        <f>IFERROR(SUM(SUMIFS('caseload data'!E:E,'caseload data'!$C:$C,'community %'!$T$22,'caseload data'!$D:$D,"PO",'caseload data'!$B:$B,{"licence","community"}))/SUM(SUMIFS('caseload data'!E:E,'caseload data'!$B:$B,{"licence","community"},'caseload data'!$C:$C,'community %'!$T$22)),"")</f>
        <v/>
      </c>
      <c r="V24" s="181" t="str">
        <f>IFERROR(SUM(SUMIFS('caseload data'!F:F,'caseload data'!$C:$C,'community %'!$T$22,'caseload data'!$D:$D,"PO",'caseload data'!$B:$B,{"licence","community"}))/SUM(SUMIFS('caseload data'!F:F,'caseload data'!$B:$B,{"licence","community"},'caseload data'!$C:$C,'community %'!$T$22)),"")</f>
        <v/>
      </c>
      <c r="W24" s="181" t="str">
        <f>IFERROR(SUM(SUMIFS('caseload data'!G:G,'caseload data'!$C:$C,'community %'!$T$22,'caseload data'!$D:$D,"PO",'caseload data'!$B:$B,{"licence","community"}))/SUM(SUMIFS('caseload data'!G:G,'caseload data'!$B:$B,{"licence","community"},'caseload data'!$C:$C,'community %'!$T$22)),"")</f>
        <v/>
      </c>
      <c r="X24" s="181" t="str">
        <f>IFERROR(SUM(SUMIFS('caseload data'!H:H,'caseload data'!$C:$C,'community %'!$T$22,'caseload data'!$D:$D,"PO",'caseload data'!$B:$B,{"licence","community"}))/SUM(SUMIFS('caseload data'!H:H,'caseload data'!$B:$B,{"licence","community"},'caseload data'!$C:$C,'community %'!$T$22)),"")</f>
        <v/>
      </c>
      <c r="Y24" s="181" t="str">
        <f>IFERROR(SUM(SUMIFS('caseload data'!I:I,'caseload data'!$C:$C,'community %'!$T$22,'caseload data'!$D:$D,"PO",'caseload data'!$B:$B,{"licence","community"}))/SUM(SUMIFS('caseload data'!I:I,'caseload data'!$B:$B,{"licence","community"},'caseload data'!$C:$C,'community %'!$T$22)),"")</f>
        <v/>
      </c>
      <c r="Z24" s="181" t="str">
        <f>IFERROR(SUM(SUMIFS('caseload data'!J:J,'caseload data'!$C:$C,'community %'!$T$22,'caseload data'!$D:$D,"PO",'caseload data'!$B:$B,{"licence","community"}))/SUM(SUMIFS('caseload data'!J:J,'caseload data'!$B:$B,{"licence","community"},'caseload data'!$C:$C,'community %'!$T$22)),"")</f>
        <v/>
      </c>
      <c r="AA24" s="181" t="str">
        <f>IFERROR(SUM(SUMIFS('caseload data'!K:K,'caseload data'!$C:$C,'community %'!$T$22,'caseload data'!$D:$D,"PO",'caseload data'!$B:$B,{"licence","community"}))/SUM(SUMIFS('caseload data'!K:K,'caseload data'!$B:$B,{"licence","community"},'caseload data'!$C:$C,'community %'!$T$22)),"")</f>
        <v/>
      </c>
      <c r="AB24" s="181" t="str">
        <f>IFERROR(SUM(SUMIFS('caseload data'!L:L,'caseload data'!$C:$C,'community %'!$T$22,'caseload data'!$D:$D,"PO",'caseload data'!$B:$B,{"licence","community"}))/SUM(SUMIFS('caseload data'!L:L,'caseload data'!$B:$B,{"licence","community"},'caseload data'!$C:$C,'community %'!$T$22)),"")</f>
        <v/>
      </c>
      <c r="AC24" s="181" t="str">
        <f>IFERROR(SUM(SUMIFS('caseload data'!M:M,'caseload data'!$C:$C,'community %'!$T$22,'caseload data'!$D:$D,"PO",'caseload data'!$B:$B,{"licence","community"}))/SUM(SUMIFS('caseload data'!M:M,'caseload data'!$B:$B,{"licence","community"},'caseload data'!$C:$C,'community %'!$T$22)),"")</f>
        <v/>
      </c>
      <c r="AD24" s="181" t="str">
        <f>IFERROR(SUM(SUMIFS('caseload data'!N:N,'caseload data'!$C:$C,'community %'!$T$22,'caseload data'!$D:$D,"PO",'caseload data'!$B:$B,{"licence","community"}))/SUM(SUMIFS('caseload data'!N:N,'caseload data'!$B:$B,{"licence","community"},'caseload data'!$C:$C,'community %'!$T$22)),"")</f>
        <v/>
      </c>
      <c r="AE24" s="181" t="str">
        <f>IFERROR(SUM(SUMIFS('caseload data'!O:O,'caseload data'!$C:$C,'community %'!$T$22,'caseload data'!$D:$D,"PO",'caseload data'!$B:$B,{"licence","community"}))/SUM(SUMIFS('caseload data'!O:O,'caseload data'!$B:$B,{"licence","community"},'caseload data'!$C:$C,'community %'!$T$22)),"")</f>
        <v/>
      </c>
      <c r="AF24" s="181" t="str">
        <f>IFERROR(SUM(SUMIFS('caseload data'!P:P,'caseload data'!$C:$C,'community %'!$T$22,'caseload data'!$D:$D,"PO",'caseload data'!$B:$B,{"licence","community"}))/SUM(SUMIFS('caseload data'!P:P,'caseload data'!$B:$B,{"licence","community"},'caseload data'!$C:$C,'community %'!$T$22)),"")</f>
        <v/>
      </c>
      <c r="AG24" s="181" t="str">
        <f>IFERROR(SUM(SUMIFS('caseload data'!Q:Q,'caseload data'!$C:$C,'community %'!$T$22,'caseload data'!$D:$D,"PO",'caseload data'!$B:$B,{"licence","community"}))/SUM(SUMIFS('caseload data'!Q:Q,'caseload data'!$B:$B,{"licence","community"},'caseload data'!$C:$C,'community %'!$T$22)),"")</f>
        <v/>
      </c>
      <c r="AH24" s="181" t="str">
        <f>IFERROR(SUM(SUMIFS('caseload data'!R:R,'caseload data'!$C:$C,'community %'!$T$22,'caseload data'!$D:$D,"PO",'caseload data'!$B:$B,{"licence","community"}))/SUM(SUMIFS('caseload data'!R:R,'caseload data'!$B:$B,{"licence","community"},'caseload data'!$C:$C,'community %'!$T$22)),"")</f>
        <v/>
      </c>
      <c r="AI24" s="181" t="str">
        <f>IFERROR(SUM(SUMIFS('caseload data'!S:S,'caseload data'!$C:$C,'community %'!$T$22,'caseload data'!$D:$D,"PO",'caseload data'!$B:$B,{"licence","community"}))/SUM(SUMIFS('caseload data'!S:S,'caseload data'!$B:$B,{"licence","community"},'caseload data'!$C:$C,'community %'!$T$22)),"")</f>
        <v/>
      </c>
      <c r="AJ24" s="181" t="str">
        <f>IFERROR(SUM(SUMIFS('caseload data'!T:T,'caseload data'!$C:$C,'community %'!$T$22,'caseload data'!$D:$D,"PO",'caseload data'!$B:$B,{"licence","community"}))/SUM(SUMIFS('caseload data'!T:T,'caseload data'!$B:$B,{"licence","community"},'caseload data'!$C:$C,'community %'!$T$22)),"")</f>
        <v/>
      </c>
    </row>
    <row r="25" spans="2:36" x14ac:dyDescent="0.15">
      <c r="B25" s="107" t="s">
        <v>912</v>
      </c>
      <c r="C25" s="181" t="str">
        <f>IFERROR(SUM(SUMIFS('caseload data'!E:E,'caseload data'!$C:$C,'community %'!$B$22,'caseload data'!$D:$D,"PSO",'caseload data'!$B:$B,{"licence","community"}))/SUM(SUMIFS('caseload data'!E:E,'caseload data'!$B:$B,{"licence","community"},'caseload data'!$C:$C,'community %'!$B$22)),"")</f>
        <v/>
      </c>
      <c r="D25" s="181" t="str">
        <f>IFERROR(SUM(SUMIFS('caseload data'!F:F,'caseload data'!$C:$C,'community %'!$B$22,'caseload data'!$D:$D,"PSO",'caseload data'!$B:$B,{"licence","community"}))/SUM(SUMIFS('caseload data'!F:F,'caseload data'!$B:$B,{"licence","community"},'caseload data'!$C:$C,'community %'!$B$22)),"")</f>
        <v/>
      </c>
      <c r="E25" s="181" t="str">
        <f>IFERROR(SUM(SUMIFS('caseload data'!G:G,'caseload data'!$C:$C,'community %'!$B$22,'caseload data'!$D:$D,"PSO",'caseload data'!$B:$B,{"licence","community"}))/SUM(SUMIFS('caseload data'!G:G,'caseload data'!$B:$B,{"licence","community"},'caseload data'!$C:$C,'community %'!$B$22)),"")</f>
        <v/>
      </c>
      <c r="F25" s="181" t="str">
        <f>IFERROR(SUM(SUMIFS('caseload data'!H:H,'caseload data'!$C:$C,'community %'!$B$22,'caseload data'!$D:$D,"PSO",'caseload data'!$B:$B,{"licence","community"}))/SUM(SUMIFS('caseload data'!H:H,'caseload data'!$B:$B,{"licence","community"},'caseload data'!$C:$C,'community %'!$B$22)),"")</f>
        <v/>
      </c>
      <c r="G25" s="181" t="str">
        <f>IFERROR(SUM(SUMIFS('caseload data'!I:I,'caseload data'!$C:$C,'community %'!$B$22,'caseload data'!$D:$D,"PSO",'caseload data'!$B:$B,{"licence","community"}))/SUM(SUMIFS('caseload data'!I:I,'caseload data'!$B:$B,{"licence","community"},'caseload data'!$C:$C,'community %'!$B$22)),"")</f>
        <v/>
      </c>
      <c r="H25" s="181" t="str">
        <f>IFERROR(SUM(SUMIFS('caseload data'!J:J,'caseload data'!$C:$C,'community %'!$B$22,'caseload data'!$D:$D,"PSO",'caseload data'!$B:$B,{"licence","community"}))/SUM(SUMIFS('caseload data'!J:J,'caseload data'!$B:$B,{"licence","community"},'caseload data'!$C:$C,'community %'!$B$22)),"")</f>
        <v/>
      </c>
      <c r="I25" s="181" t="str">
        <f>IFERROR(SUM(SUMIFS('caseload data'!K:K,'caseload data'!$C:$C,'community %'!$B$22,'caseload data'!$D:$D,"PSO",'caseload data'!$B:$B,{"licence","community"}))/SUM(SUMIFS('caseload data'!K:K,'caseload data'!$B:$B,{"licence","community"},'caseload data'!$C:$C,'community %'!$B$22)),"")</f>
        <v/>
      </c>
      <c r="J25" s="181" t="str">
        <f>IFERROR(SUM(SUMIFS('caseload data'!L:L,'caseload data'!$C:$C,'community %'!$B$22,'caseload data'!$D:$D,"PSO",'caseload data'!$B:$B,{"licence","community"}))/SUM(SUMIFS('caseload data'!L:L,'caseload data'!$B:$B,{"licence","community"},'caseload data'!$C:$C,'community %'!$B$22)),"")</f>
        <v/>
      </c>
      <c r="K25" s="181" t="str">
        <f>IFERROR(SUM(SUMIFS('caseload data'!M:M,'caseload data'!$C:$C,'community %'!$B$22,'caseload data'!$D:$D,"PSO",'caseload data'!$B:$B,{"licence","community"}))/SUM(SUMIFS('caseload data'!M:M,'caseload data'!$B:$B,{"licence","community"},'caseload data'!$C:$C,'community %'!$B$22)),"")</f>
        <v/>
      </c>
      <c r="L25" s="181" t="str">
        <f>IFERROR(SUM(SUMIFS('caseload data'!N:N,'caseload data'!$C:$C,'community %'!$B$22,'caseload data'!$D:$D,"PSO",'caseload data'!$B:$B,{"licence","community"}))/SUM(SUMIFS('caseload data'!N:N,'caseload data'!$B:$B,{"licence","community"},'caseload data'!$C:$C,'community %'!$B$22)),"")</f>
        <v/>
      </c>
      <c r="M25" s="181" t="str">
        <f>IFERROR(SUM(SUMIFS('caseload data'!O:O,'caseload data'!$C:$C,'community %'!$B$22,'caseload data'!$D:$D,"PSO",'caseload data'!$B:$B,{"licence","community"}))/SUM(SUMIFS('caseload data'!O:O,'caseload data'!$B:$B,{"licence","community"},'caseload data'!$C:$C,'community %'!$B$22)),"")</f>
        <v/>
      </c>
      <c r="N25" s="181" t="str">
        <f>IFERROR(SUM(SUMIFS('caseload data'!P:P,'caseload data'!$C:$C,'community %'!$B$22,'caseload data'!$D:$D,"PSO",'caseload data'!$B:$B,{"licence","community"}))/SUM(SUMIFS('caseload data'!P:P,'caseload data'!$B:$B,{"licence","community"},'caseload data'!$C:$C,'community %'!$B$22)),"")</f>
        <v/>
      </c>
      <c r="O25" s="181" t="str">
        <f>IFERROR(SUM(SUMIFS('caseload data'!Q:Q,'caseload data'!$C:$C,'community %'!$B$22,'caseload data'!$D:$D,"PSO",'caseload data'!$B:$B,{"licence","community"}))/SUM(SUMIFS('caseload data'!Q:Q,'caseload data'!$B:$B,{"licence","community"},'caseload data'!$C:$C,'community %'!$B$22)),"")</f>
        <v/>
      </c>
      <c r="P25" s="181" t="str">
        <f>IFERROR(SUM(SUMIFS('caseload data'!R:R,'caseload data'!$C:$C,'community %'!$B$22,'caseload data'!$D:$D,"PSO",'caseload data'!$B:$B,{"licence","community"}))/SUM(SUMIFS('caseload data'!R:R,'caseload data'!$B:$B,{"licence","community"},'caseload data'!$C:$C,'community %'!$B$22)),"")</f>
        <v/>
      </c>
      <c r="Q25" s="181" t="str">
        <f>IFERROR(SUM(SUMIFS('caseload data'!S:S,'caseload data'!$C:$C,'community %'!$B$22,'caseload data'!$D:$D,"PSO",'caseload data'!$B:$B,{"licence","community"}))/SUM(SUMIFS('caseload data'!S:S,'caseload data'!$B:$B,{"licence","community"},'caseload data'!$C:$C,'community %'!$B$22)),"")</f>
        <v/>
      </c>
      <c r="R25" s="181" t="str">
        <f>IFERROR(SUM(SUMIFS('caseload data'!T:T,'caseload data'!$C:$C,'community %'!$B$22,'caseload data'!$D:$D,"PSO",'caseload data'!$B:$B,{"licence","community"}))/SUM(SUMIFS('caseload data'!T:T,'caseload data'!$B:$B,{"licence","community"},'caseload data'!$C:$C,'community %'!$B$22)),"")</f>
        <v/>
      </c>
      <c r="S25" s="73"/>
      <c r="T25" s="107" t="s">
        <v>912</v>
      </c>
      <c r="U25" s="181" t="str">
        <f>IFERROR(SUM(SUMIFS('caseload data'!E:E,'caseload data'!$C:$C,'community %'!$T$22,'caseload data'!$D:$D,"PSO",'caseload data'!$B:$B,{"licence","community"}))/SUM(SUMIFS('caseload data'!E:E,'caseload data'!$B:$B,{"licence","community"},'caseload data'!$C:$C,'community %'!$T$22)),"")</f>
        <v/>
      </c>
      <c r="V25" s="181" t="str">
        <f>IFERROR(SUM(SUMIFS('caseload data'!F:F,'caseload data'!$C:$C,'community %'!$T$22,'caseload data'!$D:$D,"PSO",'caseload data'!$B:$B,{"licence","community"}))/SUM(SUMIFS('caseload data'!F:F,'caseload data'!$B:$B,{"licence","community"},'caseload data'!$C:$C,'community %'!$T$22)),"")</f>
        <v/>
      </c>
      <c r="W25" s="181" t="str">
        <f>IFERROR(SUM(SUMIFS('caseload data'!G:G,'caseload data'!$C:$C,'community %'!$T$22,'caseload data'!$D:$D,"PSO",'caseload data'!$B:$B,{"licence","community"}))/SUM(SUMIFS('caseload data'!G:G,'caseload data'!$B:$B,{"licence","community"},'caseload data'!$C:$C,'community %'!$T$22)),"")</f>
        <v/>
      </c>
      <c r="X25" s="181" t="str">
        <f>IFERROR(SUM(SUMIFS('caseload data'!H:H,'caseload data'!$C:$C,'community %'!$T$22,'caseload data'!$D:$D,"PSO",'caseload data'!$B:$B,{"licence","community"}))/SUM(SUMIFS('caseload data'!H:H,'caseload data'!$B:$B,{"licence","community"},'caseload data'!$C:$C,'community %'!$T$22)),"")</f>
        <v/>
      </c>
      <c r="Y25" s="181" t="str">
        <f>IFERROR(SUM(SUMIFS('caseload data'!I:I,'caseload data'!$C:$C,'community %'!$T$22,'caseload data'!$D:$D,"PSO",'caseload data'!$B:$B,{"licence","community"}))/SUM(SUMIFS('caseload data'!I:I,'caseload data'!$B:$B,{"licence","community"},'caseload data'!$C:$C,'community %'!$T$22)),"")</f>
        <v/>
      </c>
      <c r="Z25" s="181" t="str">
        <f>IFERROR(SUM(SUMIFS('caseload data'!J:J,'caseload data'!$C:$C,'community %'!$T$22,'caseload data'!$D:$D,"PSO",'caseload data'!$B:$B,{"licence","community"}))/SUM(SUMIFS('caseload data'!J:J,'caseload data'!$B:$B,{"licence","community"},'caseload data'!$C:$C,'community %'!$T$22)),"")</f>
        <v/>
      </c>
      <c r="AA25" s="181" t="str">
        <f>IFERROR(SUM(SUMIFS('caseload data'!K:K,'caseload data'!$C:$C,'community %'!$T$22,'caseload data'!$D:$D,"PSO",'caseload data'!$B:$B,{"licence","community"}))/SUM(SUMIFS('caseload data'!K:K,'caseload data'!$B:$B,{"licence","community"},'caseload data'!$C:$C,'community %'!$T$22)),"")</f>
        <v/>
      </c>
      <c r="AB25" s="181" t="str">
        <f>IFERROR(SUM(SUMIFS('caseload data'!L:L,'caseload data'!$C:$C,'community %'!$T$22,'caseload data'!$D:$D,"PSO",'caseload data'!$B:$B,{"licence","community"}))/SUM(SUMIFS('caseload data'!L:L,'caseload data'!$B:$B,{"licence","community"},'caseload data'!$C:$C,'community %'!$T$22)),"")</f>
        <v/>
      </c>
      <c r="AC25" s="181" t="str">
        <f>IFERROR(SUM(SUMIFS('caseload data'!M:M,'caseload data'!$C:$C,'community %'!$T$22,'caseload data'!$D:$D,"PSO",'caseload data'!$B:$B,{"licence","community"}))/SUM(SUMIFS('caseload data'!M:M,'caseload data'!$B:$B,{"licence","community"},'caseload data'!$C:$C,'community %'!$T$22)),"")</f>
        <v/>
      </c>
      <c r="AD25" s="181" t="str">
        <f>IFERROR(SUM(SUMIFS('caseload data'!N:N,'caseload data'!$C:$C,'community %'!$T$22,'caseload data'!$D:$D,"PSO",'caseload data'!$B:$B,{"licence","community"}))/SUM(SUMIFS('caseload data'!N:N,'caseload data'!$B:$B,{"licence","community"},'caseload data'!$C:$C,'community %'!$T$22)),"")</f>
        <v/>
      </c>
      <c r="AE25" s="181" t="str">
        <f>IFERROR(SUM(SUMIFS('caseload data'!O:O,'caseload data'!$C:$C,'community %'!$T$22,'caseload data'!$D:$D,"PSO",'caseload data'!$B:$B,{"licence","community"}))/SUM(SUMIFS('caseload data'!O:O,'caseload data'!$B:$B,{"licence","community"},'caseload data'!$C:$C,'community %'!$T$22)),"")</f>
        <v/>
      </c>
      <c r="AF25" s="181" t="str">
        <f>IFERROR(SUM(SUMIFS('caseload data'!P:P,'caseload data'!$C:$C,'community %'!$T$22,'caseload data'!$D:$D,"PSO",'caseload data'!$B:$B,{"licence","community"}))/SUM(SUMIFS('caseload data'!P:P,'caseload data'!$B:$B,{"licence","community"},'caseload data'!$C:$C,'community %'!$T$22)),"")</f>
        <v/>
      </c>
      <c r="AG25" s="181" t="str">
        <f>IFERROR(SUM(SUMIFS('caseload data'!Q:Q,'caseload data'!$C:$C,'community %'!$T$22,'caseload data'!$D:$D,"PSO",'caseload data'!$B:$B,{"licence","community"}))/SUM(SUMIFS('caseload data'!Q:Q,'caseload data'!$B:$B,{"licence","community"},'caseload data'!$C:$C,'community %'!$T$22)),"")</f>
        <v/>
      </c>
      <c r="AH25" s="181" t="str">
        <f>IFERROR(SUM(SUMIFS('caseload data'!R:R,'caseload data'!$C:$C,'community %'!$T$22,'caseload data'!$D:$D,"PSO",'caseload data'!$B:$B,{"licence","community"}))/SUM(SUMIFS('caseload data'!R:R,'caseload data'!$B:$B,{"licence","community"},'caseload data'!$C:$C,'community %'!$T$22)),"")</f>
        <v/>
      </c>
      <c r="AI25" s="181" t="str">
        <f>IFERROR(SUM(SUMIFS('caseload data'!S:S,'caseload data'!$C:$C,'community %'!$T$22,'caseload data'!$D:$D,"PSO",'caseload data'!$B:$B,{"licence","community"}))/SUM(SUMIFS('caseload data'!S:S,'caseload data'!$B:$B,{"licence","community"},'caseload data'!$C:$C,'community %'!$T$22)),"")</f>
        <v/>
      </c>
      <c r="AJ25" s="181" t="str">
        <f>IFERROR(SUM(SUMIFS('caseload data'!T:T,'caseload data'!$C:$C,'community %'!$T$22,'caseload data'!$D:$D,"PSO",'caseload data'!$B:$B,{"licence","community"}))/SUM(SUMIFS('caseload data'!T:T,'caseload data'!$B:$B,{"licence","community"},'caseload data'!$C:$C,'community %'!$T$22)),"")</f>
        <v/>
      </c>
    </row>
    <row r="26" spans="2:36" x14ac:dyDescent="0.15">
      <c r="B26" s="107" t="s">
        <v>913</v>
      </c>
      <c r="C26" s="181" t="str">
        <f>IFERROR(SUM(SUMIFS('caseload data'!E:E,'caseload data'!$C:$C,'community %'!$B$22,'caseload data'!$D:$D,"TPO",'caseload data'!$B:$B,{"licence","community"}))/SUM(SUMIFS('caseload data'!E:E,'caseload data'!$B:$B,{"licence","community"},'caseload data'!$C:$C,'community %'!$B$22)),"")</f>
        <v/>
      </c>
      <c r="D26" s="181" t="str">
        <f>IFERROR(SUM(SUMIFS('caseload data'!F:F,'caseload data'!$C:$C,'community %'!$B$22,'caseload data'!$D:$D,"TPO",'caseload data'!$B:$B,{"licence","community"}))/SUM(SUMIFS('caseload data'!F:F,'caseload data'!$B:$B,{"licence","community"},'caseload data'!$C:$C,'community %'!$B$22)),"")</f>
        <v/>
      </c>
      <c r="E26" s="181" t="str">
        <f>IFERROR(SUM(SUMIFS('caseload data'!G:G,'caseload data'!$C:$C,'community %'!$B$22,'caseload data'!$D:$D,"TPO",'caseload data'!$B:$B,{"licence","community"}))/SUM(SUMIFS('caseload data'!G:G,'caseload data'!$B:$B,{"licence","community"},'caseload data'!$C:$C,'community %'!$B$22)),"")</f>
        <v/>
      </c>
      <c r="F26" s="181" t="str">
        <f>IFERROR(SUM(SUMIFS('caseload data'!H:H,'caseload data'!$C:$C,'community %'!$B$22,'caseload data'!$D:$D,"TPO",'caseload data'!$B:$B,{"licence","community"}))/SUM(SUMIFS('caseload data'!H:H,'caseload data'!$B:$B,{"licence","community"},'caseload data'!$C:$C,'community %'!$B$22)),"")</f>
        <v/>
      </c>
      <c r="G26" s="181" t="str">
        <f>IFERROR(SUM(SUMIFS('caseload data'!I:I,'caseload data'!$C:$C,'community %'!$B$22,'caseload data'!$D:$D,"TPO",'caseload data'!$B:$B,{"licence","community"}))/SUM(SUMIFS('caseload data'!I:I,'caseload data'!$B:$B,{"licence","community"},'caseload data'!$C:$C,'community %'!$B$22)),"")</f>
        <v/>
      </c>
      <c r="H26" s="181" t="str">
        <f>IFERROR(SUM(SUMIFS('caseload data'!J:J,'caseload data'!$C:$C,'community %'!$B$22,'caseload data'!$D:$D,"TPO",'caseload data'!$B:$B,{"licence","community"}))/SUM(SUMIFS('caseload data'!J:J,'caseload data'!$B:$B,{"licence","community"},'caseload data'!$C:$C,'community %'!$B$22)),"")</f>
        <v/>
      </c>
      <c r="I26" s="181" t="str">
        <f>IFERROR(SUM(SUMIFS('caseload data'!K:K,'caseload data'!$C:$C,'community %'!$B$22,'caseload data'!$D:$D,"TPO",'caseload data'!$B:$B,{"licence","community"}))/SUM(SUMIFS('caseload data'!K:K,'caseload data'!$B:$B,{"licence","community"},'caseload data'!$C:$C,'community %'!$B$22)),"")</f>
        <v/>
      </c>
      <c r="J26" s="181" t="str">
        <f>IFERROR(SUM(SUMIFS('caseload data'!L:L,'caseload data'!$C:$C,'community %'!$B$22,'caseload data'!$D:$D,"TPO",'caseload data'!$B:$B,{"licence","community"}))/SUM(SUMIFS('caseload data'!L:L,'caseload data'!$B:$B,{"licence","community"},'caseload data'!$C:$C,'community %'!$B$22)),"")</f>
        <v/>
      </c>
      <c r="K26" s="181" t="str">
        <f>IFERROR(SUM(SUMIFS('caseload data'!M:M,'caseload data'!$C:$C,'community %'!$B$22,'caseload data'!$D:$D,"TPO",'caseload data'!$B:$B,{"licence","community"}))/SUM(SUMIFS('caseload data'!M:M,'caseload data'!$B:$B,{"licence","community"},'caseload data'!$C:$C,'community %'!$B$22)),"")</f>
        <v/>
      </c>
      <c r="L26" s="181" t="str">
        <f>IFERROR(SUM(SUMIFS('caseload data'!N:N,'caseload data'!$C:$C,'community %'!$B$22,'caseload data'!$D:$D,"TPO",'caseload data'!$B:$B,{"licence","community"}))/SUM(SUMIFS('caseload data'!N:N,'caseload data'!$B:$B,{"licence","community"},'caseload data'!$C:$C,'community %'!$B$22)),"")</f>
        <v/>
      </c>
      <c r="M26" s="181" t="str">
        <f>IFERROR(SUM(SUMIFS('caseload data'!O:O,'caseload data'!$C:$C,'community %'!$B$22,'caseload data'!$D:$D,"TPO",'caseload data'!$B:$B,{"licence","community"}))/SUM(SUMIFS('caseload data'!O:O,'caseload data'!$B:$B,{"licence","community"},'caseload data'!$C:$C,'community %'!$B$22)),"")</f>
        <v/>
      </c>
      <c r="N26" s="181" t="str">
        <f>IFERROR(SUM(SUMIFS('caseload data'!P:P,'caseload data'!$C:$C,'community %'!$B$22,'caseload data'!$D:$D,"TPO",'caseload data'!$B:$B,{"licence","community"}))/SUM(SUMIFS('caseload data'!P:P,'caseload data'!$B:$B,{"licence","community"},'caseload data'!$C:$C,'community %'!$B$22)),"")</f>
        <v/>
      </c>
      <c r="O26" s="181" t="str">
        <f>IFERROR(SUM(SUMIFS('caseload data'!Q:Q,'caseload data'!$C:$C,'community %'!$B$22,'caseload data'!$D:$D,"TPO",'caseload data'!$B:$B,{"licence","community"}))/SUM(SUMIFS('caseload data'!Q:Q,'caseload data'!$B:$B,{"licence","community"},'caseload data'!$C:$C,'community %'!$B$22)),"")</f>
        <v/>
      </c>
      <c r="P26" s="181" t="str">
        <f>IFERROR(SUM(SUMIFS('caseload data'!R:R,'caseload data'!$C:$C,'community %'!$B$22,'caseload data'!$D:$D,"TPO",'caseload data'!$B:$B,{"licence","community"}))/SUM(SUMIFS('caseload data'!R:R,'caseload data'!$B:$B,{"licence","community"},'caseload data'!$C:$C,'community %'!$B$22)),"")</f>
        <v/>
      </c>
      <c r="Q26" s="181" t="str">
        <f>IFERROR(SUM(SUMIFS('caseload data'!S:S,'caseload data'!$C:$C,'community %'!$B$22,'caseload data'!$D:$D,"TPO",'caseload data'!$B:$B,{"licence","community"}))/SUM(SUMIFS('caseload data'!S:S,'caseload data'!$B:$B,{"licence","community"},'caseload data'!$C:$C,'community %'!$B$22)),"")</f>
        <v/>
      </c>
      <c r="R26" s="181" t="str">
        <f>IFERROR(SUM(SUMIFS('caseload data'!T:T,'caseload data'!$C:$C,'community %'!$B$22,'caseload data'!$D:$D,"TPO",'caseload data'!$B:$B,{"licence","community"}))/SUM(SUMIFS('caseload data'!T:T,'caseload data'!$B:$B,{"licence","community"},'caseload data'!$C:$C,'community %'!$B$22)),"")</f>
        <v/>
      </c>
      <c r="S26" s="73"/>
      <c r="T26" s="107" t="s">
        <v>913</v>
      </c>
      <c r="U26" s="181" t="str">
        <f>IFERROR(SUM(SUMIFS('caseload data'!E:E,'caseload data'!$C:$C,'community %'!$T$22,'caseload data'!$D:$D,"TPO",'caseload data'!$B:$B,{"licence","community"}))/SUM(SUMIFS('caseload data'!E:E,'caseload data'!$B:$B,{"licence","community"},'caseload data'!$C:$C,'community %'!$T$22)),"")</f>
        <v/>
      </c>
      <c r="V26" s="181" t="str">
        <f>IFERROR(SUM(SUMIFS('caseload data'!F:F,'caseload data'!$C:$C,'community %'!$T$22,'caseload data'!$D:$D,"TPO",'caseload data'!$B:$B,{"licence","community"}))/SUM(SUMIFS('caseload data'!F:F,'caseload data'!$B:$B,{"licence","community"},'caseload data'!$C:$C,'community %'!$T$22)),"")</f>
        <v/>
      </c>
      <c r="W26" s="181" t="str">
        <f>IFERROR(SUM(SUMIFS('caseload data'!G:G,'caseload data'!$C:$C,'community %'!$T$22,'caseload data'!$D:$D,"TPO",'caseload data'!$B:$B,{"licence","community"}))/SUM(SUMIFS('caseload data'!G:G,'caseload data'!$B:$B,{"licence","community"},'caseload data'!$C:$C,'community %'!$T$22)),"")</f>
        <v/>
      </c>
      <c r="X26" s="181" t="str">
        <f>IFERROR(SUM(SUMIFS('caseload data'!H:H,'caseload data'!$C:$C,'community %'!$T$22,'caseload data'!$D:$D,"TPO",'caseload data'!$B:$B,{"licence","community"}))/SUM(SUMIFS('caseload data'!H:H,'caseload data'!$B:$B,{"licence","community"},'caseload data'!$C:$C,'community %'!$T$22)),"")</f>
        <v/>
      </c>
      <c r="Y26" s="181" t="str">
        <f>IFERROR(SUM(SUMIFS('caseload data'!I:I,'caseload data'!$C:$C,'community %'!$T$22,'caseload data'!$D:$D,"TPO",'caseload data'!$B:$B,{"licence","community"}))/SUM(SUMIFS('caseload data'!I:I,'caseload data'!$B:$B,{"licence","community"},'caseload data'!$C:$C,'community %'!$T$22)),"")</f>
        <v/>
      </c>
      <c r="Z26" s="181" t="str">
        <f>IFERROR(SUM(SUMIFS('caseload data'!J:J,'caseload data'!$C:$C,'community %'!$T$22,'caseload data'!$D:$D,"TPO",'caseload data'!$B:$B,{"licence","community"}))/SUM(SUMIFS('caseload data'!J:J,'caseload data'!$B:$B,{"licence","community"},'caseload data'!$C:$C,'community %'!$T$22)),"")</f>
        <v/>
      </c>
      <c r="AA26" s="181" t="str">
        <f>IFERROR(SUM(SUMIFS('caseload data'!K:K,'caseload data'!$C:$C,'community %'!$T$22,'caseload data'!$D:$D,"TPO",'caseload data'!$B:$B,{"licence","community"}))/SUM(SUMIFS('caseload data'!K:K,'caseload data'!$B:$B,{"licence","community"},'caseload data'!$C:$C,'community %'!$T$22)),"")</f>
        <v/>
      </c>
      <c r="AB26" s="181" t="str">
        <f>IFERROR(SUM(SUMIFS('caseload data'!L:L,'caseload data'!$C:$C,'community %'!$T$22,'caseload data'!$D:$D,"TPO",'caseload data'!$B:$B,{"licence","community"}))/SUM(SUMIFS('caseload data'!L:L,'caseload data'!$B:$B,{"licence","community"},'caseload data'!$C:$C,'community %'!$T$22)),"")</f>
        <v/>
      </c>
      <c r="AC26" s="181" t="str">
        <f>IFERROR(SUM(SUMIFS('caseload data'!M:M,'caseload data'!$C:$C,'community %'!$T$22,'caseload data'!$D:$D,"TPO",'caseload data'!$B:$B,{"licence","community"}))/SUM(SUMIFS('caseload data'!M:M,'caseload data'!$B:$B,{"licence","community"},'caseload data'!$C:$C,'community %'!$T$22)),"")</f>
        <v/>
      </c>
      <c r="AD26" s="181" t="str">
        <f>IFERROR(SUM(SUMIFS('caseload data'!N:N,'caseload data'!$C:$C,'community %'!$T$22,'caseload data'!$D:$D,"TPO",'caseload data'!$B:$B,{"licence","community"}))/SUM(SUMIFS('caseload data'!N:N,'caseload data'!$B:$B,{"licence","community"},'caseload data'!$C:$C,'community %'!$T$22)),"")</f>
        <v/>
      </c>
      <c r="AE26" s="181" t="str">
        <f>IFERROR(SUM(SUMIFS('caseload data'!O:O,'caseload data'!$C:$C,'community %'!$T$22,'caseload data'!$D:$D,"TPO",'caseload data'!$B:$B,{"licence","community"}))/SUM(SUMIFS('caseload data'!O:O,'caseload data'!$B:$B,{"licence","community"},'caseload data'!$C:$C,'community %'!$T$22)),"")</f>
        <v/>
      </c>
      <c r="AF26" s="181" t="str">
        <f>IFERROR(SUM(SUMIFS('caseload data'!P:P,'caseload data'!$C:$C,'community %'!$T$22,'caseload data'!$D:$D,"TPO",'caseload data'!$B:$B,{"licence","community"}))/SUM(SUMIFS('caseload data'!P:P,'caseload data'!$B:$B,{"licence","community"},'caseload data'!$C:$C,'community %'!$T$22)),"")</f>
        <v/>
      </c>
      <c r="AG26" s="181" t="str">
        <f>IFERROR(SUM(SUMIFS('caseload data'!Q:Q,'caseload data'!$C:$C,'community %'!$T$22,'caseload data'!$D:$D,"TPO",'caseload data'!$B:$B,{"licence","community"}))/SUM(SUMIFS('caseload data'!Q:Q,'caseload data'!$B:$B,{"licence","community"},'caseload data'!$C:$C,'community %'!$T$22)),"")</f>
        <v/>
      </c>
      <c r="AH26" s="181" t="str">
        <f>IFERROR(SUM(SUMIFS('caseload data'!R:R,'caseload data'!$C:$C,'community %'!$T$22,'caseload data'!$D:$D,"TPO",'caseload data'!$B:$B,{"licence","community"}))/SUM(SUMIFS('caseload data'!R:R,'caseload data'!$B:$B,{"licence","community"},'caseload data'!$C:$C,'community %'!$T$22)),"")</f>
        <v/>
      </c>
      <c r="AI26" s="181" t="str">
        <f>IFERROR(SUM(SUMIFS('caseload data'!S:S,'caseload data'!$C:$C,'community %'!$T$22,'caseload data'!$D:$D,"TPO",'caseload data'!$B:$B,{"licence","community"}))/SUM(SUMIFS('caseload data'!S:S,'caseload data'!$B:$B,{"licence","community"},'caseload data'!$C:$C,'community %'!$T$22)),"")</f>
        <v/>
      </c>
      <c r="AJ26" s="181" t="str">
        <f>IFERROR(SUM(SUMIFS('caseload data'!T:T,'caseload data'!$C:$C,'community %'!$T$22,'caseload data'!$D:$D,"TPO",'caseload data'!$B:$B,{"licence","community"}))/SUM(SUMIFS('caseload data'!T:T,'caseload data'!$B:$B,{"licence","community"},'caseload data'!$C:$C,'community %'!$T$22)),"")</f>
        <v/>
      </c>
    </row>
    <row r="27" spans="2:36" x14ac:dyDescent="0.15">
      <c r="B27" s="108" t="s">
        <v>914</v>
      </c>
      <c r="C27" s="181" t="str">
        <f>IFERROR(SUM(SUMIFS('caseload data'!E:E,'caseload data'!$C:$C,'community %'!$B$22,'caseload data'!$D:$D,"SPO",'caseload data'!$B:$B,{"licence","community"}))/SUM(SUMIFS('caseload data'!E:E,'caseload data'!$B:$B,{"licence","community"},'caseload data'!$C:$C,'community %'!$B$22)),"")</f>
        <v/>
      </c>
      <c r="D27" s="181" t="str">
        <f>IFERROR(SUM(SUMIFS('caseload data'!F:F,'caseload data'!$C:$C,'community %'!$B$22,'caseload data'!$D:$D,"SPO",'caseload data'!$B:$B,{"licence","community"}))/SUM(SUMIFS('caseload data'!F:F,'caseload data'!$B:$B,{"licence","community"},'caseload data'!$C:$C,'community %'!$B$22)),"")</f>
        <v/>
      </c>
      <c r="E27" s="181" t="str">
        <f>IFERROR(SUM(SUMIFS('caseload data'!G:G,'caseload data'!$C:$C,'community %'!$B$22,'caseload data'!$D:$D,"SPO",'caseload data'!$B:$B,{"licence","community"}))/SUM(SUMIFS('caseload data'!G:G,'caseload data'!$B:$B,{"licence","community"},'caseload data'!$C:$C,'community %'!$B$22)),"")</f>
        <v/>
      </c>
      <c r="F27" s="181" t="str">
        <f>IFERROR(SUM(SUMIFS('caseload data'!H:H,'caseload data'!$C:$C,'community %'!$B$22,'caseload data'!$D:$D,"SPO",'caseload data'!$B:$B,{"licence","community"}))/SUM(SUMIFS('caseload data'!H:H,'caseload data'!$B:$B,{"licence","community"},'caseload data'!$C:$C,'community %'!$B$22)),"")</f>
        <v/>
      </c>
      <c r="G27" s="181" t="str">
        <f>IFERROR(SUM(SUMIFS('caseload data'!I:I,'caseload data'!$C:$C,'community %'!$B$22,'caseload data'!$D:$D,"SPO",'caseload data'!$B:$B,{"licence","community"}))/SUM(SUMIFS('caseload data'!I:I,'caseload data'!$B:$B,{"licence","community"},'caseload data'!$C:$C,'community %'!$B$22)),"")</f>
        <v/>
      </c>
      <c r="H27" s="181" t="str">
        <f>IFERROR(SUM(SUMIFS('caseload data'!J:J,'caseload data'!$C:$C,'community %'!$B$22,'caseload data'!$D:$D,"SPO",'caseload data'!$B:$B,{"licence","community"}))/SUM(SUMIFS('caseload data'!J:J,'caseload data'!$B:$B,{"licence","community"},'caseload data'!$C:$C,'community %'!$B$22)),"")</f>
        <v/>
      </c>
      <c r="I27" s="181" t="str">
        <f>IFERROR(SUM(SUMIFS('caseload data'!K:K,'caseload data'!$C:$C,'community %'!$B$22,'caseload data'!$D:$D,"SPO",'caseload data'!$B:$B,{"licence","community"}))/SUM(SUMIFS('caseload data'!K:K,'caseload data'!$B:$B,{"licence","community"},'caseload data'!$C:$C,'community %'!$B$22)),"")</f>
        <v/>
      </c>
      <c r="J27" s="181" t="str">
        <f>IFERROR(SUM(SUMIFS('caseload data'!L:L,'caseload data'!$C:$C,'community %'!$B$22,'caseload data'!$D:$D,"SPO",'caseload data'!$B:$B,{"licence","community"}))/SUM(SUMIFS('caseload data'!L:L,'caseload data'!$B:$B,{"licence","community"},'caseload data'!$C:$C,'community %'!$B$22)),"")</f>
        <v/>
      </c>
      <c r="K27" s="181" t="str">
        <f>IFERROR(SUM(SUMIFS('caseload data'!M:M,'caseload data'!$C:$C,'community %'!$B$22,'caseload data'!$D:$D,"SPO",'caseload data'!$B:$B,{"licence","community"}))/SUM(SUMIFS('caseload data'!M:M,'caseload data'!$B:$B,{"licence","community"},'caseload data'!$C:$C,'community %'!$B$22)),"")</f>
        <v/>
      </c>
      <c r="L27" s="181" t="str">
        <f>IFERROR(SUM(SUMIFS('caseload data'!N:N,'caseload data'!$C:$C,'community %'!$B$22,'caseload data'!$D:$D,"SPO",'caseload data'!$B:$B,{"licence","community"}))/SUM(SUMIFS('caseload data'!N:N,'caseload data'!$B:$B,{"licence","community"},'caseload data'!$C:$C,'community %'!$B$22)),"")</f>
        <v/>
      </c>
      <c r="M27" s="181" t="str">
        <f>IFERROR(SUM(SUMIFS('caseload data'!O:O,'caseload data'!$C:$C,'community %'!$B$22,'caseload data'!$D:$D,"SPO",'caseload data'!$B:$B,{"licence","community"}))/SUM(SUMIFS('caseload data'!O:O,'caseload data'!$B:$B,{"licence","community"},'caseload data'!$C:$C,'community %'!$B$22)),"")</f>
        <v/>
      </c>
      <c r="N27" s="181" t="str">
        <f>IFERROR(SUM(SUMIFS('caseload data'!P:P,'caseload data'!$C:$C,'community %'!$B$22,'caseload data'!$D:$D,"SPO",'caseload data'!$B:$B,{"licence","community"}))/SUM(SUMIFS('caseload data'!P:P,'caseload data'!$B:$B,{"licence","community"},'caseload data'!$C:$C,'community %'!$B$22)),"")</f>
        <v/>
      </c>
      <c r="O27" s="181" t="str">
        <f>IFERROR(SUM(SUMIFS('caseload data'!Q:Q,'caseload data'!$C:$C,'community %'!$B$22,'caseload data'!$D:$D,"SPO",'caseload data'!$B:$B,{"licence","community"}))/SUM(SUMIFS('caseload data'!Q:Q,'caseload data'!$B:$B,{"licence","community"},'caseload data'!$C:$C,'community %'!$B$22)),"")</f>
        <v/>
      </c>
      <c r="P27" s="181" t="str">
        <f>IFERROR(SUM(SUMIFS('caseload data'!R:R,'caseload data'!$C:$C,'community %'!$B$22,'caseload data'!$D:$D,"SPO",'caseload data'!$B:$B,{"licence","community"}))/SUM(SUMIFS('caseload data'!R:R,'caseload data'!$B:$B,{"licence","community"},'caseload data'!$C:$C,'community %'!$B$22)),"")</f>
        <v/>
      </c>
      <c r="Q27" s="181" t="str">
        <f>IFERROR(SUM(SUMIFS('caseload data'!S:S,'caseload data'!$C:$C,'community %'!$B$22,'caseload data'!$D:$D,"SPO",'caseload data'!$B:$B,{"licence","community"}))/SUM(SUMIFS('caseload data'!S:S,'caseload data'!$B:$B,{"licence","community"},'caseload data'!$C:$C,'community %'!$B$22)),"")</f>
        <v/>
      </c>
      <c r="R27" s="181" t="str">
        <f>IFERROR(SUM(SUMIFS('caseload data'!T:T,'caseload data'!$C:$C,'community %'!$B$22,'caseload data'!$D:$D,"SPO",'caseload data'!$B:$B,{"licence","community"}))/SUM(SUMIFS('caseload data'!T:T,'caseload data'!$B:$B,{"licence","community"},'caseload data'!$C:$C,'community %'!$B$22)),"")</f>
        <v/>
      </c>
      <c r="S27" s="73"/>
      <c r="T27" s="108" t="s">
        <v>914</v>
      </c>
      <c r="U27" s="181" t="str">
        <f>IFERROR(SUM(SUMIFS('caseload data'!E:E,'caseload data'!$C:$C,'community %'!$T$22,'caseload data'!$D:$D,"SPO",'caseload data'!$B:$B,{"licence","community"}))/SUM(SUMIFS('caseload data'!E:E,'caseload data'!$B:$B,{"licence","community"},'caseload data'!$C:$C,'community %'!$T$22)),"")</f>
        <v/>
      </c>
      <c r="V27" s="181" t="str">
        <f>IFERROR(SUM(SUMIFS('caseload data'!F:F,'caseload data'!$C:$C,'community %'!$T$22,'caseload data'!$D:$D,"SPO",'caseload data'!$B:$B,{"licence","community"}))/SUM(SUMIFS('caseload data'!F:F,'caseload data'!$B:$B,{"licence","community"},'caseload data'!$C:$C,'community %'!$T$22)),"")</f>
        <v/>
      </c>
      <c r="W27" s="181" t="str">
        <f>IFERROR(SUM(SUMIFS('caseload data'!G:G,'caseload data'!$C:$C,'community %'!$T$22,'caseload data'!$D:$D,"SPO",'caseload data'!$B:$B,{"licence","community"}))/SUM(SUMIFS('caseload data'!G:G,'caseload data'!$B:$B,{"licence","community"},'caseload data'!$C:$C,'community %'!$T$22)),"")</f>
        <v/>
      </c>
      <c r="X27" s="181" t="str">
        <f>IFERROR(SUM(SUMIFS('caseload data'!H:H,'caseload data'!$C:$C,'community %'!$T$22,'caseload data'!$D:$D,"SPO",'caseload data'!$B:$B,{"licence","community"}))/SUM(SUMIFS('caseload data'!H:H,'caseload data'!$B:$B,{"licence","community"},'caseload data'!$C:$C,'community %'!$T$22)),"")</f>
        <v/>
      </c>
      <c r="Y27" s="181" t="str">
        <f>IFERROR(SUM(SUMIFS('caseload data'!I:I,'caseload data'!$C:$C,'community %'!$T$22,'caseload data'!$D:$D,"SPO",'caseload data'!$B:$B,{"licence","community"}))/SUM(SUMIFS('caseload data'!I:I,'caseload data'!$B:$B,{"licence","community"},'caseload data'!$C:$C,'community %'!$T$22)),"")</f>
        <v/>
      </c>
      <c r="Z27" s="181" t="str">
        <f>IFERROR(SUM(SUMIFS('caseload data'!J:J,'caseload data'!$C:$C,'community %'!$T$22,'caseload data'!$D:$D,"SPO",'caseload data'!$B:$B,{"licence","community"}))/SUM(SUMIFS('caseload data'!J:J,'caseload data'!$B:$B,{"licence","community"},'caseload data'!$C:$C,'community %'!$T$22)),"")</f>
        <v/>
      </c>
      <c r="AA27" s="181" t="str">
        <f>IFERROR(SUM(SUMIFS('caseload data'!K:K,'caseload data'!$C:$C,'community %'!$T$22,'caseload data'!$D:$D,"SPO",'caseload data'!$B:$B,{"licence","community"}))/SUM(SUMIFS('caseload data'!K:K,'caseload data'!$B:$B,{"licence","community"},'caseload data'!$C:$C,'community %'!$T$22)),"")</f>
        <v/>
      </c>
      <c r="AB27" s="181" t="str">
        <f>IFERROR(SUM(SUMIFS('caseload data'!L:L,'caseload data'!$C:$C,'community %'!$T$22,'caseload data'!$D:$D,"SPO",'caseload data'!$B:$B,{"licence","community"}))/SUM(SUMIFS('caseload data'!L:L,'caseload data'!$B:$B,{"licence","community"},'caseload data'!$C:$C,'community %'!$T$22)),"")</f>
        <v/>
      </c>
      <c r="AC27" s="181" t="str">
        <f>IFERROR(SUM(SUMIFS('caseload data'!M:M,'caseload data'!$C:$C,'community %'!$T$22,'caseload data'!$D:$D,"SPO",'caseload data'!$B:$B,{"licence","community"}))/SUM(SUMIFS('caseload data'!M:M,'caseload data'!$B:$B,{"licence","community"},'caseload data'!$C:$C,'community %'!$T$22)),"")</f>
        <v/>
      </c>
      <c r="AD27" s="181" t="str">
        <f>IFERROR(SUM(SUMIFS('caseload data'!N:N,'caseload data'!$C:$C,'community %'!$T$22,'caseload data'!$D:$D,"SPO",'caseload data'!$B:$B,{"licence","community"}))/SUM(SUMIFS('caseload data'!N:N,'caseload data'!$B:$B,{"licence","community"},'caseload data'!$C:$C,'community %'!$T$22)),"")</f>
        <v/>
      </c>
      <c r="AE27" s="181" t="str">
        <f>IFERROR(SUM(SUMIFS('caseload data'!O:O,'caseload data'!$C:$C,'community %'!$T$22,'caseload data'!$D:$D,"SPO",'caseload data'!$B:$B,{"licence","community"}))/SUM(SUMIFS('caseload data'!O:O,'caseload data'!$B:$B,{"licence","community"},'caseload data'!$C:$C,'community %'!$T$22)),"")</f>
        <v/>
      </c>
      <c r="AF27" s="181" t="str">
        <f>IFERROR(SUM(SUMIFS('caseload data'!P:P,'caseload data'!$C:$C,'community %'!$T$22,'caseload data'!$D:$D,"SPO",'caseload data'!$B:$B,{"licence","community"}))/SUM(SUMIFS('caseload data'!P:P,'caseload data'!$B:$B,{"licence","community"},'caseload data'!$C:$C,'community %'!$T$22)),"")</f>
        <v/>
      </c>
      <c r="AG27" s="181" t="str">
        <f>IFERROR(SUM(SUMIFS('caseload data'!Q:Q,'caseload data'!$C:$C,'community %'!$T$22,'caseload data'!$D:$D,"SPO",'caseload data'!$B:$B,{"licence","community"}))/SUM(SUMIFS('caseload data'!Q:Q,'caseload data'!$B:$B,{"licence","community"},'caseload data'!$C:$C,'community %'!$T$22)),"")</f>
        <v/>
      </c>
      <c r="AH27" s="181" t="str">
        <f>IFERROR(SUM(SUMIFS('caseload data'!R:R,'caseload data'!$C:$C,'community %'!$T$22,'caseload data'!$D:$D,"SPO",'caseload data'!$B:$B,{"licence","community"}))/SUM(SUMIFS('caseload data'!R:R,'caseload data'!$B:$B,{"licence","community"},'caseload data'!$C:$C,'community %'!$T$22)),"")</f>
        <v/>
      </c>
      <c r="AI27" s="181" t="str">
        <f>IFERROR(SUM(SUMIFS('caseload data'!S:S,'caseload data'!$C:$C,'community %'!$T$22,'caseload data'!$D:$D,"SPO",'caseload data'!$B:$B,{"licence","community"}))/SUM(SUMIFS('caseload data'!S:S,'caseload data'!$B:$B,{"licence","community"},'caseload data'!$C:$C,'community %'!$T$22)),"")</f>
        <v/>
      </c>
      <c r="AJ27" s="181" t="str">
        <f>IFERROR(SUM(SUMIFS('caseload data'!T:T,'caseload data'!$C:$C,'community %'!$T$22,'caseload data'!$D:$D,"SPO",'caseload data'!$B:$B,{"licence","community"}))/SUM(SUMIFS('caseload data'!T:T,'caseload data'!$B:$B,{"licence","community"},'caseload data'!$C:$C,'community %'!$T$22)),"")</f>
        <v/>
      </c>
    </row>
    <row r="28" spans="2:36" x14ac:dyDescent="0.15">
      <c r="B28" s="101"/>
      <c r="C28" s="73"/>
      <c r="D28" s="73"/>
      <c r="E28" s="73"/>
      <c r="F28" s="73"/>
      <c r="G28" s="73"/>
      <c r="H28" s="73"/>
      <c r="I28" s="73"/>
      <c r="J28" s="73"/>
      <c r="K28" s="73"/>
      <c r="L28" s="73"/>
      <c r="M28" s="73"/>
      <c r="N28" s="73"/>
      <c r="O28" s="73"/>
      <c r="P28" s="73"/>
      <c r="Q28" s="73"/>
      <c r="R28" s="73"/>
      <c r="S28" s="73"/>
      <c r="T28" s="101"/>
      <c r="U28" s="73"/>
      <c r="V28" s="73"/>
      <c r="W28" s="73"/>
      <c r="X28" s="73"/>
      <c r="Y28" s="73"/>
      <c r="Z28" s="73"/>
      <c r="AA28" s="73"/>
      <c r="AB28" s="73"/>
      <c r="AC28" s="73"/>
      <c r="AD28" s="73"/>
      <c r="AE28" s="73"/>
      <c r="AF28" s="73"/>
      <c r="AG28" s="73"/>
      <c r="AH28" s="73"/>
      <c r="AI28" s="73"/>
      <c r="AJ28" s="73"/>
    </row>
    <row r="29" spans="2:36" ht="45.75" customHeight="1" x14ac:dyDescent="0.15">
      <c r="B29" s="156" t="str">
        <f>HLOOKUP($B$5,Region_Table,8,0)</f>
        <v>Ealing and Hillingdon</v>
      </c>
      <c r="C29" s="367" t="s">
        <v>1170</v>
      </c>
      <c r="D29" s="368"/>
      <c r="E29" s="368"/>
      <c r="F29" s="368"/>
      <c r="G29" s="368"/>
      <c r="H29" s="368"/>
      <c r="I29" s="368"/>
      <c r="J29" s="368"/>
      <c r="K29" s="368"/>
      <c r="L29" s="368"/>
      <c r="M29" s="377"/>
      <c r="N29" s="377"/>
      <c r="O29" s="378"/>
      <c r="P29" s="371" cm="1">
        <f t="array" ref="P29">SUM(SUMIFS('caseload data'!V:V,'caseload data'!B:B,{"licence","community"},'caseload data'!$C:$C,B29))</f>
        <v>0</v>
      </c>
      <c r="Q29" s="379"/>
      <c r="R29" s="380"/>
      <c r="S29" s="73"/>
      <c r="T29" s="156" t="str">
        <f>HLOOKUP($B$5,Region_Table,9,0)</f>
        <v>Enfield and Haringey</v>
      </c>
      <c r="U29" s="367" t="s">
        <v>1170</v>
      </c>
      <c r="V29" s="368"/>
      <c r="W29" s="368"/>
      <c r="X29" s="368"/>
      <c r="Y29" s="368"/>
      <c r="Z29" s="368"/>
      <c r="AA29" s="368"/>
      <c r="AB29" s="368"/>
      <c r="AC29" s="368"/>
      <c r="AD29" s="368"/>
      <c r="AE29" s="377"/>
      <c r="AF29" s="377"/>
      <c r="AG29" s="378"/>
      <c r="AH29" s="371" cm="1">
        <f t="array" ref="AH29">SUM(SUMIFS('caseload data'!V:V,'caseload data'!B:B,{"licence","community"},'caseload data'!$C:$C,T29))</f>
        <v>0</v>
      </c>
      <c r="AI29" s="379"/>
      <c r="AJ29" s="380"/>
    </row>
    <row r="30" spans="2:36" x14ac:dyDescent="0.15">
      <c r="B30" s="105" t="s">
        <v>1065</v>
      </c>
      <c r="C30" s="41" t="s">
        <v>922</v>
      </c>
      <c r="D30" s="41" t="s">
        <v>923</v>
      </c>
      <c r="E30" s="41" t="s">
        <v>924</v>
      </c>
      <c r="F30" s="41" t="s">
        <v>925</v>
      </c>
      <c r="G30" s="41" t="s">
        <v>926</v>
      </c>
      <c r="H30" s="41" t="s">
        <v>927</v>
      </c>
      <c r="I30" s="41" t="s">
        <v>928</v>
      </c>
      <c r="J30" s="41" t="s">
        <v>929</v>
      </c>
      <c r="K30" s="41" t="s">
        <v>930</v>
      </c>
      <c r="L30" s="41" t="s">
        <v>931</v>
      </c>
      <c r="M30" s="41" t="s">
        <v>932</v>
      </c>
      <c r="N30" s="41" t="s">
        <v>933</v>
      </c>
      <c r="O30" s="41" t="s">
        <v>934</v>
      </c>
      <c r="P30" s="41" t="s">
        <v>935</v>
      </c>
      <c r="Q30" s="41" t="s">
        <v>936</v>
      </c>
      <c r="R30" s="41" t="s">
        <v>937</v>
      </c>
      <c r="S30" s="73"/>
      <c r="T30" s="105" t="s">
        <v>1065</v>
      </c>
      <c r="U30" s="41" t="s">
        <v>922</v>
      </c>
      <c r="V30" s="41" t="s">
        <v>923</v>
      </c>
      <c r="W30" s="41" t="s">
        <v>924</v>
      </c>
      <c r="X30" s="41" t="s">
        <v>925</v>
      </c>
      <c r="Y30" s="41" t="s">
        <v>926</v>
      </c>
      <c r="Z30" s="41" t="s">
        <v>927</v>
      </c>
      <c r="AA30" s="41" t="s">
        <v>928</v>
      </c>
      <c r="AB30" s="41" t="s">
        <v>929</v>
      </c>
      <c r="AC30" s="41" t="s">
        <v>930</v>
      </c>
      <c r="AD30" s="41" t="s">
        <v>931</v>
      </c>
      <c r="AE30" s="41" t="s">
        <v>932</v>
      </c>
      <c r="AF30" s="41" t="s">
        <v>933</v>
      </c>
      <c r="AG30" s="41" t="s">
        <v>934</v>
      </c>
      <c r="AH30" s="41" t="s">
        <v>935</v>
      </c>
      <c r="AI30" s="41" t="s">
        <v>936</v>
      </c>
      <c r="AJ30" s="41" t="s">
        <v>937</v>
      </c>
    </row>
    <row r="31" spans="2:36" x14ac:dyDescent="0.15">
      <c r="B31" s="106" t="s">
        <v>911</v>
      </c>
      <c r="C31" s="181" t="str">
        <f>IFERROR(SUM(SUMIFS('caseload data'!E:E,'caseload data'!$C:$C,'community %'!$B$29,'caseload data'!$D:$D,"PO",'caseload data'!$B:$B,{"licence","community"}))/SUM(SUMIFS('caseload data'!E:E,'caseload data'!$B:$B,{"licence","community"},'caseload data'!$C:$C,'community %'!$B$29)),"")</f>
        <v/>
      </c>
      <c r="D31" s="181" t="str">
        <f>IFERROR(SUM(SUMIFS('caseload data'!F:F,'caseload data'!$C:$C,'community %'!$B$29,'caseload data'!$D:$D,"PO",'caseload data'!$B:$B,{"licence","community"}))/SUM(SUMIFS('caseload data'!F:F,'caseload data'!$B:$B,{"licence","community"},'caseload data'!$C:$C,'community %'!$B$29)),"")</f>
        <v/>
      </c>
      <c r="E31" s="181" t="str">
        <f>IFERROR(SUM(SUMIFS('caseload data'!G:G,'caseload data'!$C:$C,'community %'!$B$29,'caseload data'!$D:$D,"PO",'caseload data'!$B:$B,{"licence","community"}))/SUM(SUMIFS('caseload data'!G:G,'caseload data'!$B:$B,{"licence","community"},'caseload data'!$C:$C,'community %'!$B$29)),"")</f>
        <v/>
      </c>
      <c r="F31" s="181" t="str">
        <f>IFERROR(SUM(SUMIFS('caseload data'!H:H,'caseload data'!$C:$C,'community %'!$B$29,'caseload data'!$D:$D,"PO",'caseload data'!$B:$B,{"licence","community"}))/SUM(SUMIFS('caseload data'!H:H,'caseload data'!$B:$B,{"licence","community"},'caseload data'!$C:$C,'community %'!$B$29)),"")</f>
        <v/>
      </c>
      <c r="G31" s="181" t="str">
        <f>IFERROR(SUM(SUMIFS('caseload data'!I:I,'caseload data'!$C:$C,'community %'!$B$29,'caseload data'!$D:$D,"PO",'caseload data'!$B:$B,{"licence","community"}))/SUM(SUMIFS('caseload data'!I:I,'caseload data'!$B:$B,{"licence","community"},'caseload data'!$C:$C,'community %'!$B$29)),"")</f>
        <v/>
      </c>
      <c r="H31" s="181" t="str">
        <f>IFERROR(SUM(SUMIFS('caseload data'!J:J,'caseload data'!$C:$C,'community %'!$B$29,'caseload data'!$D:$D,"PO",'caseload data'!$B:$B,{"licence","community"}))/SUM(SUMIFS('caseload data'!J:J,'caseload data'!$B:$B,{"licence","community"},'caseload data'!$C:$C,'community %'!$B$29)),"")</f>
        <v/>
      </c>
      <c r="I31" s="181" t="str">
        <f>IFERROR(SUM(SUMIFS('caseload data'!K:K,'caseload data'!$C:$C,'community %'!$B$29,'caseload data'!$D:$D,"PO",'caseload data'!$B:$B,{"licence","community"}))/SUM(SUMIFS('caseload data'!K:K,'caseload data'!$B:$B,{"licence","community"},'caseload data'!$C:$C,'community %'!$B$29)),"")</f>
        <v/>
      </c>
      <c r="J31" s="181" t="str">
        <f>IFERROR(SUM(SUMIFS('caseload data'!L:L,'caseload data'!$C:$C,'community %'!$B$29,'caseload data'!$D:$D,"PO",'caseload data'!$B:$B,{"licence","community"}))/SUM(SUMIFS('caseload data'!L:L,'caseload data'!$B:$B,{"licence","community"},'caseload data'!$C:$C,'community %'!$B$29)),"")</f>
        <v/>
      </c>
      <c r="K31" s="181" t="str">
        <f>IFERROR(SUM(SUMIFS('caseload data'!M:M,'caseload data'!$C:$C,'community %'!$B$29,'caseload data'!$D:$D,"PO",'caseload data'!$B:$B,{"licence","community"}))/SUM(SUMIFS('caseload data'!M:M,'caseload data'!$B:$B,{"licence","community"},'caseload data'!$C:$C,'community %'!$B$29)),"")</f>
        <v/>
      </c>
      <c r="L31" s="181" t="str">
        <f>IFERROR(SUM(SUMIFS('caseload data'!N:N,'caseload data'!$C:$C,'community %'!$B$29,'caseload data'!$D:$D,"PO",'caseload data'!$B:$B,{"licence","community"}))/SUM(SUMIFS('caseload data'!N:N,'caseload data'!$B:$B,{"licence","community"},'caseload data'!$C:$C,'community %'!$B$29)),"")</f>
        <v/>
      </c>
      <c r="M31" s="181" t="str">
        <f>IFERROR(SUM(SUMIFS('caseload data'!O:O,'caseload data'!$C:$C,'community %'!$B$29,'caseload data'!$D:$D,"PO",'caseload data'!$B:$B,{"licence","community"}))/SUM(SUMIFS('caseload data'!O:O,'caseload data'!$B:$B,{"licence","community"},'caseload data'!$C:$C,'community %'!$B$29)),"")</f>
        <v/>
      </c>
      <c r="N31" s="181" t="str">
        <f>IFERROR(SUM(SUMIFS('caseload data'!P:P,'caseload data'!$C:$C,'community %'!$B$29,'caseload data'!$D:$D,"PO",'caseload data'!$B:$B,{"licence","community"}))/SUM(SUMIFS('caseload data'!P:P,'caseload data'!$B:$B,{"licence","community"},'caseload data'!$C:$C,'community %'!$B$29)),"")</f>
        <v/>
      </c>
      <c r="O31" s="181" t="str">
        <f>IFERROR(SUM(SUMIFS('caseload data'!Q:Q,'caseload data'!$C:$C,'community %'!$B$29,'caseload data'!$D:$D,"PO",'caseload data'!$B:$B,{"licence","community"}))/SUM(SUMIFS('caseload data'!Q:Q,'caseload data'!$B:$B,{"licence","community"},'caseload data'!$C:$C,'community %'!$B$29)),"")</f>
        <v/>
      </c>
      <c r="P31" s="181" t="str">
        <f>IFERROR(SUM(SUMIFS('caseload data'!R:R,'caseload data'!$C:$C,'community %'!$B$29,'caseload data'!$D:$D,"PO",'caseload data'!$B:$B,{"licence","community"}))/SUM(SUMIFS('caseload data'!R:R,'caseload data'!$B:$B,{"licence","community"},'caseload data'!$C:$C,'community %'!$B$29)),"")</f>
        <v/>
      </c>
      <c r="Q31" s="181" t="str">
        <f>IFERROR(SUM(SUMIFS('caseload data'!S:S,'caseload data'!$C:$C,'community %'!$B$29,'caseload data'!$D:$D,"PO",'caseload data'!$B:$B,{"licence","community"}))/SUM(SUMIFS('caseload data'!S:S,'caseload data'!$B:$B,{"licence","community"},'caseload data'!$C:$C,'community %'!$B$29)),"")</f>
        <v/>
      </c>
      <c r="R31" s="181" t="str">
        <f>IFERROR(SUM(SUMIFS('caseload data'!T:T,'caseload data'!$C:$C,'community %'!$B$29,'caseload data'!$D:$D,"PO",'caseload data'!$B:$B,{"licence","community"}))/SUM(SUMIFS('caseload data'!T:T,'caseload data'!$B:$B,{"licence","community"},'caseload data'!$C:$C,'community %'!$B$29)),"")</f>
        <v/>
      </c>
      <c r="S31" s="73"/>
      <c r="T31" s="106" t="s">
        <v>911</v>
      </c>
      <c r="U31" s="181" t="str">
        <f>IFERROR(SUM(SUMIFS('caseload data'!E:E,'caseload data'!$C:$C,'community %'!$T$29,'caseload data'!$D:$D,"PO",'caseload data'!$B:$B,{"licence","community"}))/SUM(SUMIFS('caseload data'!E:E,'caseload data'!$B:$B,{"licence","community"},'caseload data'!$C:$C,'community %'!$T$29)),"")</f>
        <v/>
      </c>
      <c r="V31" s="181" t="str">
        <f>IFERROR(SUM(SUMIFS('caseload data'!F:F,'caseload data'!$C:$C,'community %'!$T$29,'caseload data'!$D:$D,"PO",'caseload data'!$B:$B,{"licence","community"}))/SUM(SUMIFS('caseload data'!F:F,'caseload data'!$B:$B,{"licence","community"},'caseload data'!$C:$C,'community %'!$T$29)),"")</f>
        <v/>
      </c>
      <c r="W31" s="181" t="str">
        <f>IFERROR(SUM(SUMIFS('caseload data'!G:G,'caseload data'!$C:$C,'community %'!$T$29,'caseload data'!$D:$D,"PO",'caseload data'!$B:$B,{"licence","community"}))/SUM(SUMIFS('caseload data'!G:G,'caseload data'!$B:$B,{"licence","community"},'caseload data'!$C:$C,'community %'!$T$29)),"")</f>
        <v/>
      </c>
      <c r="X31" s="181" t="str">
        <f>IFERROR(SUM(SUMIFS('caseload data'!H:H,'caseload data'!$C:$C,'community %'!$T$29,'caseload data'!$D:$D,"PO",'caseload data'!$B:$B,{"licence","community"}))/SUM(SUMIFS('caseload data'!H:H,'caseload data'!$B:$B,{"licence","community"},'caseload data'!$C:$C,'community %'!$T$29)),"")</f>
        <v/>
      </c>
      <c r="Y31" s="181" t="str">
        <f>IFERROR(SUM(SUMIFS('caseload data'!I:I,'caseload data'!$C:$C,'community %'!$T$29,'caseload data'!$D:$D,"PO",'caseload data'!$B:$B,{"licence","community"}))/SUM(SUMIFS('caseload data'!I:I,'caseload data'!$B:$B,{"licence","community"},'caseload data'!$C:$C,'community %'!$T$29)),"")</f>
        <v/>
      </c>
      <c r="Z31" s="181" t="str">
        <f>IFERROR(SUM(SUMIFS('caseload data'!J:J,'caseload data'!$C:$C,'community %'!$T$29,'caseload data'!$D:$D,"PO",'caseload data'!$B:$B,{"licence","community"}))/SUM(SUMIFS('caseload data'!J:J,'caseload data'!$B:$B,{"licence","community"},'caseload data'!$C:$C,'community %'!$T$29)),"")</f>
        <v/>
      </c>
      <c r="AA31" s="181" t="str">
        <f>IFERROR(SUM(SUMIFS('caseload data'!K:K,'caseload data'!$C:$C,'community %'!$T$29,'caseload data'!$D:$D,"PO",'caseload data'!$B:$B,{"licence","community"}))/SUM(SUMIFS('caseload data'!K:K,'caseload data'!$B:$B,{"licence","community"},'caseload data'!$C:$C,'community %'!$T$29)),"")</f>
        <v/>
      </c>
      <c r="AB31" s="181" t="str">
        <f>IFERROR(SUM(SUMIFS('caseload data'!L:L,'caseload data'!$C:$C,'community %'!$T$29,'caseload data'!$D:$D,"PO",'caseload data'!$B:$B,{"licence","community"}))/SUM(SUMIFS('caseload data'!L:L,'caseload data'!$B:$B,{"licence","community"},'caseload data'!$C:$C,'community %'!$T$29)),"")</f>
        <v/>
      </c>
      <c r="AC31" s="181" t="str">
        <f>IFERROR(SUM(SUMIFS('caseload data'!M:M,'caseload data'!$C:$C,'community %'!$T$29,'caseload data'!$D:$D,"PO",'caseload data'!$B:$B,{"licence","community"}))/SUM(SUMIFS('caseload data'!M:M,'caseload data'!$B:$B,{"licence","community"},'caseload data'!$C:$C,'community %'!$T$29)),"")</f>
        <v/>
      </c>
      <c r="AD31" s="181" t="str">
        <f>IFERROR(SUM(SUMIFS('caseload data'!N:N,'caseload data'!$C:$C,'community %'!$T$29,'caseload data'!$D:$D,"PO",'caseload data'!$B:$B,{"licence","community"}))/SUM(SUMIFS('caseload data'!N:N,'caseload data'!$B:$B,{"licence","community"},'caseload data'!$C:$C,'community %'!$T$29)),"")</f>
        <v/>
      </c>
      <c r="AE31" s="181" t="str">
        <f>IFERROR(SUM(SUMIFS('caseload data'!O:O,'caseload data'!$C:$C,'community %'!$T$29,'caseload data'!$D:$D,"PO",'caseload data'!$B:$B,{"licence","community"}))/SUM(SUMIFS('caseload data'!O:O,'caseload data'!$B:$B,{"licence","community"},'caseload data'!$C:$C,'community %'!$T$29)),"")</f>
        <v/>
      </c>
      <c r="AF31" s="181" t="str">
        <f>IFERROR(SUM(SUMIFS('caseload data'!P:P,'caseload data'!$C:$C,'community %'!$T$29,'caseload data'!$D:$D,"PO",'caseload data'!$B:$B,{"licence","community"}))/SUM(SUMIFS('caseload data'!P:P,'caseload data'!$B:$B,{"licence","community"},'caseload data'!$C:$C,'community %'!$T$29)),"")</f>
        <v/>
      </c>
      <c r="AG31" s="181" t="str">
        <f>IFERROR(SUM(SUMIFS('caseload data'!Q:Q,'caseload data'!$C:$C,'community %'!$T$29,'caseload data'!$D:$D,"PO",'caseload data'!$B:$B,{"licence","community"}))/SUM(SUMIFS('caseload data'!Q:Q,'caseload data'!$B:$B,{"licence","community"},'caseload data'!$C:$C,'community %'!$T$29)),"")</f>
        <v/>
      </c>
      <c r="AH31" s="181" t="str">
        <f>IFERROR(SUM(SUMIFS('caseload data'!R:R,'caseload data'!$C:$C,'community %'!$T$29,'caseload data'!$D:$D,"PO",'caseload data'!$B:$B,{"licence","community"}))/SUM(SUMIFS('caseload data'!R:R,'caseload data'!$B:$B,{"licence","community"},'caseload data'!$C:$C,'community %'!$T$29)),"")</f>
        <v/>
      </c>
      <c r="AI31" s="181" t="str">
        <f>IFERROR(SUM(SUMIFS('caseload data'!S:S,'caseload data'!$C:$C,'community %'!$T$29,'caseload data'!$D:$D,"PO",'caseload data'!$B:$B,{"licence","community"}))/SUM(SUMIFS('caseload data'!S:S,'caseload data'!$B:$B,{"licence","community"},'caseload data'!$C:$C,'community %'!$T$29)),"")</f>
        <v/>
      </c>
      <c r="AJ31" s="181" t="str">
        <f>IFERROR(SUM(SUMIFS('caseload data'!T:T,'caseload data'!$C:$C,'community %'!$T$29,'caseload data'!$D:$D,"PO",'caseload data'!$B:$B,{"licence","community"}))/SUM(SUMIFS('caseload data'!T:T,'caseload data'!$B:$B,{"licence","community"},'caseload data'!$C:$C,'community %'!$T$29)),"")</f>
        <v/>
      </c>
    </row>
    <row r="32" spans="2:36" x14ac:dyDescent="0.15">
      <c r="B32" s="107" t="s">
        <v>912</v>
      </c>
      <c r="C32" s="181" t="str">
        <f>IFERROR(SUM(SUMIFS('caseload data'!E:E,'caseload data'!$C:$C,'community %'!$B$29,'caseload data'!$D:$D,"PSO",'caseload data'!$B:$B,{"licence","community"}))/SUM(SUMIFS('caseload data'!E:E,'caseload data'!$B:$B,{"licence","community"},'caseload data'!$C:$C,'community %'!$B$29)),"")</f>
        <v/>
      </c>
      <c r="D32" s="181" t="str">
        <f>IFERROR(SUM(SUMIFS('caseload data'!F:F,'caseload data'!$C:$C,'community %'!$B$29,'caseload data'!$D:$D,"PSO",'caseload data'!$B:$B,{"licence","community"}))/SUM(SUMIFS('caseload data'!F:F,'caseload data'!$B:$B,{"licence","community"},'caseload data'!$C:$C,'community %'!$B$29)),"")</f>
        <v/>
      </c>
      <c r="E32" s="181" t="str">
        <f>IFERROR(SUM(SUMIFS('caseload data'!G:G,'caseload data'!$C:$C,'community %'!$B$29,'caseload data'!$D:$D,"PSO",'caseload data'!$B:$B,{"licence","community"}))/SUM(SUMIFS('caseload data'!G:G,'caseload data'!$B:$B,{"licence","community"},'caseload data'!$C:$C,'community %'!$B$29)),"")</f>
        <v/>
      </c>
      <c r="F32" s="181" t="str">
        <f>IFERROR(SUM(SUMIFS('caseload data'!H:H,'caseload data'!$C:$C,'community %'!$B$29,'caseload data'!$D:$D,"PSO",'caseload data'!$B:$B,{"licence","community"}))/SUM(SUMIFS('caseload data'!H:H,'caseload data'!$B:$B,{"licence","community"},'caseload data'!$C:$C,'community %'!$B$29)),"")</f>
        <v/>
      </c>
      <c r="G32" s="181" t="str">
        <f>IFERROR(SUM(SUMIFS('caseload data'!I:I,'caseload data'!$C:$C,'community %'!$B$29,'caseload data'!$D:$D,"PSO",'caseload data'!$B:$B,{"licence","community"}))/SUM(SUMIFS('caseload data'!I:I,'caseload data'!$B:$B,{"licence","community"},'caseload data'!$C:$C,'community %'!$B$29)),"")</f>
        <v/>
      </c>
      <c r="H32" s="181" t="str">
        <f>IFERROR(SUM(SUMIFS('caseload data'!J:J,'caseload data'!$C:$C,'community %'!$B$29,'caseload data'!$D:$D,"PSO",'caseload data'!$B:$B,{"licence","community"}))/SUM(SUMIFS('caseload data'!J:J,'caseload data'!$B:$B,{"licence","community"},'caseload data'!$C:$C,'community %'!$B$29)),"")</f>
        <v/>
      </c>
      <c r="I32" s="181" t="str">
        <f>IFERROR(SUM(SUMIFS('caseload data'!K:K,'caseload data'!$C:$C,'community %'!$B$29,'caseload data'!$D:$D,"PSO",'caseload data'!$B:$B,{"licence","community"}))/SUM(SUMIFS('caseload data'!K:K,'caseload data'!$B:$B,{"licence","community"},'caseload data'!$C:$C,'community %'!$B$29)),"")</f>
        <v/>
      </c>
      <c r="J32" s="181" t="str">
        <f>IFERROR(SUM(SUMIFS('caseload data'!L:L,'caseload data'!$C:$C,'community %'!$B$29,'caseload data'!$D:$D,"PSO",'caseload data'!$B:$B,{"licence","community"}))/SUM(SUMIFS('caseload data'!L:L,'caseload data'!$B:$B,{"licence","community"},'caseload data'!$C:$C,'community %'!$B$29)),"")</f>
        <v/>
      </c>
      <c r="K32" s="181" t="str">
        <f>IFERROR(SUM(SUMIFS('caseload data'!M:M,'caseload data'!$C:$C,'community %'!$B$29,'caseload data'!$D:$D,"PSO",'caseload data'!$B:$B,{"licence","community"}))/SUM(SUMIFS('caseload data'!M:M,'caseload data'!$B:$B,{"licence","community"},'caseload data'!$C:$C,'community %'!$B$29)),"")</f>
        <v/>
      </c>
      <c r="L32" s="181" t="str">
        <f>IFERROR(SUM(SUMIFS('caseload data'!N:N,'caseload data'!$C:$C,'community %'!$B$29,'caseload data'!$D:$D,"PSO",'caseload data'!$B:$B,{"licence","community"}))/SUM(SUMIFS('caseload data'!N:N,'caseload data'!$B:$B,{"licence","community"},'caseload data'!$C:$C,'community %'!$B$29)),"")</f>
        <v/>
      </c>
      <c r="M32" s="181" t="str">
        <f>IFERROR(SUM(SUMIFS('caseload data'!O:O,'caseload data'!$C:$C,'community %'!$B$29,'caseload data'!$D:$D,"PSO",'caseload data'!$B:$B,{"licence","community"}))/SUM(SUMIFS('caseload data'!O:O,'caseload data'!$B:$B,{"licence","community"},'caseload data'!$C:$C,'community %'!$B$29)),"")</f>
        <v/>
      </c>
      <c r="N32" s="181" t="str">
        <f>IFERROR(SUM(SUMIFS('caseload data'!P:P,'caseload data'!$C:$C,'community %'!$B$29,'caseload data'!$D:$D,"PSO",'caseload data'!$B:$B,{"licence","community"}))/SUM(SUMIFS('caseload data'!P:P,'caseload data'!$B:$B,{"licence","community"},'caseload data'!$C:$C,'community %'!$B$29)),"")</f>
        <v/>
      </c>
      <c r="O32" s="181" t="str">
        <f>IFERROR(SUM(SUMIFS('caseload data'!Q:Q,'caseload data'!$C:$C,'community %'!$B$29,'caseload data'!$D:$D,"PSO",'caseload data'!$B:$B,{"licence","community"}))/SUM(SUMIFS('caseload data'!Q:Q,'caseload data'!$B:$B,{"licence","community"},'caseload data'!$C:$C,'community %'!$B$29)),"")</f>
        <v/>
      </c>
      <c r="P32" s="181" t="str">
        <f>IFERROR(SUM(SUMIFS('caseload data'!R:R,'caseload data'!$C:$C,'community %'!$B$29,'caseload data'!$D:$D,"PSO",'caseload data'!$B:$B,{"licence","community"}))/SUM(SUMIFS('caseload data'!R:R,'caseload data'!$B:$B,{"licence","community"},'caseload data'!$C:$C,'community %'!$B$29)),"")</f>
        <v/>
      </c>
      <c r="Q32" s="181" t="str">
        <f>IFERROR(SUM(SUMIFS('caseload data'!S:S,'caseload data'!$C:$C,'community %'!$B$29,'caseload data'!$D:$D,"PSO",'caseload data'!$B:$B,{"licence","community"}))/SUM(SUMIFS('caseload data'!S:S,'caseload data'!$B:$B,{"licence","community"},'caseload data'!$C:$C,'community %'!$B$29)),"")</f>
        <v/>
      </c>
      <c r="R32" s="181" t="str">
        <f>IFERROR(SUM(SUMIFS('caseload data'!T:T,'caseload data'!$C:$C,'community %'!$B$29,'caseload data'!$D:$D,"PSO",'caseload data'!$B:$B,{"licence","community"}))/SUM(SUMIFS('caseload data'!T:T,'caseload data'!$B:$B,{"licence","community"},'caseload data'!$C:$C,'community %'!$B$29)),"")</f>
        <v/>
      </c>
      <c r="S32" s="73"/>
      <c r="T32" s="107" t="s">
        <v>912</v>
      </c>
      <c r="U32" s="181" t="str">
        <f>IFERROR(SUM(SUMIFS('caseload data'!E:E,'caseload data'!$C:$C,'community %'!$T$29,'caseload data'!$D:$D,"PSO",'caseload data'!$B:$B,{"licence","community"}))/SUM(SUMIFS('caseload data'!E:E,'caseload data'!$B:$B,{"licence","community"},'caseload data'!$C:$C,'community %'!$T$29)),"")</f>
        <v/>
      </c>
      <c r="V32" s="181" t="str">
        <f>IFERROR(SUM(SUMIFS('caseload data'!F:F,'caseload data'!$C:$C,'community %'!$T$29,'caseload data'!$D:$D,"PSO",'caseload data'!$B:$B,{"licence","community"}))/SUM(SUMIFS('caseload data'!F:F,'caseload data'!$B:$B,{"licence","community"},'caseload data'!$C:$C,'community %'!$T$29)),"")</f>
        <v/>
      </c>
      <c r="W32" s="181" t="str">
        <f>IFERROR(SUM(SUMIFS('caseload data'!G:G,'caseload data'!$C:$C,'community %'!$T$29,'caseload data'!$D:$D,"PSO",'caseload data'!$B:$B,{"licence","community"}))/SUM(SUMIFS('caseload data'!G:G,'caseload data'!$B:$B,{"licence","community"},'caseload data'!$C:$C,'community %'!$T$29)),"")</f>
        <v/>
      </c>
      <c r="X32" s="181" t="str">
        <f>IFERROR(SUM(SUMIFS('caseload data'!H:H,'caseload data'!$C:$C,'community %'!$T$29,'caseload data'!$D:$D,"PSO",'caseload data'!$B:$B,{"licence","community"}))/SUM(SUMIFS('caseload data'!H:H,'caseload data'!$B:$B,{"licence","community"},'caseload data'!$C:$C,'community %'!$T$29)),"")</f>
        <v/>
      </c>
      <c r="Y32" s="181" t="str">
        <f>IFERROR(SUM(SUMIFS('caseload data'!I:I,'caseload data'!$C:$C,'community %'!$T$29,'caseload data'!$D:$D,"PSO",'caseload data'!$B:$B,{"licence","community"}))/SUM(SUMIFS('caseload data'!I:I,'caseload data'!$B:$B,{"licence","community"},'caseload data'!$C:$C,'community %'!$T$29)),"")</f>
        <v/>
      </c>
      <c r="Z32" s="181" t="str">
        <f>IFERROR(SUM(SUMIFS('caseload data'!J:J,'caseload data'!$C:$C,'community %'!$T$29,'caseload data'!$D:$D,"PSO",'caseload data'!$B:$B,{"licence","community"}))/SUM(SUMIFS('caseload data'!J:J,'caseload data'!$B:$B,{"licence","community"},'caseload data'!$C:$C,'community %'!$T$29)),"")</f>
        <v/>
      </c>
      <c r="AA32" s="181" t="str">
        <f>IFERROR(SUM(SUMIFS('caseload data'!K:K,'caseload data'!$C:$C,'community %'!$T$29,'caseload data'!$D:$D,"PSO",'caseload data'!$B:$B,{"licence","community"}))/SUM(SUMIFS('caseload data'!K:K,'caseload data'!$B:$B,{"licence","community"},'caseload data'!$C:$C,'community %'!$T$29)),"")</f>
        <v/>
      </c>
      <c r="AB32" s="181" t="str">
        <f>IFERROR(SUM(SUMIFS('caseload data'!L:L,'caseload data'!$C:$C,'community %'!$T$29,'caseload data'!$D:$D,"PSO",'caseload data'!$B:$B,{"licence","community"}))/SUM(SUMIFS('caseload data'!L:L,'caseload data'!$B:$B,{"licence","community"},'caseload data'!$C:$C,'community %'!$T$29)),"")</f>
        <v/>
      </c>
      <c r="AC32" s="181" t="str">
        <f>IFERROR(SUM(SUMIFS('caseload data'!M:M,'caseload data'!$C:$C,'community %'!$T$29,'caseload data'!$D:$D,"PSO",'caseload data'!$B:$B,{"licence","community"}))/SUM(SUMIFS('caseload data'!M:M,'caseload data'!$B:$B,{"licence","community"},'caseload data'!$C:$C,'community %'!$T$29)),"")</f>
        <v/>
      </c>
      <c r="AD32" s="181" t="str">
        <f>IFERROR(SUM(SUMIFS('caseload data'!N:N,'caseload data'!$C:$C,'community %'!$T$29,'caseload data'!$D:$D,"PSO",'caseload data'!$B:$B,{"licence","community"}))/SUM(SUMIFS('caseload data'!N:N,'caseload data'!$B:$B,{"licence","community"},'caseload data'!$C:$C,'community %'!$T$29)),"")</f>
        <v/>
      </c>
      <c r="AE32" s="181" t="str">
        <f>IFERROR(SUM(SUMIFS('caseload data'!O:O,'caseload data'!$C:$C,'community %'!$T$29,'caseload data'!$D:$D,"PSO",'caseload data'!$B:$B,{"licence","community"}))/SUM(SUMIFS('caseload data'!O:O,'caseload data'!$B:$B,{"licence","community"},'caseload data'!$C:$C,'community %'!$T$29)),"")</f>
        <v/>
      </c>
      <c r="AF32" s="181" t="str">
        <f>IFERROR(SUM(SUMIFS('caseload data'!P:P,'caseload data'!$C:$C,'community %'!$T$29,'caseload data'!$D:$D,"PSO",'caseload data'!$B:$B,{"licence","community"}))/SUM(SUMIFS('caseload data'!P:P,'caseload data'!$B:$B,{"licence","community"},'caseload data'!$C:$C,'community %'!$T$29)),"")</f>
        <v/>
      </c>
      <c r="AG32" s="181" t="str">
        <f>IFERROR(SUM(SUMIFS('caseload data'!Q:Q,'caseload data'!$C:$C,'community %'!$T$29,'caseload data'!$D:$D,"PSO",'caseload data'!$B:$B,{"licence","community"}))/SUM(SUMIFS('caseload data'!Q:Q,'caseload data'!$B:$B,{"licence","community"},'caseload data'!$C:$C,'community %'!$T$29)),"")</f>
        <v/>
      </c>
      <c r="AH32" s="181" t="str">
        <f>IFERROR(SUM(SUMIFS('caseload data'!R:R,'caseload data'!$C:$C,'community %'!$T$29,'caseload data'!$D:$D,"PSO",'caseload data'!$B:$B,{"licence","community"}))/SUM(SUMIFS('caseload data'!R:R,'caseload data'!$B:$B,{"licence","community"},'caseload data'!$C:$C,'community %'!$T$29)),"")</f>
        <v/>
      </c>
      <c r="AI32" s="181" t="str">
        <f>IFERROR(SUM(SUMIFS('caseload data'!S:S,'caseload data'!$C:$C,'community %'!$T$29,'caseload data'!$D:$D,"PSO",'caseload data'!$B:$B,{"licence","community"}))/SUM(SUMIFS('caseload data'!S:S,'caseload data'!$B:$B,{"licence","community"},'caseload data'!$C:$C,'community %'!$T$29)),"")</f>
        <v/>
      </c>
      <c r="AJ32" s="181" t="str">
        <f>IFERROR(SUM(SUMIFS('caseload data'!T:T,'caseload data'!$C:$C,'community %'!$T$29,'caseload data'!$D:$D,"PSO",'caseload data'!$B:$B,{"licence","community"}))/SUM(SUMIFS('caseload data'!T:T,'caseload data'!$B:$B,{"licence","community"},'caseload data'!$C:$C,'community %'!$T$29)),"")</f>
        <v/>
      </c>
    </row>
    <row r="33" spans="2:36" x14ac:dyDescent="0.15">
      <c r="B33" s="107" t="s">
        <v>913</v>
      </c>
      <c r="C33" s="181" t="str">
        <f>IFERROR(SUM(SUMIFS('caseload data'!E:E,'caseload data'!$C:$C,'community %'!$B$29,'caseload data'!$D:$D,"TPO",'caseload data'!$B:$B,{"licence","community"}))/SUM(SUMIFS('caseload data'!E:E,'caseload data'!$B:$B,{"licence","community"},'caseload data'!$C:$C,'community %'!$B$29)),"")</f>
        <v/>
      </c>
      <c r="D33" s="181" t="str">
        <f>IFERROR(SUM(SUMIFS('caseload data'!F:F,'caseload data'!$C:$C,'community %'!$B$29,'caseload data'!$D:$D,"TPO",'caseload data'!$B:$B,{"licence","community"}))/SUM(SUMIFS('caseload data'!F:F,'caseload data'!$B:$B,{"licence","community"},'caseload data'!$C:$C,'community %'!$B$29)),"")</f>
        <v/>
      </c>
      <c r="E33" s="181" t="str">
        <f>IFERROR(SUM(SUMIFS('caseload data'!G:G,'caseload data'!$C:$C,'community %'!$B$29,'caseload data'!$D:$D,"TPO",'caseload data'!$B:$B,{"licence","community"}))/SUM(SUMIFS('caseload data'!G:G,'caseload data'!$B:$B,{"licence","community"},'caseload data'!$C:$C,'community %'!$B$29)),"")</f>
        <v/>
      </c>
      <c r="F33" s="181" t="str">
        <f>IFERROR(SUM(SUMIFS('caseload data'!H:H,'caseload data'!$C:$C,'community %'!$B$29,'caseload data'!$D:$D,"TPO",'caseload data'!$B:$B,{"licence","community"}))/SUM(SUMIFS('caseload data'!H:H,'caseload data'!$B:$B,{"licence","community"},'caseload data'!$C:$C,'community %'!$B$29)),"")</f>
        <v/>
      </c>
      <c r="G33" s="181" t="str">
        <f>IFERROR(SUM(SUMIFS('caseload data'!I:I,'caseload data'!$C:$C,'community %'!$B$29,'caseload data'!$D:$D,"TPO",'caseload data'!$B:$B,{"licence","community"}))/SUM(SUMIFS('caseload data'!I:I,'caseload data'!$B:$B,{"licence","community"},'caseload data'!$C:$C,'community %'!$B$29)),"")</f>
        <v/>
      </c>
      <c r="H33" s="181" t="str">
        <f>IFERROR(SUM(SUMIFS('caseload data'!J:J,'caseload data'!$C:$C,'community %'!$B$29,'caseload data'!$D:$D,"TPO",'caseload data'!$B:$B,{"licence","community"}))/SUM(SUMIFS('caseload data'!J:J,'caseload data'!$B:$B,{"licence","community"},'caseload data'!$C:$C,'community %'!$B$29)),"")</f>
        <v/>
      </c>
      <c r="I33" s="181" t="str">
        <f>IFERROR(SUM(SUMIFS('caseload data'!K:K,'caseload data'!$C:$C,'community %'!$B$29,'caseload data'!$D:$D,"TPO",'caseload data'!$B:$B,{"licence","community"}))/SUM(SUMIFS('caseload data'!K:K,'caseload data'!$B:$B,{"licence","community"},'caseload data'!$C:$C,'community %'!$B$29)),"")</f>
        <v/>
      </c>
      <c r="J33" s="181" t="str">
        <f>IFERROR(SUM(SUMIFS('caseload data'!L:L,'caseload data'!$C:$C,'community %'!$B$29,'caseload data'!$D:$D,"TPO",'caseload data'!$B:$B,{"licence","community"}))/SUM(SUMIFS('caseload data'!L:L,'caseload data'!$B:$B,{"licence","community"},'caseload data'!$C:$C,'community %'!$B$29)),"")</f>
        <v/>
      </c>
      <c r="K33" s="181" t="str">
        <f>IFERROR(SUM(SUMIFS('caseload data'!M:M,'caseload data'!$C:$C,'community %'!$B$29,'caseload data'!$D:$D,"TPO",'caseload data'!$B:$B,{"licence","community"}))/SUM(SUMIFS('caseload data'!M:M,'caseload data'!$B:$B,{"licence","community"},'caseload data'!$C:$C,'community %'!$B$29)),"")</f>
        <v/>
      </c>
      <c r="L33" s="181" t="str">
        <f>IFERROR(SUM(SUMIFS('caseload data'!N:N,'caseload data'!$C:$C,'community %'!$B$29,'caseload data'!$D:$D,"TPO",'caseload data'!$B:$B,{"licence","community"}))/SUM(SUMIFS('caseload data'!N:N,'caseload data'!$B:$B,{"licence","community"},'caseload data'!$C:$C,'community %'!$B$29)),"")</f>
        <v/>
      </c>
      <c r="M33" s="181" t="str">
        <f>IFERROR(SUM(SUMIFS('caseload data'!O:O,'caseload data'!$C:$C,'community %'!$B$29,'caseload data'!$D:$D,"TPO",'caseload data'!$B:$B,{"licence","community"}))/SUM(SUMIFS('caseload data'!O:O,'caseload data'!$B:$B,{"licence","community"},'caseload data'!$C:$C,'community %'!$B$29)),"")</f>
        <v/>
      </c>
      <c r="N33" s="181" t="str">
        <f>IFERROR(SUM(SUMIFS('caseload data'!P:P,'caseload data'!$C:$C,'community %'!$B$29,'caseload data'!$D:$D,"TPO",'caseload data'!$B:$B,{"licence","community"}))/SUM(SUMIFS('caseload data'!P:P,'caseload data'!$B:$B,{"licence","community"},'caseload data'!$C:$C,'community %'!$B$29)),"")</f>
        <v/>
      </c>
      <c r="O33" s="181" t="str">
        <f>IFERROR(SUM(SUMIFS('caseload data'!Q:Q,'caseload data'!$C:$C,'community %'!$B$29,'caseload data'!$D:$D,"TPO",'caseload data'!$B:$B,{"licence","community"}))/SUM(SUMIFS('caseload data'!Q:Q,'caseload data'!$B:$B,{"licence","community"},'caseload data'!$C:$C,'community %'!$B$29)),"")</f>
        <v/>
      </c>
      <c r="P33" s="181" t="str">
        <f>IFERROR(SUM(SUMIFS('caseload data'!R:R,'caseload data'!$C:$C,'community %'!$B$29,'caseload data'!$D:$D,"TPO",'caseload data'!$B:$B,{"licence","community"}))/SUM(SUMIFS('caseload data'!R:R,'caseload data'!$B:$B,{"licence","community"},'caseload data'!$C:$C,'community %'!$B$29)),"")</f>
        <v/>
      </c>
      <c r="Q33" s="181" t="str">
        <f>IFERROR(SUM(SUMIFS('caseload data'!S:S,'caseload data'!$C:$C,'community %'!$B$29,'caseload data'!$D:$D,"TPO",'caseload data'!$B:$B,{"licence","community"}))/SUM(SUMIFS('caseload data'!S:S,'caseload data'!$B:$B,{"licence","community"},'caseload data'!$C:$C,'community %'!$B$29)),"")</f>
        <v/>
      </c>
      <c r="R33" s="181" t="str">
        <f>IFERROR(SUM(SUMIFS('caseload data'!T:T,'caseload data'!$C:$C,'community %'!$B$29,'caseload data'!$D:$D,"TPO",'caseload data'!$B:$B,{"licence","community"}))/SUM(SUMIFS('caseload data'!T:T,'caseload data'!$B:$B,{"licence","community"},'caseload data'!$C:$C,'community %'!$B$29)),"")</f>
        <v/>
      </c>
      <c r="S33" s="73"/>
      <c r="T33" s="107" t="s">
        <v>913</v>
      </c>
      <c r="U33" s="181" t="str">
        <f>IFERROR(SUM(SUMIFS('caseload data'!E:E,'caseload data'!$C:$C,'community %'!$T$29,'caseload data'!$D:$D,"TPO",'caseload data'!$B:$B,{"licence","community"}))/SUM(SUMIFS('caseload data'!E:E,'caseload data'!$B:$B,{"licence","community"},'caseload data'!$C:$C,'community %'!$T$29)),"")</f>
        <v/>
      </c>
      <c r="V33" s="181" t="str">
        <f>IFERROR(SUM(SUMIFS('caseload data'!F:F,'caseload data'!$C:$C,'community %'!$T$29,'caseload data'!$D:$D,"TPO",'caseload data'!$B:$B,{"licence","community"}))/SUM(SUMIFS('caseload data'!F:F,'caseload data'!$B:$B,{"licence","community"},'caseload data'!$C:$C,'community %'!$T$29)),"")</f>
        <v/>
      </c>
      <c r="W33" s="181" t="str">
        <f>IFERROR(SUM(SUMIFS('caseload data'!G:G,'caseload data'!$C:$C,'community %'!$T$29,'caseload data'!$D:$D,"TPO",'caseload data'!$B:$B,{"licence","community"}))/SUM(SUMIFS('caseload data'!G:G,'caseload data'!$B:$B,{"licence","community"},'caseload data'!$C:$C,'community %'!$T$29)),"")</f>
        <v/>
      </c>
      <c r="X33" s="181" t="str">
        <f>IFERROR(SUM(SUMIFS('caseload data'!H:H,'caseload data'!$C:$C,'community %'!$T$29,'caseload data'!$D:$D,"TPO",'caseload data'!$B:$B,{"licence","community"}))/SUM(SUMIFS('caseload data'!H:H,'caseload data'!$B:$B,{"licence","community"},'caseload data'!$C:$C,'community %'!$T$29)),"")</f>
        <v/>
      </c>
      <c r="Y33" s="181" t="str">
        <f>IFERROR(SUM(SUMIFS('caseload data'!I:I,'caseload data'!$C:$C,'community %'!$T$29,'caseload data'!$D:$D,"TPO",'caseload data'!$B:$B,{"licence","community"}))/SUM(SUMIFS('caseload data'!I:I,'caseload data'!$B:$B,{"licence","community"},'caseload data'!$C:$C,'community %'!$T$29)),"")</f>
        <v/>
      </c>
      <c r="Z33" s="181" t="str">
        <f>IFERROR(SUM(SUMIFS('caseload data'!J:J,'caseload data'!$C:$C,'community %'!$T$29,'caseload data'!$D:$D,"TPO",'caseload data'!$B:$B,{"licence","community"}))/SUM(SUMIFS('caseload data'!J:J,'caseload data'!$B:$B,{"licence","community"},'caseload data'!$C:$C,'community %'!$T$29)),"")</f>
        <v/>
      </c>
      <c r="AA33" s="181" t="str">
        <f>IFERROR(SUM(SUMIFS('caseload data'!K:K,'caseload data'!$C:$C,'community %'!$T$29,'caseload data'!$D:$D,"TPO",'caseload data'!$B:$B,{"licence","community"}))/SUM(SUMIFS('caseload data'!K:K,'caseload data'!$B:$B,{"licence","community"},'caseload data'!$C:$C,'community %'!$T$29)),"")</f>
        <v/>
      </c>
      <c r="AB33" s="181" t="str">
        <f>IFERROR(SUM(SUMIFS('caseload data'!L:L,'caseload data'!$C:$C,'community %'!$T$29,'caseload data'!$D:$D,"TPO",'caseload data'!$B:$B,{"licence","community"}))/SUM(SUMIFS('caseload data'!L:L,'caseload data'!$B:$B,{"licence","community"},'caseload data'!$C:$C,'community %'!$T$29)),"")</f>
        <v/>
      </c>
      <c r="AC33" s="181" t="str">
        <f>IFERROR(SUM(SUMIFS('caseload data'!M:M,'caseload data'!$C:$C,'community %'!$T$29,'caseload data'!$D:$D,"TPO",'caseload data'!$B:$B,{"licence","community"}))/SUM(SUMIFS('caseload data'!M:M,'caseload data'!$B:$B,{"licence","community"},'caseload data'!$C:$C,'community %'!$T$29)),"")</f>
        <v/>
      </c>
      <c r="AD33" s="181" t="str">
        <f>IFERROR(SUM(SUMIFS('caseload data'!N:N,'caseload data'!$C:$C,'community %'!$T$29,'caseload data'!$D:$D,"TPO",'caseload data'!$B:$B,{"licence","community"}))/SUM(SUMIFS('caseload data'!N:N,'caseload data'!$B:$B,{"licence","community"},'caseload data'!$C:$C,'community %'!$T$29)),"")</f>
        <v/>
      </c>
      <c r="AE33" s="181" t="str">
        <f>IFERROR(SUM(SUMIFS('caseload data'!O:O,'caseload data'!$C:$C,'community %'!$T$29,'caseload data'!$D:$D,"TPO",'caseload data'!$B:$B,{"licence","community"}))/SUM(SUMIFS('caseload data'!O:O,'caseload data'!$B:$B,{"licence","community"},'caseload data'!$C:$C,'community %'!$T$29)),"")</f>
        <v/>
      </c>
      <c r="AF33" s="181" t="str">
        <f>IFERROR(SUM(SUMIFS('caseload data'!P:P,'caseload data'!$C:$C,'community %'!$T$29,'caseload data'!$D:$D,"TPO",'caseload data'!$B:$B,{"licence","community"}))/SUM(SUMIFS('caseload data'!P:P,'caseload data'!$B:$B,{"licence","community"},'caseload data'!$C:$C,'community %'!$T$29)),"")</f>
        <v/>
      </c>
      <c r="AG33" s="181" t="str">
        <f>IFERROR(SUM(SUMIFS('caseload data'!Q:Q,'caseload data'!$C:$C,'community %'!$T$29,'caseload data'!$D:$D,"TPO",'caseload data'!$B:$B,{"licence","community"}))/SUM(SUMIFS('caseload data'!Q:Q,'caseload data'!$B:$B,{"licence","community"},'caseload data'!$C:$C,'community %'!$T$29)),"")</f>
        <v/>
      </c>
      <c r="AH33" s="181" t="str">
        <f>IFERROR(SUM(SUMIFS('caseload data'!R:R,'caseload data'!$C:$C,'community %'!$T$29,'caseload data'!$D:$D,"TPO",'caseload data'!$B:$B,{"licence","community"}))/SUM(SUMIFS('caseload data'!R:R,'caseload data'!$B:$B,{"licence","community"},'caseload data'!$C:$C,'community %'!$T$29)),"")</f>
        <v/>
      </c>
      <c r="AI33" s="181" t="str">
        <f>IFERROR(SUM(SUMIFS('caseload data'!S:S,'caseload data'!$C:$C,'community %'!$T$29,'caseload data'!$D:$D,"TPO",'caseload data'!$B:$B,{"licence","community"}))/SUM(SUMIFS('caseload data'!S:S,'caseload data'!$B:$B,{"licence","community"},'caseload data'!$C:$C,'community %'!$T$29)),"")</f>
        <v/>
      </c>
      <c r="AJ33" s="181" t="str">
        <f>IFERROR(SUM(SUMIFS('caseload data'!T:T,'caseload data'!$C:$C,'community %'!$T$29,'caseload data'!$D:$D,"TPO",'caseload data'!$B:$B,{"licence","community"}))/SUM(SUMIFS('caseload data'!T:T,'caseload data'!$B:$B,{"licence","community"},'caseload data'!$C:$C,'community %'!$T$29)),"")</f>
        <v/>
      </c>
    </row>
    <row r="34" spans="2:36" x14ac:dyDescent="0.15">
      <c r="B34" s="108" t="s">
        <v>914</v>
      </c>
      <c r="C34" s="181" t="str">
        <f>IFERROR(SUM(SUMIFS('caseload data'!E:E,'caseload data'!$C:$C,'community %'!$B$29,'caseload data'!$D:$D,"SPO",'caseload data'!$B:$B,{"licence","community"}))/SUM(SUMIFS('caseload data'!E:E,'caseload data'!$B:$B,{"licence","community"},'caseload data'!$C:$C,'community %'!$B$29)),"")</f>
        <v/>
      </c>
      <c r="D34" s="181" t="str">
        <f>IFERROR(SUM(SUMIFS('caseload data'!F:F,'caseload data'!$C:$C,'community %'!$B$29,'caseload data'!$D:$D,"SPO",'caseload data'!$B:$B,{"licence","community"}))/SUM(SUMIFS('caseload data'!F:F,'caseload data'!$B:$B,{"licence","community"},'caseload data'!$C:$C,'community %'!$B$29)),"")</f>
        <v/>
      </c>
      <c r="E34" s="181" t="str">
        <f>IFERROR(SUM(SUMIFS('caseload data'!G:G,'caseload data'!$C:$C,'community %'!$B$29,'caseload data'!$D:$D,"SPO",'caseload data'!$B:$B,{"licence","community"}))/SUM(SUMIFS('caseload data'!G:G,'caseload data'!$B:$B,{"licence","community"},'caseload data'!$C:$C,'community %'!$B$29)),"")</f>
        <v/>
      </c>
      <c r="F34" s="181" t="str">
        <f>IFERROR(SUM(SUMIFS('caseload data'!H:H,'caseload data'!$C:$C,'community %'!$B$29,'caseload data'!$D:$D,"SPO",'caseload data'!$B:$B,{"licence","community"}))/SUM(SUMIFS('caseload data'!H:H,'caseload data'!$B:$B,{"licence","community"},'caseload data'!$C:$C,'community %'!$B$29)),"")</f>
        <v/>
      </c>
      <c r="G34" s="181" t="str">
        <f>IFERROR(SUM(SUMIFS('caseload data'!I:I,'caseload data'!$C:$C,'community %'!$B$29,'caseload data'!$D:$D,"SPO",'caseload data'!$B:$B,{"licence","community"}))/SUM(SUMIFS('caseload data'!I:I,'caseload data'!$B:$B,{"licence","community"},'caseload data'!$C:$C,'community %'!$B$29)),"")</f>
        <v/>
      </c>
      <c r="H34" s="181" t="str">
        <f>IFERROR(SUM(SUMIFS('caseload data'!J:J,'caseload data'!$C:$C,'community %'!$B$29,'caseload data'!$D:$D,"SPO",'caseload data'!$B:$B,{"licence","community"}))/SUM(SUMIFS('caseload data'!J:J,'caseload data'!$B:$B,{"licence","community"},'caseload data'!$C:$C,'community %'!$B$29)),"")</f>
        <v/>
      </c>
      <c r="I34" s="181" t="str">
        <f>IFERROR(SUM(SUMIFS('caseload data'!K:K,'caseload data'!$C:$C,'community %'!$B$29,'caseload data'!$D:$D,"SPO",'caseload data'!$B:$B,{"licence","community"}))/SUM(SUMIFS('caseload data'!K:K,'caseload data'!$B:$B,{"licence","community"},'caseload data'!$C:$C,'community %'!$B$29)),"")</f>
        <v/>
      </c>
      <c r="J34" s="181" t="str">
        <f>IFERROR(SUM(SUMIFS('caseload data'!L:L,'caseload data'!$C:$C,'community %'!$B$29,'caseload data'!$D:$D,"SPO",'caseload data'!$B:$B,{"licence","community"}))/SUM(SUMIFS('caseload data'!L:L,'caseload data'!$B:$B,{"licence","community"},'caseload data'!$C:$C,'community %'!$B$29)),"")</f>
        <v/>
      </c>
      <c r="K34" s="181" t="str">
        <f>IFERROR(SUM(SUMIFS('caseload data'!M:M,'caseload data'!$C:$C,'community %'!$B$29,'caseload data'!$D:$D,"SPO",'caseload data'!$B:$B,{"licence","community"}))/SUM(SUMIFS('caseload data'!M:M,'caseload data'!$B:$B,{"licence","community"},'caseload data'!$C:$C,'community %'!$B$29)),"")</f>
        <v/>
      </c>
      <c r="L34" s="181" t="str">
        <f>IFERROR(SUM(SUMIFS('caseload data'!N:N,'caseload data'!$C:$C,'community %'!$B$29,'caseload data'!$D:$D,"SPO",'caseload data'!$B:$B,{"licence","community"}))/SUM(SUMIFS('caseload data'!N:N,'caseload data'!$B:$B,{"licence","community"},'caseload data'!$C:$C,'community %'!$B$29)),"")</f>
        <v/>
      </c>
      <c r="M34" s="181" t="str">
        <f>IFERROR(SUM(SUMIFS('caseload data'!O:O,'caseload data'!$C:$C,'community %'!$B$29,'caseload data'!$D:$D,"SPO",'caseload data'!$B:$B,{"licence","community"}))/SUM(SUMIFS('caseload data'!O:O,'caseload data'!$B:$B,{"licence","community"},'caseload data'!$C:$C,'community %'!$B$29)),"")</f>
        <v/>
      </c>
      <c r="N34" s="181" t="str">
        <f>IFERROR(SUM(SUMIFS('caseload data'!P:P,'caseload data'!$C:$C,'community %'!$B$29,'caseload data'!$D:$D,"SPO",'caseload data'!$B:$B,{"licence","community"}))/SUM(SUMIFS('caseload data'!P:P,'caseload data'!$B:$B,{"licence","community"},'caseload data'!$C:$C,'community %'!$B$29)),"")</f>
        <v/>
      </c>
      <c r="O34" s="181" t="str">
        <f>IFERROR(SUM(SUMIFS('caseload data'!Q:Q,'caseload data'!$C:$C,'community %'!$B$29,'caseload data'!$D:$D,"SPO",'caseload data'!$B:$B,{"licence","community"}))/SUM(SUMIFS('caseload data'!Q:Q,'caseload data'!$B:$B,{"licence","community"},'caseload data'!$C:$C,'community %'!$B$29)),"")</f>
        <v/>
      </c>
      <c r="P34" s="181" t="str">
        <f>IFERROR(SUM(SUMIFS('caseload data'!R:R,'caseload data'!$C:$C,'community %'!$B$29,'caseload data'!$D:$D,"SPO",'caseload data'!$B:$B,{"licence","community"}))/SUM(SUMIFS('caseload data'!R:R,'caseload data'!$B:$B,{"licence","community"},'caseload data'!$C:$C,'community %'!$B$29)),"")</f>
        <v/>
      </c>
      <c r="Q34" s="181" t="str">
        <f>IFERROR(SUM(SUMIFS('caseload data'!S:S,'caseload data'!$C:$C,'community %'!$B$29,'caseload data'!$D:$D,"SPO",'caseload data'!$B:$B,{"licence","community"}))/SUM(SUMIFS('caseload data'!S:S,'caseload data'!$B:$B,{"licence","community"},'caseload data'!$C:$C,'community %'!$B$29)),"")</f>
        <v/>
      </c>
      <c r="R34" s="181" t="str">
        <f>IFERROR(SUM(SUMIFS('caseload data'!T:T,'caseload data'!$C:$C,'community %'!$B$29,'caseload data'!$D:$D,"SPO",'caseload data'!$B:$B,{"licence","community"}))/SUM(SUMIFS('caseload data'!T:T,'caseload data'!$B:$B,{"licence","community"},'caseload data'!$C:$C,'community %'!$B$29)),"")</f>
        <v/>
      </c>
      <c r="S34" s="73"/>
      <c r="T34" s="108" t="s">
        <v>914</v>
      </c>
      <c r="U34" s="181" t="str">
        <f>IFERROR(SUM(SUMIFS('caseload data'!E:E,'caseload data'!$C:$C,'community %'!$T$29,'caseload data'!$D:$D,"SPO",'caseload data'!$B:$B,{"licence","community"}))/SUM(SUMIFS('caseload data'!E:E,'caseload data'!$B:$B,{"licence","community"},'caseload data'!$C:$C,'community %'!$T$29)),"")</f>
        <v/>
      </c>
      <c r="V34" s="181" t="str">
        <f>IFERROR(SUM(SUMIFS('caseload data'!F:F,'caseload data'!$C:$C,'community %'!$T$29,'caseload data'!$D:$D,"SPO",'caseload data'!$B:$B,{"licence","community"}))/SUM(SUMIFS('caseload data'!F:F,'caseload data'!$B:$B,{"licence","community"},'caseload data'!$C:$C,'community %'!$T$29)),"")</f>
        <v/>
      </c>
      <c r="W34" s="181" t="str">
        <f>IFERROR(SUM(SUMIFS('caseload data'!G:G,'caseload data'!$C:$C,'community %'!$T$29,'caseload data'!$D:$D,"SPO",'caseload data'!$B:$B,{"licence","community"}))/SUM(SUMIFS('caseload data'!G:G,'caseload data'!$B:$B,{"licence","community"},'caseload data'!$C:$C,'community %'!$T$29)),"")</f>
        <v/>
      </c>
      <c r="X34" s="181" t="str">
        <f>IFERROR(SUM(SUMIFS('caseload data'!H:H,'caseload data'!$C:$C,'community %'!$T$29,'caseload data'!$D:$D,"SPO",'caseload data'!$B:$B,{"licence","community"}))/SUM(SUMIFS('caseload data'!H:H,'caseload data'!$B:$B,{"licence","community"},'caseload data'!$C:$C,'community %'!$T$29)),"")</f>
        <v/>
      </c>
      <c r="Y34" s="181" t="str">
        <f>IFERROR(SUM(SUMIFS('caseload data'!I:I,'caseload data'!$C:$C,'community %'!$T$29,'caseload data'!$D:$D,"SPO",'caseload data'!$B:$B,{"licence","community"}))/SUM(SUMIFS('caseload data'!I:I,'caseload data'!$B:$B,{"licence","community"},'caseload data'!$C:$C,'community %'!$T$29)),"")</f>
        <v/>
      </c>
      <c r="Z34" s="181" t="str">
        <f>IFERROR(SUM(SUMIFS('caseload data'!J:J,'caseload data'!$C:$C,'community %'!$T$29,'caseload data'!$D:$D,"SPO",'caseload data'!$B:$B,{"licence","community"}))/SUM(SUMIFS('caseload data'!J:J,'caseload data'!$B:$B,{"licence","community"},'caseload data'!$C:$C,'community %'!$T$29)),"")</f>
        <v/>
      </c>
      <c r="AA34" s="181" t="str">
        <f>IFERROR(SUM(SUMIFS('caseload data'!K:K,'caseload data'!$C:$C,'community %'!$T$29,'caseload data'!$D:$D,"SPO",'caseload data'!$B:$B,{"licence","community"}))/SUM(SUMIFS('caseload data'!K:K,'caseload data'!$B:$B,{"licence","community"},'caseload data'!$C:$C,'community %'!$T$29)),"")</f>
        <v/>
      </c>
      <c r="AB34" s="181" t="str">
        <f>IFERROR(SUM(SUMIFS('caseload data'!L:L,'caseload data'!$C:$C,'community %'!$T$29,'caseload data'!$D:$D,"SPO",'caseload data'!$B:$B,{"licence","community"}))/SUM(SUMIFS('caseload data'!L:L,'caseload data'!$B:$B,{"licence","community"},'caseload data'!$C:$C,'community %'!$T$29)),"")</f>
        <v/>
      </c>
      <c r="AC34" s="181" t="str">
        <f>IFERROR(SUM(SUMIFS('caseload data'!M:M,'caseload data'!$C:$C,'community %'!$T$29,'caseload data'!$D:$D,"SPO",'caseload data'!$B:$B,{"licence","community"}))/SUM(SUMIFS('caseload data'!M:M,'caseload data'!$B:$B,{"licence","community"},'caseload data'!$C:$C,'community %'!$T$29)),"")</f>
        <v/>
      </c>
      <c r="AD34" s="181" t="str">
        <f>IFERROR(SUM(SUMIFS('caseload data'!N:N,'caseload data'!$C:$C,'community %'!$T$29,'caseload data'!$D:$D,"SPO",'caseload data'!$B:$B,{"licence","community"}))/SUM(SUMIFS('caseload data'!N:N,'caseload data'!$B:$B,{"licence","community"},'caseload data'!$C:$C,'community %'!$T$29)),"")</f>
        <v/>
      </c>
      <c r="AE34" s="181" t="str">
        <f>IFERROR(SUM(SUMIFS('caseload data'!O:O,'caseload data'!$C:$C,'community %'!$T$29,'caseload data'!$D:$D,"SPO",'caseload data'!$B:$B,{"licence","community"}))/SUM(SUMIFS('caseload data'!O:O,'caseload data'!$B:$B,{"licence","community"},'caseload data'!$C:$C,'community %'!$T$29)),"")</f>
        <v/>
      </c>
      <c r="AF34" s="181" t="str">
        <f>IFERROR(SUM(SUMIFS('caseload data'!P:P,'caseload data'!$C:$C,'community %'!$T$29,'caseload data'!$D:$D,"SPO",'caseload data'!$B:$B,{"licence","community"}))/SUM(SUMIFS('caseload data'!P:P,'caseload data'!$B:$B,{"licence","community"},'caseload data'!$C:$C,'community %'!$T$29)),"")</f>
        <v/>
      </c>
      <c r="AG34" s="181" t="str">
        <f>IFERROR(SUM(SUMIFS('caseload data'!Q:Q,'caseload data'!$C:$C,'community %'!$T$29,'caseload data'!$D:$D,"SPO",'caseload data'!$B:$B,{"licence","community"}))/SUM(SUMIFS('caseload data'!Q:Q,'caseload data'!$B:$B,{"licence","community"},'caseload data'!$C:$C,'community %'!$T$29)),"")</f>
        <v/>
      </c>
      <c r="AH34" s="181" t="str">
        <f>IFERROR(SUM(SUMIFS('caseload data'!R:R,'caseload data'!$C:$C,'community %'!$T$29,'caseload data'!$D:$D,"SPO",'caseload data'!$B:$B,{"licence","community"}))/SUM(SUMIFS('caseload data'!R:R,'caseload data'!$B:$B,{"licence","community"},'caseload data'!$C:$C,'community %'!$T$29)),"")</f>
        <v/>
      </c>
      <c r="AI34" s="181" t="str">
        <f>IFERROR(SUM(SUMIFS('caseload data'!S:S,'caseload data'!$C:$C,'community %'!$T$29,'caseload data'!$D:$D,"SPO",'caseload data'!$B:$B,{"licence","community"}))/SUM(SUMIFS('caseload data'!S:S,'caseload data'!$B:$B,{"licence","community"},'caseload data'!$C:$C,'community %'!$T$29)),"")</f>
        <v/>
      </c>
      <c r="AJ34" s="181" t="str">
        <f>IFERROR(SUM(SUMIFS('caseload data'!T:T,'caseload data'!$C:$C,'community %'!$T$29,'caseload data'!$D:$D,"SPO",'caseload data'!$B:$B,{"licence","community"}))/SUM(SUMIFS('caseload data'!T:T,'caseload data'!$B:$B,{"licence","community"},'caseload data'!$C:$C,'community %'!$T$29)),"")</f>
        <v/>
      </c>
    </row>
    <row r="35" spans="2:36" x14ac:dyDescent="0.15">
      <c r="B35" s="101"/>
      <c r="C35" s="73"/>
      <c r="D35" s="73"/>
      <c r="E35" s="73"/>
      <c r="F35" s="73"/>
      <c r="G35" s="73"/>
      <c r="H35" s="73"/>
      <c r="I35" s="73"/>
      <c r="J35" s="73"/>
      <c r="K35" s="73"/>
      <c r="L35" s="73"/>
      <c r="M35" s="73"/>
      <c r="N35" s="73"/>
      <c r="O35" s="73"/>
      <c r="P35" s="73"/>
      <c r="Q35" s="73"/>
      <c r="R35" s="73"/>
      <c r="S35" s="73"/>
      <c r="T35" s="101"/>
      <c r="U35" s="73"/>
      <c r="V35" s="73"/>
      <c r="W35" s="73"/>
      <c r="X35" s="73"/>
      <c r="Y35" s="73"/>
      <c r="Z35" s="73"/>
      <c r="AA35" s="73"/>
      <c r="AB35" s="73"/>
      <c r="AC35" s="73"/>
      <c r="AD35" s="73"/>
      <c r="AE35" s="73"/>
      <c r="AF35" s="73"/>
      <c r="AG35" s="73"/>
      <c r="AH35" s="73"/>
      <c r="AI35" s="73"/>
      <c r="AJ35" s="73"/>
    </row>
    <row r="36" spans="2:36" ht="48" customHeight="1" x14ac:dyDescent="0.15">
      <c r="B36" s="156" t="str">
        <f>HLOOKUP($B$5,Region_Table,10,0)</f>
        <v>Greenwich and Bexley</v>
      </c>
      <c r="C36" s="367" t="s">
        <v>1170</v>
      </c>
      <c r="D36" s="368"/>
      <c r="E36" s="368"/>
      <c r="F36" s="368"/>
      <c r="G36" s="368"/>
      <c r="H36" s="368"/>
      <c r="I36" s="368"/>
      <c r="J36" s="368"/>
      <c r="K36" s="368"/>
      <c r="L36" s="368"/>
      <c r="M36" s="377"/>
      <c r="N36" s="377"/>
      <c r="O36" s="378"/>
      <c r="P36" s="371" cm="1">
        <f t="array" ref="P36">SUM(SUMIFS('caseload data'!V:V,'caseload data'!B:B,{"licence","community"},'caseload data'!$C:$C,B36))</f>
        <v>0</v>
      </c>
      <c r="Q36" s="379"/>
      <c r="R36" s="380"/>
      <c r="S36" s="73"/>
      <c r="T36" s="156" t="str">
        <f>HLOOKUP($B$5,Region_Table,11,0)</f>
        <v>Hackney and City</v>
      </c>
      <c r="U36" s="367" t="s">
        <v>1170</v>
      </c>
      <c r="V36" s="368"/>
      <c r="W36" s="368"/>
      <c r="X36" s="368"/>
      <c r="Y36" s="368"/>
      <c r="Z36" s="368"/>
      <c r="AA36" s="368"/>
      <c r="AB36" s="368"/>
      <c r="AC36" s="368"/>
      <c r="AD36" s="368"/>
      <c r="AE36" s="377"/>
      <c r="AF36" s="377"/>
      <c r="AG36" s="378"/>
      <c r="AH36" s="371" cm="1">
        <f t="array" ref="AH36">SUM(SUMIFS('caseload data'!V:V,'caseload data'!B:B,{"licence","community"},'caseload data'!$C:$C,T36))</f>
        <v>0</v>
      </c>
      <c r="AI36" s="379"/>
      <c r="AJ36" s="380"/>
    </row>
    <row r="37" spans="2:36" x14ac:dyDescent="0.15">
      <c r="B37" s="105" t="s">
        <v>1065</v>
      </c>
      <c r="C37" s="41" t="s">
        <v>922</v>
      </c>
      <c r="D37" s="41" t="s">
        <v>923</v>
      </c>
      <c r="E37" s="41" t="s">
        <v>924</v>
      </c>
      <c r="F37" s="41" t="s">
        <v>925</v>
      </c>
      <c r="G37" s="41" t="s">
        <v>926</v>
      </c>
      <c r="H37" s="41" t="s">
        <v>927</v>
      </c>
      <c r="I37" s="41" t="s">
        <v>928</v>
      </c>
      <c r="J37" s="41" t="s">
        <v>929</v>
      </c>
      <c r="K37" s="41" t="s">
        <v>930</v>
      </c>
      <c r="L37" s="41" t="s">
        <v>931</v>
      </c>
      <c r="M37" s="41" t="s">
        <v>932</v>
      </c>
      <c r="N37" s="41" t="s">
        <v>933</v>
      </c>
      <c r="O37" s="41" t="s">
        <v>934</v>
      </c>
      <c r="P37" s="41" t="s">
        <v>935</v>
      </c>
      <c r="Q37" s="41" t="s">
        <v>936</v>
      </c>
      <c r="R37" s="41" t="s">
        <v>937</v>
      </c>
      <c r="S37" s="73"/>
      <c r="T37" s="105" t="s">
        <v>1065</v>
      </c>
      <c r="U37" s="41" t="s">
        <v>922</v>
      </c>
      <c r="V37" s="41" t="s">
        <v>923</v>
      </c>
      <c r="W37" s="41" t="s">
        <v>924</v>
      </c>
      <c r="X37" s="41" t="s">
        <v>925</v>
      </c>
      <c r="Y37" s="41" t="s">
        <v>926</v>
      </c>
      <c r="Z37" s="41" t="s">
        <v>927</v>
      </c>
      <c r="AA37" s="41" t="s">
        <v>928</v>
      </c>
      <c r="AB37" s="41" t="s">
        <v>929</v>
      </c>
      <c r="AC37" s="41" t="s">
        <v>930</v>
      </c>
      <c r="AD37" s="41" t="s">
        <v>931</v>
      </c>
      <c r="AE37" s="41" t="s">
        <v>932</v>
      </c>
      <c r="AF37" s="41" t="s">
        <v>933</v>
      </c>
      <c r="AG37" s="41" t="s">
        <v>934</v>
      </c>
      <c r="AH37" s="41" t="s">
        <v>935</v>
      </c>
      <c r="AI37" s="41" t="s">
        <v>936</v>
      </c>
      <c r="AJ37" s="41" t="s">
        <v>937</v>
      </c>
    </row>
    <row r="38" spans="2:36" x14ac:dyDescent="0.15">
      <c r="B38" s="106" t="s">
        <v>911</v>
      </c>
      <c r="C38" s="181" t="str">
        <f>IFERROR(SUM(SUMIFS('caseload data'!E:E,'caseload data'!$C:$C,'community %'!$B$36,'caseload data'!$D:$D,"PO",'caseload data'!$B:$B,{"licence","community"}))/SUM(SUMIFS('caseload data'!E:E,'caseload data'!$B:$B,{"licence","community"},'caseload data'!$C:$C,'community %'!$B$36)),"")</f>
        <v/>
      </c>
      <c r="D38" s="181" t="str">
        <f>IFERROR(SUM(SUMIFS('caseload data'!F:F,'caseload data'!$C:$C,'community %'!$B$36,'caseload data'!$D:$D,"PO",'caseload data'!$B:$B,{"licence","community"}))/SUM(SUMIFS('caseload data'!F:F,'caseload data'!$B:$B,{"licence","community"},'caseload data'!$C:$C,'community %'!$B$36)),"")</f>
        <v/>
      </c>
      <c r="E38" s="181" t="str">
        <f>IFERROR(SUM(SUMIFS('caseload data'!G:G,'caseload data'!$C:$C,'community %'!$B$36,'caseload data'!$D:$D,"PO",'caseload data'!$B:$B,{"licence","community"}))/SUM(SUMIFS('caseload data'!G:G,'caseload data'!$B:$B,{"licence","community"},'caseload data'!$C:$C,'community %'!$B$36)),"")</f>
        <v/>
      </c>
      <c r="F38" s="181" t="str">
        <f>IFERROR(SUM(SUMIFS('caseload data'!H:H,'caseload data'!$C:$C,'community %'!$B$36,'caseload data'!$D:$D,"PO",'caseload data'!$B:$B,{"licence","community"}))/SUM(SUMIFS('caseload data'!H:H,'caseload data'!$B:$B,{"licence","community"},'caseload data'!$C:$C,'community %'!$B$36)),"")</f>
        <v/>
      </c>
      <c r="G38" s="181" t="str">
        <f>IFERROR(SUM(SUMIFS('caseload data'!I:I,'caseload data'!$C:$C,'community %'!$B$36,'caseload data'!$D:$D,"PO",'caseload data'!$B:$B,{"licence","community"}))/SUM(SUMIFS('caseload data'!I:I,'caseload data'!$B:$B,{"licence","community"},'caseload data'!$C:$C,'community %'!$B$36)),"")</f>
        <v/>
      </c>
      <c r="H38" s="181" t="str">
        <f>IFERROR(SUM(SUMIFS('caseload data'!J:J,'caseload data'!$C:$C,'community %'!$B$36,'caseload data'!$D:$D,"PO",'caseload data'!$B:$B,{"licence","community"}))/SUM(SUMIFS('caseload data'!J:J,'caseload data'!$B:$B,{"licence","community"},'caseload data'!$C:$C,'community %'!$B$36)),"")</f>
        <v/>
      </c>
      <c r="I38" s="181" t="str">
        <f>IFERROR(SUM(SUMIFS('caseload data'!K:K,'caseload data'!$C:$C,'community %'!$B$36,'caseload data'!$D:$D,"PO",'caseload data'!$B:$B,{"licence","community"}))/SUM(SUMIFS('caseload data'!K:K,'caseload data'!$B:$B,{"licence","community"},'caseload data'!$C:$C,'community %'!$B$36)),"")</f>
        <v/>
      </c>
      <c r="J38" s="181" t="str">
        <f>IFERROR(SUM(SUMIFS('caseload data'!L:L,'caseload data'!$C:$C,'community %'!$B$36,'caseload data'!$D:$D,"PO",'caseload data'!$B:$B,{"licence","community"}))/SUM(SUMIFS('caseload data'!L:L,'caseload data'!$B:$B,{"licence","community"},'caseload data'!$C:$C,'community %'!$B$36)),"")</f>
        <v/>
      </c>
      <c r="K38" s="181" t="str">
        <f>IFERROR(SUM(SUMIFS('caseload data'!M:M,'caseload data'!$C:$C,'community %'!$B$36,'caseload data'!$D:$D,"PO",'caseload data'!$B:$B,{"licence","community"}))/SUM(SUMIFS('caseload data'!M:M,'caseload data'!$B:$B,{"licence","community"},'caseload data'!$C:$C,'community %'!$B$36)),"")</f>
        <v/>
      </c>
      <c r="L38" s="181" t="str">
        <f>IFERROR(SUM(SUMIFS('caseload data'!N:N,'caseload data'!$C:$C,'community %'!$B$36,'caseload data'!$D:$D,"PO",'caseload data'!$B:$B,{"licence","community"}))/SUM(SUMIFS('caseload data'!N:N,'caseload data'!$B:$B,{"licence","community"},'caseload data'!$C:$C,'community %'!$B$36)),"")</f>
        <v/>
      </c>
      <c r="M38" s="181" t="str">
        <f>IFERROR(SUM(SUMIFS('caseload data'!O:O,'caseload data'!$C:$C,'community %'!$B$36,'caseload data'!$D:$D,"PO",'caseload data'!$B:$B,{"licence","community"}))/SUM(SUMIFS('caseload data'!O:O,'caseload data'!$B:$B,{"licence","community"},'caseload data'!$C:$C,'community %'!$B$36)),"")</f>
        <v/>
      </c>
      <c r="N38" s="181" t="str">
        <f>IFERROR(SUM(SUMIFS('caseload data'!P:P,'caseload data'!$C:$C,'community %'!$B$36,'caseload data'!$D:$D,"PO",'caseload data'!$B:$B,{"licence","community"}))/SUM(SUMIFS('caseload data'!P:P,'caseload data'!$B:$B,{"licence","community"},'caseload data'!$C:$C,'community %'!$B$36)),"")</f>
        <v/>
      </c>
      <c r="O38" s="181" t="str">
        <f>IFERROR(SUM(SUMIFS('caseload data'!Q:Q,'caseload data'!$C:$C,'community %'!$B$36,'caseload data'!$D:$D,"PO",'caseload data'!$B:$B,{"licence","community"}))/SUM(SUMIFS('caseload data'!Q:Q,'caseload data'!$B:$B,{"licence","community"},'caseload data'!$C:$C,'community %'!$B$36)),"")</f>
        <v/>
      </c>
      <c r="P38" s="181" t="str">
        <f>IFERROR(SUM(SUMIFS('caseload data'!R:R,'caseload data'!$C:$C,'community %'!$B$36,'caseload data'!$D:$D,"PO",'caseload data'!$B:$B,{"licence","community"}))/SUM(SUMIFS('caseload data'!R:R,'caseload data'!$B:$B,{"licence","community"},'caseload data'!$C:$C,'community %'!$B$36)),"")</f>
        <v/>
      </c>
      <c r="Q38" s="181" t="str">
        <f>IFERROR(SUM(SUMIFS('caseload data'!S:S,'caseload data'!$C:$C,'community %'!$B$36,'caseload data'!$D:$D,"PO",'caseload data'!$B:$B,{"licence","community"}))/SUM(SUMIFS('caseload data'!S:S,'caseload data'!$B:$B,{"licence","community"},'caseload data'!$C:$C,'community %'!$B$36)),"")</f>
        <v/>
      </c>
      <c r="R38" s="181" t="str">
        <f>IFERROR(SUM(SUMIFS('caseload data'!T:T,'caseload data'!$C:$C,'community %'!$B$36,'caseload data'!$D:$D,"PO",'caseload data'!$B:$B,{"licence","community"}))/SUM(SUMIFS('caseload data'!T:T,'caseload data'!$B:$B,{"licence","community"},'caseload data'!$C:$C,'community %'!$B$36)),"")</f>
        <v/>
      </c>
      <c r="S38" s="73"/>
      <c r="T38" s="106" t="s">
        <v>911</v>
      </c>
      <c r="U38" s="181" t="str">
        <f>IFERROR(SUM(SUMIFS('caseload data'!E:E,'caseload data'!$C:$C,'community %'!$T$36,'caseload data'!$D:$D,"PO",'caseload data'!$B:$B,{"licence","community"}))/SUM(SUMIFS('caseload data'!E:E,'caseload data'!$B:$B,{"licence","community"},'caseload data'!$C:$C,'community %'!$T$36)),"")</f>
        <v/>
      </c>
      <c r="V38" s="181" t="str">
        <f>IFERROR(SUM(SUMIFS('caseload data'!F:F,'caseload data'!$C:$C,'community %'!$T$36,'caseload data'!$D:$D,"PO",'caseload data'!$B:$B,{"licence","community"}))/SUM(SUMIFS('caseload data'!F:F,'caseload data'!$B:$B,{"licence","community"},'caseload data'!$C:$C,'community %'!$T$36)),"")</f>
        <v/>
      </c>
      <c r="W38" s="181" t="str">
        <f>IFERROR(SUM(SUMIFS('caseload data'!G:G,'caseload data'!$C:$C,'community %'!$T$36,'caseload data'!$D:$D,"PO",'caseload data'!$B:$B,{"licence","community"}))/SUM(SUMIFS('caseload data'!G:G,'caseload data'!$B:$B,{"licence","community"},'caseload data'!$C:$C,'community %'!$T$36)),"")</f>
        <v/>
      </c>
      <c r="X38" s="181" t="str">
        <f>IFERROR(SUM(SUMIFS('caseload data'!H:H,'caseload data'!$C:$C,'community %'!$T$36,'caseload data'!$D:$D,"PO",'caseload data'!$B:$B,{"licence","community"}))/SUM(SUMIFS('caseload data'!H:H,'caseload data'!$B:$B,{"licence","community"},'caseload data'!$C:$C,'community %'!$T$36)),"")</f>
        <v/>
      </c>
      <c r="Y38" s="181" t="str">
        <f>IFERROR(SUM(SUMIFS('caseload data'!I:I,'caseload data'!$C:$C,'community %'!$T$36,'caseload data'!$D:$D,"PO",'caseload data'!$B:$B,{"licence","community"}))/SUM(SUMIFS('caseload data'!I:I,'caseload data'!$B:$B,{"licence","community"},'caseload data'!$C:$C,'community %'!$T$36)),"")</f>
        <v/>
      </c>
      <c r="Z38" s="181" t="str">
        <f>IFERROR(SUM(SUMIFS('caseload data'!J:J,'caseload data'!$C:$C,'community %'!$T$36,'caseload data'!$D:$D,"PO",'caseload data'!$B:$B,{"licence","community"}))/SUM(SUMIFS('caseload data'!J:J,'caseload data'!$B:$B,{"licence","community"},'caseload data'!$C:$C,'community %'!$T$36)),"")</f>
        <v/>
      </c>
      <c r="AA38" s="181" t="str">
        <f>IFERROR(SUM(SUMIFS('caseload data'!K:K,'caseload data'!$C:$C,'community %'!$T$36,'caseload data'!$D:$D,"PO",'caseload data'!$B:$B,{"licence","community"}))/SUM(SUMIFS('caseload data'!K:K,'caseload data'!$B:$B,{"licence","community"},'caseload data'!$C:$C,'community %'!$T$36)),"")</f>
        <v/>
      </c>
      <c r="AB38" s="181" t="str">
        <f>IFERROR(SUM(SUMIFS('caseload data'!L:L,'caseload data'!$C:$C,'community %'!$T$36,'caseload data'!$D:$D,"PO",'caseload data'!$B:$B,{"licence","community"}))/SUM(SUMIFS('caseload data'!L:L,'caseload data'!$B:$B,{"licence","community"},'caseload data'!$C:$C,'community %'!$T$36)),"")</f>
        <v/>
      </c>
      <c r="AC38" s="181" t="str">
        <f>IFERROR(SUM(SUMIFS('caseload data'!M:M,'caseload data'!$C:$C,'community %'!$T$36,'caseload data'!$D:$D,"PO",'caseload data'!$B:$B,{"licence","community"}))/SUM(SUMIFS('caseload data'!M:M,'caseload data'!$B:$B,{"licence","community"},'caseload data'!$C:$C,'community %'!$T$36)),"")</f>
        <v/>
      </c>
      <c r="AD38" s="181" t="str">
        <f>IFERROR(SUM(SUMIFS('caseload data'!N:N,'caseload data'!$C:$C,'community %'!$T$36,'caseload data'!$D:$D,"PO",'caseload data'!$B:$B,{"licence","community"}))/SUM(SUMIFS('caseload data'!N:N,'caseload data'!$B:$B,{"licence","community"},'caseload data'!$C:$C,'community %'!$T$36)),"")</f>
        <v/>
      </c>
      <c r="AE38" s="181" t="str">
        <f>IFERROR(SUM(SUMIFS('caseload data'!O:O,'caseload data'!$C:$C,'community %'!$T$36,'caseload data'!$D:$D,"PO",'caseload data'!$B:$B,{"licence","community"}))/SUM(SUMIFS('caseload data'!O:O,'caseload data'!$B:$B,{"licence","community"},'caseload data'!$C:$C,'community %'!$T$36)),"")</f>
        <v/>
      </c>
      <c r="AF38" s="181" t="str">
        <f>IFERROR(SUM(SUMIFS('caseload data'!P:P,'caseload data'!$C:$C,'community %'!$T$36,'caseload data'!$D:$D,"PO",'caseload data'!$B:$B,{"licence","community"}))/SUM(SUMIFS('caseload data'!P:P,'caseload data'!$B:$B,{"licence","community"},'caseload data'!$C:$C,'community %'!$T$36)),"")</f>
        <v/>
      </c>
      <c r="AG38" s="181" t="str">
        <f>IFERROR(SUM(SUMIFS('caseload data'!Q:Q,'caseload data'!$C:$C,'community %'!$T$36,'caseload data'!$D:$D,"PO",'caseload data'!$B:$B,{"licence","community"}))/SUM(SUMIFS('caseload data'!Q:Q,'caseload data'!$B:$B,{"licence","community"},'caseload data'!$C:$C,'community %'!$T$36)),"")</f>
        <v/>
      </c>
      <c r="AH38" s="181" t="str">
        <f>IFERROR(SUM(SUMIFS('caseload data'!R:R,'caseload data'!$C:$C,'community %'!$T$36,'caseload data'!$D:$D,"PO",'caseload data'!$B:$B,{"licence","community"}))/SUM(SUMIFS('caseload data'!R:R,'caseload data'!$B:$B,{"licence","community"},'caseload data'!$C:$C,'community %'!$T$36)),"")</f>
        <v/>
      </c>
      <c r="AI38" s="181" t="str">
        <f>IFERROR(SUM(SUMIFS('caseload data'!S:S,'caseload data'!$C:$C,'community %'!$T$36,'caseload data'!$D:$D,"PO",'caseload data'!$B:$B,{"licence","community"}))/SUM(SUMIFS('caseload data'!S:S,'caseload data'!$B:$B,{"licence","community"},'caseload data'!$C:$C,'community %'!$T$36)),"")</f>
        <v/>
      </c>
      <c r="AJ38" s="181" t="str">
        <f>IFERROR(SUM(SUMIFS('caseload data'!T:T,'caseload data'!$C:$C,'community %'!$T$36,'caseload data'!$D:$D,"PO",'caseload data'!$B:$B,{"licence","community"}))/SUM(SUMIFS('caseload data'!T:T,'caseload data'!$B:$B,{"licence","community"},'caseload data'!$C:$C,'community %'!$T$36)),"")</f>
        <v/>
      </c>
    </row>
    <row r="39" spans="2:36" x14ac:dyDescent="0.15">
      <c r="B39" s="107" t="s">
        <v>912</v>
      </c>
      <c r="C39" s="181" t="str">
        <f>IFERROR(SUM(SUMIFS('caseload data'!E:E,'caseload data'!$C:$C,'community %'!$B$36,'caseload data'!$D:$D,"PSO",'caseload data'!$B:$B,{"licence","community"}))/SUM(SUMIFS('caseload data'!E:E,'caseload data'!$B:$B,{"licence","community"},'caseload data'!$C:$C,'community %'!$B$36)),"")</f>
        <v/>
      </c>
      <c r="D39" s="181" t="str">
        <f>IFERROR(SUM(SUMIFS('caseload data'!F:F,'caseload data'!$C:$C,'community %'!$B$36,'caseload data'!$D:$D,"PSO",'caseload data'!$B:$B,{"licence","community"}))/SUM(SUMIFS('caseload data'!F:F,'caseload data'!$B:$B,{"licence","community"},'caseload data'!$C:$C,'community %'!$B$36)),"")</f>
        <v/>
      </c>
      <c r="E39" s="181" t="str">
        <f>IFERROR(SUM(SUMIFS('caseload data'!G:G,'caseload data'!$C:$C,'community %'!$B$36,'caseload data'!$D:$D,"PSO",'caseload data'!$B:$B,{"licence","community"}))/SUM(SUMIFS('caseload data'!G:G,'caseload data'!$B:$B,{"licence","community"},'caseload data'!$C:$C,'community %'!$B$36)),"")</f>
        <v/>
      </c>
      <c r="F39" s="181" t="str">
        <f>IFERROR(SUM(SUMIFS('caseload data'!H:H,'caseload data'!$C:$C,'community %'!$B$36,'caseload data'!$D:$D,"PSO",'caseload data'!$B:$B,{"licence","community"}))/SUM(SUMIFS('caseload data'!H:H,'caseload data'!$B:$B,{"licence","community"},'caseload data'!$C:$C,'community %'!$B$36)),"")</f>
        <v/>
      </c>
      <c r="G39" s="181" t="str">
        <f>IFERROR(SUM(SUMIFS('caseload data'!I:I,'caseload data'!$C:$C,'community %'!$B$36,'caseload data'!$D:$D,"PSO",'caseload data'!$B:$B,{"licence","community"}))/SUM(SUMIFS('caseload data'!I:I,'caseload data'!$B:$B,{"licence","community"},'caseload data'!$C:$C,'community %'!$B$36)),"")</f>
        <v/>
      </c>
      <c r="H39" s="181" t="str">
        <f>IFERROR(SUM(SUMIFS('caseload data'!J:J,'caseload data'!$C:$C,'community %'!$B$36,'caseload data'!$D:$D,"PSO",'caseload data'!$B:$B,{"licence","community"}))/SUM(SUMIFS('caseload data'!J:J,'caseload data'!$B:$B,{"licence","community"},'caseload data'!$C:$C,'community %'!$B$36)),"")</f>
        <v/>
      </c>
      <c r="I39" s="181" t="str">
        <f>IFERROR(SUM(SUMIFS('caseload data'!K:K,'caseload data'!$C:$C,'community %'!$B$36,'caseload data'!$D:$D,"PSO",'caseload data'!$B:$B,{"licence","community"}))/SUM(SUMIFS('caseload data'!K:K,'caseload data'!$B:$B,{"licence","community"},'caseload data'!$C:$C,'community %'!$B$36)),"")</f>
        <v/>
      </c>
      <c r="J39" s="181" t="str">
        <f>IFERROR(SUM(SUMIFS('caseload data'!L:L,'caseload data'!$C:$C,'community %'!$B$36,'caseload data'!$D:$D,"PSO",'caseload data'!$B:$B,{"licence","community"}))/SUM(SUMIFS('caseload data'!L:L,'caseload data'!$B:$B,{"licence","community"},'caseload data'!$C:$C,'community %'!$B$36)),"")</f>
        <v/>
      </c>
      <c r="K39" s="181" t="str">
        <f>IFERROR(SUM(SUMIFS('caseload data'!M:M,'caseload data'!$C:$C,'community %'!$B$36,'caseload data'!$D:$D,"PSO",'caseload data'!$B:$B,{"licence","community"}))/SUM(SUMIFS('caseload data'!M:M,'caseload data'!$B:$B,{"licence","community"},'caseload data'!$C:$C,'community %'!$B$36)),"")</f>
        <v/>
      </c>
      <c r="L39" s="181" t="str">
        <f>IFERROR(SUM(SUMIFS('caseload data'!N:N,'caseload data'!$C:$C,'community %'!$B$36,'caseload data'!$D:$D,"PSO",'caseload data'!$B:$B,{"licence","community"}))/SUM(SUMIFS('caseload data'!N:N,'caseload data'!$B:$B,{"licence","community"},'caseload data'!$C:$C,'community %'!$B$36)),"")</f>
        <v/>
      </c>
      <c r="M39" s="181" t="str">
        <f>IFERROR(SUM(SUMIFS('caseload data'!O:O,'caseload data'!$C:$C,'community %'!$B$36,'caseload data'!$D:$D,"PSO",'caseload data'!$B:$B,{"licence","community"}))/SUM(SUMIFS('caseload data'!O:O,'caseload data'!$B:$B,{"licence","community"},'caseload data'!$C:$C,'community %'!$B$36)),"")</f>
        <v/>
      </c>
      <c r="N39" s="181" t="str">
        <f>IFERROR(SUM(SUMIFS('caseload data'!P:P,'caseload data'!$C:$C,'community %'!$B$36,'caseload data'!$D:$D,"PSO",'caseload data'!$B:$B,{"licence","community"}))/SUM(SUMIFS('caseload data'!P:P,'caseload data'!$B:$B,{"licence","community"},'caseload data'!$C:$C,'community %'!$B$36)),"")</f>
        <v/>
      </c>
      <c r="O39" s="181" t="str">
        <f>IFERROR(SUM(SUMIFS('caseload data'!Q:Q,'caseload data'!$C:$C,'community %'!$B$36,'caseload data'!$D:$D,"PSO",'caseload data'!$B:$B,{"licence","community"}))/SUM(SUMIFS('caseload data'!Q:Q,'caseload data'!$B:$B,{"licence","community"},'caseload data'!$C:$C,'community %'!$B$36)),"")</f>
        <v/>
      </c>
      <c r="P39" s="181" t="str">
        <f>IFERROR(SUM(SUMIFS('caseload data'!R:R,'caseload data'!$C:$C,'community %'!$B$36,'caseload data'!$D:$D,"PSO",'caseload data'!$B:$B,{"licence","community"}))/SUM(SUMIFS('caseload data'!R:R,'caseload data'!$B:$B,{"licence","community"},'caseload data'!$C:$C,'community %'!$B$36)),"")</f>
        <v/>
      </c>
      <c r="Q39" s="181" t="str">
        <f>IFERROR(SUM(SUMIFS('caseload data'!S:S,'caseload data'!$C:$C,'community %'!$B$36,'caseload data'!$D:$D,"PSO",'caseload data'!$B:$B,{"licence","community"}))/SUM(SUMIFS('caseload data'!S:S,'caseload data'!$B:$B,{"licence","community"},'caseload data'!$C:$C,'community %'!$B$36)),"")</f>
        <v/>
      </c>
      <c r="R39" s="181" t="str">
        <f>IFERROR(SUM(SUMIFS('caseload data'!T:T,'caseload data'!$C:$C,'community %'!$B$36,'caseload data'!$D:$D,"PSO",'caseload data'!$B:$B,{"licence","community"}))/SUM(SUMIFS('caseload data'!T:T,'caseload data'!$B:$B,{"licence","community"},'caseload data'!$C:$C,'community %'!$B$36)),"")</f>
        <v/>
      </c>
      <c r="S39" s="73"/>
      <c r="T39" s="107" t="s">
        <v>912</v>
      </c>
      <c r="U39" s="181" t="str">
        <f>IFERROR(SUM(SUMIFS('caseload data'!E:E,'caseload data'!$C:$C,'community %'!$T$36,'caseload data'!$D:$D,"PSO",'caseload data'!$B:$B,{"licence","community"}))/SUM(SUMIFS('caseload data'!E:E,'caseload data'!$B:$B,{"licence","community"},'caseload data'!$C:$C,'community %'!$T$36)),"")</f>
        <v/>
      </c>
      <c r="V39" s="181" t="str">
        <f>IFERROR(SUM(SUMIFS('caseload data'!F:F,'caseload data'!$C:$C,'community %'!$T$36,'caseload data'!$D:$D,"PSO",'caseload data'!$B:$B,{"licence","community"}))/SUM(SUMIFS('caseload data'!F:F,'caseload data'!$B:$B,{"licence","community"},'caseload data'!$C:$C,'community %'!$T$36)),"")</f>
        <v/>
      </c>
      <c r="W39" s="181" t="str">
        <f>IFERROR(SUM(SUMIFS('caseload data'!G:G,'caseload data'!$C:$C,'community %'!$T$36,'caseload data'!$D:$D,"PSO",'caseload data'!$B:$B,{"licence","community"}))/SUM(SUMIFS('caseload data'!G:G,'caseload data'!$B:$B,{"licence","community"},'caseload data'!$C:$C,'community %'!$T$36)),"")</f>
        <v/>
      </c>
      <c r="X39" s="181" t="str">
        <f>IFERROR(SUM(SUMIFS('caseload data'!H:H,'caseload data'!$C:$C,'community %'!$T$36,'caseload data'!$D:$D,"PSO",'caseload data'!$B:$B,{"licence","community"}))/SUM(SUMIFS('caseload data'!H:H,'caseload data'!$B:$B,{"licence","community"},'caseload data'!$C:$C,'community %'!$T$36)),"")</f>
        <v/>
      </c>
      <c r="Y39" s="181" t="str">
        <f>IFERROR(SUM(SUMIFS('caseload data'!I:I,'caseload data'!$C:$C,'community %'!$T$36,'caseload data'!$D:$D,"PSO",'caseload data'!$B:$B,{"licence","community"}))/SUM(SUMIFS('caseload data'!I:I,'caseload data'!$B:$B,{"licence","community"},'caseload data'!$C:$C,'community %'!$T$36)),"")</f>
        <v/>
      </c>
      <c r="Z39" s="181" t="str">
        <f>IFERROR(SUM(SUMIFS('caseload data'!J:J,'caseload data'!$C:$C,'community %'!$T$36,'caseload data'!$D:$D,"PSO",'caseload data'!$B:$B,{"licence","community"}))/SUM(SUMIFS('caseload data'!J:J,'caseload data'!$B:$B,{"licence","community"},'caseload data'!$C:$C,'community %'!$T$36)),"")</f>
        <v/>
      </c>
      <c r="AA39" s="181" t="str">
        <f>IFERROR(SUM(SUMIFS('caseload data'!K:K,'caseload data'!$C:$C,'community %'!$T$36,'caseload data'!$D:$D,"PSO",'caseload data'!$B:$B,{"licence","community"}))/SUM(SUMIFS('caseload data'!K:K,'caseload data'!$B:$B,{"licence","community"},'caseload data'!$C:$C,'community %'!$T$36)),"")</f>
        <v/>
      </c>
      <c r="AB39" s="181" t="str">
        <f>IFERROR(SUM(SUMIFS('caseload data'!L:L,'caseload data'!$C:$C,'community %'!$T$36,'caseload data'!$D:$D,"PSO",'caseload data'!$B:$B,{"licence","community"}))/SUM(SUMIFS('caseload data'!L:L,'caseload data'!$B:$B,{"licence","community"},'caseload data'!$C:$C,'community %'!$T$36)),"")</f>
        <v/>
      </c>
      <c r="AC39" s="181" t="str">
        <f>IFERROR(SUM(SUMIFS('caseload data'!M:M,'caseload data'!$C:$C,'community %'!$T$36,'caseload data'!$D:$D,"PSO",'caseload data'!$B:$B,{"licence","community"}))/SUM(SUMIFS('caseload data'!M:M,'caseload data'!$B:$B,{"licence","community"},'caseload data'!$C:$C,'community %'!$T$36)),"")</f>
        <v/>
      </c>
      <c r="AD39" s="181" t="str">
        <f>IFERROR(SUM(SUMIFS('caseload data'!N:N,'caseload data'!$C:$C,'community %'!$T$36,'caseload data'!$D:$D,"PSO",'caseload data'!$B:$B,{"licence","community"}))/SUM(SUMIFS('caseload data'!N:N,'caseload data'!$B:$B,{"licence","community"},'caseload data'!$C:$C,'community %'!$T$36)),"")</f>
        <v/>
      </c>
      <c r="AE39" s="181" t="str">
        <f>IFERROR(SUM(SUMIFS('caseload data'!O:O,'caseload data'!$C:$C,'community %'!$T$36,'caseload data'!$D:$D,"PSO",'caseload data'!$B:$B,{"licence","community"}))/SUM(SUMIFS('caseload data'!O:O,'caseload data'!$B:$B,{"licence","community"},'caseload data'!$C:$C,'community %'!$T$36)),"")</f>
        <v/>
      </c>
      <c r="AF39" s="181" t="str">
        <f>IFERROR(SUM(SUMIFS('caseload data'!P:P,'caseload data'!$C:$C,'community %'!$T$36,'caseload data'!$D:$D,"PSO",'caseload data'!$B:$B,{"licence","community"}))/SUM(SUMIFS('caseload data'!P:P,'caseload data'!$B:$B,{"licence","community"},'caseload data'!$C:$C,'community %'!$T$36)),"")</f>
        <v/>
      </c>
      <c r="AG39" s="181" t="str">
        <f>IFERROR(SUM(SUMIFS('caseload data'!Q:Q,'caseload data'!$C:$C,'community %'!$T$36,'caseload data'!$D:$D,"PSO",'caseload data'!$B:$B,{"licence","community"}))/SUM(SUMIFS('caseload data'!Q:Q,'caseload data'!$B:$B,{"licence","community"},'caseload data'!$C:$C,'community %'!$T$36)),"")</f>
        <v/>
      </c>
      <c r="AH39" s="181" t="str">
        <f>IFERROR(SUM(SUMIFS('caseload data'!R:R,'caseload data'!$C:$C,'community %'!$T$36,'caseload data'!$D:$D,"PSO",'caseload data'!$B:$B,{"licence","community"}))/SUM(SUMIFS('caseload data'!R:R,'caseload data'!$B:$B,{"licence","community"},'caseload data'!$C:$C,'community %'!$T$36)),"")</f>
        <v/>
      </c>
      <c r="AI39" s="181" t="str">
        <f>IFERROR(SUM(SUMIFS('caseload data'!S:S,'caseload data'!$C:$C,'community %'!$T$36,'caseload data'!$D:$D,"PSO",'caseload data'!$B:$B,{"licence","community"}))/SUM(SUMIFS('caseload data'!S:S,'caseload data'!$B:$B,{"licence","community"},'caseload data'!$C:$C,'community %'!$T$36)),"")</f>
        <v/>
      </c>
      <c r="AJ39" s="181" t="str">
        <f>IFERROR(SUM(SUMIFS('caseload data'!T:T,'caseload data'!$C:$C,'community %'!$T$36,'caseload data'!$D:$D,"PSO",'caseload data'!$B:$B,{"licence","community"}))/SUM(SUMIFS('caseload data'!T:T,'caseload data'!$B:$B,{"licence","community"},'caseload data'!$C:$C,'community %'!$T$36)),"")</f>
        <v/>
      </c>
    </row>
    <row r="40" spans="2:36" x14ac:dyDescent="0.15">
      <c r="B40" s="107" t="s">
        <v>913</v>
      </c>
      <c r="C40" s="181" t="str">
        <f>IFERROR(SUM(SUMIFS('caseload data'!E:E,'caseload data'!$C:$C,'community %'!$B$36,'caseload data'!$D:$D,"TPO",'caseload data'!$B:$B,{"licence","community"}))/SUM(SUMIFS('caseload data'!E:E,'caseload data'!$B:$B,{"licence","community"},'caseload data'!$C:$C,'community %'!$B$36)),"")</f>
        <v/>
      </c>
      <c r="D40" s="181" t="str">
        <f>IFERROR(SUM(SUMIFS('caseload data'!F:F,'caseload data'!$C:$C,'community %'!$B$36,'caseload data'!$D:$D,"TPO",'caseload data'!$B:$B,{"licence","community"}))/SUM(SUMIFS('caseload data'!F:F,'caseload data'!$B:$B,{"licence","community"},'caseload data'!$C:$C,'community %'!$B$36)),"")</f>
        <v/>
      </c>
      <c r="E40" s="181" t="str">
        <f>IFERROR(SUM(SUMIFS('caseload data'!G:G,'caseload data'!$C:$C,'community %'!$B$36,'caseload data'!$D:$D,"TPO",'caseload data'!$B:$B,{"licence","community"}))/SUM(SUMIFS('caseload data'!G:G,'caseload data'!$B:$B,{"licence","community"},'caseload data'!$C:$C,'community %'!$B$36)),"")</f>
        <v/>
      </c>
      <c r="F40" s="181" t="str">
        <f>IFERROR(SUM(SUMIFS('caseload data'!H:H,'caseload data'!$C:$C,'community %'!$B$36,'caseload data'!$D:$D,"TPO",'caseload data'!$B:$B,{"licence","community"}))/SUM(SUMIFS('caseload data'!H:H,'caseload data'!$B:$B,{"licence","community"},'caseload data'!$C:$C,'community %'!$B$36)),"")</f>
        <v/>
      </c>
      <c r="G40" s="181" t="str">
        <f>IFERROR(SUM(SUMIFS('caseload data'!I:I,'caseload data'!$C:$C,'community %'!$B$36,'caseload data'!$D:$D,"TPO",'caseload data'!$B:$B,{"licence","community"}))/SUM(SUMIFS('caseload data'!I:I,'caseload data'!$B:$B,{"licence","community"},'caseload data'!$C:$C,'community %'!$B$36)),"")</f>
        <v/>
      </c>
      <c r="H40" s="181" t="str">
        <f>IFERROR(SUM(SUMIFS('caseload data'!J:J,'caseload data'!$C:$C,'community %'!$B$36,'caseload data'!$D:$D,"TPO",'caseload data'!$B:$B,{"licence","community"}))/SUM(SUMIFS('caseload data'!J:J,'caseload data'!$B:$B,{"licence","community"},'caseload data'!$C:$C,'community %'!$B$36)),"")</f>
        <v/>
      </c>
      <c r="I40" s="181" t="str">
        <f>IFERROR(SUM(SUMIFS('caseload data'!K:K,'caseload data'!$C:$C,'community %'!$B$36,'caseload data'!$D:$D,"TPO",'caseload data'!$B:$B,{"licence","community"}))/SUM(SUMIFS('caseload data'!K:K,'caseload data'!$B:$B,{"licence","community"},'caseload data'!$C:$C,'community %'!$B$36)),"")</f>
        <v/>
      </c>
      <c r="J40" s="181" t="str">
        <f>IFERROR(SUM(SUMIFS('caseload data'!L:L,'caseload data'!$C:$C,'community %'!$B$36,'caseload data'!$D:$D,"TPO",'caseload data'!$B:$B,{"licence","community"}))/SUM(SUMIFS('caseload data'!L:L,'caseload data'!$B:$B,{"licence","community"},'caseload data'!$C:$C,'community %'!$B$36)),"")</f>
        <v/>
      </c>
      <c r="K40" s="181" t="str">
        <f>IFERROR(SUM(SUMIFS('caseload data'!M:M,'caseload data'!$C:$C,'community %'!$B$36,'caseload data'!$D:$D,"TPO",'caseload data'!$B:$B,{"licence","community"}))/SUM(SUMIFS('caseload data'!M:M,'caseload data'!$B:$B,{"licence","community"},'caseload data'!$C:$C,'community %'!$B$36)),"")</f>
        <v/>
      </c>
      <c r="L40" s="181" t="str">
        <f>IFERROR(SUM(SUMIFS('caseload data'!N:N,'caseload data'!$C:$C,'community %'!$B$36,'caseload data'!$D:$D,"TPO",'caseload data'!$B:$B,{"licence","community"}))/SUM(SUMIFS('caseload data'!N:N,'caseload data'!$B:$B,{"licence","community"},'caseload data'!$C:$C,'community %'!$B$36)),"")</f>
        <v/>
      </c>
      <c r="M40" s="181" t="str">
        <f>IFERROR(SUM(SUMIFS('caseload data'!O:O,'caseload data'!$C:$C,'community %'!$B$36,'caseload data'!$D:$D,"TPO",'caseload data'!$B:$B,{"licence","community"}))/SUM(SUMIFS('caseload data'!O:O,'caseload data'!$B:$B,{"licence","community"},'caseload data'!$C:$C,'community %'!$B$36)),"")</f>
        <v/>
      </c>
      <c r="N40" s="181" t="str">
        <f>IFERROR(SUM(SUMIFS('caseload data'!P:P,'caseload data'!$C:$C,'community %'!$B$36,'caseload data'!$D:$D,"TPO",'caseload data'!$B:$B,{"licence","community"}))/SUM(SUMIFS('caseload data'!P:P,'caseload data'!$B:$B,{"licence","community"},'caseload data'!$C:$C,'community %'!$B$36)),"")</f>
        <v/>
      </c>
      <c r="O40" s="181" t="str">
        <f>IFERROR(SUM(SUMIFS('caseload data'!Q:Q,'caseload data'!$C:$C,'community %'!$B$36,'caseload data'!$D:$D,"TPO",'caseload data'!$B:$B,{"licence","community"}))/SUM(SUMIFS('caseload data'!Q:Q,'caseload data'!$B:$B,{"licence","community"},'caseload data'!$C:$C,'community %'!$B$36)),"")</f>
        <v/>
      </c>
      <c r="P40" s="181" t="str">
        <f>IFERROR(SUM(SUMIFS('caseload data'!R:R,'caseload data'!$C:$C,'community %'!$B$36,'caseload data'!$D:$D,"TPO",'caseload data'!$B:$B,{"licence","community"}))/SUM(SUMIFS('caseload data'!R:R,'caseload data'!$B:$B,{"licence","community"},'caseload data'!$C:$C,'community %'!$B$36)),"")</f>
        <v/>
      </c>
      <c r="Q40" s="181" t="str">
        <f>IFERROR(SUM(SUMIFS('caseload data'!S:S,'caseload data'!$C:$C,'community %'!$B$36,'caseload data'!$D:$D,"TPO",'caseload data'!$B:$B,{"licence","community"}))/SUM(SUMIFS('caseload data'!S:S,'caseload data'!$B:$B,{"licence","community"},'caseload data'!$C:$C,'community %'!$B$36)),"")</f>
        <v/>
      </c>
      <c r="R40" s="181" t="str">
        <f>IFERROR(SUM(SUMIFS('caseload data'!T:T,'caseload data'!$C:$C,'community %'!$B$36,'caseload data'!$D:$D,"TPO",'caseload data'!$B:$B,{"licence","community"}))/SUM(SUMIFS('caseload data'!T:T,'caseload data'!$B:$B,{"licence","community"},'caseload data'!$C:$C,'community %'!$B$36)),"")</f>
        <v/>
      </c>
      <c r="S40" s="73"/>
      <c r="T40" s="107" t="s">
        <v>913</v>
      </c>
      <c r="U40" s="181" t="str">
        <f>IFERROR(SUM(SUMIFS('caseload data'!E:E,'caseload data'!$C:$C,'community %'!$T$36,'caseload data'!$D:$D,"TPO",'caseload data'!$B:$B,{"licence","community"}))/SUM(SUMIFS('caseload data'!E:E,'caseload data'!$B:$B,{"licence","community"},'caseload data'!$C:$C,'community %'!$T$36)),"")</f>
        <v/>
      </c>
      <c r="V40" s="181" t="str">
        <f>IFERROR(SUM(SUMIFS('caseload data'!F:F,'caseload data'!$C:$C,'community %'!$T$36,'caseload data'!$D:$D,"TPO",'caseload data'!$B:$B,{"licence","community"}))/SUM(SUMIFS('caseload data'!F:F,'caseload data'!$B:$B,{"licence","community"},'caseload data'!$C:$C,'community %'!$T$36)),"")</f>
        <v/>
      </c>
      <c r="W40" s="181" t="str">
        <f>IFERROR(SUM(SUMIFS('caseload data'!G:G,'caseload data'!$C:$C,'community %'!$T$36,'caseload data'!$D:$D,"TPO",'caseload data'!$B:$B,{"licence","community"}))/SUM(SUMIFS('caseload data'!G:G,'caseload data'!$B:$B,{"licence","community"},'caseload data'!$C:$C,'community %'!$T$36)),"")</f>
        <v/>
      </c>
      <c r="X40" s="181" t="str">
        <f>IFERROR(SUM(SUMIFS('caseload data'!H:H,'caseload data'!$C:$C,'community %'!$T$36,'caseload data'!$D:$D,"TPO",'caseload data'!$B:$B,{"licence","community"}))/SUM(SUMIFS('caseload data'!H:H,'caseload data'!$B:$B,{"licence","community"},'caseload data'!$C:$C,'community %'!$T$36)),"")</f>
        <v/>
      </c>
      <c r="Y40" s="181" t="str">
        <f>IFERROR(SUM(SUMIFS('caseload data'!I:I,'caseload data'!$C:$C,'community %'!$T$36,'caseload data'!$D:$D,"TPO",'caseload data'!$B:$B,{"licence","community"}))/SUM(SUMIFS('caseload data'!I:I,'caseload data'!$B:$B,{"licence","community"},'caseload data'!$C:$C,'community %'!$T$36)),"")</f>
        <v/>
      </c>
      <c r="Z40" s="181" t="str">
        <f>IFERROR(SUM(SUMIFS('caseload data'!J:J,'caseload data'!$C:$C,'community %'!$T$36,'caseload data'!$D:$D,"TPO",'caseload data'!$B:$B,{"licence","community"}))/SUM(SUMIFS('caseload data'!J:J,'caseload data'!$B:$B,{"licence","community"},'caseload data'!$C:$C,'community %'!$T$36)),"")</f>
        <v/>
      </c>
      <c r="AA40" s="181" t="str">
        <f>IFERROR(SUM(SUMIFS('caseload data'!K:K,'caseload data'!$C:$C,'community %'!$T$36,'caseload data'!$D:$D,"TPO",'caseload data'!$B:$B,{"licence","community"}))/SUM(SUMIFS('caseload data'!K:K,'caseload data'!$B:$B,{"licence","community"},'caseload data'!$C:$C,'community %'!$T$36)),"")</f>
        <v/>
      </c>
      <c r="AB40" s="181" t="str">
        <f>IFERROR(SUM(SUMIFS('caseload data'!L:L,'caseload data'!$C:$C,'community %'!$T$36,'caseload data'!$D:$D,"TPO",'caseload data'!$B:$B,{"licence","community"}))/SUM(SUMIFS('caseload data'!L:L,'caseload data'!$B:$B,{"licence","community"},'caseload data'!$C:$C,'community %'!$T$36)),"")</f>
        <v/>
      </c>
      <c r="AC40" s="181" t="str">
        <f>IFERROR(SUM(SUMIFS('caseload data'!M:M,'caseload data'!$C:$C,'community %'!$T$36,'caseload data'!$D:$D,"TPO",'caseload data'!$B:$B,{"licence","community"}))/SUM(SUMIFS('caseload data'!M:M,'caseload data'!$B:$B,{"licence","community"},'caseload data'!$C:$C,'community %'!$T$36)),"")</f>
        <v/>
      </c>
      <c r="AD40" s="181" t="str">
        <f>IFERROR(SUM(SUMIFS('caseload data'!N:N,'caseload data'!$C:$C,'community %'!$T$36,'caseload data'!$D:$D,"TPO",'caseload data'!$B:$B,{"licence","community"}))/SUM(SUMIFS('caseload data'!N:N,'caseload data'!$B:$B,{"licence","community"},'caseload data'!$C:$C,'community %'!$T$36)),"")</f>
        <v/>
      </c>
      <c r="AE40" s="181" t="str">
        <f>IFERROR(SUM(SUMIFS('caseload data'!O:O,'caseload data'!$C:$C,'community %'!$T$36,'caseload data'!$D:$D,"TPO",'caseload data'!$B:$B,{"licence","community"}))/SUM(SUMIFS('caseload data'!O:O,'caseload data'!$B:$B,{"licence","community"},'caseload data'!$C:$C,'community %'!$T$36)),"")</f>
        <v/>
      </c>
      <c r="AF40" s="181" t="str">
        <f>IFERROR(SUM(SUMIFS('caseload data'!P:P,'caseload data'!$C:$C,'community %'!$T$36,'caseload data'!$D:$D,"TPO",'caseload data'!$B:$B,{"licence","community"}))/SUM(SUMIFS('caseload data'!P:P,'caseload data'!$B:$B,{"licence","community"},'caseload data'!$C:$C,'community %'!$T$36)),"")</f>
        <v/>
      </c>
      <c r="AG40" s="181" t="str">
        <f>IFERROR(SUM(SUMIFS('caseload data'!Q:Q,'caseload data'!$C:$C,'community %'!$T$36,'caseload data'!$D:$D,"TPO",'caseload data'!$B:$B,{"licence","community"}))/SUM(SUMIFS('caseload data'!Q:Q,'caseload data'!$B:$B,{"licence","community"},'caseload data'!$C:$C,'community %'!$T$36)),"")</f>
        <v/>
      </c>
      <c r="AH40" s="181" t="str">
        <f>IFERROR(SUM(SUMIFS('caseload data'!R:R,'caseload data'!$C:$C,'community %'!$T$36,'caseload data'!$D:$D,"TPO",'caseload data'!$B:$B,{"licence","community"}))/SUM(SUMIFS('caseload data'!R:R,'caseload data'!$B:$B,{"licence","community"},'caseload data'!$C:$C,'community %'!$T$36)),"")</f>
        <v/>
      </c>
      <c r="AI40" s="181" t="str">
        <f>IFERROR(SUM(SUMIFS('caseload data'!S:S,'caseload data'!$C:$C,'community %'!$T$36,'caseload data'!$D:$D,"TPO",'caseload data'!$B:$B,{"licence","community"}))/SUM(SUMIFS('caseload data'!S:S,'caseload data'!$B:$B,{"licence","community"},'caseload data'!$C:$C,'community %'!$T$36)),"")</f>
        <v/>
      </c>
      <c r="AJ40" s="181" t="str">
        <f>IFERROR(SUM(SUMIFS('caseload data'!T:T,'caseload data'!$C:$C,'community %'!$T$36,'caseload data'!$D:$D,"TPO",'caseload data'!$B:$B,{"licence","community"}))/SUM(SUMIFS('caseload data'!T:T,'caseload data'!$B:$B,{"licence","community"},'caseload data'!$C:$C,'community %'!$T$36)),"")</f>
        <v/>
      </c>
    </row>
    <row r="41" spans="2:36" x14ac:dyDescent="0.15">
      <c r="B41" s="108" t="s">
        <v>914</v>
      </c>
      <c r="C41" s="181" t="str">
        <f>IFERROR(SUM(SUMIFS('caseload data'!E:E,'caseload data'!$C:$C,'community %'!$B$36,'caseload data'!$D:$D,"SPO",'caseload data'!$B:$B,{"licence","community"}))/SUM(SUMIFS('caseload data'!E:E,'caseload data'!$B:$B,{"licence","community"},'caseload data'!$C:$C,'community %'!$B$36)),"")</f>
        <v/>
      </c>
      <c r="D41" s="181" t="str">
        <f>IFERROR(SUM(SUMIFS('caseload data'!F:F,'caseload data'!$C:$C,'community %'!$B$36,'caseload data'!$D:$D,"SPO",'caseload data'!$B:$B,{"licence","community"}))/SUM(SUMIFS('caseload data'!F:F,'caseload data'!$B:$B,{"licence","community"},'caseload data'!$C:$C,'community %'!$B$36)),"")</f>
        <v/>
      </c>
      <c r="E41" s="181" t="str">
        <f>IFERROR(SUM(SUMIFS('caseload data'!G:G,'caseload data'!$C:$C,'community %'!$B$36,'caseload data'!$D:$D,"SPO",'caseload data'!$B:$B,{"licence","community"}))/SUM(SUMIFS('caseload data'!G:G,'caseload data'!$B:$B,{"licence","community"},'caseload data'!$C:$C,'community %'!$B$36)),"")</f>
        <v/>
      </c>
      <c r="F41" s="181" t="str">
        <f>IFERROR(SUM(SUMIFS('caseload data'!H:H,'caseload data'!$C:$C,'community %'!$B$36,'caseload data'!$D:$D,"SPO",'caseload data'!$B:$B,{"licence","community"}))/SUM(SUMIFS('caseload data'!H:H,'caseload data'!$B:$B,{"licence","community"},'caseload data'!$C:$C,'community %'!$B$36)),"")</f>
        <v/>
      </c>
      <c r="G41" s="181" t="str">
        <f>IFERROR(SUM(SUMIFS('caseload data'!I:I,'caseload data'!$C:$C,'community %'!$B$36,'caseload data'!$D:$D,"SPO",'caseload data'!$B:$B,{"licence","community"}))/SUM(SUMIFS('caseload data'!I:I,'caseload data'!$B:$B,{"licence","community"},'caseload data'!$C:$C,'community %'!$B$36)),"")</f>
        <v/>
      </c>
      <c r="H41" s="181" t="str">
        <f>IFERROR(SUM(SUMIFS('caseload data'!J:J,'caseload data'!$C:$C,'community %'!$B$36,'caseload data'!$D:$D,"SPO",'caseload data'!$B:$B,{"licence","community"}))/SUM(SUMIFS('caseload data'!J:J,'caseload data'!$B:$B,{"licence","community"},'caseload data'!$C:$C,'community %'!$B$36)),"")</f>
        <v/>
      </c>
      <c r="I41" s="181" t="str">
        <f>IFERROR(SUM(SUMIFS('caseload data'!K:K,'caseload data'!$C:$C,'community %'!$B$36,'caseload data'!$D:$D,"SPO",'caseload data'!$B:$B,{"licence","community"}))/SUM(SUMIFS('caseload data'!K:K,'caseload data'!$B:$B,{"licence","community"},'caseload data'!$C:$C,'community %'!$B$36)),"")</f>
        <v/>
      </c>
      <c r="J41" s="181" t="str">
        <f>IFERROR(SUM(SUMIFS('caseload data'!L:L,'caseload data'!$C:$C,'community %'!$B$36,'caseload data'!$D:$D,"SPO",'caseload data'!$B:$B,{"licence","community"}))/SUM(SUMIFS('caseload data'!L:L,'caseload data'!$B:$B,{"licence","community"},'caseload data'!$C:$C,'community %'!$B$36)),"")</f>
        <v/>
      </c>
      <c r="K41" s="181" t="str">
        <f>IFERROR(SUM(SUMIFS('caseload data'!M:M,'caseload data'!$C:$C,'community %'!$B$36,'caseload data'!$D:$D,"SPO",'caseload data'!$B:$B,{"licence","community"}))/SUM(SUMIFS('caseload data'!M:M,'caseload data'!$B:$B,{"licence","community"},'caseload data'!$C:$C,'community %'!$B$36)),"")</f>
        <v/>
      </c>
      <c r="L41" s="181" t="str">
        <f>IFERROR(SUM(SUMIFS('caseload data'!N:N,'caseload data'!$C:$C,'community %'!$B$36,'caseload data'!$D:$D,"SPO",'caseload data'!$B:$B,{"licence","community"}))/SUM(SUMIFS('caseload data'!N:N,'caseload data'!$B:$B,{"licence","community"},'caseload data'!$C:$C,'community %'!$B$36)),"")</f>
        <v/>
      </c>
      <c r="M41" s="181" t="str">
        <f>IFERROR(SUM(SUMIFS('caseload data'!O:O,'caseload data'!$C:$C,'community %'!$B$36,'caseload data'!$D:$D,"SPO",'caseload data'!$B:$B,{"licence","community"}))/SUM(SUMIFS('caseload data'!O:O,'caseload data'!$B:$B,{"licence","community"},'caseload data'!$C:$C,'community %'!$B$36)),"")</f>
        <v/>
      </c>
      <c r="N41" s="181" t="str">
        <f>IFERROR(SUM(SUMIFS('caseload data'!P:P,'caseload data'!$C:$C,'community %'!$B$36,'caseload data'!$D:$D,"SPO",'caseload data'!$B:$B,{"licence","community"}))/SUM(SUMIFS('caseload data'!P:P,'caseload data'!$B:$B,{"licence","community"},'caseload data'!$C:$C,'community %'!$B$36)),"")</f>
        <v/>
      </c>
      <c r="O41" s="181" t="str">
        <f>IFERROR(SUM(SUMIFS('caseload data'!Q:Q,'caseload data'!$C:$C,'community %'!$B$36,'caseload data'!$D:$D,"SPO",'caseload data'!$B:$B,{"licence","community"}))/SUM(SUMIFS('caseload data'!Q:Q,'caseload data'!$B:$B,{"licence","community"},'caseload data'!$C:$C,'community %'!$B$36)),"")</f>
        <v/>
      </c>
      <c r="P41" s="181" t="str">
        <f>IFERROR(SUM(SUMIFS('caseload data'!R:R,'caseload data'!$C:$C,'community %'!$B$36,'caseload data'!$D:$D,"SPO",'caseload data'!$B:$B,{"licence","community"}))/SUM(SUMIFS('caseload data'!R:R,'caseload data'!$B:$B,{"licence","community"},'caseload data'!$C:$C,'community %'!$B$36)),"")</f>
        <v/>
      </c>
      <c r="Q41" s="181" t="str">
        <f>IFERROR(SUM(SUMIFS('caseload data'!S:S,'caseload data'!$C:$C,'community %'!$B$36,'caseload data'!$D:$D,"SPO",'caseload data'!$B:$B,{"licence","community"}))/SUM(SUMIFS('caseload data'!S:S,'caseload data'!$B:$B,{"licence","community"},'caseload data'!$C:$C,'community %'!$B$36)),"")</f>
        <v/>
      </c>
      <c r="R41" s="181" t="str">
        <f>IFERROR(SUM(SUMIFS('caseload data'!T:T,'caseload data'!$C:$C,'community %'!$B$36,'caseload data'!$D:$D,"SPO",'caseload data'!$B:$B,{"licence","community"}))/SUM(SUMIFS('caseload data'!T:T,'caseload data'!$B:$B,{"licence","community"},'caseload data'!$C:$C,'community %'!$B$36)),"")</f>
        <v/>
      </c>
      <c r="S41" s="73"/>
      <c r="T41" s="108" t="s">
        <v>914</v>
      </c>
      <c r="U41" s="181" t="str">
        <f>IFERROR(SUM(SUMIFS('caseload data'!E:E,'caseload data'!$C:$C,'community %'!$T$36,'caseload data'!$D:$D,"SPO",'caseload data'!$B:$B,{"licence","community"}))/SUM(SUMIFS('caseload data'!E:E,'caseload data'!$B:$B,{"licence","community"},'caseload data'!$C:$C,'community %'!$T$36)),"")</f>
        <v/>
      </c>
      <c r="V41" s="181" t="str">
        <f>IFERROR(SUM(SUMIFS('caseload data'!F:F,'caseload data'!$C:$C,'community %'!$T$36,'caseload data'!$D:$D,"SPO",'caseload data'!$B:$B,{"licence","community"}))/SUM(SUMIFS('caseload data'!F:F,'caseload data'!$B:$B,{"licence","community"},'caseload data'!$C:$C,'community %'!$T$36)),"")</f>
        <v/>
      </c>
      <c r="W41" s="181" t="str">
        <f>IFERROR(SUM(SUMIFS('caseload data'!G:G,'caseload data'!$C:$C,'community %'!$T$36,'caseload data'!$D:$D,"SPO",'caseload data'!$B:$B,{"licence","community"}))/SUM(SUMIFS('caseload data'!G:G,'caseload data'!$B:$B,{"licence","community"},'caseload data'!$C:$C,'community %'!$T$36)),"")</f>
        <v/>
      </c>
      <c r="X41" s="181" t="str">
        <f>IFERROR(SUM(SUMIFS('caseload data'!H:H,'caseload data'!$C:$C,'community %'!$T$36,'caseload data'!$D:$D,"SPO",'caseload data'!$B:$B,{"licence","community"}))/SUM(SUMIFS('caseload data'!H:H,'caseload data'!$B:$B,{"licence","community"},'caseload data'!$C:$C,'community %'!$T$36)),"")</f>
        <v/>
      </c>
      <c r="Y41" s="181" t="str">
        <f>IFERROR(SUM(SUMIFS('caseload data'!I:I,'caseload data'!$C:$C,'community %'!$T$36,'caseload data'!$D:$D,"SPO",'caseload data'!$B:$B,{"licence","community"}))/SUM(SUMIFS('caseload data'!I:I,'caseload data'!$B:$B,{"licence","community"},'caseload data'!$C:$C,'community %'!$T$36)),"")</f>
        <v/>
      </c>
      <c r="Z41" s="181" t="str">
        <f>IFERROR(SUM(SUMIFS('caseload data'!J:J,'caseload data'!$C:$C,'community %'!$T$36,'caseload data'!$D:$D,"SPO",'caseload data'!$B:$B,{"licence","community"}))/SUM(SUMIFS('caseload data'!J:J,'caseload data'!$B:$B,{"licence","community"},'caseload data'!$C:$C,'community %'!$T$36)),"")</f>
        <v/>
      </c>
      <c r="AA41" s="181" t="str">
        <f>IFERROR(SUM(SUMIFS('caseload data'!K:K,'caseload data'!$C:$C,'community %'!$T$36,'caseload data'!$D:$D,"SPO",'caseload data'!$B:$B,{"licence","community"}))/SUM(SUMIFS('caseload data'!K:K,'caseload data'!$B:$B,{"licence","community"},'caseload data'!$C:$C,'community %'!$T$36)),"")</f>
        <v/>
      </c>
      <c r="AB41" s="181" t="str">
        <f>IFERROR(SUM(SUMIFS('caseload data'!L:L,'caseload data'!$C:$C,'community %'!$T$36,'caseload data'!$D:$D,"SPO",'caseload data'!$B:$B,{"licence","community"}))/SUM(SUMIFS('caseload data'!L:L,'caseload data'!$B:$B,{"licence","community"},'caseload data'!$C:$C,'community %'!$T$36)),"")</f>
        <v/>
      </c>
      <c r="AC41" s="181" t="str">
        <f>IFERROR(SUM(SUMIFS('caseload data'!M:M,'caseload data'!$C:$C,'community %'!$T$36,'caseload data'!$D:$D,"SPO",'caseload data'!$B:$B,{"licence","community"}))/SUM(SUMIFS('caseload data'!M:M,'caseload data'!$B:$B,{"licence","community"},'caseload data'!$C:$C,'community %'!$T$36)),"")</f>
        <v/>
      </c>
      <c r="AD41" s="181" t="str">
        <f>IFERROR(SUM(SUMIFS('caseload data'!N:N,'caseload data'!$C:$C,'community %'!$T$36,'caseload data'!$D:$D,"SPO",'caseload data'!$B:$B,{"licence","community"}))/SUM(SUMIFS('caseload data'!N:N,'caseload data'!$B:$B,{"licence","community"},'caseload data'!$C:$C,'community %'!$T$36)),"")</f>
        <v/>
      </c>
      <c r="AE41" s="181" t="str">
        <f>IFERROR(SUM(SUMIFS('caseload data'!O:O,'caseload data'!$C:$C,'community %'!$T$36,'caseload data'!$D:$D,"SPO",'caseload data'!$B:$B,{"licence","community"}))/SUM(SUMIFS('caseload data'!O:O,'caseload data'!$B:$B,{"licence","community"},'caseload data'!$C:$C,'community %'!$T$36)),"")</f>
        <v/>
      </c>
      <c r="AF41" s="181" t="str">
        <f>IFERROR(SUM(SUMIFS('caseload data'!P:P,'caseload data'!$C:$C,'community %'!$T$36,'caseload data'!$D:$D,"SPO",'caseload data'!$B:$B,{"licence","community"}))/SUM(SUMIFS('caseload data'!P:P,'caseload data'!$B:$B,{"licence","community"},'caseload data'!$C:$C,'community %'!$T$36)),"")</f>
        <v/>
      </c>
      <c r="AG41" s="181" t="str">
        <f>IFERROR(SUM(SUMIFS('caseload data'!Q:Q,'caseload data'!$C:$C,'community %'!$T$36,'caseload data'!$D:$D,"SPO",'caseload data'!$B:$B,{"licence","community"}))/SUM(SUMIFS('caseload data'!Q:Q,'caseload data'!$B:$B,{"licence","community"},'caseload data'!$C:$C,'community %'!$T$36)),"")</f>
        <v/>
      </c>
      <c r="AH41" s="181" t="str">
        <f>IFERROR(SUM(SUMIFS('caseload data'!R:R,'caseload data'!$C:$C,'community %'!$T$36,'caseload data'!$D:$D,"SPO",'caseload data'!$B:$B,{"licence","community"}))/SUM(SUMIFS('caseload data'!R:R,'caseload data'!$B:$B,{"licence","community"},'caseload data'!$C:$C,'community %'!$T$36)),"")</f>
        <v/>
      </c>
      <c r="AI41" s="181" t="str">
        <f>IFERROR(SUM(SUMIFS('caseload data'!S:S,'caseload data'!$C:$C,'community %'!$T$36,'caseload data'!$D:$D,"SPO",'caseload data'!$B:$B,{"licence","community"}))/SUM(SUMIFS('caseload data'!S:S,'caseload data'!$B:$B,{"licence","community"},'caseload data'!$C:$C,'community %'!$T$36)),"")</f>
        <v/>
      </c>
      <c r="AJ41" s="181" t="str">
        <f>IFERROR(SUM(SUMIFS('caseload data'!T:T,'caseload data'!$C:$C,'community %'!$T$36,'caseload data'!$D:$D,"SPO",'caseload data'!$B:$B,{"licence","community"}))/SUM(SUMIFS('caseload data'!T:T,'caseload data'!$B:$B,{"licence","community"},'caseload data'!$C:$C,'community %'!$T$36)),"")</f>
        <v/>
      </c>
    </row>
    <row r="42" spans="2:36" x14ac:dyDescent="0.15">
      <c r="B42" s="101"/>
      <c r="C42" s="73"/>
      <c r="D42" s="73"/>
      <c r="E42" s="73"/>
      <c r="F42" s="73"/>
      <c r="G42" s="73"/>
      <c r="H42" s="73"/>
      <c r="I42" s="73"/>
      <c r="J42" s="73"/>
      <c r="K42" s="73"/>
      <c r="L42" s="73"/>
      <c r="M42" s="73"/>
      <c r="N42" s="73"/>
      <c r="O42" s="73"/>
      <c r="P42" s="73"/>
      <c r="Q42" s="73"/>
      <c r="R42" s="73"/>
      <c r="S42" s="73"/>
      <c r="T42" s="101"/>
      <c r="U42" s="73"/>
      <c r="V42" s="73"/>
      <c r="W42" s="73"/>
      <c r="X42" s="73"/>
      <c r="Y42" s="73"/>
      <c r="Z42" s="73"/>
      <c r="AA42" s="73"/>
      <c r="AB42" s="73"/>
      <c r="AC42" s="73"/>
      <c r="AD42" s="73"/>
      <c r="AE42" s="73"/>
      <c r="AF42" s="73"/>
      <c r="AG42" s="73"/>
      <c r="AH42" s="73"/>
      <c r="AI42" s="73"/>
      <c r="AJ42" s="73"/>
    </row>
    <row r="43" spans="2:36" ht="43.5" customHeight="1" x14ac:dyDescent="0.15">
      <c r="B43" s="156" t="str">
        <f>HLOOKUP($B$5,Region_Table,12,0)</f>
        <v>Hammersmith, Fulham, Kensington, Chelsea and Westminster</v>
      </c>
      <c r="C43" s="367" t="s">
        <v>1170</v>
      </c>
      <c r="D43" s="368"/>
      <c r="E43" s="368"/>
      <c r="F43" s="368"/>
      <c r="G43" s="368"/>
      <c r="H43" s="368"/>
      <c r="I43" s="368"/>
      <c r="J43" s="368"/>
      <c r="K43" s="368"/>
      <c r="L43" s="368"/>
      <c r="M43" s="377"/>
      <c r="N43" s="377"/>
      <c r="O43" s="378"/>
      <c r="P43" s="371" cm="1">
        <f t="array" ref="P43">SUM(SUMIFS('caseload data'!V:V,'caseload data'!B:B,{"licence","community"},'caseload data'!$C:$C,B43))</f>
        <v>0</v>
      </c>
      <c r="Q43" s="379"/>
      <c r="R43" s="380"/>
      <c r="S43" s="73"/>
      <c r="T43" s="156" t="str">
        <f>HLOOKUP($B$5,Region_Table,13,0)</f>
        <v>Harrow and Barnet</v>
      </c>
      <c r="U43" s="367" t="s">
        <v>1170</v>
      </c>
      <c r="V43" s="368"/>
      <c r="W43" s="368"/>
      <c r="X43" s="368"/>
      <c r="Y43" s="368"/>
      <c r="Z43" s="368"/>
      <c r="AA43" s="368"/>
      <c r="AB43" s="368"/>
      <c r="AC43" s="368"/>
      <c r="AD43" s="368"/>
      <c r="AE43" s="377"/>
      <c r="AF43" s="377"/>
      <c r="AG43" s="378"/>
      <c r="AH43" s="371" cm="1">
        <f t="array" ref="AH43">SUM(SUMIFS('caseload data'!V:V,'caseload data'!B:B,{"licence","community"},'caseload data'!$C:$C,T43))</f>
        <v>0</v>
      </c>
      <c r="AI43" s="379"/>
      <c r="AJ43" s="380"/>
    </row>
    <row r="44" spans="2:36" x14ac:dyDescent="0.15">
      <c r="B44" s="105" t="s">
        <v>1065</v>
      </c>
      <c r="C44" s="41" t="s">
        <v>922</v>
      </c>
      <c r="D44" s="41" t="s">
        <v>923</v>
      </c>
      <c r="E44" s="41" t="s">
        <v>924</v>
      </c>
      <c r="F44" s="41" t="s">
        <v>925</v>
      </c>
      <c r="G44" s="41" t="s">
        <v>926</v>
      </c>
      <c r="H44" s="41" t="s">
        <v>927</v>
      </c>
      <c r="I44" s="41" t="s">
        <v>928</v>
      </c>
      <c r="J44" s="41" t="s">
        <v>929</v>
      </c>
      <c r="K44" s="41" t="s">
        <v>930</v>
      </c>
      <c r="L44" s="41" t="s">
        <v>931</v>
      </c>
      <c r="M44" s="41" t="s">
        <v>932</v>
      </c>
      <c r="N44" s="41" t="s">
        <v>933</v>
      </c>
      <c r="O44" s="41" t="s">
        <v>934</v>
      </c>
      <c r="P44" s="41" t="s">
        <v>935</v>
      </c>
      <c r="Q44" s="41" t="s">
        <v>936</v>
      </c>
      <c r="R44" s="41" t="s">
        <v>937</v>
      </c>
      <c r="S44" s="73"/>
      <c r="T44" s="105" t="s">
        <v>1065</v>
      </c>
      <c r="U44" s="41" t="s">
        <v>922</v>
      </c>
      <c r="V44" s="41" t="s">
        <v>923</v>
      </c>
      <c r="W44" s="41" t="s">
        <v>924</v>
      </c>
      <c r="X44" s="41" t="s">
        <v>925</v>
      </c>
      <c r="Y44" s="41" t="s">
        <v>926</v>
      </c>
      <c r="Z44" s="41" t="s">
        <v>927</v>
      </c>
      <c r="AA44" s="41" t="s">
        <v>928</v>
      </c>
      <c r="AB44" s="41" t="s">
        <v>929</v>
      </c>
      <c r="AC44" s="41" t="s">
        <v>930</v>
      </c>
      <c r="AD44" s="41" t="s">
        <v>931</v>
      </c>
      <c r="AE44" s="41" t="s">
        <v>932</v>
      </c>
      <c r="AF44" s="41" t="s">
        <v>933</v>
      </c>
      <c r="AG44" s="41" t="s">
        <v>934</v>
      </c>
      <c r="AH44" s="41" t="s">
        <v>935</v>
      </c>
      <c r="AI44" s="41" t="s">
        <v>936</v>
      </c>
      <c r="AJ44" s="41" t="s">
        <v>937</v>
      </c>
    </row>
    <row r="45" spans="2:36" x14ac:dyDescent="0.15">
      <c r="B45" s="106" t="s">
        <v>911</v>
      </c>
      <c r="C45" s="181" t="str">
        <f>IFERROR(SUM(SUMIFS('caseload data'!E:E,'caseload data'!$C:$C,'community %'!$B$43,'caseload data'!$D:$D,"PO",'caseload data'!$B:$B,{"licence","community"}))/SUM(SUMIFS('caseload data'!E:E,'caseload data'!$B:$B,{"licence","community"},'caseload data'!$C:$C,'community %'!$B$43)),"")</f>
        <v/>
      </c>
      <c r="D45" s="181" t="str">
        <f>IFERROR(SUM(SUMIFS('caseload data'!F:F,'caseload data'!$C:$C,'community %'!$B$43,'caseload data'!$D:$D,"PO",'caseload data'!$B:$B,{"licence","community"}))/SUM(SUMIFS('caseload data'!F:F,'caseload data'!$B:$B,{"licence","community"},'caseload data'!$C:$C,'community %'!$B$43)),"")</f>
        <v/>
      </c>
      <c r="E45" s="181" t="str">
        <f>IFERROR(SUM(SUMIFS('caseload data'!G:G,'caseload data'!$C:$C,'community %'!$B$43,'caseload data'!$D:$D,"PO",'caseload data'!$B:$B,{"licence","community"}))/SUM(SUMIFS('caseload data'!G:G,'caseload data'!$B:$B,{"licence","community"},'caseload data'!$C:$C,'community %'!$B$43)),"")</f>
        <v/>
      </c>
      <c r="F45" s="181" t="str">
        <f>IFERROR(SUM(SUMIFS('caseload data'!H:H,'caseload data'!$C:$C,'community %'!$B$43,'caseload data'!$D:$D,"PO",'caseload data'!$B:$B,{"licence","community"}))/SUM(SUMIFS('caseload data'!H:H,'caseload data'!$B:$B,{"licence","community"},'caseload data'!$C:$C,'community %'!$B$43)),"")</f>
        <v/>
      </c>
      <c r="G45" s="181" t="str">
        <f>IFERROR(SUM(SUMIFS('caseload data'!I:I,'caseload data'!$C:$C,'community %'!$B$43,'caseload data'!$D:$D,"PO",'caseload data'!$B:$B,{"licence","community"}))/SUM(SUMIFS('caseload data'!I:I,'caseload data'!$B:$B,{"licence","community"},'caseload data'!$C:$C,'community %'!$B$43)),"")</f>
        <v/>
      </c>
      <c r="H45" s="181" t="str">
        <f>IFERROR(SUM(SUMIFS('caseload data'!J:J,'caseload data'!$C:$C,'community %'!$B$43,'caseload data'!$D:$D,"PO",'caseload data'!$B:$B,{"licence","community"}))/SUM(SUMIFS('caseload data'!J:J,'caseload data'!$B:$B,{"licence","community"},'caseload data'!$C:$C,'community %'!$B$43)),"")</f>
        <v/>
      </c>
      <c r="I45" s="181" t="str">
        <f>IFERROR(SUM(SUMIFS('caseload data'!K:K,'caseload data'!$C:$C,'community %'!$B$43,'caseload data'!$D:$D,"PO",'caseload data'!$B:$B,{"licence","community"}))/SUM(SUMIFS('caseload data'!K:K,'caseload data'!$B:$B,{"licence","community"},'caseload data'!$C:$C,'community %'!$B$43)),"")</f>
        <v/>
      </c>
      <c r="J45" s="181" t="str">
        <f>IFERROR(SUM(SUMIFS('caseload data'!L:L,'caseload data'!$C:$C,'community %'!$B$43,'caseload data'!$D:$D,"PO",'caseload data'!$B:$B,{"licence","community"}))/SUM(SUMIFS('caseload data'!L:L,'caseload data'!$B:$B,{"licence","community"},'caseload data'!$C:$C,'community %'!$B$43)),"")</f>
        <v/>
      </c>
      <c r="K45" s="181" t="str">
        <f>IFERROR(SUM(SUMIFS('caseload data'!M:M,'caseload data'!$C:$C,'community %'!$B$43,'caseload data'!$D:$D,"PO",'caseload data'!$B:$B,{"licence","community"}))/SUM(SUMIFS('caseload data'!M:M,'caseload data'!$B:$B,{"licence","community"},'caseload data'!$C:$C,'community %'!$B$43)),"")</f>
        <v/>
      </c>
      <c r="L45" s="181" t="str">
        <f>IFERROR(SUM(SUMIFS('caseload data'!N:N,'caseload data'!$C:$C,'community %'!$B$43,'caseload data'!$D:$D,"PO",'caseload data'!$B:$B,{"licence","community"}))/SUM(SUMIFS('caseload data'!N:N,'caseload data'!$B:$B,{"licence","community"},'caseload data'!$C:$C,'community %'!$B$43)),"")</f>
        <v/>
      </c>
      <c r="M45" s="181" t="str">
        <f>IFERROR(SUM(SUMIFS('caseload data'!O:O,'caseload data'!$C:$C,'community %'!$B$43,'caseload data'!$D:$D,"PO",'caseload data'!$B:$B,{"licence","community"}))/SUM(SUMIFS('caseload data'!O:O,'caseload data'!$B:$B,{"licence","community"},'caseload data'!$C:$C,'community %'!$B$43)),"")</f>
        <v/>
      </c>
      <c r="N45" s="181" t="str">
        <f>IFERROR(SUM(SUMIFS('caseload data'!P:P,'caseload data'!$C:$C,'community %'!$B$43,'caseload data'!$D:$D,"PO",'caseload data'!$B:$B,{"licence","community"}))/SUM(SUMIFS('caseload data'!P:P,'caseload data'!$B:$B,{"licence","community"},'caseload data'!$C:$C,'community %'!$B$43)),"")</f>
        <v/>
      </c>
      <c r="O45" s="181" t="str">
        <f>IFERROR(SUM(SUMIFS('caseload data'!Q:Q,'caseload data'!$C:$C,'community %'!$B$43,'caseload data'!$D:$D,"PO",'caseload data'!$B:$B,{"licence","community"}))/SUM(SUMIFS('caseload data'!Q:Q,'caseload data'!$B:$B,{"licence","community"},'caseload data'!$C:$C,'community %'!$B$43)),"")</f>
        <v/>
      </c>
      <c r="P45" s="181" t="str">
        <f>IFERROR(SUM(SUMIFS('caseload data'!R:R,'caseload data'!$C:$C,'community %'!$B$43,'caseload data'!$D:$D,"PO",'caseload data'!$B:$B,{"licence","community"}))/SUM(SUMIFS('caseload data'!R:R,'caseload data'!$B:$B,{"licence","community"},'caseload data'!$C:$C,'community %'!$B$43)),"")</f>
        <v/>
      </c>
      <c r="Q45" s="181" t="str">
        <f>IFERROR(SUM(SUMIFS('caseload data'!S:S,'caseload data'!$C:$C,'community %'!$B$43,'caseload data'!$D:$D,"PO",'caseload data'!$B:$B,{"licence","community"}))/SUM(SUMIFS('caseload data'!S:S,'caseload data'!$B:$B,{"licence","community"},'caseload data'!$C:$C,'community %'!$B$43)),"")</f>
        <v/>
      </c>
      <c r="R45" s="181" t="str">
        <f>IFERROR(SUM(SUMIFS('caseload data'!T:T,'caseload data'!$C:$C,'community %'!$B$43,'caseload data'!$D:$D,"PO",'caseload data'!$B:$B,{"licence","community"}))/SUM(SUMIFS('caseload data'!T:T,'caseload data'!$B:$B,{"licence","community"},'caseload data'!$C:$C,'community %'!$B$43)),"")</f>
        <v/>
      </c>
      <c r="S45" s="73"/>
      <c r="T45" s="106" t="s">
        <v>911</v>
      </c>
      <c r="U45" s="181" t="str">
        <f>IFERROR(SUM(SUMIFS('caseload data'!E:E,'caseload data'!$C:$C,'community %'!$T$43,'caseload data'!$D:$D,"PO",'caseload data'!$B:$B,{"licence","community"}))/SUM(SUMIFS('caseload data'!E:E,'caseload data'!$B:$B,{"licence","community"},'caseload data'!$C:$C,'community %'!$T$43)),"")</f>
        <v/>
      </c>
      <c r="V45" s="181" t="str">
        <f>IFERROR(SUM(SUMIFS('caseload data'!F:F,'caseload data'!$C:$C,'community %'!$T$43,'caseload data'!$D:$D,"PO",'caseload data'!$B:$B,{"licence","community"}))/SUM(SUMIFS('caseload data'!F:F,'caseload data'!$B:$B,{"licence","community"},'caseload data'!$C:$C,'community %'!$T$43)),"")</f>
        <v/>
      </c>
      <c r="W45" s="181" t="str">
        <f>IFERROR(SUM(SUMIFS('caseload data'!G:G,'caseload data'!$C:$C,'community %'!$T$43,'caseload data'!$D:$D,"PO",'caseload data'!$B:$B,{"licence","community"}))/SUM(SUMIFS('caseload data'!G:G,'caseload data'!$B:$B,{"licence","community"},'caseload data'!$C:$C,'community %'!$T$43)),"")</f>
        <v/>
      </c>
      <c r="X45" s="181" t="str">
        <f>IFERROR(SUM(SUMIFS('caseload data'!H:H,'caseload data'!$C:$C,'community %'!$T$43,'caseload data'!$D:$D,"PO",'caseload data'!$B:$B,{"licence","community"}))/SUM(SUMIFS('caseload data'!H:H,'caseload data'!$B:$B,{"licence","community"},'caseload data'!$C:$C,'community %'!$T$43)),"")</f>
        <v/>
      </c>
      <c r="Y45" s="181" t="str">
        <f>IFERROR(SUM(SUMIFS('caseload data'!I:I,'caseload data'!$C:$C,'community %'!$T$43,'caseload data'!$D:$D,"PO",'caseload data'!$B:$B,{"licence","community"}))/SUM(SUMIFS('caseload data'!I:I,'caseload data'!$B:$B,{"licence","community"},'caseload data'!$C:$C,'community %'!$T$43)),"")</f>
        <v/>
      </c>
      <c r="Z45" s="181" t="str">
        <f>IFERROR(SUM(SUMIFS('caseload data'!J:J,'caseload data'!$C:$C,'community %'!$T$43,'caseload data'!$D:$D,"PO",'caseload data'!$B:$B,{"licence","community"}))/SUM(SUMIFS('caseload data'!J:J,'caseload data'!$B:$B,{"licence","community"},'caseload data'!$C:$C,'community %'!$T$43)),"")</f>
        <v/>
      </c>
      <c r="AA45" s="181" t="str">
        <f>IFERROR(SUM(SUMIFS('caseload data'!K:K,'caseload data'!$C:$C,'community %'!$T$43,'caseload data'!$D:$D,"PO",'caseload data'!$B:$B,{"licence","community"}))/SUM(SUMIFS('caseload data'!K:K,'caseload data'!$B:$B,{"licence","community"},'caseload data'!$C:$C,'community %'!$T$43)),"")</f>
        <v/>
      </c>
      <c r="AB45" s="181" t="str">
        <f>IFERROR(SUM(SUMIFS('caseload data'!L:L,'caseload data'!$C:$C,'community %'!$T$43,'caseload data'!$D:$D,"PO",'caseload data'!$B:$B,{"licence","community"}))/SUM(SUMIFS('caseload data'!L:L,'caseload data'!$B:$B,{"licence","community"},'caseload data'!$C:$C,'community %'!$T$43)),"")</f>
        <v/>
      </c>
      <c r="AC45" s="181" t="str">
        <f>IFERROR(SUM(SUMIFS('caseload data'!M:M,'caseload data'!$C:$C,'community %'!$T$43,'caseload data'!$D:$D,"PO",'caseload data'!$B:$B,{"licence","community"}))/SUM(SUMIFS('caseload data'!M:M,'caseload data'!$B:$B,{"licence","community"},'caseload data'!$C:$C,'community %'!$T$43)),"")</f>
        <v/>
      </c>
      <c r="AD45" s="181" t="str">
        <f>IFERROR(SUM(SUMIFS('caseload data'!N:N,'caseload data'!$C:$C,'community %'!$T$43,'caseload data'!$D:$D,"PO",'caseload data'!$B:$B,{"licence","community"}))/SUM(SUMIFS('caseload data'!N:N,'caseload data'!$B:$B,{"licence","community"},'caseload data'!$C:$C,'community %'!$T$43)),"")</f>
        <v/>
      </c>
      <c r="AE45" s="181" t="str">
        <f>IFERROR(SUM(SUMIFS('caseload data'!O:O,'caseload data'!$C:$C,'community %'!$T$43,'caseload data'!$D:$D,"PO",'caseload data'!$B:$B,{"licence","community"}))/SUM(SUMIFS('caseload data'!O:O,'caseload data'!$B:$B,{"licence","community"},'caseload data'!$C:$C,'community %'!$T$43)),"")</f>
        <v/>
      </c>
      <c r="AF45" s="181" t="str">
        <f>IFERROR(SUM(SUMIFS('caseload data'!P:P,'caseload data'!$C:$C,'community %'!$T$43,'caseload data'!$D:$D,"PO",'caseload data'!$B:$B,{"licence","community"}))/SUM(SUMIFS('caseload data'!P:P,'caseload data'!$B:$B,{"licence","community"},'caseload data'!$C:$C,'community %'!$T$43)),"")</f>
        <v/>
      </c>
      <c r="AG45" s="181" t="str">
        <f>IFERROR(SUM(SUMIFS('caseload data'!Q:Q,'caseload data'!$C:$C,'community %'!$T$43,'caseload data'!$D:$D,"PO",'caseload data'!$B:$B,{"licence","community"}))/SUM(SUMIFS('caseload data'!Q:Q,'caseload data'!$B:$B,{"licence","community"},'caseload data'!$C:$C,'community %'!$T$43)),"")</f>
        <v/>
      </c>
      <c r="AH45" s="181" t="str">
        <f>IFERROR(SUM(SUMIFS('caseload data'!R:R,'caseload data'!$C:$C,'community %'!$T$43,'caseload data'!$D:$D,"PO",'caseload data'!$B:$B,{"licence","community"}))/SUM(SUMIFS('caseload data'!R:R,'caseload data'!$B:$B,{"licence","community"},'caseload data'!$C:$C,'community %'!$T$43)),"")</f>
        <v/>
      </c>
      <c r="AI45" s="181" t="str">
        <f>IFERROR(SUM(SUMIFS('caseload data'!S:S,'caseload data'!$C:$C,'community %'!$T$43,'caseload data'!$D:$D,"PO",'caseload data'!$B:$B,{"licence","community"}))/SUM(SUMIFS('caseload data'!S:S,'caseload data'!$B:$B,{"licence","community"},'caseload data'!$C:$C,'community %'!$T$43)),"")</f>
        <v/>
      </c>
      <c r="AJ45" s="181" t="str">
        <f>IFERROR(SUM(SUMIFS('caseload data'!T:T,'caseload data'!$C:$C,'community %'!$T$43,'caseload data'!$D:$D,"PO",'caseload data'!$B:$B,{"licence","community"}))/SUM(SUMIFS('caseload data'!T:T,'caseload data'!$B:$B,{"licence","community"},'caseload data'!$C:$C,'community %'!$T$43)),"")</f>
        <v/>
      </c>
    </row>
    <row r="46" spans="2:36" x14ac:dyDescent="0.15">
      <c r="B46" s="107" t="s">
        <v>912</v>
      </c>
      <c r="C46" s="181" t="str">
        <f>IFERROR(SUM(SUMIFS('caseload data'!E:E,'caseload data'!$C:$C,'community %'!$B$43,'caseload data'!$D:$D,"PSO",'caseload data'!$B:$B,{"licence","community"}))/SUM(SUMIFS('caseload data'!E:E,'caseload data'!$B:$B,{"licence","community"},'caseload data'!$C:$C,'community %'!$B$43)),"")</f>
        <v/>
      </c>
      <c r="D46" s="181" t="str">
        <f>IFERROR(SUM(SUMIFS('caseload data'!F:F,'caseload data'!$C:$C,'community %'!$B$43,'caseload data'!$D:$D,"PSO",'caseload data'!$B:$B,{"licence","community"}))/SUM(SUMIFS('caseload data'!F:F,'caseload data'!$B:$B,{"licence","community"},'caseload data'!$C:$C,'community %'!$B$43)),"")</f>
        <v/>
      </c>
      <c r="E46" s="181" t="str">
        <f>IFERROR(SUM(SUMIFS('caseload data'!G:G,'caseload data'!$C:$C,'community %'!$B$43,'caseload data'!$D:$D,"PSO",'caseload data'!$B:$B,{"licence","community"}))/SUM(SUMIFS('caseload data'!G:G,'caseload data'!$B:$B,{"licence","community"},'caseload data'!$C:$C,'community %'!$B$43)),"")</f>
        <v/>
      </c>
      <c r="F46" s="181" t="str">
        <f>IFERROR(SUM(SUMIFS('caseload data'!H:H,'caseload data'!$C:$C,'community %'!$B$43,'caseload data'!$D:$D,"PSO",'caseload data'!$B:$B,{"licence","community"}))/SUM(SUMIFS('caseload data'!H:H,'caseload data'!$B:$B,{"licence","community"},'caseload data'!$C:$C,'community %'!$B$43)),"")</f>
        <v/>
      </c>
      <c r="G46" s="181" t="str">
        <f>IFERROR(SUM(SUMIFS('caseload data'!I:I,'caseload data'!$C:$C,'community %'!$B$43,'caseload data'!$D:$D,"PSO",'caseload data'!$B:$B,{"licence","community"}))/SUM(SUMIFS('caseload data'!I:I,'caseload data'!$B:$B,{"licence","community"},'caseload data'!$C:$C,'community %'!$B$43)),"")</f>
        <v/>
      </c>
      <c r="H46" s="181" t="str">
        <f>IFERROR(SUM(SUMIFS('caseload data'!J:J,'caseload data'!$C:$C,'community %'!$B$43,'caseload data'!$D:$D,"PSO",'caseload data'!$B:$B,{"licence","community"}))/SUM(SUMIFS('caseload data'!J:J,'caseload data'!$B:$B,{"licence","community"},'caseload data'!$C:$C,'community %'!$B$43)),"")</f>
        <v/>
      </c>
      <c r="I46" s="181" t="str">
        <f>IFERROR(SUM(SUMIFS('caseload data'!K:K,'caseload data'!$C:$C,'community %'!$B$43,'caseload data'!$D:$D,"PSO",'caseload data'!$B:$B,{"licence","community"}))/SUM(SUMIFS('caseload data'!K:K,'caseload data'!$B:$B,{"licence","community"},'caseload data'!$C:$C,'community %'!$B$43)),"")</f>
        <v/>
      </c>
      <c r="J46" s="181" t="str">
        <f>IFERROR(SUM(SUMIFS('caseload data'!L:L,'caseload data'!$C:$C,'community %'!$B$43,'caseload data'!$D:$D,"PSO",'caseload data'!$B:$B,{"licence","community"}))/SUM(SUMIFS('caseload data'!L:L,'caseload data'!$B:$B,{"licence","community"},'caseload data'!$C:$C,'community %'!$B$43)),"")</f>
        <v/>
      </c>
      <c r="K46" s="181" t="str">
        <f>IFERROR(SUM(SUMIFS('caseload data'!M:M,'caseload data'!$C:$C,'community %'!$B$43,'caseload data'!$D:$D,"PSO",'caseload data'!$B:$B,{"licence","community"}))/SUM(SUMIFS('caseload data'!M:M,'caseload data'!$B:$B,{"licence","community"},'caseload data'!$C:$C,'community %'!$B$43)),"")</f>
        <v/>
      </c>
      <c r="L46" s="181" t="str">
        <f>IFERROR(SUM(SUMIFS('caseload data'!N:N,'caseload data'!$C:$C,'community %'!$B$43,'caseload data'!$D:$D,"PSO",'caseload data'!$B:$B,{"licence","community"}))/SUM(SUMIFS('caseload data'!N:N,'caseload data'!$B:$B,{"licence","community"},'caseload data'!$C:$C,'community %'!$B$43)),"")</f>
        <v/>
      </c>
      <c r="M46" s="181" t="str">
        <f>IFERROR(SUM(SUMIFS('caseload data'!O:O,'caseload data'!$C:$C,'community %'!$B$43,'caseload data'!$D:$D,"PSO",'caseload data'!$B:$B,{"licence","community"}))/SUM(SUMIFS('caseload data'!O:O,'caseload data'!$B:$B,{"licence","community"},'caseload data'!$C:$C,'community %'!$B$43)),"")</f>
        <v/>
      </c>
      <c r="N46" s="181" t="str">
        <f>IFERROR(SUM(SUMIFS('caseload data'!P:P,'caseload data'!$C:$C,'community %'!$B$43,'caseload data'!$D:$D,"PSO",'caseload data'!$B:$B,{"licence","community"}))/SUM(SUMIFS('caseload data'!P:P,'caseload data'!$B:$B,{"licence","community"},'caseload data'!$C:$C,'community %'!$B$43)),"")</f>
        <v/>
      </c>
      <c r="O46" s="181" t="str">
        <f>IFERROR(SUM(SUMIFS('caseload data'!Q:Q,'caseload data'!$C:$C,'community %'!$B$43,'caseload data'!$D:$D,"PSO",'caseload data'!$B:$B,{"licence","community"}))/SUM(SUMIFS('caseload data'!Q:Q,'caseload data'!$B:$B,{"licence","community"},'caseload data'!$C:$C,'community %'!$B$43)),"")</f>
        <v/>
      </c>
      <c r="P46" s="181" t="str">
        <f>IFERROR(SUM(SUMIFS('caseload data'!R:R,'caseload data'!$C:$C,'community %'!$B$43,'caseload data'!$D:$D,"PSO",'caseload data'!$B:$B,{"licence","community"}))/SUM(SUMIFS('caseload data'!R:R,'caseload data'!$B:$B,{"licence","community"},'caseload data'!$C:$C,'community %'!$B$43)),"")</f>
        <v/>
      </c>
      <c r="Q46" s="181" t="str">
        <f>IFERROR(SUM(SUMIFS('caseload data'!S:S,'caseload data'!$C:$C,'community %'!$B$43,'caseload data'!$D:$D,"PSO",'caseload data'!$B:$B,{"licence","community"}))/SUM(SUMIFS('caseload data'!S:S,'caseload data'!$B:$B,{"licence","community"},'caseload data'!$C:$C,'community %'!$B$43)),"")</f>
        <v/>
      </c>
      <c r="R46" s="181" t="str">
        <f>IFERROR(SUM(SUMIFS('caseload data'!T:T,'caseload data'!$C:$C,'community %'!$B$43,'caseload data'!$D:$D,"PSO",'caseload data'!$B:$B,{"licence","community"}))/SUM(SUMIFS('caseload data'!T:T,'caseload data'!$B:$B,{"licence","community"},'caseload data'!$C:$C,'community %'!$B$43)),"")</f>
        <v/>
      </c>
      <c r="S46" s="73"/>
      <c r="T46" s="107" t="s">
        <v>912</v>
      </c>
      <c r="U46" s="181" t="str">
        <f>IFERROR(SUM(SUMIFS('caseload data'!E:E,'caseload data'!$C:$C,'community %'!$T$43,'caseload data'!$D:$D,"PSO",'caseload data'!$B:$B,{"licence","community"}))/SUM(SUMIFS('caseload data'!E:E,'caseload data'!$B:$B,{"licence","community"},'caseload data'!$C:$C,'community %'!$T$43)),"")</f>
        <v/>
      </c>
      <c r="V46" s="181" t="str">
        <f>IFERROR(SUM(SUMIFS('caseload data'!F:F,'caseload data'!$C:$C,'community %'!$T$43,'caseload data'!$D:$D,"PSO",'caseload data'!$B:$B,{"licence","community"}))/SUM(SUMIFS('caseload data'!F:F,'caseload data'!$B:$B,{"licence","community"},'caseload data'!$C:$C,'community %'!$T$43)),"")</f>
        <v/>
      </c>
      <c r="W46" s="181" t="str">
        <f>IFERROR(SUM(SUMIFS('caseload data'!G:G,'caseload data'!$C:$C,'community %'!$T$43,'caseload data'!$D:$D,"PSO",'caseload data'!$B:$B,{"licence","community"}))/SUM(SUMIFS('caseload data'!G:G,'caseload data'!$B:$B,{"licence","community"},'caseload data'!$C:$C,'community %'!$T$43)),"")</f>
        <v/>
      </c>
      <c r="X46" s="181" t="str">
        <f>IFERROR(SUM(SUMIFS('caseload data'!H:H,'caseload data'!$C:$C,'community %'!$T$43,'caseload data'!$D:$D,"PSO",'caseload data'!$B:$B,{"licence","community"}))/SUM(SUMIFS('caseload data'!H:H,'caseload data'!$B:$B,{"licence","community"},'caseload data'!$C:$C,'community %'!$T$43)),"")</f>
        <v/>
      </c>
      <c r="Y46" s="181" t="str">
        <f>IFERROR(SUM(SUMIFS('caseload data'!I:I,'caseload data'!$C:$C,'community %'!$T$43,'caseload data'!$D:$D,"PSO",'caseload data'!$B:$B,{"licence","community"}))/SUM(SUMIFS('caseload data'!I:I,'caseload data'!$B:$B,{"licence","community"},'caseload data'!$C:$C,'community %'!$T$43)),"")</f>
        <v/>
      </c>
      <c r="Z46" s="181" t="str">
        <f>IFERROR(SUM(SUMIFS('caseload data'!J:J,'caseload data'!$C:$C,'community %'!$T$43,'caseload data'!$D:$D,"PSO",'caseload data'!$B:$B,{"licence","community"}))/SUM(SUMIFS('caseload data'!J:J,'caseload data'!$B:$B,{"licence","community"},'caseload data'!$C:$C,'community %'!$T$43)),"")</f>
        <v/>
      </c>
      <c r="AA46" s="181" t="str">
        <f>IFERROR(SUM(SUMIFS('caseload data'!K:K,'caseload data'!$C:$C,'community %'!$T$43,'caseload data'!$D:$D,"PSO",'caseload data'!$B:$B,{"licence","community"}))/SUM(SUMIFS('caseload data'!K:K,'caseload data'!$B:$B,{"licence","community"},'caseload data'!$C:$C,'community %'!$T$43)),"")</f>
        <v/>
      </c>
      <c r="AB46" s="181" t="str">
        <f>IFERROR(SUM(SUMIFS('caseload data'!L:L,'caseload data'!$C:$C,'community %'!$T$43,'caseload data'!$D:$D,"PSO",'caseload data'!$B:$B,{"licence","community"}))/SUM(SUMIFS('caseload data'!L:L,'caseload data'!$B:$B,{"licence","community"},'caseload data'!$C:$C,'community %'!$T$43)),"")</f>
        <v/>
      </c>
      <c r="AC46" s="181" t="str">
        <f>IFERROR(SUM(SUMIFS('caseload data'!M:M,'caseload data'!$C:$C,'community %'!$T$43,'caseload data'!$D:$D,"PSO",'caseload data'!$B:$B,{"licence","community"}))/SUM(SUMIFS('caseload data'!M:M,'caseload data'!$B:$B,{"licence","community"},'caseload data'!$C:$C,'community %'!$T$43)),"")</f>
        <v/>
      </c>
      <c r="AD46" s="181" t="str">
        <f>IFERROR(SUM(SUMIFS('caseload data'!N:N,'caseload data'!$C:$C,'community %'!$T$43,'caseload data'!$D:$D,"PSO",'caseload data'!$B:$B,{"licence","community"}))/SUM(SUMIFS('caseload data'!N:N,'caseload data'!$B:$B,{"licence","community"},'caseload data'!$C:$C,'community %'!$T$43)),"")</f>
        <v/>
      </c>
      <c r="AE46" s="181" t="str">
        <f>IFERROR(SUM(SUMIFS('caseload data'!O:O,'caseload data'!$C:$C,'community %'!$T$43,'caseload data'!$D:$D,"PSO",'caseload data'!$B:$B,{"licence","community"}))/SUM(SUMIFS('caseload data'!O:O,'caseload data'!$B:$B,{"licence","community"},'caseload data'!$C:$C,'community %'!$T$43)),"")</f>
        <v/>
      </c>
      <c r="AF46" s="181" t="str">
        <f>IFERROR(SUM(SUMIFS('caseload data'!P:P,'caseload data'!$C:$C,'community %'!$T$43,'caseload data'!$D:$D,"PSO",'caseload data'!$B:$B,{"licence","community"}))/SUM(SUMIFS('caseload data'!P:P,'caseload data'!$B:$B,{"licence","community"},'caseload data'!$C:$C,'community %'!$T$43)),"")</f>
        <v/>
      </c>
      <c r="AG46" s="181" t="str">
        <f>IFERROR(SUM(SUMIFS('caseload data'!Q:Q,'caseload data'!$C:$C,'community %'!$T$43,'caseload data'!$D:$D,"PSO",'caseload data'!$B:$B,{"licence","community"}))/SUM(SUMIFS('caseload data'!Q:Q,'caseload data'!$B:$B,{"licence","community"},'caseload data'!$C:$C,'community %'!$T$43)),"")</f>
        <v/>
      </c>
      <c r="AH46" s="181" t="str">
        <f>IFERROR(SUM(SUMIFS('caseload data'!R:R,'caseload data'!$C:$C,'community %'!$T$43,'caseload data'!$D:$D,"PSO",'caseload data'!$B:$B,{"licence","community"}))/SUM(SUMIFS('caseload data'!R:R,'caseload data'!$B:$B,{"licence","community"},'caseload data'!$C:$C,'community %'!$T$43)),"")</f>
        <v/>
      </c>
      <c r="AI46" s="181" t="str">
        <f>IFERROR(SUM(SUMIFS('caseload data'!S:S,'caseload data'!$C:$C,'community %'!$T$43,'caseload data'!$D:$D,"PSO",'caseload data'!$B:$B,{"licence","community"}))/SUM(SUMIFS('caseload data'!S:S,'caseload data'!$B:$B,{"licence","community"},'caseload data'!$C:$C,'community %'!$T$43)),"")</f>
        <v/>
      </c>
      <c r="AJ46" s="181" t="str">
        <f>IFERROR(SUM(SUMIFS('caseload data'!T:T,'caseload data'!$C:$C,'community %'!$T$43,'caseload data'!$D:$D,"PSO",'caseload data'!$B:$B,{"licence","community"}))/SUM(SUMIFS('caseload data'!T:T,'caseload data'!$B:$B,{"licence","community"},'caseload data'!$C:$C,'community %'!$T$43)),"")</f>
        <v/>
      </c>
    </row>
    <row r="47" spans="2:36" x14ac:dyDescent="0.15">
      <c r="B47" s="107" t="s">
        <v>913</v>
      </c>
      <c r="C47" s="181" t="str">
        <f>IFERROR(SUM(SUMIFS('caseload data'!E:E,'caseload data'!$C:$C,'community %'!$B$43,'caseload data'!$D:$D,"TPO",'caseload data'!$B:$B,{"licence","community"}))/SUM(SUMIFS('caseload data'!E:E,'caseload data'!$B:$B,{"licence","community"},'caseload data'!$C:$C,'community %'!$B$43)),"")</f>
        <v/>
      </c>
      <c r="D47" s="181" t="str">
        <f>IFERROR(SUM(SUMIFS('caseload data'!F:F,'caseload data'!$C:$C,'community %'!$B$43,'caseload data'!$D:$D,"TPO",'caseload data'!$B:$B,{"licence","community"}))/SUM(SUMIFS('caseload data'!F:F,'caseload data'!$B:$B,{"licence","community"},'caseload data'!$C:$C,'community %'!$B$43)),"")</f>
        <v/>
      </c>
      <c r="E47" s="181" t="str">
        <f>IFERROR(SUM(SUMIFS('caseload data'!G:G,'caseload data'!$C:$C,'community %'!$B$43,'caseload data'!$D:$D,"TPO",'caseload data'!$B:$B,{"licence","community"}))/SUM(SUMIFS('caseload data'!G:G,'caseload data'!$B:$B,{"licence","community"},'caseload data'!$C:$C,'community %'!$B$43)),"")</f>
        <v/>
      </c>
      <c r="F47" s="181" t="str">
        <f>IFERROR(SUM(SUMIFS('caseload data'!H:H,'caseload data'!$C:$C,'community %'!$B$43,'caseload data'!$D:$D,"TPO",'caseload data'!$B:$B,{"licence","community"}))/SUM(SUMIFS('caseload data'!H:H,'caseload data'!$B:$B,{"licence","community"},'caseload data'!$C:$C,'community %'!$B$43)),"")</f>
        <v/>
      </c>
      <c r="G47" s="181" t="str">
        <f>IFERROR(SUM(SUMIFS('caseload data'!I:I,'caseload data'!$C:$C,'community %'!$B$43,'caseload data'!$D:$D,"TPO",'caseload data'!$B:$B,{"licence","community"}))/SUM(SUMIFS('caseload data'!I:I,'caseload data'!$B:$B,{"licence","community"},'caseload data'!$C:$C,'community %'!$B$43)),"")</f>
        <v/>
      </c>
      <c r="H47" s="181" t="str">
        <f>IFERROR(SUM(SUMIFS('caseload data'!J:J,'caseload data'!$C:$C,'community %'!$B$43,'caseload data'!$D:$D,"TPO",'caseload data'!$B:$B,{"licence","community"}))/SUM(SUMIFS('caseload data'!J:J,'caseload data'!$B:$B,{"licence","community"},'caseload data'!$C:$C,'community %'!$B$43)),"")</f>
        <v/>
      </c>
      <c r="I47" s="181" t="str">
        <f>IFERROR(SUM(SUMIFS('caseload data'!K:K,'caseload data'!$C:$C,'community %'!$B$43,'caseload data'!$D:$D,"TPO",'caseload data'!$B:$B,{"licence","community"}))/SUM(SUMIFS('caseload data'!K:K,'caseload data'!$B:$B,{"licence","community"},'caseload data'!$C:$C,'community %'!$B$43)),"")</f>
        <v/>
      </c>
      <c r="J47" s="181" t="str">
        <f>IFERROR(SUM(SUMIFS('caseload data'!L:L,'caseload data'!$C:$C,'community %'!$B$43,'caseload data'!$D:$D,"TPO",'caseload data'!$B:$B,{"licence","community"}))/SUM(SUMIFS('caseload data'!L:L,'caseload data'!$B:$B,{"licence","community"},'caseload data'!$C:$C,'community %'!$B$43)),"")</f>
        <v/>
      </c>
      <c r="K47" s="181" t="str">
        <f>IFERROR(SUM(SUMIFS('caseload data'!M:M,'caseload data'!$C:$C,'community %'!$B$43,'caseload data'!$D:$D,"TPO",'caseload data'!$B:$B,{"licence","community"}))/SUM(SUMIFS('caseload data'!M:M,'caseload data'!$B:$B,{"licence","community"},'caseload data'!$C:$C,'community %'!$B$43)),"")</f>
        <v/>
      </c>
      <c r="L47" s="181" t="str">
        <f>IFERROR(SUM(SUMIFS('caseload data'!N:N,'caseload data'!$C:$C,'community %'!$B$43,'caseload data'!$D:$D,"TPO",'caseload data'!$B:$B,{"licence","community"}))/SUM(SUMIFS('caseload data'!N:N,'caseload data'!$B:$B,{"licence","community"},'caseload data'!$C:$C,'community %'!$B$43)),"")</f>
        <v/>
      </c>
      <c r="M47" s="181" t="str">
        <f>IFERROR(SUM(SUMIFS('caseload data'!O:O,'caseload data'!$C:$C,'community %'!$B$43,'caseload data'!$D:$D,"TPO",'caseload data'!$B:$B,{"licence","community"}))/SUM(SUMIFS('caseload data'!O:O,'caseload data'!$B:$B,{"licence","community"},'caseload data'!$C:$C,'community %'!$B$43)),"")</f>
        <v/>
      </c>
      <c r="N47" s="181" t="str">
        <f>IFERROR(SUM(SUMIFS('caseload data'!P:P,'caseload data'!$C:$C,'community %'!$B$43,'caseload data'!$D:$D,"TPO",'caseload data'!$B:$B,{"licence","community"}))/SUM(SUMIFS('caseload data'!P:P,'caseload data'!$B:$B,{"licence","community"},'caseload data'!$C:$C,'community %'!$B$43)),"")</f>
        <v/>
      </c>
      <c r="O47" s="181" t="str">
        <f>IFERROR(SUM(SUMIFS('caseload data'!Q:Q,'caseload data'!$C:$C,'community %'!$B$43,'caseload data'!$D:$D,"TPO",'caseload data'!$B:$B,{"licence","community"}))/SUM(SUMIFS('caseload data'!Q:Q,'caseload data'!$B:$B,{"licence","community"},'caseload data'!$C:$C,'community %'!$B$43)),"")</f>
        <v/>
      </c>
      <c r="P47" s="181" t="str">
        <f>IFERROR(SUM(SUMIFS('caseload data'!R:R,'caseload data'!$C:$C,'community %'!$B$43,'caseload data'!$D:$D,"TPO",'caseload data'!$B:$B,{"licence","community"}))/SUM(SUMIFS('caseload data'!R:R,'caseload data'!$B:$B,{"licence","community"},'caseload data'!$C:$C,'community %'!$B$43)),"")</f>
        <v/>
      </c>
      <c r="Q47" s="181" t="str">
        <f>IFERROR(SUM(SUMIFS('caseload data'!S:S,'caseload data'!$C:$C,'community %'!$B$43,'caseload data'!$D:$D,"TPO",'caseload data'!$B:$B,{"licence","community"}))/SUM(SUMIFS('caseload data'!S:S,'caseload data'!$B:$B,{"licence","community"},'caseload data'!$C:$C,'community %'!$B$43)),"")</f>
        <v/>
      </c>
      <c r="R47" s="181" t="str">
        <f>IFERROR(SUM(SUMIFS('caseload data'!T:T,'caseload data'!$C:$C,'community %'!$B$43,'caseload data'!$D:$D,"TPO",'caseload data'!$B:$B,{"licence","community"}))/SUM(SUMIFS('caseload data'!T:T,'caseload data'!$B:$B,{"licence","community"},'caseload data'!$C:$C,'community %'!$B$43)),"")</f>
        <v/>
      </c>
      <c r="S47" s="73"/>
      <c r="T47" s="107" t="s">
        <v>913</v>
      </c>
      <c r="U47" s="181" t="str">
        <f>IFERROR(SUM(SUMIFS('caseload data'!E:E,'caseload data'!$C:$C,'community %'!$T$43,'caseload data'!$D:$D,"TPO",'caseload data'!$B:$B,{"licence","community"}))/SUM(SUMIFS('caseload data'!E:E,'caseload data'!$B:$B,{"licence","community"},'caseload data'!$C:$C,'community %'!$T$43)),"")</f>
        <v/>
      </c>
      <c r="V47" s="181" t="str">
        <f>IFERROR(SUM(SUMIFS('caseload data'!F:F,'caseload data'!$C:$C,'community %'!$T$43,'caseload data'!$D:$D,"TPO",'caseload data'!$B:$B,{"licence","community"}))/SUM(SUMIFS('caseload data'!F:F,'caseload data'!$B:$B,{"licence","community"},'caseload data'!$C:$C,'community %'!$T$43)),"")</f>
        <v/>
      </c>
      <c r="W47" s="181" t="str">
        <f>IFERROR(SUM(SUMIFS('caseload data'!G:G,'caseload data'!$C:$C,'community %'!$T$43,'caseload data'!$D:$D,"TPO",'caseload data'!$B:$B,{"licence","community"}))/SUM(SUMIFS('caseload data'!G:G,'caseload data'!$B:$B,{"licence","community"},'caseload data'!$C:$C,'community %'!$T$43)),"")</f>
        <v/>
      </c>
      <c r="X47" s="181" t="str">
        <f>IFERROR(SUM(SUMIFS('caseload data'!H:H,'caseload data'!$C:$C,'community %'!$T$43,'caseload data'!$D:$D,"TPO",'caseload data'!$B:$B,{"licence","community"}))/SUM(SUMIFS('caseload data'!H:H,'caseload data'!$B:$B,{"licence","community"},'caseload data'!$C:$C,'community %'!$T$43)),"")</f>
        <v/>
      </c>
      <c r="Y47" s="181" t="str">
        <f>IFERROR(SUM(SUMIFS('caseload data'!I:I,'caseload data'!$C:$C,'community %'!$T$43,'caseload data'!$D:$D,"TPO",'caseload data'!$B:$B,{"licence","community"}))/SUM(SUMIFS('caseload data'!I:I,'caseload data'!$B:$B,{"licence","community"},'caseload data'!$C:$C,'community %'!$T$43)),"")</f>
        <v/>
      </c>
      <c r="Z47" s="181" t="str">
        <f>IFERROR(SUM(SUMIFS('caseload data'!J:J,'caseload data'!$C:$C,'community %'!$T$43,'caseload data'!$D:$D,"TPO",'caseload data'!$B:$B,{"licence","community"}))/SUM(SUMIFS('caseload data'!J:J,'caseload data'!$B:$B,{"licence","community"},'caseload data'!$C:$C,'community %'!$T$43)),"")</f>
        <v/>
      </c>
      <c r="AA47" s="181" t="str">
        <f>IFERROR(SUM(SUMIFS('caseload data'!K:K,'caseload data'!$C:$C,'community %'!$T$43,'caseload data'!$D:$D,"TPO",'caseload data'!$B:$B,{"licence","community"}))/SUM(SUMIFS('caseload data'!K:K,'caseload data'!$B:$B,{"licence","community"},'caseload data'!$C:$C,'community %'!$T$43)),"")</f>
        <v/>
      </c>
      <c r="AB47" s="181" t="str">
        <f>IFERROR(SUM(SUMIFS('caseload data'!L:L,'caseload data'!$C:$C,'community %'!$T$43,'caseload data'!$D:$D,"TPO",'caseload data'!$B:$B,{"licence","community"}))/SUM(SUMIFS('caseload data'!L:L,'caseload data'!$B:$B,{"licence","community"},'caseload data'!$C:$C,'community %'!$T$43)),"")</f>
        <v/>
      </c>
      <c r="AC47" s="181" t="str">
        <f>IFERROR(SUM(SUMIFS('caseload data'!M:M,'caseload data'!$C:$C,'community %'!$T$43,'caseload data'!$D:$D,"TPO",'caseload data'!$B:$B,{"licence","community"}))/SUM(SUMIFS('caseload data'!M:M,'caseload data'!$B:$B,{"licence","community"},'caseload data'!$C:$C,'community %'!$T$43)),"")</f>
        <v/>
      </c>
      <c r="AD47" s="181" t="str">
        <f>IFERROR(SUM(SUMIFS('caseload data'!N:N,'caseload data'!$C:$C,'community %'!$T$43,'caseload data'!$D:$D,"TPO",'caseload data'!$B:$B,{"licence","community"}))/SUM(SUMIFS('caseload data'!N:N,'caseload data'!$B:$B,{"licence","community"},'caseload data'!$C:$C,'community %'!$T$43)),"")</f>
        <v/>
      </c>
      <c r="AE47" s="181" t="str">
        <f>IFERROR(SUM(SUMIFS('caseload data'!O:O,'caseload data'!$C:$C,'community %'!$T$43,'caseload data'!$D:$D,"TPO",'caseload data'!$B:$B,{"licence","community"}))/SUM(SUMIFS('caseload data'!O:O,'caseload data'!$B:$B,{"licence","community"},'caseload data'!$C:$C,'community %'!$T$43)),"")</f>
        <v/>
      </c>
      <c r="AF47" s="181" t="str">
        <f>IFERROR(SUM(SUMIFS('caseload data'!P:P,'caseload data'!$C:$C,'community %'!$T$43,'caseload data'!$D:$D,"TPO",'caseload data'!$B:$B,{"licence","community"}))/SUM(SUMIFS('caseload data'!P:P,'caseload data'!$B:$B,{"licence","community"},'caseload data'!$C:$C,'community %'!$T$43)),"")</f>
        <v/>
      </c>
      <c r="AG47" s="181" t="str">
        <f>IFERROR(SUM(SUMIFS('caseload data'!Q:Q,'caseload data'!$C:$C,'community %'!$T$43,'caseload data'!$D:$D,"TPO",'caseload data'!$B:$B,{"licence","community"}))/SUM(SUMIFS('caseload data'!Q:Q,'caseload data'!$B:$B,{"licence","community"},'caseload data'!$C:$C,'community %'!$T$43)),"")</f>
        <v/>
      </c>
      <c r="AH47" s="181" t="str">
        <f>IFERROR(SUM(SUMIFS('caseload data'!R:R,'caseload data'!$C:$C,'community %'!$T$43,'caseload data'!$D:$D,"TPO",'caseload data'!$B:$B,{"licence","community"}))/SUM(SUMIFS('caseload data'!R:R,'caseload data'!$B:$B,{"licence","community"},'caseload data'!$C:$C,'community %'!$T$43)),"")</f>
        <v/>
      </c>
      <c r="AI47" s="181" t="str">
        <f>IFERROR(SUM(SUMIFS('caseload data'!S:S,'caseload data'!$C:$C,'community %'!$T$43,'caseload data'!$D:$D,"TPO",'caseload data'!$B:$B,{"licence","community"}))/SUM(SUMIFS('caseload data'!S:S,'caseload data'!$B:$B,{"licence","community"},'caseload data'!$C:$C,'community %'!$T$43)),"")</f>
        <v/>
      </c>
      <c r="AJ47" s="181" t="str">
        <f>IFERROR(SUM(SUMIFS('caseload data'!T:T,'caseload data'!$C:$C,'community %'!$T$43,'caseload data'!$D:$D,"TPO",'caseload data'!$B:$B,{"licence","community"}))/SUM(SUMIFS('caseload data'!T:T,'caseload data'!$B:$B,{"licence","community"},'caseload data'!$C:$C,'community %'!$T$43)),"")</f>
        <v/>
      </c>
    </row>
    <row r="48" spans="2:36" x14ac:dyDescent="0.15">
      <c r="B48" s="108" t="s">
        <v>914</v>
      </c>
      <c r="C48" s="181" t="str">
        <f>IFERROR(SUM(SUMIFS('caseload data'!E:E,'caseload data'!$C:$C,'community %'!$B$43,'caseload data'!$D:$D,"SPO",'caseload data'!$B:$B,{"licence","community"}))/SUM(SUMIFS('caseload data'!E:E,'caseload data'!$B:$B,{"licence","community"},'caseload data'!$C:$C,'community %'!$B$43)),"")</f>
        <v/>
      </c>
      <c r="D48" s="181" t="str">
        <f>IFERROR(SUM(SUMIFS('caseload data'!F:F,'caseload data'!$C:$C,'community %'!$B$43,'caseload data'!$D:$D,"SPO",'caseload data'!$B:$B,{"licence","community"}))/SUM(SUMIFS('caseload data'!F:F,'caseload data'!$B:$B,{"licence","community"},'caseload data'!$C:$C,'community %'!$B$43)),"")</f>
        <v/>
      </c>
      <c r="E48" s="181" t="str">
        <f>IFERROR(SUM(SUMIFS('caseload data'!G:G,'caseload data'!$C:$C,'community %'!$B$43,'caseload data'!$D:$D,"SPO",'caseload data'!$B:$B,{"licence","community"}))/SUM(SUMIFS('caseload data'!G:G,'caseload data'!$B:$B,{"licence","community"},'caseload data'!$C:$C,'community %'!$B$43)),"")</f>
        <v/>
      </c>
      <c r="F48" s="181" t="str">
        <f>IFERROR(SUM(SUMIFS('caseload data'!H:H,'caseload data'!$C:$C,'community %'!$B$43,'caseload data'!$D:$D,"SPO",'caseload data'!$B:$B,{"licence","community"}))/SUM(SUMIFS('caseload data'!H:H,'caseload data'!$B:$B,{"licence","community"},'caseload data'!$C:$C,'community %'!$B$43)),"")</f>
        <v/>
      </c>
      <c r="G48" s="181" t="str">
        <f>IFERROR(SUM(SUMIFS('caseload data'!I:I,'caseload data'!$C:$C,'community %'!$B$43,'caseload data'!$D:$D,"SPO",'caseload data'!$B:$B,{"licence","community"}))/SUM(SUMIFS('caseload data'!I:I,'caseload data'!$B:$B,{"licence","community"},'caseload data'!$C:$C,'community %'!$B$43)),"")</f>
        <v/>
      </c>
      <c r="H48" s="181" t="str">
        <f>IFERROR(SUM(SUMIFS('caseload data'!J:J,'caseload data'!$C:$C,'community %'!$B$43,'caseload data'!$D:$D,"SPO",'caseload data'!$B:$B,{"licence","community"}))/SUM(SUMIFS('caseload data'!J:J,'caseload data'!$B:$B,{"licence","community"},'caseload data'!$C:$C,'community %'!$B$43)),"")</f>
        <v/>
      </c>
      <c r="I48" s="181" t="str">
        <f>IFERROR(SUM(SUMIFS('caseload data'!K:K,'caseload data'!$C:$C,'community %'!$B$43,'caseload data'!$D:$D,"SPO",'caseload data'!$B:$B,{"licence","community"}))/SUM(SUMIFS('caseload data'!K:K,'caseload data'!$B:$B,{"licence","community"},'caseload data'!$C:$C,'community %'!$B$43)),"")</f>
        <v/>
      </c>
      <c r="J48" s="181" t="str">
        <f>IFERROR(SUM(SUMIFS('caseload data'!L:L,'caseload data'!$C:$C,'community %'!$B$43,'caseload data'!$D:$D,"SPO",'caseload data'!$B:$B,{"licence","community"}))/SUM(SUMIFS('caseload data'!L:L,'caseload data'!$B:$B,{"licence","community"},'caseload data'!$C:$C,'community %'!$B$43)),"")</f>
        <v/>
      </c>
      <c r="K48" s="181" t="str">
        <f>IFERROR(SUM(SUMIFS('caseload data'!M:M,'caseload data'!$C:$C,'community %'!$B$43,'caseload data'!$D:$D,"SPO",'caseload data'!$B:$B,{"licence","community"}))/SUM(SUMIFS('caseload data'!M:M,'caseload data'!$B:$B,{"licence","community"},'caseload data'!$C:$C,'community %'!$B$43)),"")</f>
        <v/>
      </c>
      <c r="L48" s="181" t="str">
        <f>IFERROR(SUM(SUMIFS('caseload data'!N:N,'caseload data'!$C:$C,'community %'!$B$43,'caseload data'!$D:$D,"SPO",'caseload data'!$B:$B,{"licence","community"}))/SUM(SUMIFS('caseload data'!N:N,'caseload data'!$B:$B,{"licence","community"},'caseload data'!$C:$C,'community %'!$B$43)),"")</f>
        <v/>
      </c>
      <c r="M48" s="181" t="str">
        <f>IFERROR(SUM(SUMIFS('caseload data'!O:O,'caseload data'!$C:$C,'community %'!$B$43,'caseload data'!$D:$D,"SPO",'caseload data'!$B:$B,{"licence","community"}))/SUM(SUMIFS('caseload data'!O:O,'caseload data'!$B:$B,{"licence","community"},'caseload data'!$C:$C,'community %'!$B$43)),"")</f>
        <v/>
      </c>
      <c r="N48" s="181" t="str">
        <f>IFERROR(SUM(SUMIFS('caseload data'!P:P,'caseload data'!$C:$C,'community %'!$B$43,'caseload data'!$D:$D,"SPO",'caseload data'!$B:$B,{"licence","community"}))/SUM(SUMIFS('caseload data'!P:P,'caseload data'!$B:$B,{"licence","community"},'caseload data'!$C:$C,'community %'!$B$43)),"")</f>
        <v/>
      </c>
      <c r="O48" s="181" t="str">
        <f>IFERROR(SUM(SUMIFS('caseload data'!Q:Q,'caseload data'!$C:$C,'community %'!$B$43,'caseload data'!$D:$D,"SPO",'caseload data'!$B:$B,{"licence","community"}))/SUM(SUMIFS('caseload data'!Q:Q,'caseload data'!$B:$B,{"licence","community"},'caseload data'!$C:$C,'community %'!$B$43)),"")</f>
        <v/>
      </c>
      <c r="P48" s="181" t="str">
        <f>IFERROR(SUM(SUMIFS('caseload data'!R:R,'caseload data'!$C:$C,'community %'!$B$43,'caseload data'!$D:$D,"SPO",'caseload data'!$B:$B,{"licence","community"}))/SUM(SUMIFS('caseload data'!R:R,'caseload data'!$B:$B,{"licence","community"},'caseload data'!$C:$C,'community %'!$B$43)),"")</f>
        <v/>
      </c>
      <c r="Q48" s="181" t="str">
        <f>IFERROR(SUM(SUMIFS('caseload data'!S:S,'caseload data'!$C:$C,'community %'!$B$43,'caseload data'!$D:$D,"SPO",'caseload data'!$B:$B,{"licence","community"}))/SUM(SUMIFS('caseload data'!S:S,'caseload data'!$B:$B,{"licence","community"},'caseload data'!$C:$C,'community %'!$B$43)),"")</f>
        <v/>
      </c>
      <c r="R48" s="181" t="str">
        <f>IFERROR(SUM(SUMIFS('caseload data'!T:T,'caseload data'!$C:$C,'community %'!$B$43,'caseload data'!$D:$D,"SPO",'caseload data'!$B:$B,{"licence","community"}))/SUM(SUMIFS('caseload data'!T:T,'caseload data'!$B:$B,{"licence","community"},'caseload data'!$C:$C,'community %'!$B$43)),"")</f>
        <v/>
      </c>
      <c r="S48" s="73"/>
      <c r="T48" s="108" t="s">
        <v>914</v>
      </c>
      <c r="U48" s="181" t="str">
        <f>IFERROR(SUM(SUMIFS('caseload data'!E:E,'caseload data'!$C:$C,'community %'!$T$43,'caseload data'!$D:$D,"SPO",'caseload data'!$B:$B,{"licence","community"}))/SUM(SUMIFS('caseload data'!E:E,'caseload data'!$B:$B,{"licence","community"},'caseload data'!$C:$C,'community %'!$T$43)),"")</f>
        <v/>
      </c>
      <c r="V48" s="181" t="str">
        <f>IFERROR(SUM(SUMIFS('caseload data'!F:F,'caseload data'!$C:$C,'community %'!$T$43,'caseload data'!$D:$D,"SPO",'caseload data'!$B:$B,{"licence","community"}))/SUM(SUMIFS('caseload data'!F:F,'caseload data'!$B:$B,{"licence","community"},'caseload data'!$C:$C,'community %'!$T$43)),"")</f>
        <v/>
      </c>
      <c r="W48" s="181" t="str">
        <f>IFERROR(SUM(SUMIFS('caseload data'!G:G,'caseload data'!$C:$C,'community %'!$T$43,'caseload data'!$D:$D,"SPO",'caseload data'!$B:$B,{"licence","community"}))/SUM(SUMIFS('caseload data'!G:G,'caseload data'!$B:$B,{"licence","community"},'caseload data'!$C:$C,'community %'!$T$43)),"")</f>
        <v/>
      </c>
      <c r="X48" s="181" t="str">
        <f>IFERROR(SUM(SUMIFS('caseload data'!H:H,'caseload data'!$C:$C,'community %'!$T$43,'caseload data'!$D:$D,"SPO",'caseload data'!$B:$B,{"licence","community"}))/SUM(SUMIFS('caseload data'!H:H,'caseload data'!$B:$B,{"licence","community"},'caseload data'!$C:$C,'community %'!$T$43)),"")</f>
        <v/>
      </c>
      <c r="Y48" s="181" t="str">
        <f>IFERROR(SUM(SUMIFS('caseload data'!I:I,'caseload data'!$C:$C,'community %'!$T$43,'caseload data'!$D:$D,"SPO",'caseload data'!$B:$B,{"licence","community"}))/SUM(SUMIFS('caseload data'!I:I,'caseload data'!$B:$B,{"licence","community"},'caseload data'!$C:$C,'community %'!$T$43)),"")</f>
        <v/>
      </c>
      <c r="Z48" s="181" t="str">
        <f>IFERROR(SUM(SUMIFS('caseload data'!J:J,'caseload data'!$C:$C,'community %'!$T$43,'caseload data'!$D:$D,"SPO",'caseload data'!$B:$B,{"licence","community"}))/SUM(SUMIFS('caseload data'!J:J,'caseload data'!$B:$B,{"licence","community"},'caseload data'!$C:$C,'community %'!$T$43)),"")</f>
        <v/>
      </c>
      <c r="AA48" s="181" t="str">
        <f>IFERROR(SUM(SUMIFS('caseload data'!K:K,'caseload data'!$C:$C,'community %'!$T$43,'caseload data'!$D:$D,"SPO",'caseload data'!$B:$B,{"licence","community"}))/SUM(SUMIFS('caseload data'!K:K,'caseload data'!$B:$B,{"licence","community"},'caseload data'!$C:$C,'community %'!$T$43)),"")</f>
        <v/>
      </c>
      <c r="AB48" s="181" t="str">
        <f>IFERROR(SUM(SUMIFS('caseload data'!L:L,'caseload data'!$C:$C,'community %'!$T$43,'caseload data'!$D:$D,"SPO",'caseload data'!$B:$B,{"licence","community"}))/SUM(SUMIFS('caseload data'!L:L,'caseload data'!$B:$B,{"licence","community"},'caseload data'!$C:$C,'community %'!$T$43)),"")</f>
        <v/>
      </c>
      <c r="AC48" s="181" t="str">
        <f>IFERROR(SUM(SUMIFS('caseload data'!M:M,'caseload data'!$C:$C,'community %'!$T$43,'caseload data'!$D:$D,"SPO",'caseload data'!$B:$B,{"licence","community"}))/SUM(SUMIFS('caseload data'!M:M,'caseload data'!$B:$B,{"licence","community"},'caseload data'!$C:$C,'community %'!$T$43)),"")</f>
        <v/>
      </c>
      <c r="AD48" s="181" t="str">
        <f>IFERROR(SUM(SUMIFS('caseload data'!N:N,'caseload data'!$C:$C,'community %'!$T$43,'caseload data'!$D:$D,"SPO",'caseload data'!$B:$B,{"licence","community"}))/SUM(SUMIFS('caseload data'!N:N,'caseload data'!$B:$B,{"licence","community"},'caseload data'!$C:$C,'community %'!$T$43)),"")</f>
        <v/>
      </c>
      <c r="AE48" s="181" t="str">
        <f>IFERROR(SUM(SUMIFS('caseload data'!O:O,'caseload data'!$C:$C,'community %'!$T$43,'caseload data'!$D:$D,"SPO",'caseload data'!$B:$B,{"licence","community"}))/SUM(SUMIFS('caseload data'!O:O,'caseload data'!$B:$B,{"licence","community"},'caseload data'!$C:$C,'community %'!$T$43)),"")</f>
        <v/>
      </c>
      <c r="AF48" s="181" t="str">
        <f>IFERROR(SUM(SUMIFS('caseload data'!P:P,'caseload data'!$C:$C,'community %'!$T$43,'caseload data'!$D:$D,"SPO",'caseload data'!$B:$B,{"licence","community"}))/SUM(SUMIFS('caseload data'!P:P,'caseload data'!$B:$B,{"licence","community"},'caseload data'!$C:$C,'community %'!$T$43)),"")</f>
        <v/>
      </c>
      <c r="AG48" s="181" t="str">
        <f>IFERROR(SUM(SUMIFS('caseload data'!Q:Q,'caseload data'!$C:$C,'community %'!$T$43,'caseload data'!$D:$D,"SPO",'caseload data'!$B:$B,{"licence","community"}))/SUM(SUMIFS('caseload data'!Q:Q,'caseload data'!$B:$B,{"licence","community"},'caseload data'!$C:$C,'community %'!$T$43)),"")</f>
        <v/>
      </c>
      <c r="AH48" s="181" t="str">
        <f>IFERROR(SUM(SUMIFS('caseload data'!R:R,'caseload data'!$C:$C,'community %'!$T$43,'caseload data'!$D:$D,"SPO",'caseload data'!$B:$B,{"licence","community"}))/SUM(SUMIFS('caseload data'!R:R,'caseload data'!$B:$B,{"licence","community"},'caseload data'!$C:$C,'community %'!$T$43)),"")</f>
        <v/>
      </c>
      <c r="AI48" s="181" t="str">
        <f>IFERROR(SUM(SUMIFS('caseload data'!S:S,'caseload data'!$C:$C,'community %'!$T$43,'caseload data'!$D:$D,"SPO",'caseload data'!$B:$B,{"licence","community"}))/SUM(SUMIFS('caseload data'!S:S,'caseload data'!$B:$B,{"licence","community"},'caseload data'!$C:$C,'community %'!$T$43)),"")</f>
        <v/>
      </c>
      <c r="AJ48" s="181" t="str">
        <f>IFERROR(SUM(SUMIFS('caseload data'!T:T,'caseload data'!$C:$C,'community %'!$T$43,'caseload data'!$D:$D,"SPO",'caseload data'!$B:$B,{"licence","community"}))/SUM(SUMIFS('caseload data'!T:T,'caseload data'!$B:$B,{"licence","community"},'caseload data'!$C:$C,'community %'!$T$43)),"")</f>
        <v/>
      </c>
    </row>
    <row r="49" spans="2:36" x14ac:dyDescent="0.15">
      <c r="B49" s="101"/>
      <c r="C49" s="73"/>
      <c r="D49" s="73"/>
      <c r="E49" s="73"/>
      <c r="F49" s="73"/>
      <c r="G49" s="73"/>
      <c r="H49" s="73"/>
      <c r="I49" s="73"/>
      <c r="J49" s="73"/>
      <c r="K49" s="73"/>
      <c r="L49" s="73"/>
      <c r="M49" s="73"/>
      <c r="N49" s="73"/>
      <c r="O49" s="73"/>
      <c r="P49" s="73"/>
      <c r="Q49" s="73"/>
      <c r="R49" s="73"/>
      <c r="S49" s="73"/>
      <c r="T49" s="101"/>
      <c r="U49" s="73"/>
      <c r="V49" s="73"/>
      <c r="W49" s="73"/>
      <c r="X49" s="73"/>
      <c r="Y49" s="73"/>
      <c r="Z49" s="73"/>
      <c r="AA49" s="73"/>
      <c r="AB49" s="73"/>
      <c r="AC49" s="73"/>
      <c r="AD49" s="73"/>
      <c r="AE49" s="73"/>
      <c r="AF49" s="73"/>
      <c r="AG49" s="73"/>
      <c r="AH49" s="73"/>
      <c r="AI49" s="73"/>
      <c r="AJ49" s="73"/>
    </row>
    <row r="50" spans="2:36" ht="44.25" customHeight="1" x14ac:dyDescent="0.15">
      <c r="B50" s="156" t="str">
        <f>HLOOKUP($B$5,Region_Table,14,0)</f>
        <v>Inactive Level 2(N07)</v>
      </c>
      <c r="C50" s="367" t="s">
        <v>1170</v>
      </c>
      <c r="D50" s="368"/>
      <c r="E50" s="368"/>
      <c r="F50" s="368"/>
      <c r="G50" s="368"/>
      <c r="H50" s="368"/>
      <c r="I50" s="368"/>
      <c r="J50" s="368"/>
      <c r="K50" s="368"/>
      <c r="L50" s="368"/>
      <c r="M50" s="377"/>
      <c r="N50" s="377"/>
      <c r="O50" s="378"/>
      <c r="P50" s="371" cm="1">
        <f t="array" ref="P50">SUM(SUMIFS('caseload data'!V:V,'caseload data'!B:B,{"licence","community"},'caseload data'!$C:$C,B50))</f>
        <v>0</v>
      </c>
      <c r="Q50" s="379"/>
      <c r="R50" s="380"/>
      <c r="S50" s="73"/>
      <c r="T50" s="156" t="str">
        <f>HLOOKUP($B$5,Region_Table,15,0)</f>
        <v>Kingston, Richmond and Hounslow</v>
      </c>
      <c r="U50" s="367" t="s">
        <v>1170</v>
      </c>
      <c r="V50" s="368"/>
      <c r="W50" s="368"/>
      <c r="X50" s="368"/>
      <c r="Y50" s="368"/>
      <c r="Z50" s="368"/>
      <c r="AA50" s="368"/>
      <c r="AB50" s="368"/>
      <c r="AC50" s="368"/>
      <c r="AD50" s="368"/>
      <c r="AE50" s="377"/>
      <c r="AF50" s="377"/>
      <c r="AG50" s="378"/>
      <c r="AH50" s="371" cm="1">
        <f t="array" ref="AH50">SUM(SUMIFS('caseload data'!V:V,'caseload data'!B:B,{"licence","community"},'caseload data'!$C:$C,T50))</f>
        <v>0</v>
      </c>
      <c r="AI50" s="379"/>
      <c r="AJ50" s="380"/>
    </row>
    <row r="51" spans="2:36" x14ac:dyDescent="0.15">
      <c r="B51" s="105" t="s">
        <v>1065</v>
      </c>
      <c r="C51" s="41" t="s">
        <v>922</v>
      </c>
      <c r="D51" s="41" t="s">
        <v>923</v>
      </c>
      <c r="E51" s="41" t="s">
        <v>924</v>
      </c>
      <c r="F51" s="41" t="s">
        <v>925</v>
      </c>
      <c r="G51" s="41" t="s">
        <v>926</v>
      </c>
      <c r="H51" s="41" t="s">
        <v>927</v>
      </c>
      <c r="I51" s="41" t="s">
        <v>928</v>
      </c>
      <c r="J51" s="41" t="s">
        <v>929</v>
      </c>
      <c r="K51" s="41" t="s">
        <v>930</v>
      </c>
      <c r="L51" s="41" t="s">
        <v>931</v>
      </c>
      <c r="M51" s="41" t="s">
        <v>932</v>
      </c>
      <c r="N51" s="41" t="s">
        <v>933</v>
      </c>
      <c r="O51" s="41" t="s">
        <v>934</v>
      </c>
      <c r="P51" s="41" t="s">
        <v>935</v>
      </c>
      <c r="Q51" s="41" t="s">
        <v>936</v>
      </c>
      <c r="R51" s="41" t="s">
        <v>937</v>
      </c>
      <c r="S51" s="73"/>
      <c r="T51" s="105" t="s">
        <v>1065</v>
      </c>
      <c r="U51" s="41" t="s">
        <v>922</v>
      </c>
      <c r="V51" s="41" t="s">
        <v>923</v>
      </c>
      <c r="W51" s="41" t="s">
        <v>924</v>
      </c>
      <c r="X51" s="41" t="s">
        <v>925</v>
      </c>
      <c r="Y51" s="41" t="s">
        <v>926</v>
      </c>
      <c r="Z51" s="41" t="s">
        <v>927</v>
      </c>
      <c r="AA51" s="41" t="s">
        <v>928</v>
      </c>
      <c r="AB51" s="41" t="s">
        <v>929</v>
      </c>
      <c r="AC51" s="41" t="s">
        <v>930</v>
      </c>
      <c r="AD51" s="41" t="s">
        <v>931</v>
      </c>
      <c r="AE51" s="41" t="s">
        <v>932</v>
      </c>
      <c r="AF51" s="41" t="s">
        <v>933</v>
      </c>
      <c r="AG51" s="41" t="s">
        <v>934</v>
      </c>
      <c r="AH51" s="41" t="s">
        <v>935</v>
      </c>
      <c r="AI51" s="41" t="s">
        <v>936</v>
      </c>
      <c r="AJ51" s="41" t="s">
        <v>937</v>
      </c>
    </row>
    <row r="52" spans="2:36" x14ac:dyDescent="0.15">
      <c r="B52" s="106" t="s">
        <v>911</v>
      </c>
      <c r="C52" s="181" t="str">
        <f>IFERROR(SUM(SUMIFS('caseload data'!E:E,'caseload data'!$C:$C,'community %'!$B$50,'caseload data'!$D:$D,"PO",'caseload data'!$B:$B,{"licence","community"}))/SUM(SUMIFS('caseload data'!E:E,'caseload data'!$B:$B,{"licence","community"},'caseload data'!$C:$C,'community %'!$B$50)),"")</f>
        <v/>
      </c>
      <c r="D52" s="181" t="str">
        <f>IFERROR(SUM(SUMIFS('caseload data'!F:F,'caseload data'!$C:$C,'community %'!$B$50,'caseload data'!$D:$D,"PO",'caseload data'!$B:$B,{"licence","community"}))/SUM(SUMIFS('caseload data'!F:F,'caseload data'!$B:$B,{"licence","community"},'caseload data'!$C:$C,'community %'!$B$50)),"")</f>
        <v/>
      </c>
      <c r="E52" s="181" t="str">
        <f>IFERROR(SUM(SUMIFS('caseload data'!G:G,'caseload data'!$C:$C,'community %'!$B$50,'caseload data'!$D:$D,"PO",'caseload data'!$B:$B,{"licence","community"}))/SUM(SUMIFS('caseload data'!G:G,'caseload data'!$B:$B,{"licence","community"},'caseload data'!$C:$C,'community %'!$B$50)),"")</f>
        <v/>
      </c>
      <c r="F52" s="181" t="str">
        <f>IFERROR(SUM(SUMIFS('caseload data'!H:H,'caseload data'!$C:$C,'community %'!$B$50,'caseload data'!$D:$D,"PO",'caseload data'!$B:$B,{"licence","community"}))/SUM(SUMIFS('caseload data'!H:H,'caseload data'!$B:$B,{"licence","community"},'caseload data'!$C:$C,'community %'!$B$50)),"")</f>
        <v/>
      </c>
      <c r="G52" s="181" t="str">
        <f>IFERROR(SUM(SUMIFS('caseload data'!I:I,'caseload data'!$C:$C,'community %'!$B$50,'caseload data'!$D:$D,"PO",'caseload data'!$B:$B,{"licence","community"}))/SUM(SUMIFS('caseload data'!I:I,'caseload data'!$B:$B,{"licence","community"},'caseload data'!$C:$C,'community %'!$B$50)),"")</f>
        <v/>
      </c>
      <c r="H52" s="181" t="str">
        <f>IFERROR(SUM(SUMIFS('caseload data'!J:J,'caseload data'!$C:$C,'community %'!$B$50,'caseload data'!$D:$D,"PO",'caseload data'!$B:$B,{"licence","community"}))/SUM(SUMIFS('caseload data'!J:J,'caseload data'!$B:$B,{"licence","community"},'caseload data'!$C:$C,'community %'!$B$50)),"")</f>
        <v/>
      </c>
      <c r="I52" s="181" t="str">
        <f>IFERROR(SUM(SUMIFS('caseload data'!K:K,'caseload data'!$C:$C,'community %'!$B$50,'caseload data'!$D:$D,"PO",'caseload data'!$B:$B,{"licence","community"}))/SUM(SUMIFS('caseload data'!K:K,'caseload data'!$B:$B,{"licence","community"},'caseload data'!$C:$C,'community %'!$B$50)),"")</f>
        <v/>
      </c>
      <c r="J52" s="181" t="str">
        <f>IFERROR(SUM(SUMIFS('caseload data'!L:L,'caseload data'!$C:$C,'community %'!$B$50,'caseload data'!$D:$D,"PO",'caseload data'!$B:$B,{"licence","community"}))/SUM(SUMIFS('caseload data'!L:L,'caseload data'!$B:$B,{"licence","community"},'caseload data'!$C:$C,'community %'!$B$50)),"")</f>
        <v/>
      </c>
      <c r="K52" s="181" t="str">
        <f>IFERROR(SUM(SUMIFS('caseload data'!M:M,'caseload data'!$C:$C,'community %'!$B$50,'caseload data'!$D:$D,"PO",'caseload data'!$B:$B,{"licence","community"}))/SUM(SUMIFS('caseload data'!M:M,'caseload data'!$B:$B,{"licence","community"},'caseload data'!$C:$C,'community %'!$B$50)),"")</f>
        <v/>
      </c>
      <c r="L52" s="181" t="str">
        <f>IFERROR(SUM(SUMIFS('caseload data'!N:N,'caseload data'!$C:$C,'community %'!$B$50,'caseload data'!$D:$D,"PO",'caseload data'!$B:$B,{"licence","community"}))/SUM(SUMIFS('caseload data'!N:N,'caseload data'!$B:$B,{"licence","community"},'caseload data'!$C:$C,'community %'!$B$50)),"")</f>
        <v/>
      </c>
      <c r="M52" s="181" t="str">
        <f>IFERROR(SUM(SUMIFS('caseload data'!O:O,'caseload data'!$C:$C,'community %'!$B$50,'caseload data'!$D:$D,"PO",'caseload data'!$B:$B,{"licence","community"}))/SUM(SUMIFS('caseload data'!O:O,'caseload data'!$B:$B,{"licence","community"},'caseload data'!$C:$C,'community %'!$B$50)),"")</f>
        <v/>
      </c>
      <c r="N52" s="181" t="str">
        <f>IFERROR(SUM(SUMIFS('caseload data'!P:P,'caseload data'!$C:$C,'community %'!$B$50,'caseload data'!$D:$D,"PO",'caseload data'!$B:$B,{"licence","community"}))/SUM(SUMIFS('caseload data'!P:P,'caseload data'!$B:$B,{"licence","community"},'caseload data'!$C:$C,'community %'!$B$50)),"")</f>
        <v/>
      </c>
      <c r="O52" s="181" t="str">
        <f>IFERROR(SUM(SUMIFS('caseload data'!Q:Q,'caseload data'!$C:$C,'community %'!$B$50,'caseload data'!$D:$D,"PO",'caseload data'!$B:$B,{"licence","community"}))/SUM(SUMIFS('caseload data'!Q:Q,'caseload data'!$B:$B,{"licence","community"},'caseload data'!$C:$C,'community %'!$B$50)),"")</f>
        <v/>
      </c>
      <c r="P52" s="181" t="str">
        <f>IFERROR(SUM(SUMIFS('caseload data'!R:R,'caseload data'!$C:$C,'community %'!$B$50,'caseload data'!$D:$D,"PO",'caseload data'!$B:$B,{"licence","community"}))/SUM(SUMIFS('caseload data'!R:R,'caseload data'!$B:$B,{"licence","community"},'caseload data'!$C:$C,'community %'!$B$50)),"")</f>
        <v/>
      </c>
      <c r="Q52" s="181" t="str">
        <f>IFERROR(SUM(SUMIFS('caseload data'!S:S,'caseload data'!$C:$C,'community %'!$B$50,'caseload data'!$D:$D,"PO",'caseload data'!$B:$B,{"licence","community"}))/SUM(SUMIFS('caseload data'!S:S,'caseload data'!$B:$B,{"licence","community"},'caseload data'!$C:$C,'community %'!$B$50)),"")</f>
        <v/>
      </c>
      <c r="R52" s="181" t="str">
        <f>IFERROR(SUM(SUMIFS('caseload data'!T:T,'caseload data'!$C:$C,'community %'!$B$50,'caseload data'!$D:$D,"PO",'caseload data'!$B:$B,{"licence","community"}))/SUM(SUMIFS('caseload data'!T:T,'caseload data'!$B:$B,{"licence","community"},'caseload data'!$C:$C,'community %'!$B$50)),"")</f>
        <v/>
      </c>
      <c r="S52" s="73"/>
      <c r="T52" s="106" t="s">
        <v>911</v>
      </c>
      <c r="U52" s="181" t="str">
        <f>IFERROR(SUM(SUMIFS('caseload data'!E:E,'caseload data'!$C:$C,'community %'!$T$50,'caseload data'!$D:$D,"PO",'caseload data'!$B:$B,{"licence","community"}))/SUM(SUMIFS('caseload data'!E:E,'caseload data'!$B:$B,{"licence","community"},'caseload data'!$C:$C,'community %'!$T$50)),"")</f>
        <v/>
      </c>
      <c r="V52" s="181" t="str">
        <f>IFERROR(SUM(SUMIFS('caseload data'!F:F,'caseload data'!$C:$C,'community %'!$T$50,'caseload data'!$D:$D,"PO",'caseload data'!$B:$B,{"licence","community"}))/SUM(SUMIFS('caseload data'!F:F,'caseload data'!$B:$B,{"licence","community"},'caseload data'!$C:$C,'community %'!$T$50)),"")</f>
        <v/>
      </c>
      <c r="W52" s="181" t="str">
        <f>IFERROR(SUM(SUMIFS('caseload data'!G:G,'caseload data'!$C:$C,'community %'!$T$50,'caseload data'!$D:$D,"PO",'caseload data'!$B:$B,{"licence","community"}))/SUM(SUMIFS('caseload data'!G:G,'caseload data'!$B:$B,{"licence","community"},'caseload data'!$C:$C,'community %'!$T$50)),"")</f>
        <v/>
      </c>
      <c r="X52" s="181" t="str">
        <f>IFERROR(SUM(SUMIFS('caseload data'!H:H,'caseload data'!$C:$C,'community %'!$T$50,'caseload data'!$D:$D,"PO",'caseload data'!$B:$B,{"licence","community"}))/SUM(SUMIFS('caseload data'!H:H,'caseload data'!$B:$B,{"licence","community"},'caseload data'!$C:$C,'community %'!$T$50)),"")</f>
        <v/>
      </c>
      <c r="Y52" s="181" t="str">
        <f>IFERROR(SUM(SUMIFS('caseload data'!I:I,'caseload data'!$C:$C,'community %'!$T$50,'caseload data'!$D:$D,"PO",'caseload data'!$B:$B,{"licence","community"}))/SUM(SUMIFS('caseload data'!I:I,'caseload data'!$B:$B,{"licence","community"},'caseload data'!$C:$C,'community %'!$T$50)),"")</f>
        <v/>
      </c>
      <c r="Z52" s="181" t="str">
        <f>IFERROR(SUM(SUMIFS('caseload data'!J:J,'caseload data'!$C:$C,'community %'!$T$50,'caseload data'!$D:$D,"PO",'caseload data'!$B:$B,{"licence","community"}))/SUM(SUMIFS('caseload data'!J:J,'caseload data'!$B:$B,{"licence","community"},'caseload data'!$C:$C,'community %'!$T$50)),"")</f>
        <v/>
      </c>
      <c r="AA52" s="181" t="str">
        <f>IFERROR(SUM(SUMIFS('caseload data'!K:K,'caseload data'!$C:$C,'community %'!$T$50,'caseload data'!$D:$D,"PO",'caseload data'!$B:$B,{"licence","community"}))/SUM(SUMIFS('caseload data'!K:K,'caseload data'!$B:$B,{"licence","community"},'caseload data'!$C:$C,'community %'!$T$50)),"")</f>
        <v/>
      </c>
      <c r="AB52" s="181" t="str">
        <f>IFERROR(SUM(SUMIFS('caseload data'!L:L,'caseload data'!$C:$C,'community %'!$T$50,'caseload data'!$D:$D,"PO",'caseload data'!$B:$B,{"licence","community"}))/SUM(SUMIFS('caseload data'!L:L,'caseload data'!$B:$B,{"licence","community"},'caseload data'!$C:$C,'community %'!$T$50)),"")</f>
        <v/>
      </c>
      <c r="AC52" s="181" t="str">
        <f>IFERROR(SUM(SUMIFS('caseload data'!M:M,'caseload data'!$C:$C,'community %'!$T$50,'caseload data'!$D:$D,"PO",'caseload data'!$B:$B,{"licence","community"}))/SUM(SUMIFS('caseload data'!M:M,'caseload data'!$B:$B,{"licence","community"},'caseload data'!$C:$C,'community %'!$T$50)),"")</f>
        <v/>
      </c>
      <c r="AD52" s="181" t="str">
        <f>IFERROR(SUM(SUMIFS('caseload data'!N:N,'caseload data'!$C:$C,'community %'!$T$50,'caseload data'!$D:$D,"PO",'caseload data'!$B:$B,{"licence","community"}))/SUM(SUMIFS('caseload data'!N:N,'caseload data'!$B:$B,{"licence","community"},'caseload data'!$C:$C,'community %'!$T$50)),"")</f>
        <v/>
      </c>
      <c r="AE52" s="181" t="str">
        <f>IFERROR(SUM(SUMIFS('caseload data'!O:O,'caseload data'!$C:$C,'community %'!$T$50,'caseload data'!$D:$D,"PO",'caseload data'!$B:$B,{"licence","community"}))/SUM(SUMIFS('caseload data'!O:O,'caseload data'!$B:$B,{"licence","community"},'caseload data'!$C:$C,'community %'!$T$50)),"")</f>
        <v/>
      </c>
      <c r="AF52" s="181" t="str">
        <f>IFERROR(SUM(SUMIFS('caseload data'!P:P,'caseload data'!$C:$C,'community %'!$T$50,'caseload data'!$D:$D,"PO",'caseload data'!$B:$B,{"licence","community"}))/SUM(SUMIFS('caseload data'!P:P,'caseload data'!$B:$B,{"licence","community"},'caseload data'!$C:$C,'community %'!$T$50)),"")</f>
        <v/>
      </c>
      <c r="AG52" s="181" t="str">
        <f>IFERROR(SUM(SUMIFS('caseload data'!Q:Q,'caseload data'!$C:$C,'community %'!$T$50,'caseload data'!$D:$D,"PO",'caseload data'!$B:$B,{"licence","community"}))/SUM(SUMIFS('caseload data'!Q:Q,'caseload data'!$B:$B,{"licence","community"},'caseload data'!$C:$C,'community %'!$T$50)),"")</f>
        <v/>
      </c>
      <c r="AH52" s="181" t="str">
        <f>IFERROR(SUM(SUMIFS('caseload data'!R:R,'caseload data'!$C:$C,'community %'!$T$50,'caseload data'!$D:$D,"PO",'caseload data'!$B:$B,{"licence","community"}))/SUM(SUMIFS('caseload data'!R:R,'caseload data'!$B:$B,{"licence","community"},'caseload data'!$C:$C,'community %'!$T$50)),"")</f>
        <v/>
      </c>
      <c r="AI52" s="181" t="str">
        <f>IFERROR(SUM(SUMIFS('caseload data'!S:S,'caseload data'!$C:$C,'community %'!$T$50,'caseload data'!$D:$D,"PO",'caseload data'!$B:$B,{"licence","community"}))/SUM(SUMIFS('caseload data'!S:S,'caseload data'!$B:$B,{"licence","community"},'caseload data'!$C:$C,'community %'!$T$50)),"")</f>
        <v/>
      </c>
      <c r="AJ52" s="181" t="str">
        <f>IFERROR(SUM(SUMIFS('caseload data'!T:T,'caseload data'!$C:$C,'community %'!$T$50,'caseload data'!$D:$D,"PO",'caseload data'!$B:$B,{"licence","community"}))/SUM(SUMIFS('caseload data'!T:T,'caseload data'!$B:$B,{"licence","community"},'caseload data'!$C:$C,'community %'!$T$50)),"")</f>
        <v/>
      </c>
    </row>
    <row r="53" spans="2:36" x14ac:dyDescent="0.15">
      <c r="B53" s="107" t="s">
        <v>912</v>
      </c>
      <c r="C53" s="181" t="str">
        <f>IFERROR(SUM(SUMIFS('caseload data'!E:E,'caseload data'!$C:$C,'community %'!$B$50,'caseload data'!$D:$D,"PSO",'caseload data'!$B:$B,{"licence","community"}))/SUM(SUMIFS('caseload data'!E:E,'caseload data'!$B:$B,{"licence","community"},'caseload data'!$C:$C,'community %'!$B$50)),"")</f>
        <v/>
      </c>
      <c r="D53" s="181" t="str">
        <f>IFERROR(SUM(SUMIFS('caseload data'!F:F,'caseload data'!$C:$C,'community %'!$B$50,'caseload data'!$D:$D,"PSO",'caseload data'!$B:$B,{"licence","community"}))/SUM(SUMIFS('caseload data'!F:F,'caseload data'!$B:$B,{"licence","community"},'caseload data'!$C:$C,'community %'!$B$50)),"")</f>
        <v/>
      </c>
      <c r="E53" s="181" t="str">
        <f>IFERROR(SUM(SUMIFS('caseload data'!G:G,'caseload data'!$C:$C,'community %'!$B$50,'caseload data'!$D:$D,"PSO",'caseload data'!$B:$B,{"licence","community"}))/SUM(SUMIFS('caseload data'!G:G,'caseload data'!$B:$B,{"licence","community"},'caseload data'!$C:$C,'community %'!$B$50)),"")</f>
        <v/>
      </c>
      <c r="F53" s="181" t="str">
        <f>IFERROR(SUM(SUMIFS('caseload data'!H:H,'caseload data'!$C:$C,'community %'!$B$50,'caseload data'!$D:$D,"PSO",'caseload data'!$B:$B,{"licence","community"}))/SUM(SUMIFS('caseload data'!H:H,'caseload data'!$B:$B,{"licence","community"},'caseload data'!$C:$C,'community %'!$B$50)),"")</f>
        <v/>
      </c>
      <c r="G53" s="181" t="str">
        <f>IFERROR(SUM(SUMIFS('caseload data'!I:I,'caseload data'!$C:$C,'community %'!$B$50,'caseload data'!$D:$D,"PSO",'caseload data'!$B:$B,{"licence","community"}))/SUM(SUMIFS('caseload data'!I:I,'caseload data'!$B:$B,{"licence","community"},'caseload data'!$C:$C,'community %'!$B$50)),"")</f>
        <v/>
      </c>
      <c r="H53" s="181" t="str">
        <f>IFERROR(SUM(SUMIFS('caseload data'!J:J,'caseload data'!$C:$C,'community %'!$B$50,'caseload data'!$D:$D,"PSO",'caseload data'!$B:$B,{"licence","community"}))/SUM(SUMIFS('caseload data'!J:J,'caseload data'!$B:$B,{"licence","community"},'caseload data'!$C:$C,'community %'!$B$50)),"")</f>
        <v/>
      </c>
      <c r="I53" s="181" t="str">
        <f>IFERROR(SUM(SUMIFS('caseload data'!K:K,'caseload data'!$C:$C,'community %'!$B$50,'caseload data'!$D:$D,"PSO",'caseload data'!$B:$B,{"licence","community"}))/SUM(SUMIFS('caseload data'!K:K,'caseload data'!$B:$B,{"licence","community"},'caseload data'!$C:$C,'community %'!$B$50)),"")</f>
        <v/>
      </c>
      <c r="J53" s="181" t="str">
        <f>IFERROR(SUM(SUMIFS('caseload data'!L:L,'caseload data'!$C:$C,'community %'!$B$50,'caseload data'!$D:$D,"PSO",'caseload data'!$B:$B,{"licence","community"}))/SUM(SUMIFS('caseload data'!L:L,'caseload data'!$B:$B,{"licence","community"},'caseload data'!$C:$C,'community %'!$B$50)),"")</f>
        <v/>
      </c>
      <c r="K53" s="181" t="str">
        <f>IFERROR(SUM(SUMIFS('caseload data'!M:M,'caseload data'!$C:$C,'community %'!$B$50,'caseload data'!$D:$D,"PSO",'caseload data'!$B:$B,{"licence","community"}))/SUM(SUMIFS('caseload data'!M:M,'caseload data'!$B:$B,{"licence","community"},'caseload data'!$C:$C,'community %'!$B$50)),"")</f>
        <v/>
      </c>
      <c r="L53" s="181" t="str">
        <f>IFERROR(SUM(SUMIFS('caseload data'!N:N,'caseload data'!$C:$C,'community %'!$B$50,'caseload data'!$D:$D,"PSO",'caseload data'!$B:$B,{"licence","community"}))/SUM(SUMIFS('caseload data'!N:N,'caseload data'!$B:$B,{"licence","community"},'caseload data'!$C:$C,'community %'!$B$50)),"")</f>
        <v/>
      </c>
      <c r="M53" s="181" t="str">
        <f>IFERROR(SUM(SUMIFS('caseload data'!O:O,'caseload data'!$C:$C,'community %'!$B$50,'caseload data'!$D:$D,"PSO",'caseload data'!$B:$B,{"licence","community"}))/SUM(SUMIFS('caseload data'!O:O,'caseload data'!$B:$B,{"licence","community"},'caseload data'!$C:$C,'community %'!$B$50)),"")</f>
        <v/>
      </c>
      <c r="N53" s="181" t="str">
        <f>IFERROR(SUM(SUMIFS('caseload data'!P:P,'caseload data'!$C:$C,'community %'!$B$50,'caseload data'!$D:$D,"PSO",'caseload data'!$B:$B,{"licence","community"}))/SUM(SUMIFS('caseload data'!P:P,'caseload data'!$B:$B,{"licence","community"},'caseload data'!$C:$C,'community %'!$B$50)),"")</f>
        <v/>
      </c>
      <c r="O53" s="181" t="str">
        <f>IFERROR(SUM(SUMIFS('caseload data'!Q:Q,'caseload data'!$C:$C,'community %'!$B$50,'caseload data'!$D:$D,"PSO",'caseload data'!$B:$B,{"licence","community"}))/SUM(SUMIFS('caseload data'!Q:Q,'caseload data'!$B:$B,{"licence","community"},'caseload data'!$C:$C,'community %'!$B$50)),"")</f>
        <v/>
      </c>
      <c r="P53" s="181" t="str">
        <f>IFERROR(SUM(SUMIFS('caseload data'!R:R,'caseload data'!$C:$C,'community %'!$B$50,'caseload data'!$D:$D,"PSO",'caseload data'!$B:$B,{"licence","community"}))/SUM(SUMIFS('caseload data'!R:R,'caseload data'!$B:$B,{"licence","community"},'caseload data'!$C:$C,'community %'!$B$50)),"")</f>
        <v/>
      </c>
      <c r="Q53" s="181" t="str">
        <f>IFERROR(SUM(SUMIFS('caseload data'!S:S,'caseload data'!$C:$C,'community %'!$B$50,'caseload data'!$D:$D,"PSO",'caseload data'!$B:$B,{"licence","community"}))/SUM(SUMIFS('caseload data'!S:S,'caseload data'!$B:$B,{"licence","community"},'caseload data'!$C:$C,'community %'!$B$50)),"")</f>
        <v/>
      </c>
      <c r="R53" s="181" t="str">
        <f>IFERROR(SUM(SUMIFS('caseload data'!T:T,'caseload data'!$C:$C,'community %'!$B$50,'caseload data'!$D:$D,"PSO",'caseload data'!$B:$B,{"licence","community"}))/SUM(SUMIFS('caseload data'!T:T,'caseload data'!$B:$B,{"licence","community"},'caseload data'!$C:$C,'community %'!$B$50)),"")</f>
        <v/>
      </c>
      <c r="S53" s="73"/>
      <c r="T53" s="107" t="s">
        <v>912</v>
      </c>
      <c r="U53" s="181" t="str">
        <f>IFERROR(SUM(SUMIFS('caseload data'!E:E,'caseload data'!$C:$C,'community %'!$T$50,'caseload data'!$D:$D,"PSO",'caseload data'!$B:$B,{"licence","community"}))/SUM(SUMIFS('caseload data'!E:E,'caseload data'!$B:$B,{"licence","community"},'caseload data'!$C:$C,'community %'!$T$50)),"")</f>
        <v/>
      </c>
      <c r="V53" s="181" t="str">
        <f>IFERROR(SUM(SUMIFS('caseload data'!F:F,'caseload data'!$C:$C,'community %'!$T$50,'caseload data'!$D:$D,"PSO",'caseload data'!$B:$B,{"licence","community"}))/SUM(SUMIFS('caseload data'!F:F,'caseload data'!$B:$B,{"licence","community"},'caseload data'!$C:$C,'community %'!$T$50)),"")</f>
        <v/>
      </c>
      <c r="W53" s="181" t="str">
        <f>IFERROR(SUM(SUMIFS('caseload data'!G:G,'caseload data'!$C:$C,'community %'!$T$50,'caseload data'!$D:$D,"PSO",'caseload data'!$B:$B,{"licence","community"}))/SUM(SUMIFS('caseload data'!G:G,'caseload data'!$B:$B,{"licence","community"},'caseload data'!$C:$C,'community %'!$T$50)),"")</f>
        <v/>
      </c>
      <c r="X53" s="181" t="str">
        <f>IFERROR(SUM(SUMIFS('caseload data'!H:H,'caseload data'!$C:$C,'community %'!$T$50,'caseload data'!$D:$D,"PSO",'caseload data'!$B:$B,{"licence","community"}))/SUM(SUMIFS('caseload data'!H:H,'caseload data'!$B:$B,{"licence","community"},'caseload data'!$C:$C,'community %'!$T$50)),"")</f>
        <v/>
      </c>
      <c r="Y53" s="181" t="str">
        <f>IFERROR(SUM(SUMIFS('caseload data'!I:I,'caseload data'!$C:$C,'community %'!$T$50,'caseload data'!$D:$D,"PSO",'caseload data'!$B:$B,{"licence","community"}))/SUM(SUMIFS('caseload data'!I:I,'caseload data'!$B:$B,{"licence","community"},'caseload data'!$C:$C,'community %'!$T$50)),"")</f>
        <v/>
      </c>
      <c r="Z53" s="181" t="str">
        <f>IFERROR(SUM(SUMIFS('caseload data'!J:J,'caseload data'!$C:$C,'community %'!$T$50,'caseload data'!$D:$D,"PSO",'caseload data'!$B:$B,{"licence","community"}))/SUM(SUMIFS('caseload data'!J:J,'caseload data'!$B:$B,{"licence","community"},'caseload data'!$C:$C,'community %'!$T$50)),"")</f>
        <v/>
      </c>
      <c r="AA53" s="181" t="str">
        <f>IFERROR(SUM(SUMIFS('caseload data'!K:K,'caseload data'!$C:$C,'community %'!$T$50,'caseload data'!$D:$D,"PSO",'caseload data'!$B:$B,{"licence","community"}))/SUM(SUMIFS('caseload data'!K:K,'caseload data'!$B:$B,{"licence","community"},'caseload data'!$C:$C,'community %'!$T$50)),"")</f>
        <v/>
      </c>
      <c r="AB53" s="181" t="str">
        <f>IFERROR(SUM(SUMIFS('caseload data'!L:L,'caseload data'!$C:$C,'community %'!$T$50,'caseload data'!$D:$D,"PSO",'caseload data'!$B:$B,{"licence","community"}))/SUM(SUMIFS('caseload data'!L:L,'caseload data'!$B:$B,{"licence","community"},'caseload data'!$C:$C,'community %'!$T$50)),"")</f>
        <v/>
      </c>
      <c r="AC53" s="181" t="str">
        <f>IFERROR(SUM(SUMIFS('caseload data'!M:M,'caseload data'!$C:$C,'community %'!$T$50,'caseload data'!$D:$D,"PSO",'caseload data'!$B:$B,{"licence","community"}))/SUM(SUMIFS('caseload data'!M:M,'caseload data'!$B:$B,{"licence","community"},'caseload data'!$C:$C,'community %'!$T$50)),"")</f>
        <v/>
      </c>
      <c r="AD53" s="181" t="str">
        <f>IFERROR(SUM(SUMIFS('caseload data'!N:N,'caseload data'!$C:$C,'community %'!$T$50,'caseload data'!$D:$D,"PSO",'caseload data'!$B:$B,{"licence","community"}))/SUM(SUMIFS('caseload data'!N:N,'caseload data'!$B:$B,{"licence","community"},'caseload data'!$C:$C,'community %'!$T$50)),"")</f>
        <v/>
      </c>
      <c r="AE53" s="181" t="str">
        <f>IFERROR(SUM(SUMIFS('caseload data'!O:O,'caseload data'!$C:$C,'community %'!$T$50,'caseload data'!$D:$D,"PSO",'caseload data'!$B:$B,{"licence","community"}))/SUM(SUMIFS('caseload data'!O:O,'caseload data'!$B:$B,{"licence","community"},'caseload data'!$C:$C,'community %'!$T$50)),"")</f>
        <v/>
      </c>
      <c r="AF53" s="181" t="str">
        <f>IFERROR(SUM(SUMIFS('caseload data'!P:P,'caseload data'!$C:$C,'community %'!$T$50,'caseload data'!$D:$D,"PSO",'caseload data'!$B:$B,{"licence","community"}))/SUM(SUMIFS('caseload data'!P:P,'caseload data'!$B:$B,{"licence","community"},'caseload data'!$C:$C,'community %'!$T$50)),"")</f>
        <v/>
      </c>
      <c r="AG53" s="181" t="str">
        <f>IFERROR(SUM(SUMIFS('caseload data'!Q:Q,'caseload data'!$C:$C,'community %'!$T$50,'caseload data'!$D:$D,"PSO",'caseload data'!$B:$B,{"licence","community"}))/SUM(SUMIFS('caseload data'!Q:Q,'caseload data'!$B:$B,{"licence","community"},'caseload data'!$C:$C,'community %'!$T$50)),"")</f>
        <v/>
      </c>
      <c r="AH53" s="181" t="str">
        <f>IFERROR(SUM(SUMIFS('caseload data'!R:R,'caseload data'!$C:$C,'community %'!$T$50,'caseload data'!$D:$D,"PSO",'caseload data'!$B:$B,{"licence","community"}))/SUM(SUMIFS('caseload data'!R:R,'caseload data'!$B:$B,{"licence","community"},'caseload data'!$C:$C,'community %'!$T$50)),"")</f>
        <v/>
      </c>
      <c r="AI53" s="181" t="str">
        <f>IFERROR(SUM(SUMIFS('caseload data'!S:S,'caseload data'!$C:$C,'community %'!$T$50,'caseload data'!$D:$D,"PSO",'caseload data'!$B:$B,{"licence","community"}))/SUM(SUMIFS('caseload data'!S:S,'caseload data'!$B:$B,{"licence","community"},'caseload data'!$C:$C,'community %'!$T$50)),"")</f>
        <v/>
      </c>
      <c r="AJ53" s="181" t="str">
        <f>IFERROR(SUM(SUMIFS('caseload data'!T:T,'caseload data'!$C:$C,'community %'!$T$50,'caseload data'!$D:$D,"PSO",'caseload data'!$B:$B,{"licence","community"}))/SUM(SUMIFS('caseload data'!T:T,'caseload data'!$B:$B,{"licence","community"},'caseload data'!$C:$C,'community %'!$T$50)),"")</f>
        <v/>
      </c>
    </row>
    <row r="54" spans="2:36" x14ac:dyDescent="0.15">
      <c r="B54" s="107" t="s">
        <v>913</v>
      </c>
      <c r="C54" s="181" t="str">
        <f>IFERROR(SUM(SUMIFS('caseload data'!E:E,'caseload data'!$C:$C,'community %'!$B$50,'caseload data'!$D:$D,"TPO",'caseload data'!$B:$B,{"licence","community"}))/SUM(SUMIFS('caseload data'!E:E,'caseload data'!$B:$B,{"licence","community"},'caseload data'!$C:$C,'community %'!$B$50)),"")</f>
        <v/>
      </c>
      <c r="D54" s="181" t="str">
        <f>IFERROR(SUM(SUMIFS('caseload data'!F:F,'caseload data'!$C:$C,'community %'!$B$50,'caseload data'!$D:$D,"TPO",'caseload data'!$B:$B,{"licence","community"}))/SUM(SUMIFS('caseload data'!F:F,'caseload data'!$B:$B,{"licence","community"},'caseload data'!$C:$C,'community %'!$B$50)),"")</f>
        <v/>
      </c>
      <c r="E54" s="181" t="str">
        <f>IFERROR(SUM(SUMIFS('caseload data'!G:G,'caseload data'!$C:$C,'community %'!$B$50,'caseload data'!$D:$D,"TPO",'caseload data'!$B:$B,{"licence","community"}))/SUM(SUMIFS('caseload data'!G:G,'caseload data'!$B:$B,{"licence","community"},'caseload data'!$C:$C,'community %'!$B$50)),"")</f>
        <v/>
      </c>
      <c r="F54" s="181" t="str">
        <f>IFERROR(SUM(SUMIFS('caseload data'!H:H,'caseload data'!$C:$C,'community %'!$B$50,'caseload data'!$D:$D,"TPO",'caseload data'!$B:$B,{"licence","community"}))/SUM(SUMIFS('caseload data'!H:H,'caseload data'!$B:$B,{"licence","community"},'caseload data'!$C:$C,'community %'!$B$50)),"")</f>
        <v/>
      </c>
      <c r="G54" s="181" t="str">
        <f>IFERROR(SUM(SUMIFS('caseload data'!I:I,'caseload data'!$C:$C,'community %'!$B$50,'caseload data'!$D:$D,"TPO",'caseload data'!$B:$B,{"licence","community"}))/SUM(SUMIFS('caseload data'!I:I,'caseload data'!$B:$B,{"licence","community"},'caseload data'!$C:$C,'community %'!$B$50)),"")</f>
        <v/>
      </c>
      <c r="H54" s="181" t="str">
        <f>IFERROR(SUM(SUMIFS('caseload data'!J:J,'caseload data'!$C:$C,'community %'!$B$50,'caseload data'!$D:$D,"TPO",'caseload data'!$B:$B,{"licence","community"}))/SUM(SUMIFS('caseload data'!J:J,'caseload data'!$B:$B,{"licence","community"},'caseload data'!$C:$C,'community %'!$B$50)),"")</f>
        <v/>
      </c>
      <c r="I54" s="181" t="str">
        <f>IFERROR(SUM(SUMIFS('caseload data'!K:K,'caseload data'!$C:$C,'community %'!$B$50,'caseload data'!$D:$D,"TPO",'caseload data'!$B:$B,{"licence","community"}))/SUM(SUMIFS('caseload data'!K:K,'caseload data'!$B:$B,{"licence","community"},'caseload data'!$C:$C,'community %'!$B$50)),"")</f>
        <v/>
      </c>
      <c r="J54" s="181" t="str">
        <f>IFERROR(SUM(SUMIFS('caseload data'!L:L,'caseload data'!$C:$C,'community %'!$B$50,'caseload data'!$D:$D,"TPO",'caseload data'!$B:$B,{"licence","community"}))/SUM(SUMIFS('caseload data'!L:L,'caseload data'!$B:$B,{"licence","community"},'caseload data'!$C:$C,'community %'!$B$50)),"")</f>
        <v/>
      </c>
      <c r="K54" s="181" t="str">
        <f>IFERROR(SUM(SUMIFS('caseload data'!M:M,'caseload data'!$C:$C,'community %'!$B$50,'caseload data'!$D:$D,"TPO",'caseload data'!$B:$B,{"licence","community"}))/SUM(SUMIFS('caseload data'!M:M,'caseload data'!$B:$B,{"licence","community"},'caseload data'!$C:$C,'community %'!$B$50)),"")</f>
        <v/>
      </c>
      <c r="L54" s="181" t="str">
        <f>IFERROR(SUM(SUMIFS('caseload data'!N:N,'caseload data'!$C:$C,'community %'!$B$50,'caseload data'!$D:$D,"TPO",'caseload data'!$B:$B,{"licence","community"}))/SUM(SUMIFS('caseload data'!N:N,'caseload data'!$B:$B,{"licence","community"},'caseload data'!$C:$C,'community %'!$B$50)),"")</f>
        <v/>
      </c>
      <c r="M54" s="181" t="str">
        <f>IFERROR(SUM(SUMIFS('caseload data'!O:O,'caseload data'!$C:$C,'community %'!$B$50,'caseload data'!$D:$D,"TPO",'caseload data'!$B:$B,{"licence","community"}))/SUM(SUMIFS('caseload data'!O:O,'caseload data'!$B:$B,{"licence","community"},'caseload data'!$C:$C,'community %'!$B$50)),"")</f>
        <v/>
      </c>
      <c r="N54" s="181" t="str">
        <f>IFERROR(SUM(SUMIFS('caseload data'!P:P,'caseload data'!$C:$C,'community %'!$B$50,'caseload data'!$D:$D,"TPO",'caseload data'!$B:$B,{"licence","community"}))/SUM(SUMIFS('caseload data'!P:P,'caseload data'!$B:$B,{"licence","community"},'caseload data'!$C:$C,'community %'!$B$50)),"")</f>
        <v/>
      </c>
      <c r="O54" s="181" t="str">
        <f>IFERROR(SUM(SUMIFS('caseload data'!Q:Q,'caseload data'!$C:$C,'community %'!$B$50,'caseload data'!$D:$D,"TPO",'caseload data'!$B:$B,{"licence","community"}))/SUM(SUMIFS('caseload data'!Q:Q,'caseload data'!$B:$B,{"licence","community"},'caseload data'!$C:$C,'community %'!$B$50)),"")</f>
        <v/>
      </c>
      <c r="P54" s="181" t="str">
        <f>IFERROR(SUM(SUMIFS('caseload data'!R:R,'caseload data'!$C:$C,'community %'!$B$50,'caseload data'!$D:$D,"TPO",'caseload data'!$B:$B,{"licence","community"}))/SUM(SUMIFS('caseload data'!R:R,'caseload data'!$B:$B,{"licence","community"},'caseload data'!$C:$C,'community %'!$B$50)),"")</f>
        <v/>
      </c>
      <c r="Q54" s="181" t="str">
        <f>IFERROR(SUM(SUMIFS('caseload data'!S:S,'caseload data'!$C:$C,'community %'!$B$50,'caseload data'!$D:$D,"TPO",'caseload data'!$B:$B,{"licence","community"}))/SUM(SUMIFS('caseload data'!S:S,'caseload data'!$B:$B,{"licence","community"},'caseload data'!$C:$C,'community %'!$B$50)),"")</f>
        <v/>
      </c>
      <c r="R54" s="181" t="str">
        <f>IFERROR(SUM(SUMIFS('caseload data'!T:T,'caseload data'!$C:$C,'community %'!$B$50,'caseload data'!$D:$D,"TPO",'caseload data'!$B:$B,{"licence","community"}))/SUM(SUMIFS('caseload data'!T:T,'caseload data'!$B:$B,{"licence","community"},'caseload data'!$C:$C,'community %'!$B$50)),"")</f>
        <v/>
      </c>
      <c r="S54" s="73"/>
      <c r="T54" s="107" t="s">
        <v>913</v>
      </c>
      <c r="U54" s="181" t="str">
        <f>IFERROR(SUM(SUMIFS('caseload data'!E:E,'caseload data'!$C:$C,'community %'!$T$50,'caseload data'!$D:$D,"TPO",'caseload data'!$B:$B,{"licence","community"}))/SUM(SUMIFS('caseload data'!E:E,'caseload data'!$B:$B,{"licence","community"},'caseload data'!$C:$C,'community %'!$T$50)),"")</f>
        <v/>
      </c>
      <c r="V54" s="181" t="str">
        <f>IFERROR(SUM(SUMIFS('caseload data'!F:F,'caseload data'!$C:$C,'community %'!$T$50,'caseload data'!$D:$D,"TPO",'caseload data'!$B:$B,{"licence","community"}))/SUM(SUMIFS('caseload data'!F:F,'caseload data'!$B:$B,{"licence","community"},'caseload data'!$C:$C,'community %'!$T$50)),"")</f>
        <v/>
      </c>
      <c r="W54" s="181" t="str">
        <f>IFERROR(SUM(SUMIFS('caseload data'!G:G,'caseload data'!$C:$C,'community %'!$T$50,'caseload data'!$D:$D,"TPO",'caseload data'!$B:$B,{"licence","community"}))/SUM(SUMIFS('caseload data'!G:G,'caseload data'!$B:$B,{"licence","community"},'caseload data'!$C:$C,'community %'!$T$50)),"")</f>
        <v/>
      </c>
      <c r="X54" s="181" t="str">
        <f>IFERROR(SUM(SUMIFS('caseload data'!H:H,'caseload data'!$C:$C,'community %'!$T$50,'caseload data'!$D:$D,"TPO",'caseload data'!$B:$B,{"licence","community"}))/SUM(SUMIFS('caseload data'!H:H,'caseload data'!$B:$B,{"licence","community"},'caseload data'!$C:$C,'community %'!$T$50)),"")</f>
        <v/>
      </c>
      <c r="Y54" s="181" t="str">
        <f>IFERROR(SUM(SUMIFS('caseload data'!I:I,'caseload data'!$C:$C,'community %'!$T$50,'caseload data'!$D:$D,"TPO",'caseload data'!$B:$B,{"licence","community"}))/SUM(SUMIFS('caseload data'!I:I,'caseload data'!$B:$B,{"licence","community"},'caseload data'!$C:$C,'community %'!$T$50)),"")</f>
        <v/>
      </c>
      <c r="Z54" s="181" t="str">
        <f>IFERROR(SUM(SUMIFS('caseload data'!J:J,'caseload data'!$C:$C,'community %'!$T$50,'caseload data'!$D:$D,"TPO",'caseload data'!$B:$B,{"licence","community"}))/SUM(SUMIFS('caseload data'!J:J,'caseload data'!$B:$B,{"licence","community"},'caseload data'!$C:$C,'community %'!$T$50)),"")</f>
        <v/>
      </c>
      <c r="AA54" s="181" t="str">
        <f>IFERROR(SUM(SUMIFS('caseload data'!K:K,'caseload data'!$C:$C,'community %'!$T$50,'caseload data'!$D:$D,"TPO",'caseload data'!$B:$B,{"licence","community"}))/SUM(SUMIFS('caseload data'!K:K,'caseload data'!$B:$B,{"licence","community"},'caseload data'!$C:$C,'community %'!$T$50)),"")</f>
        <v/>
      </c>
      <c r="AB54" s="181" t="str">
        <f>IFERROR(SUM(SUMIFS('caseload data'!L:L,'caseload data'!$C:$C,'community %'!$T$50,'caseload data'!$D:$D,"TPO",'caseload data'!$B:$B,{"licence","community"}))/SUM(SUMIFS('caseload data'!L:L,'caseload data'!$B:$B,{"licence","community"},'caseload data'!$C:$C,'community %'!$T$50)),"")</f>
        <v/>
      </c>
      <c r="AC54" s="181" t="str">
        <f>IFERROR(SUM(SUMIFS('caseload data'!M:M,'caseload data'!$C:$C,'community %'!$T$50,'caseload data'!$D:$D,"TPO",'caseload data'!$B:$B,{"licence","community"}))/SUM(SUMIFS('caseload data'!M:M,'caseload data'!$B:$B,{"licence","community"},'caseload data'!$C:$C,'community %'!$T$50)),"")</f>
        <v/>
      </c>
      <c r="AD54" s="181" t="str">
        <f>IFERROR(SUM(SUMIFS('caseload data'!N:N,'caseload data'!$C:$C,'community %'!$T$50,'caseload data'!$D:$D,"TPO",'caseload data'!$B:$B,{"licence","community"}))/SUM(SUMIFS('caseload data'!N:N,'caseload data'!$B:$B,{"licence","community"},'caseload data'!$C:$C,'community %'!$T$50)),"")</f>
        <v/>
      </c>
      <c r="AE54" s="181" t="str">
        <f>IFERROR(SUM(SUMIFS('caseload data'!O:O,'caseload data'!$C:$C,'community %'!$T$50,'caseload data'!$D:$D,"TPO",'caseload data'!$B:$B,{"licence","community"}))/SUM(SUMIFS('caseload data'!O:O,'caseload data'!$B:$B,{"licence","community"},'caseload data'!$C:$C,'community %'!$T$50)),"")</f>
        <v/>
      </c>
      <c r="AF54" s="181" t="str">
        <f>IFERROR(SUM(SUMIFS('caseload data'!P:P,'caseload data'!$C:$C,'community %'!$T$50,'caseload data'!$D:$D,"TPO",'caseload data'!$B:$B,{"licence","community"}))/SUM(SUMIFS('caseload data'!P:P,'caseload data'!$B:$B,{"licence","community"},'caseload data'!$C:$C,'community %'!$T$50)),"")</f>
        <v/>
      </c>
      <c r="AG54" s="181" t="str">
        <f>IFERROR(SUM(SUMIFS('caseload data'!Q:Q,'caseload data'!$C:$C,'community %'!$T$50,'caseload data'!$D:$D,"TPO",'caseload data'!$B:$B,{"licence","community"}))/SUM(SUMIFS('caseload data'!Q:Q,'caseload data'!$B:$B,{"licence","community"},'caseload data'!$C:$C,'community %'!$T$50)),"")</f>
        <v/>
      </c>
      <c r="AH54" s="181" t="str">
        <f>IFERROR(SUM(SUMIFS('caseload data'!R:R,'caseload data'!$C:$C,'community %'!$T$50,'caseload data'!$D:$D,"TPO",'caseload data'!$B:$B,{"licence","community"}))/SUM(SUMIFS('caseload data'!R:R,'caseload data'!$B:$B,{"licence","community"},'caseload data'!$C:$C,'community %'!$T$50)),"")</f>
        <v/>
      </c>
      <c r="AI54" s="181" t="str">
        <f>IFERROR(SUM(SUMIFS('caseload data'!S:S,'caseload data'!$C:$C,'community %'!$T$50,'caseload data'!$D:$D,"TPO",'caseload data'!$B:$B,{"licence","community"}))/SUM(SUMIFS('caseload data'!S:S,'caseload data'!$B:$B,{"licence","community"},'caseload data'!$C:$C,'community %'!$T$50)),"")</f>
        <v/>
      </c>
      <c r="AJ54" s="181" t="str">
        <f>IFERROR(SUM(SUMIFS('caseload data'!T:T,'caseload data'!$C:$C,'community %'!$T$50,'caseload data'!$D:$D,"TPO",'caseload data'!$B:$B,{"licence","community"}))/SUM(SUMIFS('caseload data'!T:T,'caseload data'!$B:$B,{"licence","community"},'caseload data'!$C:$C,'community %'!$T$50)),"")</f>
        <v/>
      </c>
    </row>
    <row r="55" spans="2:36" x14ac:dyDescent="0.15">
      <c r="B55" s="108" t="s">
        <v>914</v>
      </c>
      <c r="C55" s="181" t="str">
        <f>IFERROR(SUM(SUMIFS('caseload data'!E:E,'caseload data'!$C:$C,'community %'!$B$50,'caseload data'!$D:$D,"SPO",'caseload data'!$B:$B,{"licence","community"}))/SUM(SUMIFS('caseload data'!E:E,'caseload data'!$B:$B,{"licence","community"},'caseload data'!$C:$C,'community %'!$B$50)),"")</f>
        <v/>
      </c>
      <c r="D55" s="181" t="str">
        <f>IFERROR(SUM(SUMIFS('caseload data'!F:F,'caseload data'!$C:$C,'community %'!$B$50,'caseload data'!$D:$D,"SPO",'caseload data'!$B:$B,{"licence","community"}))/SUM(SUMIFS('caseload data'!F:F,'caseload data'!$B:$B,{"licence","community"},'caseload data'!$C:$C,'community %'!$B$50)),"")</f>
        <v/>
      </c>
      <c r="E55" s="181" t="str">
        <f>IFERROR(SUM(SUMIFS('caseload data'!G:G,'caseload data'!$C:$C,'community %'!$B$50,'caseload data'!$D:$D,"SPO",'caseload data'!$B:$B,{"licence","community"}))/SUM(SUMIFS('caseload data'!G:G,'caseload data'!$B:$B,{"licence","community"},'caseload data'!$C:$C,'community %'!$B$50)),"")</f>
        <v/>
      </c>
      <c r="F55" s="181" t="str">
        <f>IFERROR(SUM(SUMIFS('caseload data'!H:H,'caseload data'!$C:$C,'community %'!$B$50,'caseload data'!$D:$D,"SPO",'caseload data'!$B:$B,{"licence","community"}))/SUM(SUMIFS('caseload data'!H:H,'caseload data'!$B:$B,{"licence","community"},'caseload data'!$C:$C,'community %'!$B$50)),"")</f>
        <v/>
      </c>
      <c r="G55" s="181" t="str">
        <f>IFERROR(SUM(SUMIFS('caseload data'!I:I,'caseload data'!$C:$C,'community %'!$B$50,'caseload data'!$D:$D,"SPO",'caseload data'!$B:$B,{"licence","community"}))/SUM(SUMIFS('caseload data'!I:I,'caseload data'!$B:$B,{"licence","community"},'caseload data'!$C:$C,'community %'!$B$50)),"")</f>
        <v/>
      </c>
      <c r="H55" s="181" t="str">
        <f>IFERROR(SUM(SUMIFS('caseload data'!J:J,'caseload data'!$C:$C,'community %'!$B$50,'caseload data'!$D:$D,"SPO",'caseload data'!$B:$B,{"licence","community"}))/SUM(SUMIFS('caseload data'!J:J,'caseload data'!$B:$B,{"licence","community"},'caseload data'!$C:$C,'community %'!$B$50)),"")</f>
        <v/>
      </c>
      <c r="I55" s="181" t="str">
        <f>IFERROR(SUM(SUMIFS('caseload data'!K:K,'caseload data'!$C:$C,'community %'!$B$50,'caseload data'!$D:$D,"SPO",'caseload data'!$B:$B,{"licence","community"}))/SUM(SUMIFS('caseload data'!K:K,'caseload data'!$B:$B,{"licence","community"},'caseload data'!$C:$C,'community %'!$B$50)),"")</f>
        <v/>
      </c>
      <c r="J55" s="181" t="str">
        <f>IFERROR(SUM(SUMIFS('caseload data'!L:L,'caseload data'!$C:$C,'community %'!$B$50,'caseload data'!$D:$D,"SPO",'caseload data'!$B:$B,{"licence","community"}))/SUM(SUMIFS('caseload data'!L:L,'caseload data'!$B:$B,{"licence","community"},'caseload data'!$C:$C,'community %'!$B$50)),"")</f>
        <v/>
      </c>
      <c r="K55" s="181" t="str">
        <f>IFERROR(SUM(SUMIFS('caseload data'!M:M,'caseload data'!$C:$C,'community %'!$B$50,'caseload data'!$D:$D,"SPO",'caseload data'!$B:$B,{"licence","community"}))/SUM(SUMIFS('caseload data'!M:M,'caseload data'!$B:$B,{"licence","community"},'caseload data'!$C:$C,'community %'!$B$50)),"")</f>
        <v/>
      </c>
      <c r="L55" s="181" t="str">
        <f>IFERROR(SUM(SUMIFS('caseload data'!N:N,'caseload data'!$C:$C,'community %'!$B$50,'caseload data'!$D:$D,"SPO",'caseload data'!$B:$B,{"licence","community"}))/SUM(SUMIFS('caseload data'!N:N,'caseload data'!$B:$B,{"licence","community"},'caseload data'!$C:$C,'community %'!$B$50)),"")</f>
        <v/>
      </c>
      <c r="M55" s="181" t="str">
        <f>IFERROR(SUM(SUMIFS('caseload data'!O:O,'caseload data'!$C:$C,'community %'!$B$50,'caseload data'!$D:$D,"SPO",'caseload data'!$B:$B,{"licence","community"}))/SUM(SUMIFS('caseload data'!O:O,'caseload data'!$B:$B,{"licence","community"},'caseload data'!$C:$C,'community %'!$B$50)),"")</f>
        <v/>
      </c>
      <c r="N55" s="181" t="str">
        <f>IFERROR(SUM(SUMIFS('caseload data'!P:P,'caseload data'!$C:$C,'community %'!$B$50,'caseload data'!$D:$D,"SPO",'caseload data'!$B:$B,{"licence","community"}))/SUM(SUMIFS('caseload data'!P:P,'caseload data'!$B:$B,{"licence","community"},'caseload data'!$C:$C,'community %'!$B$50)),"")</f>
        <v/>
      </c>
      <c r="O55" s="181" t="str">
        <f>IFERROR(SUM(SUMIFS('caseload data'!Q:Q,'caseload data'!$C:$C,'community %'!$B$50,'caseload data'!$D:$D,"SPO",'caseload data'!$B:$B,{"licence","community"}))/SUM(SUMIFS('caseload data'!Q:Q,'caseload data'!$B:$B,{"licence","community"},'caseload data'!$C:$C,'community %'!$B$50)),"")</f>
        <v/>
      </c>
      <c r="P55" s="181" t="str">
        <f>IFERROR(SUM(SUMIFS('caseload data'!R:R,'caseload data'!$C:$C,'community %'!$B$50,'caseload data'!$D:$D,"SPO",'caseload data'!$B:$B,{"licence","community"}))/SUM(SUMIFS('caseload data'!R:R,'caseload data'!$B:$B,{"licence","community"},'caseload data'!$C:$C,'community %'!$B$50)),"")</f>
        <v/>
      </c>
      <c r="Q55" s="181" t="str">
        <f>IFERROR(SUM(SUMIFS('caseload data'!S:S,'caseload data'!$C:$C,'community %'!$B$50,'caseload data'!$D:$D,"SPO",'caseload data'!$B:$B,{"licence","community"}))/SUM(SUMIFS('caseload data'!S:S,'caseload data'!$B:$B,{"licence","community"},'caseload data'!$C:$C,'community %'!$B$50)),"")</f>
        <v/>
      </c>
      <c r="R55" s="181" t="str">
        <f>IFERROR(SUM(SUMIFS('caseload data'!T:T,'caseload data'!$C:$C,'community %'!$B$50,'caseload data'!$D:$D,"SPO",'caseload data'!$B:$B,{"licence","community"}))/SUM(SUMIFS('caseload data'!T:T,'caseload data'!$B:$B,{"licence","community"},'caseload data'!$C:$C,'community %'!$B$50)),"")</f>
        <v/>
      </c>
      <c r="S55" s="73"/>
      <c r="T55" s="108" t="s">
        <v>914</v>
      </c>
      <c r="U55" s="181" t="str">
        <f>IFERROR(SUM(SUMIFS('caseload data'!E:E,'caseload data'!$C:$C,'community %'!$T$50,'caseload data'!$D:$D,"SPO",'caseload data'!$B:$B,{"licence","community"}))/SUM(SUMIFS('caseload data'!E:E,'caseload data'!$B:$B,{"licence","community"},'caseload data'!$C:$C,'community %'!$T$50)),"")</f>
        <v/>
      </c>
      <c r="V55" s="181" t="str">
        <f>IFERROR(SUM(SUMIFS('caseload data'!F:F,'caseload data'!$C:$C,'community %'!$T$50,'caseload data'!$D:$D,"SPO",'caseload data'!$B:$B,{"licence","community"}))/SUM(SUMIFS('caseload data'!F:F,'caseload data'!$B:$B,{"licence","community"},'caseload data'!$C:$C,'community %'!$T$50)),"")</f>
        <v/>
      </c>
      <c r="W55" s="181" t="str">
        <f>IFERROR(SUM(SUMIFS('caseload data'!G:G,'caseload data'!$C:$C,'community %'!$T$50,'caseload data'!$D:$D,"SPO",'caseload data'!$B:$B,{"licence","community"}))/SUM(SUMIFS('caseload data'!G:G,'caseload data'!$B:$B,{"licence","community"},'caseload data'!$C:$C,'community %'!$T$50)),"")</f>
        <v/>
      </c>
      <c r="X55" s="181" t="str">
        <f>IFERROR(SUM(SUMIFS('caseload data'!H:H,'caseload data'!$C:$C,'community %'!$T$50,'caseload data'!$D:$D,"SPO",'caseload data'!$B:$B,{"licence","community"}))/SUM(SUMIFS('caseload data'!H:H,'caseload data'!$B:$B,{"licence","community"},'caseload data'!$C:$C,'community %'!$T$50)),"")</f>
        <v/>
      </c>
      <c r="Y55" s="181" t="str">
        <f>IFERROR(SUM(SUMIFS('caseload data'!I:I,'caseload data'!$C:$C,'community %'!$T$50,'caseload data'!$D:$D,"SPO",'caseload data'!$B:$B,{"licence","community"}))/SUM(SUMIFS('caseload data'!I:I,'caseload data'!$B:$B,{"licence","community"},'caseload data'!$C:$C,'community %'!$T$50)),"")</f>
        <v/>
      </c>
      <c r="Z55" s="181" t="str">
        <f>IFERROR(SUM(SUMIFS('caseload data'!J:J,'caseload data'!$C:$C,'community %'!$T$50,'caseload data'!$D:$D,"SPO",'caseload data'!$B:$B,{"licence","community"}))/SUM(SUMIFS('caseload data'!J:J,'caseload data'!$B:$B,{"licence","community"},'caseload data'!$C:$C,'community %'!$T$50)),"")</f>
        <v/>
      </c>
      <c r="AA55" s="181" t="str">
        <f>IFERROR(SUM(SUMIFS('caseload data'!K:K,'caseload data'!$C:$C,'community %'!$T$50,'caseload data'!$D:$D,"SPO",'caseload data'!$B:$B,{"licence","community"}))/SUM(SUMIFS('caseload data'!K:K,'caseload data'!$B:$B,{"licence","community"},'caseload data'!$C:$C,'community %'!$T$50)),"")</f>
        <v/>
      </c>
      <c r="AB55" s="181" t="str">
        <f>IFERROR(SUM(SUMIFS('caseload data'!L:L,'caseload data'!$C:$C,'community %'!$T$50,'caseload data'!$D:$D,"SPO",'caseload data'!$B:$B,{"licence","community"}))/SUM(SUMIFS('caseload data'!L:L,'caseload data'!$B:$B,{"licence","community"},'caseload data'!$C:$C,'community %'!$T$50)),"")</f>
        <v/>
      </c>
      <c r="AC55" s="181" t="str">
        <f>IFERROR(SUM(SUMIFS('caseload data'!M:M,'caseload data'!$C:$C,'community %'!$T$50,'caseload data'!$D:$D,"SPO",'caseload data'!$B:$B,{"licence","community"}))/SUM(SUMIFS('caseload data'!M:M,'caseload data'!$B:$B,{"licence","community"},'caseload data'!$C:$C,'community %'!$T$50)),"")</f>
        <v/>
      </c>
      <c r="AD55" s="181" t="str">
        <f>IFERROR(SUM(SUMIFS('caseload data'!N:N,'caseload data'!$C:$C,'community %'!$T$50,'caseload data'!$D:$D,"SPO",'caseload data'!$B:$B,{"licence","community"}))/SUM(SUMIFS('caseload data'!N:N,'caseload data'!$B:$B,{"licence","community"},'caseload data'!$C:$C,'community %'!$T$50)),"")</f>
        <v/>
      </c>
      <c r="AE55" s="181" t="str">
        <f>IFERROR(SUM(SUMIFS('caseload data'!O:O,'caseload data'!$C:$C,'community %'!$T$50,'caseload data'!$D:$D,"SPO",'caseload data'!$B:$B,{"licence","community"}))/SUM(SUMIFS('caseload data'!O:O,'caseload data'!$B:$B,{"licence","community"},'caseload data'!$C:$C,'community %'!$T$50)),"")</f>
        <v/>
      </c>
      <c r="AF55" s="181" t="str">
        <f>IFERROR(SUM(SUMIFS('caseload data'!P:P,'caseload data'!$C:$C,'community %'!$T$50,'caseload data'!$D:$D,"SPO",'caseload data'!$B:$B,{"licence","community"}))/SUM(SUMIFS('caseload data'!P:P,'caseload data'!$B:$B,{"licence","community"},'caseload data'!$C:$C,'community %'!$T$50)),"")</f>
        <v/>
      </c>
      <c r="AG55" s="181" t="str">
        <f>IFERROR(SUM(SUMIFS('caseload data'!Q:Q,'caseload data'!$C:$C,'community %'!$T$50,'caseload data'!$D:$D,"SPO",'caseload data'!$B:$B,{"licence","community"}))/SUM(SUMIFS('caseload data'!Q:Q,'caseload data'!$B:$B,{"licence","community"},'caseload data'!$C:$C,'community %'!$T$50)),"")</f>
        <v/>
      </c>
      <c r="AH55" s="181" t="str">
        <f>IFERROR(SUM(SUMIFS('caseload data'!R:R,'caseload data'!$C:$C,'community %'!$T$50,'caseload data'!$D:$D,"SPO",'caseload data'!$B:$B,{"licence","community"}))/SUM(SUMIFS('caseload data'!R:R,'caseload data'!$B:$B,{"licence","community"},'caseload data'!$C:$C,'community %'!$T$50)),"")</f>
        <v/>
      </c>
      <c r="AI55" s="181" t="str">
        <f>IFERROR(SUM(SUMIFS('caseload data'!S:S,'caseload data'!$C:$C,'community %'!$T$50,'caseload data'!$D:$D,"SPO",'caseload data'!$B:$B,{"licence","community"}))/SUM(SUMIFS('caseload data'!S:S,'caseload data'!$B:$B,{"licence","community"},'caseload data'!$C:$C,'community %'!$T$50)),"")</f>
        <v/>
      </c>
      <c r="AJ55" s="181" t="str">
        <f>IFERROR(SUM(SUMIFS('caseload data'!T:T,'caseload data'!$C:$C,'community %'!$T$50,'caseload data'!$D:$D,"SPO",'caseload data'!$B:$B,{"licence","community"}))/SUM(SUMIFS('caseload data'!T:T,'caseload data'!$B:$B,{"licence","community"},'caseload data'!$C:$C,'community %'!$T$50)),"")</f>
        <v/>
      </c>
    </row>
    <row r="56" spans="2:36" x14ac:dyDescent="0.15">
      <c r="B56" s="101"/>
      <c r="C56" s="73"/>
      <c r="D56" s="73"/>
      <c r="E56" s="73"/>
      <c r="F56" s="73"/>
      <c r="G56" s="73"/>
      <c r="H56" s="73"/>
      <c r="I56" s="73"/>
      <c r="J56" s="73"/>
      <c r="K56" s="73"/>
      <c r="L56" s="73"/>
      <c r="M56" s="73"/>
      <c r="N56" s="73"/>
      <c r="O56" s="73"/>
      <c r="P56" s="73"/>
      <c r="Q56" s="73"/>
      <c r="R56" s="73"/>
      <c r="S56" s="73"/>
      <c r="T56" s="101"/>
      <c r="U56" s="73"/>
      <c r="V56" s="73"/>
      <c r="W56" s="73"/>
      <c r="X56" s="73"/>
      <c r="Y56" s="73"/>
      <c r="Z56" s="73"/>
      <c r="AA56" s="73"/>
      <c r="AB56" s="73"/>
      <c r="AC56" s="73"/>
      <c r="AD56" s="73"/>
      <c r="AE56" s="73"/>
      <c r="AF56" s="73"/>
      <c r="AG56" s="73"/>
      <c r="AH56" s="73"/>
      <c r="AI56" s="73"/>
      <c r="AJ56" s="73"/>
    </row>
    <row r="57" spans="2:36" ht="42.75" customHeight="1" x14ac:dyDescent="0.15">
      <c r="B57" s="156" t="str">
        <f>HLOOKUP($B$5,Region_Table,16,0)</f>
        <v>Lambeth - N07</v>
      </c>
      <c r="C57" s="367" t="s">
        <v>1170</v>
      </c>
      <c r="D57" s="368"/>
      <c r="E57" s="368"/>
      <c r="F57" s="368"/>
      <c r="G57" s="368"/>
      <c r="H57" s="368"/>
      <c r="I57" s="368"/>
      <c r="J57" s="368"/>
      <c r="K57" s="368"/>
      <c r="L57" s="368"/>
      <c r="M57" s="377"/>
      <c r="N57" s="377"/>
      <c r="O57" s="378"/>
      <c r="P57" s="371" cm="1">
        <f t="array" ref="P57">SUM(SUMIFS('caseload data'!V:V,'caseload data'!B:B,{"licence","community"},'caseload data'!$C:$C,B57))</f>
        <v>0</v>
      </c>
      <c r="Q57" s="379"/>
      <c r="R57" s="380"/>
      <c r="S57" s="73"/>
      <c r="T57" s="156" t="str">
        <f>HLOOKUP($B$5,Region_Table,17,0)</f>
        <v>Lewisham and Bromley</v>
      </c>
      <c r="U57" s="367" t="s">
        <v>1170</v>
      </c>
      <c r="V57" s="368"/>
      <c r="W57" s="368"/>
      <c r="X57" s="368"/>
      <c r="Y57" s="368"/>
      <c r="Z57" s="368"/>
      <c r="AA57" s="368"/>
      <c r="AB57" s="368"/>
      <c r="AC57" s="368"/>
      <c r="AD57" s="368"/>
      <c r="AE57" s="377"/>
      <c r="AF57" s="377"/>
      <c r="AG57" s="378"/>
      <c r="AH57" s="371" cm="1">
        <f t="array" ref="AH57">SUM(SUMIFS('caseload data'!V:V,'caseload data'!B:B,{"licence","community"},'caseload data'!$C:$C,T57))</f>
        <v>0</v>
      </c>
      <c r="AI57" s="379"/>
      <c r="AJ57" s="380"/>
    </row>
    <row r="58" spans="2:36" x14ac:dyDescent="0.15">
      <c r="B58" s="105" t="s">
        <v>1065</v>
      </c>
      <c r="C58" s="41" t="s">
        <v>922</v>
      </c>
      <c r="D58" s="41" t="s">
        <v>923</v>
      </c>
      <c r="E58" s="41" t="s">
        <v>924</v>
      </c>
      <c r="F58" s="41" t="s">
        <v>925</v>
      </c>
      <c r="G58" s="41" t="s">
        <v>926</v>
      </c>
      <c r="H58" s="41" t="s">
        <v>927</v>
      </c>
      <c r="I58" s="41" t="s">
        <v>928</v>
      </c>
      <c r="J58" s="41" t="s">
        <v>929</v>
      </c>
      <c r="K58" s="41" t="s">
        <v>930</v>
      </c>
      <c r="L58" s="41" t="s">
        <v>931</v>
      </c>
      <c r="M58" s="41" t="s">
        <v>932</v>
      </c>
      <c r="N58" s="41" t="s">
        <v>933</v>
      </c>
      <c r="O58" s="41" t="s">
        <v>934</v>
      </c>
      <c r="P58" s="41" t="s">
        <v>935</v>
      </c>
      <c r="Q58" s="41" t="s">
        <v>936</v>
      </c>
      <c r="R58" s="41" t="s">
        <v>937</v>
      </c>
      <c r="S58" s="73"/>
      <c r="T58" s="105" t="s">
        <v>1065</v>
      </c>
      <c r="U58" s="41" t="s">
        <v>922</v>
      </c>
      <c r="V58" s="41" t="s">
        <v>923</v>
      </c>
      <c r="W58" s="41" t="s">
        <v>924</v>
      </c>
      <c r="X58" s="41" t="s">
        <v>925</v>
      </c>
      <c r="Y58" s="41" t="s">
        <v>926</v>
      </c>
      <c r="Z58" s="41" t="s">
        <v>927</v>
      </c>
      <c r="AA58" s="41" t="s">
        <v>928</v>
      </c>
      <c r="AB58" s="41" t="s">
        <v>929</v>
      </c>
      <c r="AC58" s="41" t="s">
        <v>930</v>
      </c>
      <c r="AD58" s="41" t="s">
        <v>931</v>
      </c>
      <c r="AE58" s="41" t="s">
        <v>932</v>
      </c>
      <c r="AF58" s="41" t="s">
        <v>933</v>
      </c>
      <c r="AG58" s="41" t="s">
        <v>934</v>
      </c>
      <c r="AH58" s="41" t="s">
        <v>935</v>
      </c>
      <c r="AI58" s="41" t="s">
        <v>936</v>
      </c>
      <c r="AJ58" s="41" t="s">
        <v>937</v>
      </c>
    </row>
    <row r="59" spans="2:36" x14ac:dyDescent="0.15">
      <c r="B59" s="106" t="s">
        <v>911</v>
      </c>
      <c r="C59" s="181" t="str">
        <f>IFERROR(SUM(SUMIFS('caseload data'!E:E,'caseload data'!$C:$C,'community %'!$B$57,'caseload data'!$D:$D,"PO",'caseload data'!$B:$B,{"licence","community"}))/SUM(SUMIFS('caseload data'!E:E,'caseload data'!$B:$B,{"licence","community"},'caseload data'!$C:$C,'community %'!$B$57)),"")</f>
        <v/>
      </c>
      <c r="D59" s="181" t="str">
        <f>IFERROR(SUM(SUMIFS('caseload data'!F:F,'caseload data'!$C:$C,'community %'!$B$57,'caseload data'!$D:$D,"PO",'caseload data'!$B:$B,{"licence","community"}))/SUM(SUMIFS('caseload data'!F:F,'caseload data'!$B:$B,{"licence","community"},'caseload data'!$C:$C,'community %'!$B$57)),"")</f>
        <v/>
      </c>
      <c r="E59" s="181" t="str">
        <f>IFERROR(SUM(SUMIFS('caseload data'!G:G,'caseload data'!$C:$C,'community %'!$B$57,'caseload data'!$D:$D,"PO",'caseload data'!$B:$B,{"licence","community"}))/SUM(SUMIFS('caseload data'!G:G,'caseload data'!$B:$B,{"licence","community"},'caseload data'!$C:$C,'community %'!$B$57)),"")</f>
        <v/>
      </c>
      <c r="F59" s="181" t="str">
        <f>IFERROR(SUM(SUMIFS('caseload data'!H:H,'caseload data'!$C:$C,'community %'!$B$57,'caseload data'!$D:$D,"PO",'caseload data'!$B:$B,{"licence","community"}))/SUM(SUMIFS('caseload data'!H:H,'caseload data'!$B:$B,{"licence","community"},'caseload data'!$C:$C,'community %'!$B$57)),"")</f>
        <v/>
      </c>
      <c r="G59" s="181" t="str">
        <f>IFERROR(SUM(SUMIFS('caseload data'!I:I,'caseload data'!$C:$C,'community %'!$B$57,'caseload data'!$D:$D,"PO",'caseload data'!$B:$B,{"licence","community"}))/SUM(SUMIFS('caseload data'!I:I,'caseload data'!$B:$B,{"licence","community"},'caseload data'!$C:$C,'community %'!$B$57)),"")</f>
        <v/>
      </c>
      <c r="H59" s="181" t="str">
        <f>IFERROR(SUM(SUMIFS('caseload data'!J:J,'caseload data'!$C:$C,'community %'!$B$57,'caseload data'!$D:$D,"PO",'caseload data'!$B:$B,{"licence","community"}))/SUM(SUMIFS('caseload data'!J:J,'caseload data'!$B:$B,{"licence","community"},'caseload data'!$C:$C,'community %'!$B$57)),"")</f>
        <v/>
      </c>
      <c r="I59" s="181" t="str">
        <f>IFERROR(SUM(SUMIFS('caseload data'!K:K,'caseload data'!$C:$C,'community %'!$B$57,'caseload data'!$D:$D,"PO",'caseload data'!$B:$B,{"licence","community"}))/SUM(SUMIFS('caseload data'!K:K,'caseload data'!$B:$B,{"licence","community"},'caseload data'!$C:$C,'community %'!$B$57)),"")</f>
        <v/>
      </c>
      <c r="J59" s="181" t="str">
        <f>IFERROR(SUM(SUMIFS('caseload data'!L:L,'caseload data'!$C:$C,'community %'!$B$57,'caseload data'!$D:$D,"PO",'caseload data'!$B:$B,{"licence","community"}))/SUM(SUMIFS('caseload data'!L:L,'caseload data'!$B:$B,{"licence","community"},'caseload data'!$C:$C,'community %'!$B$57)),"")</f>
        <v/>
      </c>
      <c r="K59" s="181" t="str">
        <f>IFERROR(SUM(SUMIFS('caseload data'!M:M,'caseload data'!$C:$C,'community %'!$B$57,'caseload data'!$D:$D,"PO",'caseload data'!$B:$B,{"licence","community"}))/SUM(SUMIFS('caseload data'!M:M,'caseload data'!$B:$B,{"licence","community"},'caseload data'!$C:$C,'community %'!$B$57)),"")</f>
        <v/>
      </c>
      <c r="L59" s="181" t="str">
        <f>IFERROR(SUM(SUMIFS('caseload data'!N:N,'caseload data'!$C:$C,'community %'!$B$57,'caseload data'!$D:$D,"PO",'caseload data'!$B:$B,{"licence","community"}))/SUM(SUMIFS('caseload data'!N:N,'caseload data'!$B:$B,{"licence","community"},'caseload data'!$C:$C,'community %'!$B$57)),"")</f>
        <v/>
      </c>
      <c r="M59" s="181" t="str">
        <f>IFERROR(SUM(SUMIFS('caseload data'!O:O,'caseload data'!$C:$C,'community %'!$B$57,'caseload data'!$D:$D,"PO",'caseload data'!$B:$B,{"licence","community"}))/SUM(SUMIFS('caseload data'!O:O,'caseload data'!$B:$B,{"licence","community"},'caseload data'!$C:$C,'community %'!$B$57)),"")</f>
        <v/>
      </c>
      <c r="N59" s="181" t="str">
        <f>IFERROR(SUM(SUMIFS('caseload data'!P:P,'caseload data'!$C:$C,'community %'!$B$57,'caseload data'!$D:$D,"PO",'caseload data'!$B:$B,{"licence","community"}))/SUM(SUMIFS('caseload data'!P:P,'caseload data'!$B:$B,{"licence","community"},'caseload data'!$C:$C,'community %'!$B$57)),"")</f>
        <v/>
      </c>
      <c r="O59" s="181" t="str">
        <f>IFERROR(SUM(SUMIFS('caseload data'!Q:Q,'caseload data'!$C:$C,'community %'!$B$57,'caseload data'!$D:$D,"PO",'caseload data'!$B:$B,{"licence","community"}))/SUM(SUMIFS('caseload data'!Q:Q,'caseload data'!$B:$B,{"licence","community"},'caseload data'!$C:$C,'community %'!$B$57)),"")</f>
        <v/>
      </c>
      <c r="P59" s="181" t="str">
        <f>IFERROR(SUM(SUMIFS('caseload data'!R:R,'caseload data'!$C:$C,'community %'!$B$57,'caseload data'!$D:$D,"PO",'caseload data'!$B:$B,{"licence","community"}))/SUM(SUMIFS('caseload data'!R:R,'caseload data'!$B:$B,{"licence","community"},'caseload data'!$C:$C,'community %'!$B$57)),"")</f>
        <v/>
      </c>
      <c r="Q59" s="181" t="str">
        <f>IFERROR(SUM(SUMIFS('caseload data'!S:S,'caseload data'!$C:$C,'community %'!$B$57,'caseload data'!$D:$D,"PO",'caseload data'!$B:$B,{"licence","community"}))/SUM(SUMIFS('caseload data'!S:S,'caseload data'!$B:$B,{"licence","community"},'caseload data'!$C:$C,'community %'!$B$57)),"")</f>
        <v/>
      </c>
      <c r="R59" s="181" t="str">
        <f>IFERROR(SUM(SUMIFS('caseload data'!T:T,'caseload data'!$C:$C,'community %'!$B$57,'caseload data'!$D:$D,"PO",'caseload data'!$B:$B,{"licence","community"}))/SUM(SUMIFS('caseload data'!T:T,'caseload data'!$B:$B,{"licence","community"},'caseload data'!$C:$C,'community %'!$B$57)),"")</f>
        <v/>
      </c>
      <c r="S59" s="73"/>
      <c r="T59" s="106" t="s">
        <v>911</v>
      </c>
      <c r="U59" s="181" t="str">
        <f>IFERROR(SUM(SUMIFS('caseload data'!E:E,'caseload data'!$C:$C,'community %'!$T$57,'caseload data'!$D:$D,"PO",'caseload data'!$B:$B,{"licence","community"}))/SUM(SUMIFS('caseload data'!E:E,'caseload data'!$B:$B,{"licence","community"},'caseload data'!$C:$C,'community %'!$T$57)),"")</f>
        <v/>
      </c>
      <c r="V59" s="181" t="str">
        <f>IFERROR(SUM(SUMIFS('caseload data'!F:F,'caseload data'!$C:$C,'community %'!$T$57,'caseload data'!$D:$D,"PO",'caseload data'!$B:$B,{"licence","community"}))/SUM(SUMIFS('caseload data'!F:F,'caseload data'!$B:$B,{"licence","community"},'caseload data'!$C:$C,'community %'!$T$57)),"")</f>
        <v/>
      </c>
      <c r="W59" s="181" t="str">
        <f>IFERROR(SUM(SUMIFS('caseload data'!G:G,'caseload data'!$C:$C,'community %'!$T$57,'caseload data'!$D:$D,"PO",'caseload data'!$B:$B,{"licence","community"}))/SUM(SUMIFS('caseload data'!G:G,'caseload data'!$B:$B,{"licence","community"},'caseload data'!$C:$C,'community %'!$T$57)),"")</f>
        <v/>
      </c>
      <c r="X59" s="181" t="str">
        <f>IFERROR(SUM(SUMIFS('caseload data'!H:H,'caseload data'!$C:$C,'community %'!$T$57,'caseload data'!$D:$D,"PO",'caseload data'!$B:$B,{"licence","community"}))/SUM(SUMIFS('caseload data'!H:H,'caseload data'!$B:$B,{"licence","community"},'caseload data'!$C:$C,'community %'!$T$57)),"")</f>
        <v/>
      </c>
      <c r="Y59" s="181" t="str">
        <f>IFERROR(SUM(SUMIFS('caseload data'!I:I,'caseload data'!$C:$C,'community %'!$T$57,'caseload data'!$D:$D,"PO",'caseload data'!$B:$B,{"licence","community"}))/SUM(SUMIFS('caseload data'!I:I,'caseload data'!$B:$B,{"licence","community"},'caseload data'!$C:$C,'community %'!$T$57)),"")</f>
        <v/>
      </c>
      <c r="Z59" s="181" t="str">
        <f>IFERROR(SUM(SUMIFS('caseload data'!J:J,'caseload data'!$C:$C,'community %'!$T$57,'caseload data'!$D:$D,"PO",'caseload data'!$B:$B,{"licence","community"}))/SUM(SUMIFS('caseload data'!J:J,'caseload data'!$B:$B,{"licence","community"},'caseload data'!$C:$C,'community %'!$T$57)),"")</f>
        <v/>
      </c>
      <c r="AA59" s="181" t="str">
        <f>IFERROR(SUM(SUMIFS('caseload data'!K:K,'caseload data'!$C:$C,'community %'!$T$57,'caseload data'!$D:$D,"PO",'caseload data'!$B:$B,{"licence","community"}))/SUM(SUMIFS('caseload data'!K:K,'caseload data'!$B:$B,{"licence","community"},'caseload data'!$C:$C,'community %'!$T$57)),"")</f>
        <v/>
      </c>
      <c r="AB59" s="181" t="str">
        <f>IFERROR(SUM(SUMIFS('caseload data'!L:L,'caseload data'!$C:$C,'community %'!$T$57,'caseload data'!$D:$D,"PO",'caseload data'!$B:$B,{"licence","community"}))/SUM(SUMIFS('caseload data'!L:L,'caseload data'!$B:$B,{"licence","community"},'caseload data'!$C:$C,'community %'!$T$57)),"")</f>
        <v/>
      </c>
      <c r="AC59" s="181" t="str">
        <f>IFERROR(SUM(SUMIFS('caseload data'!M:M,'caseload data'!$C:$C,'community %'!$T$57,'caseload data'!$D:$D,"PO",'caseload data'!$B:$B,{"licence","community"}))/SUM(SUMIFS('caseload data'!M:M,'caseload data'!$B:$B,{"licence","community"},'caseload data'!$C:$C,'community %'!$T$57)),"")</f>
        <v/>
      </c>
      <c r="AD59" s="181" t="str">
        <f>IFERROR(SUM(SUMIFS('caseload data'!N:N,'caseload data'!$C:$C,'community %'!$T$57,'caseload data'!$D:$D,"PO",'caseload data'!$B:$B,{"licence","community"}))/SUM(SUMIFS('caseload data'!N:N,'caseload data'!$B:$B,{"licence","community"},'caseload data'!$C:$C,'community %'!$T$57)),"")</f>
        <v/>
      </c>
      <c r="AE59" s="181" t="str">
        <f>IFERROR(SUM(SUMIFS('caseload data'!O:O,'caseload data'!$C:$C,'community %'!$T$57,'caseload data'!$D:$D,"PO",'caseload data'!$B:$B,{"licence","community"}))/SUM(SUMIFS('caseload data'!O:O,'caseload data'!$B:$B,{"licence","community"},'caseload data'!$C:$C,'community %'!$T$57)),"")</f>
        <v/>
      </c>
      <c r="AF59" s="181" t="str">
        <f>IFERROR(SUM(SUMIFS('caseload data'!P:P,'caseload data'!$C:$C,'community %'!$T$57,'caseload data'!$D:$D,"PO",'caseload data'!$B:$B,{"licence","community"}))/SUM(SUMIFS('caseload data'!P:P,'caseload data'!$B:$B,{"licence","community"},'caseload data'!$C:$C,'community %'!$T$57)),"")</f>
        <v/>
      </c>
      <c r="AG59" s="181" t="str">
        <f>IFERROR(SUM(SUMIFS('caseload data'!Q:Q,'caseload data'!$C:$C,'community %'!$T$57,'caseload data'!$D:$D,"PO",'caseload data'!$B:$B,{"licence","community"}))/SUM(SUMIFS('caseload data'!Q:Q,'caseload data'!$B:$B,{"licence","community"},'caseload data'!$C:$C,'community %'!$T$57)),"")</f>
        <v/>
      </c>
      <c r="AH59" s="181" t="str">
        <f>IFERROR(SUM(SUMIFS('caseload data'!R:R,'caseload data'!$C:$C,'community %'!$T$57,'caseload data'!$D:$D,"PO",'caseload data'!$B:$B,{"licence","community"}))/SUM(SUMIFS('caseload data'!R:R,'caseload data'!$B:$B,{"licence","community"},'caseload data'!$C:$C,'community %'!$T$57)),"")</f>
        <v/>
      </c>
      <c r="AI59" s="181" t="str">
        <f>IFERROR(SUM(SUMIFS('caseload data'!S:S,'caseload data'!$C:$C,'community %'!$T$57,'caseload data'!$D:$D,"PO",'caseload data'!$B:$B,{"licence","community"}))/SUM(SUMIFS('caseload data'!S:S,'caseload data'!$B:$B,{"licence","community"},'caseload data'!$C:$C,'community %'!$T$57)),"")</f>
        <v/>
      </c>
      <c r="AJ59" s="181" t="str">
        <f>IFERROR(SUM(SUMIFS('caseload data'!T:T,'caseload data'!$C:$C,'community %'!$T$57,'caseload data'!$D:$D,"PO",'caseload data'!$B:$B,{"licence","community"}))/SUM(SUMIFS('caseload data'!T:T,'caseload data'!$B:$B,{"licence","community"},'caseload data'!$C:$C,'community %'!$T$57)),"")</f>
        <v/>
      </c>
    </row>
    <row r="60" spans="2:36" x14ac:dyDescent="0.15">
      <c r="B60" s="107" t="s">
        <v>912</v>
      </c>
      <c r="C60" s="181" t="str">
        <f>IFERROR(SUM(SUMIFS('caseload data'!E:E,'caseload data'!$C:$C,'community %'!$B$57,'caseload data'!$D:$D,"PSO",'caseload data'!$B:$B,{"licence","community"}))/SUM(SUMIFS('caseload data'!E:E,'caseload data'!$B:$B,{"licence","community"},'caseload data'!$C:$C,'community %'!$B$57)),"")</f>
        <v/>
      </c>
      <c r="D60" s="181" t="str">
        <f>IFERROR(SUM(SUMIFS('caseload data'!F:F,'caseload data'!$C:$C,'community %'!$B$57,'caseload data'!$D:$D,"PSO",'caseload data'!$B:$B,{"licence","community"}))/SUM(SUMIFS('caseload data'!F:F,'caseload data'!$B:$B,{"licence","community"},'caseload data'!$C:$C,'community %'!$B$57)),"")</f>
        <v/>
      </c>
      <c r="E60" s="181" t="str">
        <f>IFERROR(SUM(SUMIFS('caseload data'!G:G,'caseload data'!$C:$C,'community %'!$B$57,'caseload data'!$D:$D,"PSO",'caseload data'!$B:$B,{"licence","community"}))/SUM(SUMIFS('caseload data'!G:G,'caseload data'!$B:$B,{"licence","community"},'caseload data'!$C:$C,'community %'!$B$57)),"")</f>
        <v/>
      </c>
      <c r="F60" s="181" t="str">
        <f>IFERROR(SUM(SUMIFS('caseload data'!H:H,'caseload data'!$C:$C,'community %'!$B$57,'caseload data'!$D:$D,"PSO",'caseload data'!$B:$B,{"licence","community"}))/SUM(SUMIFS('caseload data'!H:H,'caseload data'!$B:$B,{"licence","community"},'caseload data'!$C:$C,'community %'!$B$57)),"")</f>
        <v/>
      </c>
      <c r="G60" s="181" t="str">
        <f>IFERROR(SUM(SUMIFS('caseload data'!I:I,'caseload data'!$C:$C,'community %'!$B$57,'caseload data'!$D:$D,"PSO",'caseload data'!$B:$B,{"licence","community"}))/SUM(SUMIFS('caseload data'!I:I,'caseload data'!$B:$B,{"licence","community"},'caseload data'!$C:$C,'community %'!$B$57)),"")</f>
        <v/>
      </c>
      <c r="H60" s="181" t="str">
        <f>IFERROR(SUM(SUMIFS('caseload data'!J:J,'caseload data'!$C:$C,'community %'!$B$57,'caseload data'!$D:$D,"PSO",'caseload data'!$B:$B,{"licence","community"}))/SUM(SUMIFS('caseload data'!J:J,'caseload data'!$B:$B,{"licence","community"},'caseload data'!$C:$C,'community %'!$B$57)),"")</f>
        <v/>
      </c>
      <c r="I60" s="181" t="str">
        <f>IFERROR(SUM(SUMIFS('caseload data'!K:K,'caseload data'!$C:$C,'community %'!$B$57,'caseload data'!$D:$D,"PSO",'caseload data'!$B:$B,{"licence","community"}))/SUM(SUMIFS('caseload data'!K:K,'caseload data'!$B:$B,{"licence","community"},'caseload data'!$C:$C,'community %'!$B$57)),"")</f>
        <v/>
      </c>
      <c r="J60" s="181" t="str">
        <f>IFERROR(SUM(SUMIFS('caseload data'!L:L,'caseload data'!$C:$C,'community %'!$B$57,'caseload data'!$D:$D,"PSO",'caseload data'!$B:$B,{"licence","community"}))/SUM(SUMIFS('caseload data'!L:L,'caseload data'!$B:$B,{"licence","community"},'caseload data'!$C:$C,'community %'!$B$57)),"")</f>
        <v/>
      </c>
      <c r="K60" s="181" t="str">
        <f>IFERROR(SUM(SUMIFS('caseload data'!M:M,'caseload data'!$C:$C,'community %'!$B$57,'caseload data'!$D:$D,"PSO",'caseload data'!$B:$B,{"licence","community"}))/SUM(SUMIFS('caseload data'!M:M,'caseload data'!$B:$B,{"licence","community"},'caseload data'!$C:$C,'community %'!$B$57)),"")</f>
        <v/>
      </c>
      <c r="L60" s="181" t="str">
        <f>IFERROR(SUM(SUMIFS('caseload data'!N:N,'caseload data'!$C:$C,'community %'!$B$57,'caseload data'!$D:$D,"PSO",'caseload data'!$B:$B,{"licence","community"}))/SUM(SUMIFS('caseload data'!N:N,'caseload data'!$B:$B,{"licence","community"},'caseload data'!$C:$C,'community %'!$B$57)),"")</f>
        <v/>
      </c>
      <c r="M60" s="181" t="str">
        <f>IFERROR(SUM(SUMIFS('caseload data'!O:O,'caseload data'!$C:$C,'community %'!$B$57,'caseload data'!$D:$D,"PSO",'caseload data'!$B:$B,{"licence","community"}))/SUM(SUMIFS('caseload data'!O:O,'caseload data'!$B:$B,{"licence","community"},'caseload data'!$C:$C,'community %'!$B$57)),"")</f>
        <v/>
      </c>
      <c r="N60" s="181" t="str">
        <f>IFERROR(SUM(SUMIFS('caseload data'!P:P,'caseload data'!$C:$C,'community %'!$B$57,'caseload data'!$D:$D,"PSO",'caseload data'!$B:$B,{"licence","community"}))/SUM(SUMIFS('caseload data'!P:P,'caseload data'!$B:$B,{"licence","community"},'caseload data'!$C:$C,'community %'!$B$57)),"")</f>
        <v/>
      </c>
      <c r="O60" s="181" t="str">
        <f>IFERROR(SUM(SUMIFS('caseload data'!Q:Q,'caseload data'!$C:$C,'community %'!$B$57,'caseload data'!$D:$D,"PSO",'caseload data'!$B:$B,{"licence","community"}))/SUM(SUMIFS('caseload data'!Q:Q,'caseload data'!$B:$B,{"licence","community"},'caseload data'!$C:$C,'community %'!$B$57)),"")</f>
        <v/>
      </c>
      <c r="P60" s="181" t="str">
        <f>IFERROR(SUM(SUMIFS('caseload data'!R:R,'caseload data'!$C:$C,'community %'!$B$57,'caseload data'!$D:$D,"PSO",'caseload data'!$B:$B,{"licence","community"}))/SUM(SUMIFS('caseload data'!R:R,'caseload data'!$B:$B,{"licence","community"},'caseload data'!$C:$C,'community %'!$B$57)),"")</f>
        <v/>
      </c>
      <c r="Q60" s="181" t="str">
        <f>IFERROR(SUM(SUMIFS('caseload data'!S:S,'caseload data'!$C:$C,'community %'!$B$57,'caseload data'!$D:$D,"PSO",'caseload data'!$B:$B,{"licence","community"}))/SUM(SUMIFS('caseload data'!S:S,'caseload data'!$B:$B,{"licence","community"},'caseload data'!$C:$C,'community %'!$B$57)),"")</f>
        <v/>
      </c>
      <c r="R60" s="181" t="str">
        <f>IFERROR(SUM(SUMIFS('caseload data'!T:T,'caseload data'!$C:$C,'community %'!$B$57,'caseload data'!$D:$D,"PSO",'caseload data'!$B:$B,{"licence","community"}))/SUM(SUMIFS('caseload data'!T:T,'caseload data'!$B:$B,{"licence","community"},'caseload data'!$C:$C,'community %'!$B$57)),"")</f>
        <v/>
      </c>
      <c r="S60" s="73"/>
      <c r="T60" s="107" t="s">
        <v>912</v>
      </c>
      <c r="U60" s="181" t="str">
        <f>IFERROR(SUM(SUMIFS('caseload data'!E:E,'caseload data'!$C:$C,'community %'!$T$57,'caseload data'!$D:$D,"PSO",'caseload data'!$B:$B,{"licence","community"}))/SUM(SUMIFS('caseload data'!E:E,'caseload data'!$B:$B,{"licence","community"},'caseload data'!$C:$C,'community %'!$T$57)),"")</f>
        <v/>
      </c>
      <c r="V60" s="181" t="str">
        <f>IFERROR(SUM(SUMIFS('caseload data'!F:F,'caseload data'!$C:$C,'community %'!$T$57,'caseload data'!$D:$D,"PSO",'caseload data'!$B:$B,{"licence","community"}))/SUM(SUMIFS('caseload data'!F:F,'caseload data'!$B:$B,{"licence","community"},'caseload data'!$C:$C,'community %'!$T$57)),"")</f>
        <v/>
      </c>
      <c r="W60" s="181" t="str">
        <f>IFERROR(SUM(SUMIFS('caseload data'!G:G,'caseload data'!$C:$C,'community %'!$T$57,'caseload data'!$D:$D,"PSO",'caseload data'!$B:$B,{"licence","community"}))/SUM(SUMIFS('caseload data'!G:G,'caseload data'!$B:$B,{"licence","community"},'caseload data'!$C:$C,'community %'!$T$57)),"")</f>
        <v/>
      </c>
      <c r="X60" s="181" t="str">
        <f>IFERROR(SUM(SUMIFS('caseload data'!H:H,'caseload data'!$C:$C,'community %'!$T$57,'caseload data'!$D:$D,"PSO",'caseload data'!$B:$B,{"licence","community"}))/SUM(SUMIFS('caseload data'!H:H,'caseload data'!$B:$B,{"licence","community"},'caseload data'!$C:$C,'community %'!$T$57)),"")</f>
        <v/>
      </c>
      <c r="Y60" s="181" t="str">
        <f>IFERROR(SUM(SUMIFS('caseload data'!I:I,'caseload data'!$C:$C,'community %'!$T$57,'caseload data'!$D:$D,"PSO",'caseload data'!$B:$B,{"licence","community"}))/SUM(SUMIFS('caseload data'!I:I,'caseload data'!$B:$B,{"licence","community"},'caseload data'!$C:$C,'community %'!$T$57)),"")</f>
        <v/>
      </c>
      <c r="Z60" s="181" t="str">
        <f>IFERROR(SUM(SUMIFS('caseload data'!J:J,'caseload data'!$C:$C,'community %'!$T$57,'caseload data'!$D:$D,"PSO",'caseload data'!$B:$B,{"licence","community"}))/SUM(SUMIFS('caseload data'!J:J,'caseload data'!$B:$B,{"licence","community"},'caseload data'!$C:$C,'community %'!$T$57)),"")</f>
        <v/>
      </c>
      <c r="AA60" s="181" t="str">
        <f>IFERROR(SUM(SUMIFS('caseload data'!K:K,'caseload data'!$C:$C,'community %'!$T$57,'caseload data'!$D:$D,"PSO",'caseload data'!$B:$B,{"licence","community"}))/SUM(SUMIFS('caseload data'!K:K,'caseload data'!$B:$B,{"licence","community"},'caseload data'!$C:$C,'community %'!$T$57)),"")</f>
        <v/>
      </c>
      <c r="AB60" s="181" t="str">
        <f>IFERROR(SUM(SUMIFS('caseload data'!L:L,'caseload data'!$C:$C,'community %'!$T$57,'caseload data'!$D:$D,"PSO",'caseload data'!$B:$B,{"licence","community"}))/SUM(SUMIFS('caseload data'!L:L,'caseload data'!$B:$B,{"licence","community"},'caseload data'!$C:$C,'community %'!$T$57)),"")</f>
        <v/>
      </c>
      <c r="AC60" s="181" t="str">
        <f>IFERROR(SUM(SUMIFS('caseload data'!M:M,'caseload data'!$C:$C,'community %'!$T$57,'caseload data'!$D:$D,"PSO",'caseload data'!$B:$B,{"licence","community"}))/SUM(SUMIFS('caseload data'!M:M,'caseload data'!$B:$B,{"licence","community"},'caseload data'!$C:$C,'community %'!$T$57)),"")</f>
        <v/>
      </c>
      <c r="AD60" s="181" t="str">
        <f>IFERROR(SUM(SUMIFS('caseload data'!N:N,'caseload data'!$C:$C,'community %'!$T$57,'caseload data'!$D:$D,"PSO",'caseload data'!$B:$B,{"licence","community"}))/SUM(SUMIFS('caseload data'!N:N,'caseload data'!$B:$B,{"licence","community"},'caseload data'!$C:$C,'community %'!$T$57)),"")</f>
        <v/>
      </c>
      <c r="AE60" s="181" t="str">
        <f>IFERROR(SUM(SUMIFS('caseload data'!O:O,'caseload data'!$C:$C,'community %'!$T$57,'caseload data'!$D:$D,"PSO",'caseload data'!$B:$B,{"licence","community"}))/SUM(SUMIFS('caseload data'!O:O,'caseload data'!$B:$B,{"licence","community"},'caseload data'!$C:$C,'community %'!$T$57)),"")</f>
        <v/>
      </c>
      <c r="AF60" s="181" t="str">
        <f>IFERROR(SUM(SUMIFS('caseload data'!P:P,'caseload data'!$C:$C,'community %'!$T$57,'caseload data'!$D:$D,"PSO",'caseload data'!$B:$B,{"licence","community"}))/SUM(SUMIFS('caseload data'!P:P,'caseload data'!$B:$B,{"licence","community"},'caseload data'!$C:$C,'community %'!$T$57)),"")</f>
        <v/>
      </c>
      <c r="AG60" s="181" t="str">
        <f>IFERROR(SUM(SUMIFS('caseload data'!Q:Q,'caseload data'!$C:$C,'community %'!$T$57,'caseload data'!$D:$D,"PSO",'caseload data'!$B:$B,{"licence","community"}))/SUM(SUMIFS('caseload data'!Q:Q,'caseload data'!$B:$B,{"licence","community"},'caseload data'!$C:$C,'community %'!$T$57)),"")</f>
        <v/>
      </c>
      <c r="AH60" s="181" t="str">
        <f>IFERROR(SUM(SUMIFS('caseload data'!R:R,'caseload data'!$C:$C,'community %'!$T$57,'caseload data'!$D:$D,"PSO",'caseload data'!$B:$B,{"licence","community"}))/SUM(SUMIFS('caseload data'!R:R,'caseload data'!$B:$B,{"licence","community"},'caseload data'!$C:$C,'community %'!$T$57)),"")</f>
        <v/>
      </c>
      <c r="AI60" s="181" t="str">
        <f>IFERROR(SUM(SUMIFS('caseload data'!S:S,'caseload data'!$C:$C,'community %'!$T$57,'caseload data'!$D:$D,"PSO",'caseload data'!$B:$B,{"licence","community"}))/SUM(SUMIFS('caseload data'!S:S,'caseload data'!$B:$B,{"licence","community"},'caseload data'!$C:$C,'community %'!$T$57)),"")</f>
        <v/>
      </c>
      <c r="AJ60" s="181" t="str">
        <f>IFERROR(SUM(SUMIFS('caseload data'!T:T,'caseload data'!$C:$C,'community %'!$T$57,'caseload data'!$D:$D,"PSO",'caseload data'!$B:$B,{"licence","community"}))/SUM(SUMIFS('caseload data'!T:T,'caseload data'!$B:$B,{"licence","community"},'caseload data'!$C:$C,'community %'!$T$57)),"")</f>
        <v/>
      </c>
    </row>
    <row r="61" spans="2:36" x14ac:dyDescent="0.15">
      <c r="B61" s="107" t="s">
        <v>913</v>
      </c>
      <c r="C61" s="181" t="str">
        <f>IFERROR(SUM(SUMIFS('caseload data'!E:E,'caseload data'!$C:$C,'community %'!$B$57,'caseload data'!$D:$D,"TPO",'caseload data'!$B:$B,{"licence","community"}))/SUM(SUMIFS('caseload data'!E:E,'caseload data'!$B:$B,{"licence","community"},'caseload data'!$C:$C,'community %'!$B$57)),"")</f>
        <v/>
      </c>
      <c r="D61" s="181" t="str">
        <f>IFERROR(SUM(SUMIFS('caseload data'!F:F,'caseload data'!$C:$C,'community %'!$B$57,'caseload data'!$D:$D,"TPO",'caseload data'!$B:$B,{"licence","community"}))/SUM(SUMIFS('caseload data'!F:F,'caseload data'!$B:$B,{"licence","community"},'caseload data'!$C:$C,'community %'!$B$57)),"")</f>
        <v/>
      </c>
      <c r="E61" s="181" t="str">
        <f>IFERROR(SUM(SUMIFS('caseload data'!G:G,'caseload data'!$C:$C,'community %'!$B$57,'caseload data'!$D:$D,"TPO",'caseload data'!$B:$B,{"licence","community"}))/SUM(SUMIFS('caseload data'!G:G,'caseload data'!$B:$B,{"licence","community"},'caseload data'!$C:$C,'community %'!$B$57)),"")</f>
        <v/>
      </c>
      <c r="F61" s="181" t="str">
        <f>IFERROR(SUM(SUMIFS('caseload data'!H:H,'caseload data'!$C:$C,'community %'!$B$57,'caseload data'!$D:$D,"TPO",'caseload data'!$B:$B,{"licence","community"}))/SUM(SUMIFS('caseload data'!H:H,'caseload data'!$B:$B,{"licence","community"},'caseload data'!$C:$C,'community %'!$B$57)),"")</f>
        <v/>
      </c>
      <c r="G61" s="181" t="str">
        <f>IFERROR(SUM(SUMIFS('caseload data'!I:I,'caseload data'!$C:$C,'community %'!$B$57,'caseload data'!$D:$D,"TPO",'caseload data'!$B:$B,{"licence","community"}))/SUM(SUMIFS('caseload data'!I:I,'caseload data'!$B:$B,{"licence","community"},'caseload data'!$C:$C,'community %'!$B$57)),"")</f>
        <v/>
      </c>
      <c r="H61" s="181" t="str">
        <f>IFERROR(SUM(SUMIFS('caseload data'!J:J,'caseload data'!$C:$C,'community %'!$B$57,'caseload data'!$D:$D,"TPO",'caseload data'!$B:$B,{"licence","community"}))/SUM(SUMIFS('caseload data'!J:J,'caseload data'!$B:$B,{"licence","community"},'caseload data'!$C:$C,'community %'!$B$57)),"")</f>
        <v/>
      </c>
      <c r="I61" s="181" t="str">
        <f>IFERROR(SUM(SUMIFS('caseload data'!K:K,'caseload data'!$C:$C,'community %'!$B$57,'caseload data'!$D:$D,"TPO",'caseload data'!$B:$B,{"licence","community"}))/SUM(SUMIFS('caseload data'!K:K,'caseload data'!$B:$B,{"licence","community"},'caseload data'!$C:$C,'community %'!$B$57)),"")</f>
        <v/>
      </c>
      <c r="J61" s="181" t="str">
        <f>IFERROR(SUM(SUMIFS('caseload data'!L:L,'caseload data'!$C:$C,'community %'!$B$57,'caseload data'!$D:$D,"TPO",'caseload data'!$B:$B,{"licence","community"}))/SUM(SUMIFS('caseload data'!L:L,'caseload data'!$B:$B,{"licence","community"},'caseload data'!$C:$C,'community %'!$B$57)),"")</f>
        <v/>
      </c>
      <c r="K61" s="181" t="str">
        <f>IFERROR(SUM(SUMIFS('caseload data'!M:M,'caseload data'!$C:$C,'community %'!$B$57,'caseload data'!$D:$D,"TPO",'caseload data'!$B:$B,{"licence","community"}))/SUM(SUMIFS('caseload data'!M:M,'caseload data'!$B:$B,{"licence","community"},'caseload data'!$C:$C,'community %'!$B$57)),"")</f>
        <v/>
      </c>
      <c r="L61" s="181" t="str">
        <f>IFERROR(SUM(SUMIFS('caseload data'!N:N,'caseload data'!$C:$C,'community %'!$B$57,'caseload data'!$D:$D,"TPO",'caseload data'!$B:$B,{"licence","community"}))/SUM(SUMIFS('caseload data'!N:N,'caseload data'!$B:$B,{"licence","community"},'caseload data'!$C:$C,'community %'!$B$57)),"")</f>
        <v/>
      </c>
      <c r="M61" s="181" t="str">
        <f>IFERROR(SUM(SUMIFS('caseload data'!O:O,'caseload data'!$C:$C,'community %'!$B$57,'caseload data'!$D:$D,"TPO",'caseload data'!$B:$B,{"licence","community"}))/SUM(SUMIFS('caseload data'!O:O,'caseload data'!$B:$B,{"licence","community"},'caseload data'!$C:$C,'community %'!$B$57)),"")</f>
        <v/>
      </c>
      <c r="N61" s="181" t="str">
        <f>IFERROR(SUM(SUMIFS('caseload data'!P:P,'caseload data'!$C:$C,'community %'!$B$57,'caseload data'!$D:$D,"TPO",'caseload data'!$B:$B,{"licence","community"}))/SUM(SUMIFS('caseload data'!P:P,'caseload data'!$B:$B,{"licence","community"},'caseload data'!$C:$C,'community %'!$B$57)),"")</f>
        <v/>
      </c>
      <c r="O61" s="181" t="str">
        <f>IFERROR(SUM(SUMIFS('caseload data'!Q:Q,'caseload data'!$C:$C,'community %'!$B$57,'caseload data'!$D:$D,"TPO",'caseload data'!$B:$B,{"licence","community"}))/SUM(SUMIFS('caseload data'!Q:Q,'caseload data'!$B:$B,{"licence","community"},'caseload data'!$C:$C,'community %'!$B$57)),"")</f>
        <v/>
      </c>
      <c r="P61" s="181" t="str">
        <f>IFERROR(SUM(SUMIFS('caseload data'!R:R,'caseload data'!$C:$C,'community %'!$B$57,'caseload data'!$D:$D,"TPO",'caseload data'!$B:$B,{"licence","community"}))/SUM(SUMIFS('caseload data'!R:R,'caseload data'!$B:$B,{"licence","community"},'caseload data'!$C:$C,'community %'!$B$57)),"")</f>
        <v/>
      </c>
      <c r="Q61" s="181" t="str">
        <f>IFERROR(SUM(SUMIFS('caseload data'!S:S,'caseload data'!$C:$C,'community %'!$B$57,'caseload data'!$D:$D,"TPO",'caseload data'!$B:$B,{"licence","community"}))/SUM(SUMIFS('caseload data'!S:S,'caseload data'!$B:$B,{"licence","community"},'caseload data'!$C:$C,'community %'!$B$57)),"")</f>
        <v/>
      </c>
      <c r="R61" s="181" t="str">
        <f>IFERROR(SUM(SUMIFS('caseload data'!T:T,'caseload data'!$C:$C,'community %'!$B$57,'caseload data'!$D:$D,"TPO",'caseload data'!$B:$B,{"licence","community"}))/SUM(SUMIFS('caseload data'!T:T,'caseload data'!$B:$B,{"licence","community"},'caseload data'!$C:$C,'community %'!$B$57)),"")</f>
        <v/>
      </c>
      <c r="S61" s="73"/>
      <c r="T61" s="107" t="s">
        <v>913</v>
      </c>
      <c r="U61" s="181" t="str">
        <f>IFERROR(SUM(SUMIFS('caseload data'!E:E,'caseload data'!$C:$C,'community %'!$T$57,'caseload data'!$D:$D,"TPO",'caseload data'!$B:$B,{"licence","community"}))/SUM(SUMIFS('caseload data'!E:E,'caseload data'!$B:$B,{"licence","community"},'caseload data'!$C:$C,'community %'!$T$57)),"")</f>
        <v/>
      </c>
      <c r="V61" s="181" t="str">
        <f>IFERROR(SUM(SUMIFS('caseload data'!F:F,'caseload data'!$C:$C,'community %'!$T$57,'caseload data'!$D:$D,"TPO",'caseload data'!$B:$B,{"licence","community"}))/SUM(SUMIFS('caseload data'!F:F,'caseload data'!$B:$B,{"licence","community"},'caseload data'!$C:$C,'community %'!$T$57)),"")</f>
        <v/>
      </c>
      <c r="W61" s="181" t="str">
        <f>IFERROR(SUM(SUMIFS('caseload data'!G:G,'caseload data'!$C:$C,'community %'!$T$57,'caseload data'!$D:$D,"TPO",'caseload data'!$B:$B,{"licence","community"}))/SUM(SUMIFS('caseload data'!G:G,'caseload data'!$B:$B,{"licence","community"},'caseload data'!$C:$C,'community %'!$T$57)),"")</f>
        <v/>
      </c>
      <c r="X61" s="181" t="str">
        <f>IFERROR(SUM(SUMIFS('caseload data'!H:H,'caseload data'!$C:$C,'community %'!$T$57,'caseload data'!$D:$D,"TPO",'caseload data'!$B:$B,{"licence","community"}))/SUM(SUMIFS('caseload data'!H:H,'caseload data'!$B:$B,{"licence","community"},'caseload data'!$C:$C,'community %'!$T$57)),"")</f>
        <v/>
      </c>
      <c r="Y61" s="181" t="str">
        <f>IFERROR(SUM(SUMIFS('caseload data'!I:I,'caseload data'!$C:$C,'community %'!$T$57,'caseload data'!$D:$D,"TPO",'caseload data'!$B:$B,{"licence","community"}))/SUM(SUMIFS('caseload data'!I:I,'caseload data'!$B:$B,{"licence","community"},'caseload data'!$C:$C,'community %'!$T$57)),"")</f>
        <v/>
      </c>
      <c r="Z61" s="181" t="str">
        <f>IFERROR(SUM(SUMIFS('caseload data'!J:J,'caseload data'!$C:$C,'community %'!$T$57,'caseload data'!$D:$D,"TPO",'caseload data'!$B:$B,{"licence","community"}))/SUM(SUMIFS('caseload data'!J:J,'caseload data'!$B:$B,{"licence","community"},'caseload data'!$C:$C,'community %'!$T$57)),"")</f>
        <v/>
      </c>
      <c r="AA61" s="181" t="str">
        <f>IFERROR(SUM(SUMIFS('caseload data'!K:K,'caseload data'!$C:$C,'community %'!$T$57,'caseload data'!$D:$D,"TPO",'caseload data'!$B:$B,{"licence","community"}))/SUM(SUMIFS('caseload data'!K:K,'caseload data'!$B:$B,{"licence","community"},'caseload data'!$C:$C,'community %'!$T$57)),"")</f>
        <v/>
      </c>
      <c r="AB61" s="181" t="str">
        <f>IFERROR(SUM(SUMIFS('caseload data'!L:L,'caseload data'!$C:$C,'community %'!$T$57,'caseload data'!$D:$D,"TPO",'caseload data'!$B:$B,{"licence","community"}))/SUM(SUMIFS('caseload data'!L:L,'caseload data'!$B:$B,{"licence","community"},'caseload data'!$C:$C,'community %'!$T$57)),"")</f>
        <v/>
      </c>
      <c r="AC61" s="181" t="str">
        <f>IFERROR(SUM(SUMIFS('caseload data'!M:M,'caseload data'!$C:$C,'community %'!$T$57,'caseload data'!$D:$D,"TPO",'caseload data'!$B:$B,{"licence","community"}))/SUM(SUMIFS('caseload data'!M:M,'caseload data'!$B:$B,{"licence","community"},'caseload data'!$C:$C,'community %'!$T$57)),"")</f>
        <v/>
      </c>
      <c r="AD61" s="181" t="str">
        <f>IFERROR(SUM(SUMIFS('caseload data'!N:N,'caseload data'!$C:$C,'community %'!$T$57,'caseload data'!$D:$D,"TPO",'caseload data'!$B:$B,{"licence","community"}))/SUM(SUMIFS('caseload data'!N:N,'caseload data'!$B:$B,{"licence","community"},'caseload data'!$C:$C,'community %'!$T$57)),"")</f>
        <v/>
      </c>
      <c r="AE61" s="181" t="str">
        <f>IFERROR(SUM(SUMIFS('caseload data'!O:O,'caseload data'!$C:$C,'community %'!$T$57,'caseload data'!$D:$D,"TPO",'caseload data'!$B:$B,{"licence","community"}))/SUM(SUMIFS('caseload data'!O:O,'caseload data'!$B:$B,{"licence","community"},'caseload data'!$C:$C,'community %'!$T$57)),"")</f>
        <v/>
      </c>
      <c r="AF61" s="181" t="str">
        <f>IFERROR(SUM(SUMIFS('caseload data'!P:P,'caseload data'!$C:$C,'community %'!$T$57,'caseload data'!$D:$D,"TPO",'caseload data'!$B:$B,{"licence","community"}))/SUM(SUMIFS('caseload data'!P:P,'caseload data'!$B:$B,{"licence","community"},'caseload data'!$C:$C,'community %'!$T$57)),"")</f>
        <v/>
      </c>
      <c r="AG61" s="181" t="str">
        <f>IFERROR(SUM(SUMIFS('caseload data'!Q:Q,'caseload data'!$C:$C,'community %'!$T$57,'caseload data'!$D:$D,"TPO",'caseload data'!$B:$B,{"licence","community"}))/SUM(SUMIFS('caseload data'!Q:Q,'caseload data'!$B:$B,{"licence","community"},'caseload data'!$C:$C,'community %'!$T$57)),"")</f>
        <v/>
      </c>
      <c r="AH61" s="181" t="str">
        <f>IFERROR(SUM(SUMIFS('caseload data'!R:R,'caseload data'!$C:$C,'community %'!$T$57,'caseload data'!$D:$D,"TPO",'caseload data'!$B:$B,{"licence","community"}))/SUM(SUMIFS('caseload data'!R:R,'caseload data'!$B:$B,{"licence","community"},'caseload data'!$C:$C,'community %'!$T$57)),"")</f>
        <v/>
      </c>
      <c r="AI61" s="181" t="str">
        <f>IFERROR(SUM(SUMIFS('caseload data'!S:S,'caseload data'!$C:$C,'community %'!$T$57,'caseload data'!$D:$D,"TPO",'caseload data'!$B:$B,{"licence","community"}))/SUM(SUMIFS('caseload data'!S:S,'caseload data'!$B:$B,{"licence","community"},'caseload data'!$C:$C,'community %'!$T$57)),"")</f>
        <v/>
      </c>
      <c r="AJ61" s="181" t="str">
        <f>IFERROR(SUM(SUMIFS('caseload data'!T:T,'caseload data'!$C:$C,'community %'!$T$57,'caseload data'!$D:$D,"TPO",'caseload data'!$B:$B,{"licence","community"}))/SUM(SUMIFS('caseload data'!T:T,'caseload data'!$B:$B,{"licence","community"},'caseload data'!$C:$C,'community %'!$T$57)),"")</f>
        <v/>
      </c>
    </row>
    <row r="62" spans="2:36" x14ac:dyDescent="0.15">
      <c r="B62" s="108" t="s">
        <v>914</v>
      </c>
      <c r="C62" s="181" t="str">
        <f>IFERROR(SUM(SUMIFS('caseload data'!E:E,'caseload data'!$C:$C,'community %'!$B$57,'caseload data'!$D:$D,"SPO",'caseload data'!$B:$B,{"licence","community"}))/SUM(SUMIFS('caseload data'!E:E,'caseload data'!$B:$B,{"licence","community"},'caseload data'!$C:$C,'community %'!$B$57)),"")</f>
        <v/>
      </c>
      <c r="D62" s="181" t="str">
        <f>IFERROR(SUM(SUMIFS('caseload data'!F:F,'caseload data'!$C:$C,'community %'!$B$57,'caseload data'!$D:$D,"SPO",'caseload data'!$B:$B,{"licence","community"}))/SUM(SUMIFS('caseload data'!F:F,'caseload data'!$B:$B,{"licence","community"},'caseload data'!$C:$C,'community %'!$B$57)),"")</f>
        <v/>
      </c>
      <c r="E62" s="181" t="str">
        <f>IFERROR(SUM(SUMIFS('caseload data'!G:G,'caseload data'!$C:$C,'community %'!$B$57,'caseload data'!$D:$D,"SPO",'caseload data'!$B:$B,{"licence","community"}))/SUM(SUMIFS('caseload data'!G:G,'caseload data'!$B:$B,{"licence","community"},'caseload data'!$C:$C,'community %'!$B$57)),"")</f>
        <v/>
      </c>
      <c r="F62" s="181" t="str">
        <f>IFERROR(SUM(SUMIFS('caseload data'!H:H,'caseload data'!$C:$C,'community %'!$B$57,'caseload data'!$D:$D,"SPO",'caseload data'!$B:$B,{"licence","community"}))/SUM(SUMIFS('caseload data'!H:H,'caseload data'!$B:$B,{"licence","community"},'caseload data'!$C:$C,'community %'!$B$57)),"")</f>
        <v/>
      </c>
      <c r="G62" s="181" t="str">
        <f>IFERROR(SUM(SUMIFS('caseload data'!I:I,'caseload data'!$C:$C,'community %'!$B$57,'caseload data'!$D:$D,"SPO",'caseload data'!$B:$B,{"licence","community"}))/SUM(SUMIFS('caseload data'!I:I,'caseload data'!$B:$B,{"licence","community"},'caseload data'!$C:$C,'community %'!$B$57)),"")</f>
        <v/>
      </c>
      <c r="H62" s="181" t="str">
        <f>IFERROR(SUM(SUMIFS('caseload data'!J:J,'caseload data'!$C:$C,'community %'!$B$57,'caseload data'!$D:$D,"SPO",'caseload data'!$B:$B,{"licence","community"}))/SUM(SUMIFS('caseload data'!J:J,'caseload data'!$B:$B,{"licence","community"},'caseload data'!$C:$C,'community %'!$B$57)),"")</f>
        <v/>
      </c>
      <c r="I62" s="181" t="str">
        <f>IFERROR(SUM(SUMIFS('caseload data'!K:K,'caseload data'!$C:$C,'community %'!$B$57,'caseload data'!$D:$D,"SPO",'caseload data'!$B:$B,{"licence","community"}))/SUM(SUMIFS('caseload data'!K:K,'caseload data'!$B:$B,{"licence","community"},'caseload data'!$C:$C,'community %'!$B$57)),"")</f>
        <v/>
      </c>
      <c r="J62" s="181" t="str">
        <f>IFERROR(SUM(SUMIFS('caseload data'!L:L,'caseload data'!$C:$C,'community %'!$B$57,'caseload data'!$D:$D,"SPO",'caseload data'!$B:$B,{"licence","community"}))/SUM(SUMIFS('caseload data'!L:L,'caseload data'!$B:$B,{"licence","community"},'caseload data'!$C:$C,'community %'!$B$57)),"")</f>
        <v/>
      </c>
      <c r="K62" s="181" t="str">
        <f>IFERROR(SUM(SUMIFS('caseload data'!M:M,'caseload data'!$C:$C,'community %'!$B$57,'caseload data'!$D:$D,"SPO",'caseload data'!$B:$B,{"licence","community"}))/SUM(SUMIFS('caseload data'!M:M,'caseload data'!$B:$B,{"licence","community"},'caseload data'!$C:$C,'community %'!$B$57)),"")</f>
        <v/>
      </c>
      <c r="L62" s="181" t="str">
        <f>IFERROR(SUM(SUMIFS('caseload data'!N:N,'caseload data'!$C:$C,'community %'!$B$57,'caseload data'!$D:$D,"SPO",'caseload data'!$B:$B,{"licence","community"}))/SUM(SUMIFS('caseload data'!N:N,'caseload data'!$B:$B,{"licence","community"},'caseload data'!$C:$C,'community %'!$B$57)),"")</f>
        <v/>
      </c>
      <c r="M62" s="181" t="str">
        <f>IFERROR(SUM(SUMIFS('caseload data'!O:O,'caseload data'!$C:$C,'community %'!$B$57,'caseload data'!$D:$D,"SPO",'caseload data'!$B:$B,{"licence","community"}))/SUM(SUMIFS('caseload data'!O:O,'caseload data'!$B:$B,{"licence","community"},'caseload data'!$C:$C,'community %'!$B$57)),"")</f>
        <v/>
      </c>
      <c r="N62" s="181" t="str">
        <f>IFERROR(SUM(SUMIFS('caseload data'!P:P,'caseload data'!$C:$C,'community %'!$B$57,'caseload data'!$D:$D,"SPO",'caseload data'!$B:$B,{"licence","community"}))/SUM(SUMIFS('caseload data'!P:P,'caseload data'!$B:$B,{"licence","community"},'caseload data'!$C:$C,'community %'!$B$57)),"")</f>
        <v/>
      </c>
      <c r="O62" s="181" t="str">
        <f>IFERROR(SUM(SUMIFS('caseload data'!Q:Q,'caseload data'!$C:$C,'community %'!$B$57,'caseload data'!$D:$D,"SPO",'caseload data'!$B:$B,{"licence","community"}))/SUM(SUMIFS('caseload data'!Q:Q,'caseload data'!$B:$B,{"licence","community"},'caseload data'!$C:$C,'community %'!$B$57)),"")</f>
        <v/>
      </c>
      <c r="P62" s="181" t="str">
        <f>IFERROR(SUM(SUMIFS('caseload data'!R:R,'caseload data'!$C:$C,'community %'!$B$57,'caseload data'!$D:$D,"SPO",'caseload data'!$B:$B,{"licence","community"}))/SUM(SUMIFS('caseload data'!R:R,'caseload data'!$B:$B,{"licence","community"},'caseload data'!$C:$C,'community %'!$B$57)),"")</f>
        <v/>
      </c>
      <c r="Q62" s="181" t="str">
        <f>IFERROR(SUM(SUMIFS('caseload data'!S:S,'caseload data'!$C:$C,'community %'!$B$57,'caseload data'!$D:$D,"SPO",'caseload data'!$B:$B,{"licence","community"}))/SUM(SUMIFS('caseload data'!S:S,'caseload data'!$B:$B,{"licence","community"},'caseload data'!$C:$C,'community %'!$B$57)),"")</f>
        <v/>
      </c>
      <c r="R62" s="181" t="str">
        <f>IFERROR(SUM(SUMIFS('caseload data'!T:T,'caseload data'!$C:$C,'community %'!$B$57,'caseload data'!$D:$D,"SPO",'caseload data'!$B:$B,{"licence","community"}))/SUM(SUMIFS('caseload data'!T:T,'caseload data'!$B:$B,{"licence","community"},'caseload data'!$C:$C,'community %'!$B$57)),"")</f>
        <v/>
      </c>
      <c r="S62" s="73"/>
      <c r="T62" s="108" t="s">
        <v>914</v>
      </c>
      <c r="U62" s="181" t="str">
        <f>IFERROR(SUM(SUMIFS('caseload data'!E:E,'caseload data'!$C:$C,'community %'!$T$57,'caseload data'!$D:$D,"SPO",'caseload data'!$B:$B,{"licence","community"}))/SUM(SUMIFS('caseload data'!E:E,'caseload data'!$B:$B,{"licence","community"},'caseload data'!$C:$C,'community %'!$T$57)),"")</f>
        <v/>
      </c>
      <c r="V62" s="181" t="str">
        <f>IFERROR(SUM(SUMIFS('caseload data'!F:F,'caseload data'!$C:$C,'community %'!$T$57,'caseload data'!$D:$D,"SPO",'caseload data'!$B:$B,{"licence","community"}))/SUM(SUMIFS('caseload data'!F:F,'caseload data'!$B:$B,{"licence","community"},'caseload data'!$C:$C,'community %'!$T$57)),"")</f>
        <v/>
      </c>
      <c r="W62" s="181" t="str">
        <f>IFERROR(SUM(SUMIFS('caseload data'!G:G,'caseload data'!$C:$C,'community %'!$T$57,'caseload data'!$D:$D,"SPO",'caseload data'!$B:$B,{"licence","community"}))/SUM(SUMIFS('caseload data'!G:G,'caseload data'!$B:$B,{"licence","community"},'caseload data'!$C:$C,'community %'!$T$57)),"")</f>
        <v/>
      </c>
      <c r="X62" s="181" t="str">
        <f>IFERROR(SUM(SUMIFS('caseload data'!H:H,'caseload data'!$C:$C,'community %'!$T$57,'caseload data'!$D:$D,"SPO",'caseload data'!$B:$B,{"licence","community"}))/SUM(SUMIFS('caseload data'!H:H,'caseload data'!$B:$B,{"licence","community"},'caseload data'!$C:$C,'community %'!$T$57)),"")</f>
        <v/>
      </c>
      <c r="Y62" s="181" t="str">
        <f>IFERROR(SUM(SUMIFS('caseload data'!I:I,'caseload data'!$C:$C,'community %'!$T$57,'caseload data'!$D:$D,"SPO",'caseload data'!$B:$B,{"licence","community"}))/SUM(SUMIFS('caseload data'!I:I,'caseload data'!$B:$B,{"licence","community"},'caseload data'!$C:$C,'community %'!$T$57)),"")</f>
        <v/>
      </c>
      <c r="Z62" s="181" t="str">
        <f>IFERROR(SUM(SUMIFS('caseload data'!J:J,'caseload data'!$C:$C,'community %'!$T$57,'caseload data'!$D:$D,"SPO",'caseload data'!$B:$B,{"licence","community"}))/SUM(SUMIFS('caseload data'!J:J,'caseload data'!$B:$B,{"licence","community"},'caseload data'!$C:$C,'community %'!$T$57)),"")</f>
        <v/>
      </c>
      <c r="AA62" s="181" t="str">
        <f>IFERROR(SUM(SUMIFS('caseload data'!K:K,'caseload data'!$C:$C,'community %'!$T$57,'caseload data'!$D:$D,"SPO",'caseload data'!$B:$B,{"licence","community"}))/SUM(SUMIFS('caseload data'!K:K,'caseload data'!$B:$B,{"licence","community"},'caseload data'!$C:$C,'community %'!$T$57)),"")</f>
        <v/>
      </c>
      <c r="AB62" s="181" t="str">
        <f>IFERROR(SUM(SUMIFS('caseload data'!L:L,'caseload data'!$C:$C,'community %'!$T$57,'caseload data'!$D:$D,"SPO",'caseload data'!$B:$B,{"licence","community"}))/SUM(SUMIFS('caseload data'!L:L,'caseload data'!$B:$B,{"licence","community"},'caseload data'!$C:$C,'community %'!$T$57)),"")</f>
        <v/>
      </c>
      <c r="AC62" s="181" t="str">
        <f>IFERROR(SUM(SUMIFS('caseload data'!M:M,'caseload data'!$C:$C,'community %'!$T$57,'caseload data'!$D:$D,"SPO",'caseload data'!$B:$B,{"licence","community"}))/SUM(SUMIFS('caseload data'!M:M,'caseload data'!$B:$B,{"licence","community"},'caseload data'!$C:$C,'community %'!$T$57)),"")</f>
        <v/>
      </c>
      <c r="AD62" s="181" t="str">
        <f>IFERROR(SUM(SUMIFS('caseload data'!N:N,'caseload data'!$C:$C,'community %'!$T$57,'caseload data'!$D:$D,"SPO",'caseload data'!$B:$B,{"licence","community"}))/SUM(SUMIFS('caseload data'!N:N,'caseload data'!$B:$B,{"licence","community"},'caseload data'!$C:$C,'community %'!$T$57)),"")</f>
        <v/>
      </c>
      <c r="AE62" s="181" t="str">
        <f>IFERROR(SUM(SUMIFS('caseload data'!O:O,'caseload data'!$C:$C,'community %'!$T$57,'caseload data'!$D:$D,"SPO",'caseload data'!$B:$B,{"licence","community"}))/SUM(SUMIFS('caseload data'!O:O,'caseload data'!$B:$B,{"licence","community"},'caseload data'!$C:$C,'community %'!$T$57)),"")</f>
        <v/>
      </c>
      <c r="AF62" s="181" t="str">
        <f>IFERROR(SUM(SUMIFS('caseload data'!P:P,'caseload data'!$C:$C,'community %'!$T$57,'caseload data'!$D:$D,"SPO",'caseload data'!$B:$B,{"licence","community"}))/SUM(SUMIFS('caseload data'!P:P,'caseload data'!$B:$B,{"licence","community"},'caseload data'!$C:$C,'community %'!$T$57)),"")</f>
        <v/>
      </c>
      <c r="AG62" s="181" t="str">
        <f>IFERROR(SUM(SUMIFS('caseload data'!Q:Q,'caseload data'!$C:$C,'community %'!$T$57,'caseload data'!$D:$D,"SPO",'caseload data'!$B:$B,{"licence","community"}))/SUM(SUMIFS('caseload data'!Q:Q,'caseload data'!$B:$B,{"licence","community"},'caseload data'!$C:$C,'community %'!$T$57)),"")</f>
        <v/>
      </c>
      <c r="AH62" s="181" t="str">
        <f>IFERROR(SUM(SUMIFS('caseload data'!R:R,'caseload data'!$C:$C,'community %'!$T$57,'caseload data'!$D:$D,"SPO",'caseload data'!$B:$B,{"licence","community"}))/SUM(SUMIFS('caseload data'!R:R,'caseload data'!$B:$B,{"licence","community"},'caseload data'!$C:$C,'community %'!$T$57)),"")</f>
        <v/>
      </c>
      <c r="AI62" s="181" t="str">
        <f>IFERROR(SUM(SUMIFS('caseload data'!S:S,'caseload data'!$C:$C,'community %'!$T$57,'caseload data'!$D:$D,"SPO",'caseload data'!$B:$B,{"licence","community"}))/SUM(SUMIFS('caseload data'!S:S,'caseload data'!$B:$B,{"licence","community"},'caseload data'!$C:$C,'community %'!$T$57)),"")</f>
        <v/>
      </c>
      <c r="AJ62" s="181" t="str">
        <f>IFERROR(SUM(SUMIFS('caseload data'!T:T,'caseload data'!$C:$C,'community %'!$T$57,'caseload data'!$D:$D,"SPO",'caseload data'!$B:$B,{"licence","community"}))/SUM(SUMIFS('caseload data'!T:T,'caseload data'!$B:$B,{"licence","community"},'caseload data'!$C:$C,'community %'!$T$57)),"")</f>
        <v/>
      </c>
    </row>
    <row r="64" spans="2:36" x14ac:dyDescent="0.15">
      <c r="B64" s="156" t="str">
        <f>HLOOKUP($B$5,Region_Table,18,0)</f>
        <v>Newham - N07</v>
      </c>
      <c r="C64" s="367" t="s">
        <v>1170</v>
      </c>
      <c r="D64" s="368"/>
      <c r="E64" s="368"/>
      <c r="F64" s="368"/>
      <c r="G64" s="368"/>
      <c r="H64" s="368"/>
      <c r="I64" s="368"/>
      <c r="J64" s="368"/>
      <c r="K64" s="368"/>
      <c r="L64" s="368"/>
      <c r="M64" s="377"/>
      <c r="N64" s="377"/>
      <c r="O64" s="378"/>
      <c r="P64" s="371" cm="1">
        <f t="array" ref="P64">SUM(SUMIFS('caseload data'!V:V,'caseload data'!B:B,{"licence","community"},'caseload data'!$C:$C,B64))</f>
        <v>0</v>
      </c>
      <c r="Q64" s="379"/>
      <c r="R64" s="380"/>
      <c r="S64" s="73"/>
      <c r="T64" s="156" t="str">
        <f>HLOOKUP($B$5,Region_Table,19,0)</f>
        <v>Public Protection London</v>
      </c>
      <c r="U64" s="367" t="s">
        <v>1170</v>
      </c>
      <c r="V64" s="368"/>
      <c r="W64" s="368"/>
      <c r="X64" s="368"/>
      <c r="Y64" s="368"/>
      <c r="Z64" s="368"/>
      <c r="AA64" s="368"/>
      <c r="AB64" s="368"/>
      <c r="AC64" s="368"/>
      <c r="AD64" s="368"/>
      <c r="AE64" s="377"/>
      <c r="AF64" s="377"/>
      <c r="AG64" s="378"/>
      <c r="AH64" s="371" cm="1">
        <f t="array" ref="AH64">SUM(SUMIFS('caseload data'!V:V,'caseload data'!B:B,{"licence","community"},'caseload data'!$C:$C,T64))</f>
        <v>0</v>
      </c>
      <c r="AI64" s="379"/>
      <c r="AJ64" s="380"/>
    </row>
    <row r="65" spans="2:36" x14ac:dyDescent="0.15">
      <c r="B65" s="105" t="s">
        <v>1065</v>
      </c>
      <c r="C65" s="41" t="s">
        <v>922</v>
      </c>
      <c r="D65" s="41" t="s">
        <v>923</v>
      </c>
      <c r="E65" s="41" t="s">
        <v>924</v>
      </c>
      <c r="F65" s="41" t="s">
        <v>925</v>
      </c>
      <c r="G65" s="41" t="s">
        <v>926</v>
      </c>
      <c r="H65" s="41" t="s">
        <v>927</v>
      </c>
      <c r="I65" s="41" t="s">
        <v>928</v>
      </c>
      <c r="J65" s="41" t="s">
        <v>929</v>
      </c>
      <c r="K65" s="41" t="s">
        <v>930</v>
      </c>
      <c r="L65" s="41" t="s">
        <v>931</v>
      </c>
      <c r="M65" s="41" t="s">
        <v>932</v>
      </c>
      <c r="N65" s="41" t="s">
        <v>933</v>
      </c>
      <c r="O65" s="41" t="s">
        <v>934</v>
      </c>
      <c r="P65" s="41" t="s">
        <v>935</v>
      </c>
      <c r="Q65" s="41" t="s">
        <v>936</v>
      </c>
      <c r="R65" s="41" t="s">
        <v>937</v>
      </c>
      <c r="S65" s="73"/>
      <c r="T65" s="105" t="s">
        <v>1065</v>
      </c>
      <c r="U65" s="41" t="s">
        <v>922</v>
      </c>
      <c r="V65" s="41" t="s">
        <v>923</v>
      </c>
      <c r="W65" s="41" t="s">
        <v>924</v>
      </c>
      <c r="X65" s="41" t="s">
        <v>925</v>
      </c>
      <c r="Y65" s="41" t="s">
        <v>926</v>
      </c>
      <c r="Z65" s="41" t="s">
        <v>927</v>
      </c>
      <c r="AA65" s="41" t="s">
        <v>928</v>
      </c>
      <c r="AB65" s="41" t="s">
        <v>929</v>
      </c>
      <c r="AC65" s="41" t="s">
        <v>930</v>
      </c>
      <c r="AD65" s="41" t="s">
        <v>931</v>
      </c>
      <c r="AE65" s="41" t="s">
        <v>932</v>
      </c>
      <c r="AF65" s="41" t="s">
        <v>933</v>
      </c>
      <c r="AG65" s="41" t="s">
        <v>934</v>
      </c>
      <c r="AH65" s="41" t="s">
        <v>935</v>
      </c>
      <c r="AI65" s="41" t="s">
        <v>936</v>
      </c>
      <c r="AJ65" s="41" t="s">
        <v>937</v>
      </c>
    </row>
    <row r="66" spans="2:36" x14ac:dyDescent="0.15">
      <c r="B66" s="106" t="s">
        <v>911</v>
      </c>
      <c r="C66" s="181" t="str">
        <f>IFERROR(SUM(SUMIFS('caseload data'!E:E,'caseload data'!$C:$C,'community %'!$B$64,'caseload data'!$D:$D,"PO",'caseload data'!$B:$B,{"licence","community"}))/SUM(SUMIFS('caseload data'!E:E,'caseload data'!$B:$B,{"licence","community"},'caseload data'!$C:$C,'community %'!$B$64)),"")</f>
        <v/>
      </c>
      <c r="D66" s="181" t="str">
        <f>IFERROR(SUM(SUMIFS('caseload data'!F:F,'caseload data'!$C:$C,'community %'!$B$64,'caseload data'!$D:$D,"PO",'caseload data'!$B:$B,{"licence","community"}))/SUM(SUMIFS('caseload data'!F:F,'caseload data'!$B:$B,{"licence","community"},'caseload data'!$C:$C,'community %'!$B$64)),"")</f>
        <v/>
      </c>
      <c r="E66" s="181" t="str">
        <f>IFERROR(SUM(SUMIFS('caseload data'!G:G,'caseload data'!$C:$C,'community %'!$B$64,'caseload data'!$D:$D,"PO",'caseload data'!$B:$B,{"licence","community"}))/SUM(SUMIFS('caseload data'!G:G,'caseload data'!$B:$B,{"licence","community"},'caseload data'!$C:$C,'community %'!$B$64)),"")</f>
        <v/>
      </c>
      <c r="F66" s="181" t="str">
        <f>IFERROR(SUM(SUMIFS('caseload data'!H:H,'caseload data'!$C:$C,'community %'!$B$64,'caseload data'!$D:$D,"PO",'caseload data'!$B:$B,{"licence","community"}))/SUM(SUMIFS('caseload data'!H:H,'caseload data'!$B:$B,{"licence","community"},'caseload data'!$C:$C,'community %'!$B$64)),"")</f>
        <v/>
      </c>
      <c r="G66" s="181" t="str">
        <f>IFERROR(SUM(SUMIFS('caseload data'!I:I,'caseload data'!$C:$C,'community %'!$B$64,'caseload data'!$D:$D,"PO",'caseload data'!$B:$B,{"licence","community"}))/SUM(SUMIFS('caseload data'!I:I,'caseload data'!$B:$B,{"licence","community"},'caseload data'!$C:$C,'community %'!$B$64)),"")</f>
        <v/>
      </c>
      <c r="H66" s="181" t="str">
        <f>IFERROR(SUM(SUMIFS('caseload data'!J:J,'caseload data'!$C:$C,'community %'!$B$64,'caseload data'!$D:$D,"PO",'caseload data'!$B:$B,{"licence","community"}))/SUM(SUMIFS('caseload data'!J:J,'caseload data'!$B:$B,{"licence","community"},'caseload data'!$C:$C,'community %'!$B$64)),"")</f>
        <v/>
      </c>
      <c r="I66" s="181" t="str">
        <f>IFERROR(SUM(SUMIFS('caseload data'!K:K,'caseload data'!$C:$C,'community %'!$B$64,'caseload data'!$D:$D,"PO",'caseload data'!$B:$B,{"licence","community"}))/SUM(SUMIFS('caseload data'!K:K,'caseload data'!$B:$B,{"licence","community"},'caseload data'!$C:$C,'community %'!$B$64)),"")</f>
        <v/>
      </c>
      <c r="J66" s="181" t="str">
        <f>IFERROR(SUM(SUMIFS('caseload data'!L:L,'caseload data'!$C:$C,'community %'!$B$64,'caseload data'!$D:$D,"PO",'caseload data'!$B:$B,{"licence","community"}))/SUM(SUMIFS('caseload data'!L:L,'caseload data'!$B:$B,{"licence","community"},'caseload data'!$C:$C,'community %'!$B$64)),"")</f>
        <v/>
      </c>
      <c r="K66" s="181" t="str">
        <f>IFERROR(SUM(SUMIFS('caseload data'!M:M,'caseload data'!$C:$C,'community %'!$B$64,'caseload data'!$D:$D,"PO",'caseload data'!$B:$B,{"licence","community"}))/SUM(SUMIFS('caseload data'!M:M,'caseload data'!$B:$B,{"licence","community"},'caseload data'!$C:$C,'community %'!$B$64)),"")</f>
        <v/>
      </c>
      <c r="L66" s="181" t="str">
        <f>IFERROR(SUM(SUMIFS('caseload data'!N:N,'caseload data'!$C:$C,'community %'!$B$64,'caseload data'!$D:$D,"PO",'caseload data'!$B:$B,{"licence","community"}))/SUM(SUMIFS('caseload data'!N:N,'caseload data'!$B:$B,{"licence","community"},'caseload data'!$C:$C,'community %'!$B$64)),"")</f>
        <v/>
      </c>
      <c r="M66" s="181" t="str">
        <f>IFERROR(SUM(SUMIFS('caseload data'!O:O,'caseload data'!$C:$C,'community %'!$B$64,'caseload data'!$D:$D,"PO",'caseload data'!$B:$B,{"licence","community"}))/SUM(SUMIFS('caseload data'!O:O,'caseload data'!$B:$B,{"licence","community"},'caseload data'!$C:$C,'community %'!$B$64)),"")</f>
        <v/>
      </c>
      <c r="N66" s="181" t="str">
        <f>IFERROR(SUM(SUMIFS('caseload data'!P:P,'caseload data'!$C:$C,'community %'!$B$64,'caseload data'!$D:$D,"PO",'caseload data'!$B:$B,{"licence","community"}))/SUM(SUMIFS('caseload data'!P:P,'caseload data'!$B:$B,{"licence","community"},'caseload data'!$C:$C,'community %'!$B$64)),"")</f>
        <v/>
      </c>
      <c r="O66" s="181" t="str">
        <f>IFERROR(SUM(SUMIFS('caseload data'!Q:Q,'caseload data'!$C:$C,'community %'!$B$64,'caseload data'!$D:$D,"PO",'caseload data'!$B:$B,{"licence","community"}))/SUM(SUMIFS('caseload data'!Q:Q,'caseload data'!$B:$B,{"licence","community"},'caseload data'!$C:$C,'community %'!$B$64)),"")</f>
        <v/>
      </c>
      <c r="P66" s="181" t="str">
        <f>IFERROR(SUM(SUMIFS('caseload data'!R:R,'caseload data'!$C:$C,'community %'!$B$64,'caseload data'!$D:$D,"PO",'caseload data'!$B:$B,{"licence","community"}))/SUM(SUMIFS('caseload data'!R:R,'caseload data'!$B:$B,{"licence","community"},'caseload data'!$C:$C,'community %'!$B$64)),"")</f>
        <v/>
      </c>
      <c r="Q66" s="181" t="str">
        <f>IFERROR(SUM(SUMIFS('caseload data'!S:S,'caseload data'!$C:$C,'community %'!$B$64,'caseload data'!$D:$D,"PO",'caseload data'!$B:$B,{"licence","community"}))/SUM(SUMIFS('caseload data'!S:S,'caseload data'!$B:$B,{"licence","community"},'caseload data'!$C:$C,'community %'!$B$64)),"")</f>
        <v/>
      </c>
      <c r="R66" s="181" t="str">
        <f>IFERROR(SUM(SUMIFS('caseload data'!T:T,'caseload data'!$C:$C,'community %'!$B$64,'caseload data'!$D:$D,"PO",'caseload data'!$B:$B,{"licence","community"}))/SUM(SUMIFS('caseload data'!T:T,'caseload data'!$B:$B,{"licence","community"},'caseload data'!$C:$C,'community %'!$B$64)),"")</f>
        <v/>
      </c>
      <c r="S66" s="73"/>
      <c r="T66" s="106" t="s">
        <v>911</v>
      </c>
      <c r="U66" s="181" t="str">
        <f>IFERROR(SUM(SUMIFS('caseload data'!E:E,'caseload data'!$C:$C,'community %'!$T$64,'caseload data'!$D:$D,"PO",'caseload data'!$B:$B,{"licence","community"}))/SUM(SUMIFS('caseload data'!E:E,'caseload data'!$B:$B,{"licence","community"},'caseload data'!$C:$C,'community %'!$T$64)),"")</f>
        <v/>
      </c>
      <c r="V66" s="181" t="str">
        <f>IFERROR(SUM(SUMIFS('caseload data'!F:F,'caseload data'!$C:$C,'community %'!$T$64,'caseload data'!$D:$D,"PO",'caseload data'!$B:$B,{"licence","community"}))/SUM(SUMIFS('caseload data'!F:F,'caseload data'!$B:$B,{"licence","community"},'caseload data'!$C:$C,'community %'!$T$64)),"")</f>
        <v/>
      </c>
      <c r="W66" s="181" t="str">
        <f>IFERROR(SUM(SUMIFS('caseload data'!G:G,'caseload data'!$C:$C,'community %'!$T$64,'caseload data'!$D:$D,"PO",'caseload data'!$B:$B,{"licence","community"}))/SUM(SUMIFS('caseload data'!G:G,'caseload data'!$B:$B,{"licence","community"},'caseload data'!$C:$C,'community %'!$T$64)),"")</f>
        <v/>
      </c>
      <c r="X66" s="181" t="str">
        <f>IFERROR(SUM(SUMIFS('caseload data'!H:H,'caseload data'!$C:$C,'community %'!$T$64,'caseload data'!$D:$D,"PO",'caseload data'!$B:$B,{"licence","community"}))/SUM(SUMIFS('caseload data'!H:H,'caseload data'!$B:$B,{"licence","community"},'caseload data'!$C:$C,'community %'!$T$64)),"")</f>
        <v/>
      </c>
      <c r="Y66" s="181" t="str">
        <f>IFERROR(SUM(SUMIFS('caseload data'!I:I,'caseload data'!$C:$C,'community %'!$T$64,'caseload data'!$D:$D,"PO",'caseload data'!$B:$B,{"licence","community"}))/SUM(SUMIFS('caseload data'!I:I,'caseload data'!$B:$B,{"licence","community"},'caseload data'!$C:$C,'community %'!$T$64)),"")</f>
        <v/>
      </c>
      <c r="Z66" s="181" t="str">
        <f>IFERROR(SUM(SUMIFS('caseload data'!J:J,'caseload data'!$C:$C,'community %'!$T$64,'caseload data'!$D:$D,"PO",'caseload data'!$B:$B,{"licence","community"}))/SUM(SUMIFS('caseload data'!J:J,'caseload data'!$B:$B,{"licence","community"},'caseload data'!$C:$C,'community %'!$T$64)),"")</f>
        <v/>
      </c>
      <c r="AA66" s="181" t="str">
        <f>IFERROR(SUM(SUMIFS('caseload data'!K:K,'caseload data'!$C:$C,'community %'!$T$64,'caseload data'!$D:$D,"PO",'caseload data'!$B:$B,{"licence","community"}))/SUM(SUMIFS('caseload data'!K:K,'caseload data'!$B:$B,{"licence","community"},'caseload data'!$C:$C,'community %'!$T$64)),"")</f>
        <v/>
      </c>
      <c r="AB66" s="181" t="str">
        <f>IFERROR(SUM(SUMIFS('caseload data'!L:L,'caseload data'!$C:$C,'community %'!$T$64,'caseload data'!$D:$D,"PO",'caseload data'!$B:$B,{"licence","community"}))/SUM(SUMIFS('caseload data'!L:L,'caseload data'!$B:$B,{"licence","community"},'caseload data'!$C:$C,'community %'!$T$64)),"")</f>
        <v/>
      </c>
      <c r="AC66" s="181" t="str">
        <f>IFERROR(SUM(SUMIFS('caseload data'!M:M,'caseload data'!$C:$C,'community %'!$T$64,'caseload data'!$D:$D,"PO",'caseload data'!$B:$B,{"licence","community"}))/SUM(SUMIFS('caseload data'!M:M,'caseload data'!$B:$B,{"licence","community"},'caseload data'!$C:$C,'community %'!$T$64)),"")</f>
        <v/>
      </c>
      <c r="AD66" s="181" t="str">
        <f>IFERROR(SUM(SUMIFS('caseload data'!N:N,'caseload data'!$C:$C,'community %'!$T$64,'caseload data'!$D:$D,"PO",'caseload data'!$B:$B,{"licence","community"}))/SUM(SUMIFS('caseload data'!N:N,'caseload data'!$B:$B,{"licence","community"},'caseload data'!$C:$C,'community %'!$T$64)),"")</f>
        <v/>
      </c>
      <c r="AE66" s="181" t="str">
        <f>IFERROR(SUM(SUMIFS('caseload data'!O:O,'caseload data'!$C:$C,'community %'!$T$64,'caseload data'!$D:$D,"PO",'caseload data'!$B:$B,{"licence","community"}))/SUM(SUMIFS('caseload data'!O:O,'caseload data'!$B:$B,{"licence","community"},'caseload data'!$C:$C,'community %'!$T$64)),"")</f>
        <v/>
      </c>
      <c r="AF66" s="181" t="str">
        <f>IFERROR(SUM(SUMIFS('caseload data'!P:P,'caseload data'!$C:$C,'community %'!$T$64,'caseload data'!$D:$D,"PO",'caseload data'!$B:$B,{"licence","community"}))/SUM(SUMIFS('caseload data'!P:P,'caseload data'!$B:$B,{"licence","community"},'caseload data'!$C:$C,'community %'!$T$64)),"")</f>
        <v/>
      </c>
      <c r="AG66" s="181" t="str">
        <f>IFERROR(SUM(SUMIFS('caseload data'!Q:Q,'caseload data'!$C:$C,'community %'!$T$64,'caseload data'!$D:$D,"PO",'caseload data'!$B:$B,{"licence","community"}))/SUM(SUMIFS('caseload data'!Q:Q,'caseload data'!$B:$B,{"licence","community"},'caseload data'!$C:$C,'community %'!$T$64)),"")</f>
        <v/>
      </c>
      <c r="AH66" s="181" t="str">
        <f>IFERROR(SUM(SUMIFS('caseload data'!R:R,'caseload data'!$C:$C,'community %'!$T$64,'caseload data'!$D:$D,"PO",'caseload data'!$B:$B,{"licence","community"}))/SUM(SUMIFS('caseload data'!R:R,'caseload data'!$B:$B,{"licence","community"},'caseload data'!$C:$C,'community %'!$T$64)),"")</f>
        <v/>
      </c>
      <c r="AI66" s="181" t="str">
        <f>IFERROR(SUM(SUMIFS('caseload data'!S:S,'caseload data'!$C:$C,'community %'!$T$64,'caseload data'!$D:$D,"PO",'caseload data'!$B:$B,{"licence","community"}))/SUM(SUMIFS('caseload data'!S:S,'caseload data'!$B:$B,{"licence","community"},'caseload data'!$C:$C,'community %'!$T$64)),"")</f>
        <v/>
      </c>
      <c r="AJ66" s="181" t="str">
        <f>IFERROR(SUM(SUMIFS('caseload data'!T:T,'caseload data'!$C:$C,'community %'!$T$64,'caseload data'!$D:$D,"PO",'caseload data'!$B:$B,{"licence","community"}))/SUM(SUMIFS('caseload data'!T:T,'caseload data'!$B:$B,{"licence","community"},'caseload data'!$C:$C,'community %'!$T$64)),"")</f>
        <v/>
      </c>
    </row>
    <row r="67" spans="2:36" x14ac:dyDescent="0.15">
      <c r="B67" s="107" t="s">
        <v>912</v>
      </c>
      <c r="C67" s="181" t="str">
        <f>IFERROR(SUM(SUMIFS('caseload data'!E:E,'caseload data'!$C:$C,'community %'!$B$64,'caseload data'!$D:$D,"PSO",'caseload data'!$B:$B,{"licence","community"}))/SUM(SUMIFS('caseload data'!E:E,'caseload data'!$B:$B,{"licence","community"},'caseload data'!$C:$C,'community %'!$B$64)),"")</f>
        <v/>
      </c>
      <c r="D67" s="181" t="str">
        <f>IFERROR(SUM(SUMIFS('caseload data'!F:F,'caseload data'!$C:$C,'community %'!$B$64,'caseload data'!$D:$D,"PSO",'caseload data'!$B:$B,{"licence","community"}))/SUM(SUMIFS('caseload data'!F:F,'caseload data'!$B:$B,{"licence","community"},'caseload data'!$C:$C,'community %'!$B$64)),"")</f>
        <v/>
      </c>
      <c r="E67" s="181" t="str">
        <f>IFERROR(SUM(SUMIFS('caseload data'!G:G,'caseload data'!$C:$C,'community %'!$B$64,'caseload data'!$D:$D,"PSO",'caseload data'!$B:$B,{"licence","community"}))/SUM(SUMIFS('caseload data'!G:G,'caseload data'!$B:$B,{"licence","community"},'caseload data'!$C:$C,'community %'!$B$64)),"")</f>
        <v/>
      </c>
      <c r="F67" s="181" t="str">
        <f>IFERROR(SUM(SUMIFS('caseload data'!H:H,'caseload data'!$C:$C,'community %'!$B$64,'caseload data'!$D:$D,"PSO",'caseload data'!$B:$B,{"licence","community"}))/SUM(SUMIFS('caseload data'!H:H,'caseload data'!$B:$B,{"licence","community"},'caseload data'!$C:$C,'community %'!$B$64)),"")</f>
        <v/>
      </c>
      <c r="G67" s="181" t="str">
        <f>IFERROR(SUM(SUMIFS('caseload data'!I:I,'caseload data'!$C:$C,'community %'!$B$64,'caseload data'!$D:$D,"PSO",'caseload data'!$B:$B,{"licence","community"}))/SUM(SUMIFS('caseload data'!I:I,'caseload data'!$B:$B,{"licence","community"},'caseload data'!$C:$C,'community %'!$B$64)),"")</f>
        <v/>
      </c>
      <c r="H67" s="181" t="str">
        <f>IFERROR(SUM(SUMIFS('caseload data'!J:J,'caseload data'!$C:$C,'community %'!$B$64,'caseload data'!$D:$D,"PSO",'caseload data'!$B:$B,{"licence","community"}))/SUM(SUMIFS('caseload data'!J:J,'caseload data'!$B:$B,{"licence","community"},'caseload data'!$C:$C,'community %'!$B$64)),"")</f>
        <v/>
      </c>
      <c r="I67" s="181" t="str">
        <f>IFERROR(SUM(SUMIFS('caseload data'!K:K,'caseload data'!$C:$C,'community %'!$B$64,'caseload data'!$D:$D,"PSO",'caseload data'!$B:$B,{"licence","community"}))/SUM(SUMIFS('caseload data'!K:K,'caseload data'!$B:$B,{"licence","community"},'caseload data'!$C:$C,'community %'!$B$64)),"")</f>
        <v/>
      </c>
      <c r="J67" s="181" t="str">
        <f>IFERROR(SUM(SUMIFS('caseload data'!L:L,'caseload data'!$C:$C,'community %'!$B$64,'caseload data'!$D:$D,"PSO",'caseload data'!$B:$B,{"licence","community"}))/SUM(SUMIFS('caseload data'!L:L,'caseload data'!$B:$B,{"licence","community"},'caseload data'!$C:$C,'community %'!$B$64)),"")</f>
        <v/>
      </c>
      <c r="K67" s="181" t="str">
        <f>IFERROR(SUM(SUMIFS('caseload data'!M:M,'caseload data'!$C:$C,'community %'!$B$64,'caseload data'!$D:$D,"PSO",'caseload data'!$B:$B,{"licence","community"}))/SUM(SUMIFS('caseload data'!M:M,'caseload data'!$B:$B,{"licence","community"},'caseload data'!$C:$C,'community %'!$B$64)),"")</f>
        <v/>
      </c>
      <c r="L67" s="181" t="str">
        <f>IFERROR(SUM(SUMIFS('caseload data'!N:N,'caseload data'!$C:$C,'community %'!$B$64,'caseload data'!$D:$D,"PSO",'caseload data'!$B:$B,{"licence","community"}))/SUM(SUMIFS('caseload data'!N:N,'caseload data'!$B:$B,{"licence","community"},'caseload data'!$C:$C,'community %'!$B$64)),"")</f>
        <v/>
      </c>
      <c r="M67" s="181" t="str">
        <f>IFERROR(SUM(SUMIFS('caseload data'!O:O,'caseload data'!$C:$C,'community %'!$B$64,'caseload data'!$D:$D,"PSO",'caseload data'!$B:$B,{"licence","community"}))/SUM(SUMIFS('caseload data'!O:O,'caseload data'!$B:$B,{"licence","community"},'caseload data'!$C:$C,'community %'!$B$64)),"")</f>
        <v/>
      </c>
      <c r="N67" s="181" t="str">
        <f>IFERROR(SUM(SUMIFS('caseload data'!P:P,'caseload data'!$C:$C,'community %'!$B$64,'caseload data'!$D:$D,"PSO",'caseload data'!$B:$B,{"licence","community"}))/SUM(SUMIFS('caseload data'!P:P,'caseload data'!$B:$B,{"licence","community"},'caseload data'!$C:$C,'community %'!$B$64)),"")</f>
        <v/>
      </c>
      <c r="O67" s="181" t="str">
        <f>IFERROR(SUM(SUMIFS('caseload data'!Q:Q,'caseload data'!$C:$C,'community %'!$B$64,'caseload data'!$D:$D,"PSO",'caseload data'!$B:$B,{"licence","community"}))/SUM(SUMIFS('caseload data'!Q:Q,'caseload data'!$B:$B,{"licence","community"},'caseload data'!$C:$C,'community %'!$B$64)),"")</f>
        <v/>
      </c>
      <c r="P67" s="181" t="str">
        <f>IFERROR(SUM(SUMIFS('caseload data'!R:R,'caseload data'!$C:$C,'community %'!$B$64,'caseload data'!$D:$D,"PSO",'caseload data'!$B:$B,{"licence","community"}))/SUM(SUMIFS('caseload data'!R:R,'caseload data'!$B:$B,{"licence","community"},'caseload data'!$C:$C,'community %'!$B$64)),"")</f>
        <v/>
      </c>
      <c r="Q67" s="181" t="str">
        <f>IFERROR(SUM(SUMIFS('caseload data'!S:S,'caseload data'!$C:$C,'community %'!$B$64,'caseload data'!$D:$D,"PSO",'caseload data'!$B:$B,{"licence","community"}))/SUM(SUMIFS('caseload data'!S:S,'caseload data'!$B:$B,{"licence","community"},'caseload data'!$C:$C,'community %'!$B$64)),"")</f>
        <v/>
      </c>
      <c r="R67" s="181" t="str">
        <f>IFERROR(SUM(SUMIFS('caseload data'!T:T,'caseload data'!$C:$C,'community %'!$B$64,'caseload data'!$D:$D,"PSO",'caseload data'!$B:$B,{"licence","community"}))/SUM(SUMIFS('caseload data'!T:T,'caseload data'!$B:$B,{"licence","community"},'caseload data'!$C:$C,'community %'!$B$64)),"")</f>
        <v/>
      </c>
      <c r="S67" s="73"/>
      <c r="T67" s="107" t="s">
        <v>912</v>
      </c>
      <c r="U67" s="181" t="str">
        <f>IFERROR(SUM(SUMIFS('caseload data'!E:E,'caseload data'!$C:$C,'community %'!$T$64,'caseload data'!$D:$D,"PSO",'caseload data'!$B:$B,{"licence","community"}))/SUM(SUMIFS('caseload data'!E:E,'caseload data'!$B:$B,{"licence","community"},'caseload data'!$C:$C,'community %'!$T$64)),"")</f>
        <v/>
      </c>
      <c r="V67" s="181" t="str">
        <f>IFERROR(SUM(SUMIFS('caseload data'!F:F,'caseload data'!$C:$C,'community %'!$T$64,'caseload data'!$D:$D,"PSO",'caseload data'!$B:$B,{"licence","community"}))/SUM(SUMIFS('caseload data'!F:F,'caseload data'!$B:$B,{"licence","community"},'caseload data'!$C:$C,'community %'!$T$64)),"")</f>
        <v/>
      </c>
      <c r="W67" s="181" t="str">
        <f>IFERROR(SUM(SUMIFS('caseload data'!G:G,'caseload data'!$C:$C,'community %'!$T$64,'caseload data'!$D:$D,"PSO",'caseload data'!$B:$B,{"licence","community"}))/SUM(SUMIFS('caseload data'!G:G,'caseload data'!$B:$B,{"licence","community"},'caseload data'!$C:$C,'community %'!$T$64)),"")</f>
        <v/>
      </c>
      <c r="X67" s="181" t="str">
        <f>IFERROR(SUM(SUMIFS('caseload data'!H:H,'caseload data'!$C:$C,'community %'!$T$64,'caseload data'!$D:$D,"PSO",'caseload data'!$B:$B,{"licence","community"}))/SUM(SUMIFS('caseload data'!H:H,'caseload data'!$B:$B,{"licence","community"},'caseload data'!$C:$C,'community %'!$T$64)),"")</f>
        <v/>
      </c>
      <c r="Y67" s="181" t="str">
        <f>IFERROR(SUM(SUMIFS('caseload data'!I:I,'caseload data'!$C:$C,'community %'!$T$64,'caseload data'!$D:$D,"PSO",'caseload data'!$B:$B,{"licence","community"}))/SUM(SUMIFS('caseload data'!I:I,'caseload data'!$B:$B,{"licence","community"},'caseload data'!$C:$C,'community %'!$T$64)),"")</f>
        <v/>
      </c>
      <c r="Z67" s="181" t="str">
        <f>IFERROR(SUM(SUMIFS('caseload data'!J:J,'caseload data'!$C:$C,'community %'!$T$64,'caseload data'!$D:$D,"PSO",'caseload data'!$B:$B,{"licence","community"}))/SUM(SUMIFS('caseload data'!J:J,'caseload data'!$B:$B,{"licence","community"},'caseload data'!$C:$C,'community %'!$T$64)),"")</f>
        <v/>
      </c>
      <c r="AA67" s="181" t="str">
        <f>IFERROR(SUM(SUMIFS('caseload data'!K:K,'caseload data'!$C:$C,'community %'!$T$64,'caseload data'!$D:$D,"PSO",'caseload data'!$B:$B,{"licence","community"}))/SUM(SUMIFS('caseload data'!K:K,'caseload data'!$B:$B,{"licence","community"},'caseload data'!$C:$C,'community %'!$T$64)),"")</f>
        <v/>
      </c>
      <c r="AB67" s="181" t="str">
        <f>IFERROR(SUM(SUMIFS('caseload data'!L:L,'caseload data'!$C:$C,'community %'!$T$64,'caseload data'!$D:$D,"PSO",'caseload data'!$B:$B,{"licence","community"}))/SUM(SUMIFS('caseload data'!L:L,'caseload data'!$B:$B,{"licence","community"},'caseload data'!$C:$C,'community %'!$T$64)),"")</f>
        <v/>
      </c>
      <c r="AC67" s="181" t="str">
        <f>IFERROR(SUM(SUMIFS('caseload data'!M:M,'caseload data'!$C:$C,'community %'!$T$64,'caseload data'!$D:$D,"PSO",'caseload data'!$B:$B,{"licence","community"}))/SUM(SUMIFS('caseload data'!M:M,'caseload data'!$B:$B,{"licence","community"},'caseload data'!$C:$C,'community %'!$T$64)),"")</f>
        <v/>
      </c>
      <c r="AD67" s="181" t="str">
        <f>IFERROR(SUM(SUMIFS('caseload data'!N:N,'caseload data'!$C:$C,'community %'!$T$64,'caseload data'!$D:$D,"PSO",'caseload data'!$B:$B,{"licence","community"}))/SUM(SUMIFS('caseload data'!N:N,'caseload data'!$B:$B,{"licence","community"},'caseload data'!$C:$C,'community %'!$T$64)),"")</f>
        <v/>
      </c>
      <c r="AE67" s="181" t="str">
        <f>IFERROR(SUM(SUMIFS('caseload data'!O:O,'caseload data'!$C:$C,'community %'!$T$64,'caseload data'!$D:$D,"PSO",'caseload data'!$B:$B,{"licence","community"}))/SUM(SUMIFS('caseload data'!O:O,'caseload data'!$B:$B,{"licence","community"},'caseload data'!$C:$C,'community %'!$T$64)),"")</f>
        <v/>
      </c>
      <c r="AF67" s="181" t="str">
        <f>IFERROR(SUM(SUMIFS('caseload data'!P:P,'caseload data'!$C:$C,'community %'!$T$64,'caseload data'!$D:$D,"PSO",'caseload data'!$B:$B,{"licence","community"}))/SUM(SUMIFS('caseload data'!P:P,'caseload data'!$B:$B,{"licence","community"},'caseload data'!$C:$C,'community %'!$T$64)),"")</f>
        <v/>
      </c>
      <c r="AG67" s="181" t="str">
        <f>IFERROR(SUM(SUMIFS('caseload data'!Q:Q,'caseload data'!$C:$C,'community %'!$T$64,'caseload data'!$D:$D,"PSO",'caseload data'!$B:$B,{"licence","community"}))/SUM(SUMIFS('caseload data'!Q:Q,'caseload data'!$B:$B,{"licence","community"},'caseload data'!$C:$C,'community %'!$T$64)),"")</f>
        <v/>
      </c>
      <c r="AH67" s="181" t="str">
        <f>IFERROR(SUM(SUMIFS('caseload data'!R:R,'caseload data'!$C:$C,'community %'!$T$64,'caseload data'!$D:$D,"PSO",'caseload data'!$B:$B,{"licence","community"}))/SUM(SUMIFS('caseload data'!R:R,'caseload data'!$B:$B,{"licence","community"},'caseload data'!$C:$C,'community %'!$T$64)),"")</f>
        <v/>
      </c>
      <c r="AI67" s="181" t="str">
        <f>IFERROR(SUM(SUMIFS('caseload data'!S:S,'caseload data'!$C:$C,'community %'!$T$64,'caseload data'!$D:$D,"PSO",'caseload data'!$B:$B,{"licence","community"}))/SUM(SUMIFS('caseload data'!S:S,'caseload data'!$B:$B,{"licence","community"},'caseload data'!$C:$C,'community %'!$T$64)),"")</f>
        <v/>
      </c>
      <c r="AJ67" s="181" t="str">
        <f>IFERROR(SUM(SUMIFS('caseload data'!T:T,'caseload data'!$C:$C,'community %'!$T$64,'caseload data'!$D:$D,"PSO",'caseload data'!$B:$B,{"licence","community"}))/SUM(SUMIFS('caseload data'!T:T,'caseload data'!$B:$B,{"licence","community"},'caseload data'!$C:$C,'community %'!$T$64)),"")</f>
        <v/>
      </c>
    </row>
    <row r="68" spans="2:36" x14ac:dyDescent="0.15">
      <c r="B68" s="107" t="s">
        <v>913</v>
      </c>
      <c r="C68" s="181" t="str">
        <f>IFERROR(SUM(SUMIFS('caseload data'!E:E,'caseload data'!$C:$C,'community %'!$B$64,'caseload data'!$D:$D,"TPO",'caseload data'!$B:$B,{"licence","community"}))/SUM(SUMIFS('caseload data'!E:E,'caseload data'!$B:$B,{"licence","community"},'caseload data'!$C:$C,'community %'!$B$64)),"")</f>
        <v/>
      </c>
      <c r="D68" s="181" t="str">
        <f>IFERROR(SUM(SUMIFS('caseload data'!F:F,'caseload data'!$C:$C,'community %'!$B$64,'caseload data'!$D:$D,"TPO",'caseload data'!$B:$B,{"licence","community"}))/SUM(SUMIFS('caseload data'!F:F,'caseload data'!$B:$B,{"licence","community"},'caseload data'!$C:$C,'community %'!$B$64)),"")</f>
        <v/>
      </c>
      <c r="E68" s="181" t="str">
        <f>IFERROR(SUM(SUMIFS('caseload data'!G:G,'caseload data'!$C:$C,'community %'!$B$64,'caseload data'!$D:$D,"TPO",'caseload data'!$B:$B,{"licence","community"}))/SUM(SUMIFS('caseload data'!G:G,'caseload data'!$B:$B,{"licence","community"},'caseload data'!$C:$C,'community %'!$B$64)),"")</f>
        <v/>
      </c>
      <c r="F68" s="181" t="str">
        <f>IFERROR(SUM(SUMIFS('caseload data'!H:H,'caseload data'!$C:$C,'community %'!$B$64,'caseload data'!$D:$D,"TPO",'caseload data'!$B:$B,{"licence","community"}))/SUM(SUMIFS('caseload data'!H:H,'caseload data'!$B:$B,{"licence","community"},'caseload data'!$C:$C,'community %'!$B$64)),"")</f>
        <v/>
      </c>
      <c r="G68" s="181" t="str">
        <f>IFERROR(SUM(SUMIFS('caseload data'!I:I,'caseload data'!$C:$C,'community %'!$B$64,'caseload data'!$D:$D,"TPO",'caseload data'!$B:$B,{"licence","community"}))/SUM(SUMIFS('caseload data'!I:I,'caseload data'!$B:$B,{"licence","community"},'caseload data'!$C:$C,'community %'!$B$64)),"")</f>
        <v/>
      </c>
      <c r="H68" s="181" t="str">
        <f>IFERROR(SUM(SUMIFS('caseload data'!J:J,'caseload data'!$C:$C,'community %'!$B$64,'caseload data'!$D:$D,"TPO",'caseload data'!$B:$B,{"licence","community"}))/SUM(SUMIFS('caseload data'!J:J,'caseload data'!$B:$B,{"licence","community"},'caseload data'!$C:$C,'community %'!$B$64)),"")</f>
        <v/>
      </c>
      <c r="I68" s="181" t="str">
        <f>IFERROR(SUM(SUMIFS('caseload data'!K:K,'caseload data'!$C:$C,'community %'!$B$64,'caseload data'!$D:$D,"TPO",'caseload data'!$B:$B,{"licence","community"}))/SUM(SUMIFS('caseload data'!K:K,'caseload data'!$B:$B,{"licence","community"},'caseload data'!$C:$C,'community %'!$B$64)),"")</f>
        <v/>
      </c>
      <c r="J68" s="181" t="str">
        <f>IFERROR(SUM(SUMIFS('caseload data'!L:L,'caseload data'!$C:$C,'community %'!$B$64,'caseload data'!$D:$D,"TPO",'caseload data'!$B:$B,{"licence","community"}))/SUM(SUMIFS('caseload data'!L:L,'caseload data'!$B:$B,{"licence","community"},'caseload data'!$C:$C,'community %'!$B$64)),"")</f>
        <v/>
      </c>
      <c r="K68" s="181" t="str">
        <f>IFERROR(SUM(SUMIFS('caseload data'!M:M,'caseload data'!$C:$C,'community %'!$B$64,'caseload data'!$D:$D,"TPO",'caseload data'!$B:$B,{"licence","community"}))/SUM(SUMIFS('caseload data'!M:M,'caseload data'!$B:$B,{"licence","community"},'caseload data'!$C:$C,'community %'!$B$64)),"")</f>
        <v/>
      </c>
      <c r="L68" s="181" t="str">
        <f>IFERROR(SUM(SUMIFS('caseload data'!N:N,'caseload data'!$C:$C,'community %'!$B$64,'caseload data'!$D:$D,"TPO",'caseload data'!$B:$B,{"licence","community"}))/SUM(SUMIFS('caseload data'!N:N,'caseload data'!$B:$B,{"licence","community"},'caseload data'!$C:$C,'community %'!$B$64)),"")</f>
        <v/>
      </c>
      <c r="M68" s="181" t="str">
        <f>IFERROR(SUM(SUMIFS('caseload data'!O:O,'caseload data'!$C:$C,'community %'!$B$64,'caseload data'!$D:$D,"TPO",'caseload data'!$B:$B,{"licence","community"}))/SUM(SUMIFS('caseload data'!O:O,'caseload data'!$B:$B,{"licence","community"},'caseload data'!$C:$C,'community %'!$B$64)),"")</f>
        <v/>
      </c>
      <c r="N68" s="181" t="str">
        <f>IFERROR(SUM(SUMIFS('caseload data'!P:P,'caseload data'!$C:$C,'community %'!$B$64,'caseload data'!$D:$D,"TPO",'caseload data'!$B:$B,{"licence","community"}))/SUM(SUMIFS('caseload data'!P:P,'caseload data'!$B:$B,{"licence","community"},'caseload data'!$C:$C,'community %'!$B$64)),"")</f>
        <v/>
      </c>
      <c r="O68" s="181" t="str">
        <f>IFERROR(SUM(SUMIFS('caseload data'!Q:Q,'caseload data'!$C:$C,'community %'!$B$64,'caseload data'!$D:$D,"TPO",'caseload data'!$B:$B,{"licence","community"}))/SUM(SUMIFS('caseload data'!Q:Q,'caseload data'!$B:$B,{"licence","community"},'caseload data'!$C:$C,'community %'!$B$64)),"")</f>
        <v/>
      </c>
      <c r="P68" s="181" t="str">
        <f>IFERROR(SUM(SUMIFS('caseload data'!R:R,'caseload data'!$C:$C,'community %'!$B$64,'caseload data'!$D:$D,"TPO",'caseload data'!$B:$B,{"licence","community"}))/SUM(SUMIFS('caseload data'!R:R,'caseload data'!$B:$B,{"licence","community"},'caseload data'!$C:$C,'community %'!$B$64)),"")</f>
        <v/>
      </c>
      <c r="Q68" s="181" t="str">
        <f>IFERROR(SUM(SUMIFS('caseload data'!S:S,'caseload data'!$C:$C,'community %'!$B$64,'caseload data'!$D:$D,"TPO",'caseload data'!$B:$B,{"licence","community"}))/SUM(SUMIFS('caseload data'!S:S,'caseload data'!$B:$B,{"licence","community"},'caseload data'!$C:$C,'community %'!$B$64)),"")</f>
        <v/>
      </c>
      <c r="R68" s="181" t="str">
        <f>IFERROR(SUM(SUMIFS('caseload data'!T:T,'caseload data'!$C:$C,'community %'!$B$64,'caseload data'!$D:$D,"TPO",'caseload data'!$B:$B,{"licence","community"}))/SUM(SUMIFS('caseload data'!T:T,'caseload data'!$B:$B,{"licence","community"},'caseload data'!$C:$C,'community %'!$B$64)),"")</f>
        <v/>
      </c>
      <c r="S68" s="73"/>
      <c r="T68" s="107" t="s">
        <v>913</v>
      </c>
      <c r="U68" s="181" t="str">
        <f>IFERROR(SUM(SUMIFS('caseload data'!E:E,'caseload data'!$C:$C,'community %'!$T$64,'caseload data'!$D:$D,"TPO",'caseload data'!$B:$B,{"licence","community"}))/SUM(SUMIFS('caseload data'!E:E,'caseload data'!$B:$B,{"licence","community"},'caseload data'!$C:$C,'community %'!$T$64)),"")</f>
        <v/>
      </c>
      <c r="V68" s="181" t="str">
        <f>IFERROR(SUM(SUMIFS('caseload data'!F:F,'caseload data'!$C:$C,'community %'!$T$64,'caseload data'!$D:$D,"TPO",'caseload data'!$B:$B,{"licence","community"}))/SUM(SUMIFS('caseload data'!F:F,'caseload data'!$B:$B,{"licence","community"},'caseload data'!$C:$C,'community %'!$T$64)),"")</f>
        <v/>
      </c>
      <c r="W68" s="181" t="str">
        <f>IFERROR(SUM(SUMIFS('caseload data'!G:G,'caseload data'!$C:$C,'community %'!$T$64,'caseload data'!$D:$D,"TPO",'caseload data'!$B:$B,{"licence","community"}))/SUM(SUMIFS('caseload data'!G:G,'caseload data'!$B:$B,{"licence","community"},'caseload data'!$C:$C,'community %'!$T$64)),"")</f>
        <v/>
      </c>
      <c r="X68" s="181" t="str">
        <f>IFERROR(SUM(SUMIFS('caseload data'!H:H,'caseload data'!$C:$C,'community %'!$T$64,'caseload data'!$D:$D,"TPO",'caseload data'!$B:$B,{"licence","community"}))/SUM(SUMIFS('caseload data'!H:H,'caseload data'!$B:$B,{"licence","community"},'caseload data'!$C:$C,'community %'!$T$64)),"")</f>
        <v/>
      </c>
      <c r="Y68" s="181" t="str">
        <f>IFERROR(SUM(SUMIFS('caseload data'!I:I,'caseload data'!$C:$C,'community %'!$T$64,'caseload data'!$D:$D,"TPO",'caseload data'!$B:$B,{"licence","community"}))/SUM(SUMIFS('caseload data'!I:I,'caseload data'!$B:$B,{"licence","community"},'caseload data'!$C:$C,'community %'!$T$64)),"")</f>
        <v/>
      </c>
      <c r="Z68" s="181" t="str">
        <f>IFERROR(SUM(SUMIFS('caseload data'!J:J,'caseload data'!$C:$C,'community %'!$T$64,'caseload data'!$D:$D,"TPO",'caseload data'!$B:$B,{"licence","community"}))/SUM(SUMIFS('caseload data'!J:J,'caseload data'!$B:$B,{"licence","community"},'caseload data'!$C:$C,'community %'!$T$64)),"")</f>
        <v/>
      </c>
      <c r="AA68" s="181" t="str">
        <f>IFERROR(SUM(SUMIFS('caseload data'!K:K,'caseload data'!$C:$C,'community %'!$T$64,'caseload data'!$D:$D,"TPO",'caseload data'!$B:$B,{"licence","community"}))/SUM(SUMIFS('caseload data'!K:K,'caseload data'!$B:$B,{"licence","community"},'caseload data'!$C:$C,'community %'!$T$64)),"")</f>
        <v/>
      </c>
      <c r="AB68" s="181" t="str">
        <f>IFERROR(SUM(SUMIFS('caseload data'!L:L,'caseload data'!$C:$C,'community %'!$T$64,'caseload data'!$D:$D,"TPO",'caseload data'!$B:$B,{"licence","community"}))/SUM(SUMIFS('caseload data'!L:L,'caseload data'!$B:$B,{"licence","community"},'caseload data'!$C:$C,'community %'!$T$64)),"")</f>
        <v/>
      </c>
      <c r="AC68" s="181" t="str">
        <f>IFERROR(SUM(SUMIFS('caseload data'!M:M,'caseload data'!$C:$C,'community %'!$T$64,'caseload data'!$D:$D,"TPO",'caseload data'!$B:$B,{"licence","community"}))/SUM(SUMIFS('caseload data'!M:M,'caseload data'!$B:$B,{"licence","community"},'caseload data'!$C:$C,'community %'!$T$64)),"")</f>
        <v/>
      </c>
      <c r="AD68" s="181" t="str">
        <f>IFERROR(SUM(SUMIFS('caseload data'!N:N,'caseload data'!$C:$C,'community %'!$T$64,'caseload data'!$D:$D,"TPO",'caseload data'!$B:$B,{"licence","community"}))/SUM(SUMIFS('caseload data'!N:N,'caseload data'!$B:$B,{"licence","community"},'caseload data'!$C:$C,'community %'!$T$64)),"")</f>
        <v/>
      </c>
      <c r="AE68" s="181" t="str">
        <f>IFERROR(SUM(SUMIFS('caseload data'!O:O,'caseload data'!$C:$C,'community %'!$T$64,'caseload data'!$D:$D,"TPO",'caseload data'!$B:$B,{"licence","community"}))/SUM(SUMIFS('caseload data'!O:O,'caseload data'!$B:$B,{"licence","community"},'caseload data'!$C:$C,'community %'!$T$64)),"")</f>
        <v/>
      </c>
      <c r="AF68" s="181" t="str">
        <f>IFERROR(SUM(SUMIFS('caseload data'!P:P,'caseload data'!$C:$C,'community %'!$T$64,'caseload data'!$D:$D,"TPO",'caseload data'!$B:$B,{"licence","community"}))/SUM(SUMIFS('caseload data'!P:P,'caseload data'!$B:$B,{"licence","community"},'caseload data'!$C:$C,'community %'!$T$64)),"")</f>
        <v/>
      </c>
      <c r="AG68" s="181" t="str">
        <f>IFERROR(SUM(SUMIFS('caseload data'!Q:Q,'caseload data'!$C:$C,'community %'!$T$64,'caseload data'!$D:$D,"TPO",'caseload data'!$B:$B,{"licence","community"}))/SUM(SUMIFS('caseload data'!Q:Q,'caseload data'!$B:$B,{"licence","community"},'caseload data'!$C:$C,'community %'!$T$64)),"")</f>
        <v/>
      </c>
      <c r="AH68" s="181" t="str">
        <f>IFERROR(SUM(SUMIFS('caseload data'!R:R,'caseload data'!$C:$C,'community %'!$T$64,'caseload data'!$D:$D,"TPO",'caseload data'!$B:$B,{"licence","community"}))/SUM(SUMIFS('caseload data'!R:R,'caseload data'!$B:$B,{"licence","community"},'caseload data'!$C:$C,'community %'!$T$64)),"")</f>
        <v/>
      </c>
      <c r="AI68" s="181" t="str">
        <f>IFERROR(SUM(SUMIFS('caseload data'!S:S,'caseload data'!$C:$C,'community %'!$T$64,'caseload data'!$D:$D,"TPO",'caseload data'!$B:$B,{"licence","community"}))/SUM(SUMIFS('caseload data'!S:S,'caseload data'!$B:$B,{"licence","community"},'caseload data'!$C:$C,'community %'!$T$64)),"")</f>
        <v/>
      </c>
      <c r="AJ68" s="181" t="str">
        <f>IFERROR(SUM(SUMIFS('caseload data'!T:T,'caseload data'!$C:$C,'community %'!$T$64,'caseload data'!$D:$D,"TPO",'caseload data'!$B:$B,{"licence","community"}))/SUM(SUMIFS('caseload data'!T:T,'caseload data'!$B:$B,{"licence","community"},'caseload data'!$C:$C,'community %'!$T$64)),"")</f>
        <v/>
      </c>
    </row>
    <row r="69" spans="2:36" x14ac:dyDescent="0.15">
      <c r="B69" s="108" t="s">
        <v>914</v>
      </c>
      <c r="C69" s="181" t="str">
        <f>IFERROR(SUM(SUMIFS('caseload data'!E:E,'caseload data'!$C:$C,'community %'!$B$64,'caseload data'!$D:$D,"SPO",'caseload data'!$B:$B,{"licence","community"}))/SUM(SUMIFS('caseload data'!E:E,'caseload data'!$B:$B,{"licence","community"},'caseload data'!$C:$C,'community %'!$B$64)),"")</f>
        <v/>
      </c>
      <c r="D69" s="181" t="str">
        <f>IFERROR(SUM(SUMIFS('caseload data'!F:F,'caseload data'!$C:$C,'community %'!$B$64,'caseload data'!$D:$D,"SPO",'caseload data'!$B:$B,{"licence","community"}))/SUM(SUMIFS('caseload data'!F:F,'caseload data'!$B:$B,{"licence","community"},'caseload data'!$C:$C,'community %'!$B$64)),"")</f>
        <v/>
      </c>
      <c r="E69" s="181" t="str">
        <f>IFERROR(SUM(SUMIFS('caseload data'!G:G,'caseload data'!$C:$C,'community %'!$B$64,'caseload data'!$D:$D,"SPO",'caseload data'!$B:$B,{"licence","community"}))/SUM(SUMIFS('caseload data'!G:G,'caseload data'!$B:$B,{"licence","community"},'caseload data'!$C:$C,'community %'!$B$64)),"")</f>
        <v/>
      </c>
      <c r="F69" s="181" t="str">
        <f>IFERROR(SUM(SUMIFS('caseload data'!H:H,'caseload data'!$C:$C,'community %'!$B$64,'caseload data'!$D:$D,"SPO",'caseload data'!$B:$B,{"licence","community"}))/SUM(SUMIFS('caseload data'!H:H,'caseload data'!$B:$B,{"licence","community"},'caseload data'!$C:$C,'community %'!$B$64)),"")</f>
        <v/>
      </c>
      <c r="G69" s="181" t="str">
        <f>IFERROR(SUM(SUMIFS('caseload data'!I:I,'caseload data'!$C:$C,'community %'!$B$64,'caseload data'!$D:$D,"SPO",'caseload data'!$B:$B,{"licence","community"}))/SUM(SUMIFS('caseload data'!I:I,'caseload data'!$B:$B,{"licence","community"},'caseload data'!$C:$C,'community %'!$B$64)),"")</f>
        <v/>
      </c>
      <c r="H69" s="181" t="str">
        <f>IFERROR(SUM(SUMIFS('caseload data'!J:J,'caseload data'!$C:$C,'community %'!$B$64,'caseload data'!$D:$D,"SPO",'caseload data'!$B:$B,{"licence","community"}))/SUM(SUMIFS('caseload data'!J:J,'caseload data'!$B:$B,{"licence","community"},'caseload data'!$C:$C,'community %'!$B$64)),"")</f>
        <v/>
      </c>
      <c r="I69" s="181" t="str">
        <f>IFERROR(SUM(SUMIFS('caseload data'!K:K,'caseload data'!$C:$C,'community %'!$B$64,'caseload data'!$D:$D,"SPO",'caseload data'!$B:$B,{"licence","community"}))/SUM(SUMIFS('caseload data'!K:K,'caseload data'!$B:$B,{"licence","community"},'caseload data'!$C:$C,'community %'!$B$64)),"")</f>
        <v/>
      </c>
      <c r="J69" s="181" t="str">
        <f>IFERROR(SUM(SUMIFS('caseload data'!L:L,'caseload data'!$C:$C,'community %'!$B$64,'caseload data'!$D:$D,"SPO",'caseload data'!$B:$B,{"licence","community"}))/SUM(SUMIFS('caseload data'!L:L,'caseload data'!$B:$B,{"licence","community"},'caseload data'!$C:$C,'community %'!$B$64)),"")</f>
        <v/>
      </c>
      <c r="K69" s="181" t="str">
        <f>IFERROR(SUM(SUMIFS('caseload data'!M:M,'caseload data'!$C:$C,'community %'!$B$64,'caseload data'!$D:$D,"SPO",'caseload data'!$B:$B,{"licence","community"}))/SUM(SUMIFS('caseload data'!M:M,'caseload data'!$B:$B,{"licence","community"},'caseload data'!$C:$C,'community %'!$B$64)),"")</f>
        <v/>
      </c>
      <c r="L69" s="181" t="str">
        <f>IFERROR(SUM(SUMIFS('caseload data'!N:N,'caseload data'!$C:$C,'community %'!$B$64,'caseload data'!$D:$D,"SPO",'caseload data'!$B:$B,{"licence","community"}))/SUM(SUMIFS('caseload data'!N:N,'caseload data'!$B:$B,{"licence","community"},'caseload data'!$C:$C,'community %'!$B$64)),"")</f>
        <v/>
      </c>
      <c r="M69" s="181" t="str">
        <f>IFERROR(SUM(SUMIFS('caseload data'!O:O,'caseload data'!$C:$C,'community %'!$B$64,'caseload data'!$D:$D,"SPO",'caseload data'!$B:$B,{"licence","community"}))/SUM(SUMIFS('caseload data'!O:O,'caseload data'!$B:$B,{"licence","community"},'caseload data'!$C:$C,'community %'!$B$64)),"")</f>
        <v/>
      </c>
      <c r="N69" s="181" t="str">
        <f>IFERROR(SUM(SUMIFS('caseload data'!P:P,'caseload data'!$C:$C,'community %'!$B$64,'caseload data'!$D:$D,"SPO",'caseload data'!$B:$B,{"licence","community"}))/SUM(SUMIFS('caseload data'!P:P,'caseload data'!$B:$B,{"licence","community"},'caseload data'!$C:$C,'community %'!$B$64)),"")</f>
        <v/>
      </c>
      <c r="O69" s="181" t="str">
        <f>IFERROR(SUM(SUMIFS('caseload data'!Q:Q,'caseload data'!$C:$C,'community %'!$B$64,'caseload data'!$D:$D,"SPO",'caseload data'!$B:$B,{"licence","community"}))/SUM(SUMIFS('caseload data'!Q:Q,'caseload data'!$B:$B,{"licence","community"},'caseload data'!$C:$C,'community %'!$B$64)),"")</f>
        <v/>
      </c>
      <c r="P69" s="181" t="str">
        <f>IFERROR(SUM(SUMIFS('caseload data'!R:R,'caseload data'!$C:$C,'community %'!$B$64,'caseload data'!$D:$D,"SPO",'caseload data'!$B:$B,{"licence","community"}))/SUM(SUMIFS('caseload data'!R:R,'caseload data'!$B:$B,{"licence","community"},'caseload data'!$C:$C,'community %'!$B$64)),"")</f>
        <v/>
      </c>
      <c r="Q69" s="181" t="str">
        <f>IFERROR(SUM(SUMIFS('caseload data'!S:S,'caseload data'!$C:$C,'community %'!$B$64,'caseload data'!$D:$D,"SPO",'caseload data'!$B:$B,{"licence","community"}))/SUM(SUMIFS('caseload data'!S:S,'caseload data'!$B:$B,{"licence","community"},'caseload data'!$C:$C,'community %'!$B$64)),"")</f>
        <v/>
      </c>
      <c r="R69" s="181" t="str">
        <f>IFERROR(SUM(SUMIFS('caseload data'!T:T,'caseload data'!$C:$C,'community %'!$B$64,'caseload data'!$D:$D,"SPO",'caseload data'!$B:$B,{"licence","community"}))/SUM(SUMIFS('caseload data'!T:T,'caseload data'!$B:$B,{"licence","community"},'caseload data'!$C:$C,'community %'!$B$64)),"")</f>
        <v/>
      </c>
      <c r="S69" s="73"/>
      <c r="T69" s="108" t="s">
        <v>914</v>
      </c>
      <c r="U69" s="181" t="str">
        <f>IFERROR(SUM(SUMIFS('caseload data'!E:E,'caseload data'!$C:$C,'community %'!$T$64,'caseload data'!$D:$D,"SPO",'caseload data'!$B:$B,{"licence","community"}))/SUM(SUMIFS('caseload data'!E:E,'caseload data'!$B:$B,{"licence","community"},'caseload data'!$C:$C,'community %'!$T$64)),"")</f>
        <v/>
      </c>
      <c r="V69" s="181" t="str">
        <f>IFERROR(SUM(SUMIFS('caseload data'!F:F,'caseload data'!$C:$C,'community %'!$T$64,'caseload data'!$D:$D,"SPO",'caseload data'!$B:$B,{"licence","community"}))/SUM(SUMIFS('caseload data'!F:F,'caseload data'!$B:$B,{"licence","community"},'caseload data'!$C:$C,'community %'!$T$64)),"")</f>
        <v/>
      </c>
      <c r="W69" s="181" t="str">
        <f>IFERROR(SUM(SUMIFS('caseload data'!G:G,'caseload data'!$C:$C,'community %'!$T$64,'caseload data'!$D:$D,"SPO",'caseload data'!$B:$B,{"licence","community"}))/SUM(SUMIFS('caseload data'!G:G,'caseload data'!$B:$B,{"licence","community"},'caseload data'!$C:$C,'community %'!$T$64)),"")</f>
        <v/>
      </c>
      <c r="X69" s="181" t="str">
        <f>IFERROR(SUM(SUMIFS('caseload data'!H:H,'caseload data'!$C:$C,'community %'!$T$64,'caseload data'!$D:$D,"SPO",'caseload data'!$B:$B,{"licence","community"}))/SUM(SUMIFS('caseload data'!H:H,'caseload data'!$B:$B,{"licence","community"},'caseload data'!$C:$C,'community %'!$T$64)),"")</f>
        <v/>
      </c>
      <c r="Y69" s="181" t="str">
        <f>IFERROR(SUM(SUMIFS('caseload data'!I:I,'caseload data'!$C:$C,'community %'!$T$64,'caseload data'!$D:$D,"SPO",'caseload data'!$B:$B,{"licence","community"}))/SUM(SUMIFS('caseload data'!I:I,'caseload data'!$B:$B,{"licence","community"},'caseload data'!$C:$C,'community %'!$T$64)),"")</f>
        <v/>
      </c>
      <c r="Z69" s="181" t="str">
        <f>IFERROR(SUM(SUMIFS('caseload data'!J:J,'caseload data'!$C:$C,'community %'!$T$64,'caseload data'!$D:$D,"SPO",'caseload data'!$B:$B,{"licence","community"}))/SUM(SUMIFS('caseload data'!J:J,'caseload data'!$B:$B,{"licence","community"},'caseload data'!$C:$C,'community %'!$T$64)),"")</f>
        <v/>
      </c>
      <c r="AA69" s="181" t="str">
        <f>IFERROR(SUM(SUMIFS('caseload data'!K:K,'caseload data'!$C:$C,'community %'!$T$64,'caseload data'!$D:$D,"SPO",'caseload data'!$B:$B,{"licence","community"}))/SUM(SUMIFS('caseload data'!K:K,'caseload data'!$B:$B,{"licence","community"},'caseload data'!$C:$C,'community %'!$T$64)),"")</f>
        <v/>
      </c>
      <c r="AB69" s="181" t="str">
        <f>IFERROR(SUM(SUMIFS('caseload data'!L:L,'caseload data'!$C:$C,'community %'!$T$64,'caseload data'!$D:$D,"SPO",'caseload data'!$B:$B,{"licence","community"}))/SUM(SUMIFS('caseload data'!L:L,'caseload data'!$B:$B,{"licence","community"},'caseload data'!$C:$C,'community %'!$T$64)),"")</f>
        <v/>
      </c>
      <c r="AC69" s="181" t="str">
        <f>IFERROR(SUM(SUMIFS('caseload data'!M:M,'caseload data'!$C:$C,'community %'!$T$64,'caseload data'!$D:$D,"SPO",'caseload data'!$B:$B,{"licence","community"}))/SUM(SUMIFS('caseload data'!M:M,'caseload data'!$B:$B,{"licence","community"},'caseload data'!$C:$C,'community %'!$T$64)),"")</f>
        <v/>
      </c>
      <c r="AD69" s="181" t="str">
        <f>IFERROR(SUM(SUMIFS('caseload data'!N:N,'caseload data'!$C:$C,'community %'!$T$64,'caseload data'!$D:$D,"SPO",'caseload data'!$B:$B,{"licence","community"}))/SUM(SUMIFS('caseload data'!N:N,'caseload data'!$B:$B,{"licence","community"},'caseload data'!$C:$C,'community %'!$T$64)),"")</f>
        <v/>
      </c>
      <c r="AE69" s="181" t="str">
        <f>IFERROR(SUM(SUMIFS('caseload data'!O:O,'caseload data'!$C:$C,'community %'!$T$64,'caseload data'!$D:$D,"SPO",'caseload data'!$B:$B,{"licence","community"}))/SUM(SUMIFS('caseload data'!O:O,'caseload data'!$B:$B,{"licence","community"},'caseload data'!$C:$C,'community %'!$T$64)),"")</f>
        <v/>
      </c>
      <c r="AF69" s="181" t="str">
        <f>IFERROR(SUM(SUMIFS('caseload data'!P:P,'caseload data'!$C:$C,'community %'!$T$64,'caseload data'!$D:$D,"SPO",'caseload data'!$B:$B,{"licence","community"}))/SUM(SUMIFS('caseload data'!P:P,'caseload data'!$B:$B,{"licence","community"},'caseload data'!$C:$C,'community %'!$T$64)),"")</f>
        <v/>
      </c>
      <c r="AG69" s="181" t="str">
        <f>IFERROR(SUM(SUMIFS('caseload data'!Q:Q,'caseload data'!$C:$C,'community %'!$T$64,'caseload data'!$D:$D,"SPO",'caseload data'!$B:$B,{"licence","community"}))/SUM(SUMIFS('caseload data'!Q:Q,'caseload data'!$B:$B,{"licence","community"},'caseload data'!$C:$C,'community %'!$T$64)),"")</f>
        <v/>
      </c>
      <c r="AH69" s="181" t="str">
        <f>IFERROR(SUM(SUMIFS('caseload data'!R:R,'caseload data'!$C:$C,'community %'!$T$64,'caseload data'!$D:$D,"SPO",'caseload data'!$B:$B,{"licence","community"}))/SUM(SUMIFS('caseload data'!R:R,'caseload data'!$B:$B,{"licence","community"},'caseload data'!$C:$C,'community %'!$T$64)),"")</f>
        <v/>
      </c>
      <c r="AI69" s="181" t="str">
        <f>IFERROR(SUM(SUMIFS('caseload data'!S:S,'caseload data'!$C:$C,'community %'!$T$64,'caseload data'!$D:$D,"SPO",'caseload data'!$B:$B,{"licence","community"}))/SUM(SUMIFS('caseload data'!S:S,'caseload data'!$B:$B,{"licence","community"},'caseload data'!$C:$C,'community %'!$T$64)),"")</f>
        <v/>
      </c>
      <c r="AJ69" s="181" t="str">
        <f>IFERROR(SUM(SUMIFS('caseload data'!T:T,'caseload data'!$C:$C,'community %'!$T$64,'caseload data'!$D:$D,"SPO",'caseload data'!$B:$B,{"licence","community"}))/SUM(SUMIFS('caseload data'!T:T,'caseload data'!$B:$B,{"licence","community"},'caseload data'!$C:$C,'community %'!$T$64)),"")</f>
        <v/>
      </c>
    </row>
    <row r="71" spans="2:36" x14ac:dyDescent="0.15">
      <c r="B71" s="156" t="str">
        <f>HLOOKUP($B$5,Region_Table,20,0)</f>
        <v>Redbridge and Waltham Forest</v>
      </c>
      <c r="C71" s="367" t="s">
        <v>1170</v>
      </c>
      <c r="D71" s="368"/>
      <c r="E71" s="368"/>
      <c r="F71" s="368"/>
      <c r="G71" s="368"/>
      <c r="H71" s="368"/>
      <c r="I71" s="368"/>
      <c r="J71" s="368"/>
      <c r="K71" s="368"/>
      <c r="L71" s="368"/>
      <c r="M71" s="377"/>
      <c r="N71" s="377"/>
      <c r="O71" s="378"/>
      <c r="P71" s="371" cm="1">
        <f t="array" ref="P71">SUM(SUMIFS('caseload data'!V:V,'caseload data'!B:B,{"licence","community"},'caseload data'!$C:$C,B71))</f>
        <v>0</v>
      </c>
      <c r="Q71" s="379"/>
      <c r="R71" s="380"/>
      <c r="T71" s="156" t="str">
        <f>HLOOKUP($B$5,Region_Table,21,0)</f>
        <v>Southwark - N07</v>
      </c>
      <c r="U71" s="367" t="s">
        <v>1170</v>
      </c>
      <c r="V71" s="368"/>
      <c r="W71" s="368"/>
      <c r="X71" s="368"/>
      <c r="Y71" s="368"/>
      <c r="Z71" s="368"/>
      <c r="AA71" s="368"/>
      <c r="AB71" s="368"/>
      <c r="AC71" s="368"/>
      <c r="AD71" s="368"/>
      <c r="AE71" s="377"/>
      <c r="AF71" s="377"/>
      <c r="AG71" s="378"/>
      <c r="AH71" s="371" cm="1">
        <f t="array" ref="AH71">SUM(SUMIFS('caseload data'!V:V,'caseload data'!B:B,{"licence","community"},'caseload data'!$C:$C,T71))</f>
        <v>0</v>
      </c>
      <c r="AI71" s="379"/>
      <c r="AJ71" s="380"/>
    </row>
    <row r="72" spans="2:36" x14ac:dyDescent="0.15">
      <c r="B72" s="105" t="s">
        <v>1065</v>
      </c>
      <c r="C72" s="41" t="s">
        <v>922</v>
      </c>
      <c r="D72" s="41" t="s">
        <v>923</v>
      </c>
      <c r="E72" s="41" t="s">
        <v>924</v>
      </c>
      <c r="F72" s="41" t="s">
        <v>925</v>
      </c>
      <c r="G72" s="41" t="s">
        <v>926</v>
      </c>
      <c r="H72" s="41" t="s">
        <v>927</v>
      </c>
      <c r="I72" s="41" t="s">
        <v>928</v>
      </c>
      <c r="J72" s="41" t="s">
        <v>929</v>
      </c>
      <c r="K72" s="41" t="s">
        <v>930</v>
      </c>
      <c r="L72" s="41" t="s">
        <v>931</v>
      </c>
      <c r="M72" s="41" t="s">
        <v>932</v>
      </c>
      <c r="N72" s="41" t="s">
        <v>933</v>
      </c>
      <c r="O72" s="41" t="s">
        <v>934</v>
      </c>
      <c r="P72" s="41" t="s">
        <v>935</v>
      </c>
      <c r="Q72" s="41" t="s">
        <v>936</v>
      </c>
      <c r="R72" s="41" t="s">
        <v>937</v>
      </c>
      <c r="T72" s="105" t="s">
        <v>1065</v>
      </c>
      <c r="U72" s="41" t="s">
        <v>922</v>
      </c>
      <c r="V72" s="41" t="s">
        <v>923</v>
      </c>
      <c r="W72" s="41" t="s">
        <v>924</v>
      </c>
      <c r="X72" s="41" t="s">
        <v>925</v>
      </c>
      <c r="Y72" s="41" t="s">
        <v>926</v>
      </c>
      <c r="Z72" s="41" t="s">
        <v>927</v>
      </c>
      <c r="AA72" s="41" t="s">
        <v>928</v>
      </c>
      <c r="AB72" s="41" t="s">
        <v>929</v>
      </c>
      <c r="AC72" s="41" t="s">
        <v>930</v>
      </c>
      <c r="AD72" s="41" t="s">
        <v>931</v>
      </c>
      <c r="AE72" s="41" t="s">
        <v>932</v>
      </c>
      <c r="AF72" s="41" t="s">
        <v>933</v>
      </c>
      <c r="AG72" s="41" t="s">
        <v>934</v>
      </c>
      <c r="AH72" s="41" t="s">
        <v>935</v>
      </c>
      <c r="AI72" s="41" t="s">
        <v>936</v>
      </c>
      <c r="AJ72" s="41" t="s">
        <v>937</v>
      </c>
    </row>
    <row r="73" spans="2:36" x14ac:dyDescent="0.15">
      <c r="B73" s="106" t="s">
        <v>911</v>
      </c>
      <c r="C73" s="181" t="str">
        <f>IFERROR(SUM(SUMIFS('caseload data'!E:E,'caseload data'!$C:$C,'community %'!$B$71,'caseload data'!$D:$D,"PO",'caseload data'!$B:$B,{"licence","community"}))/SUM(SUMIFS('caseload data'!E:E,'caseload data'!$B:$B,{"licence","community"},'caseload data'!$C:$C,'community %'!$B$71)),"")</f>
        <v/>
      </c>
      <c r="D73" s="181" t="str">
        <f>IFERROR(SUM(SUMIFS('caseload data'!F:F,'caseload data'!$C:$C,'community %'!$B$71,'caseload data'!$D:$D,"PO",'caseload data'!$B:$B,{"licence","community"}))/SUM(SUMIFS('caseload data'!F:F,'caseload data'!$B:$B,{"licence","community"},'caseload data'!$C:$C,'community %'!$B$71)),"")</f>
        <v/>
      </c>
      <c r="E73" s="181" t="str">
        <f>IFERROR(SUM(SUMIFS('caseload data'!G:G,'caseload data'!$C:$C,'community %'!$B$71,'caseload data'!$D:$D,"PO",'caseload data'!$B:$B,{"licence","community"}))/SUM(SUMIFS('caseload data'!G:G,'caseload data'!$B:$B,{"licence","community"},'caseload data'!$C:$C,'community %'!$B$71)),"")</f>
        <v/>
      </c>
      <c r="F73" s="181" t="str">
        <f>IFERROR(SUM(SUMIFS('caseload data'!H:H,'caseload data'!$C:$C,'community %'!$B$71,'caseload data'!$D:$D,"PO",'caseload data'!$B:$B,{"licence","community"}))/SUM(SUMIFS('caseload data'!H:H,'caseload data'!$B:$B,{"licence","community"},'caseload data'!$C:$C,'community %'!$B$71)),"")</f>
        <v/>
      </c>
      <c r="G73" s="181" t="str">
        <f>IFERROR(SUM(SUMIFS('caseload data'!I:I,'caseload data'!$C:$C,'community %'!$B$71,'caseload data'!$D:$D,"PO",'caseload data'!$B:$B,{"licence","community"}))/SUM(SUMIFS('caseload data'!I:I,'caseload data'!$B:$B,{"licence","community"},'caseload data'!$C:$C,'community %'!$B$71)),"")</f>
        <v/>
      </c>
      <c r="H73" s="181" t="str">
        <f>IFERROR(SUM(SUMIFS('caseload data'!J:J,'caseload data'!$C:$C,'community %'!$B$71,'caseload data'!$D:$D,"PO",'caseload data'!$B:$B,{"licence","community"}))/SUM(SUMIFS('caseload data'!J:J,'caseload data'!$B:$B,{"licence","community"},'caseload data'!$C:$C,'community %'!$B$71)),"")</f>
        <v/>
      </c>
      <c r="I73" s="181" t="str">
        <f>IFERROR(SUM(SUMIFS('caseload data'!K:K,'caseload data'!$C:$C,'community %'!$B$71,'caseload data'!$D:$D,"PO",'caseload data'!$B:$B,{"licence","community"}))/SUM(SUMIFS('caseload data'!K:K,'caseload data'!$B:$B,{"licence","community"},'caseload data'!$C:$C,'community %'!$B$71)),"")</f>
        <v/>
      </c>
      <c r="J73" s="181" t="str">
        <f>IFERROR(SUM(SUMIFS('caseload data'!L:L,'caseload data'!$C:$C,'community %'!$B$71,'caseload data'!$D:$D,"PO",'caseload data'!$B:$B,{"licence","community"}))/SUM(SUMIFS('caseload data'!L:L,'caseload data'!$B:$B,{"licence","community"},'caseload data'!$C:$C,'community %'!$B$71)),"")</f>
        <v/>
      </c>
      <c r="K73" s="181" t="str">
        <f>IFERROR(SUM(SUMIFS('caseload data'!M:M,'caseload data'!$C:$C,'community %'!$B$71,'caseload data'!$D:$D,"PO",'caseload data'!$B:$B,{"licence","community"}))/SUM(SUMIFS('caseload data'!M:M,'caseload data'!$B:$B,{"licence","community"},'caseload data'!$C:$C,'community %'!$B$71)),"")</f>
        <v/>
      </c>
      <c r="L73" s="181" t="str">
        <f>IFERROR(SUM(SUMIFS('caseload data'!N:N,'caseload data'!$C:$C,'community %'!$B$71,'caseload data'!$D:$D,"PO",'caseload data'!$B:$B,{"licence","community"}))/SUM(SUMIFS('caseload data'!N:N,'caseload data'!$B:$B,{"licence","community"},'caseload data'!$C:$C,'community %'!$B$71)),"")</f>
        <v/>
      </c>
      <c r="M73" s="181" t="str">
        <f>IFERROR(SUM(SUMIFS('caseload data'!O:O,'caseload data'!$C:$C,'community %'!$B$71,'caseload data'!$D:$D,"PO",'caseload data'!$B:$B,{"licence","community"}))/SUM(SUMIFS('caseload data'!O:O,'caseload data'!$B:$B,{"licence","community"},'caseload data'!$C:$C,'community %'!$B$71)),"")</f>
        <v/>
      </c>
      <c r="N73" s="181" t="str">
        <f>IFERROR(SUM(SUMIFS('caseload data'!P:P,'caseload data'!$C:$C,'community %'!$B$71,'caseload data'!$D:$D,"PO",'caseload data'!$B:$B,{"licence","community"}))/SUM(SUMIFS('caseload data'!P:P,'caseload data'!$B:$B,{"licence","community"},'caseload data'!$C:$C,'community %'!$B$71)),"")</f>
        <v/>
      </c>
      <c r="O73" s="181" t="str">
        <f>IFERROR(SUM(SUMIFS('caseload data'!Q:Q,'caseload data'!$C:$C,'community %'!$B$71,'caseload data'!$D:$D,"PO",'caseload data'!$B:$B,{"licence","community"}))/SUM(SUMIFS('caseload data'!Q:Q,'caseload data'!$B:$B,{"licence","community"},'caseload data'!$C:$C,'community %'!$B$71)),"")</f>
        <v/>
      </c>
      <c r="P73" s="181" t="str">
        <f>IFERROR(SUM(SUMIFS('caseload data'!R:R,'caseload data'!$C:$C,'community %'!$B$71,'caseload data'!$D:$D,"PO",'caseload data'!$B:$B,{"licence","community"}))/SUM(SUMIFS('caseload data'!R:R,'caseload data'!$B:$B,{"licence","community"},'caseload data'!$C:$C,'community %'!$B$71)),"")</f>
        <v/>
      </c>
      <c r="Q73" s="181" t="str">
        <f>IFERROR(SUM(SUMIFS('caseload data'!S:S,'caseload data'!$C:$C,'community %'!$B$71,'caseload data'!$D:$D,"PO",'caseload data'!$B:$B,{"licence","community"}))/SUM(SUMIFS('caseload data'!S:S,'caseload data'!$B:$B,{"licence","community"},'caseload data'!$C:$C,'community %'!$B$71)),"")</f>
        <v/>
      </c>
      <c r="R73" s="181" t="str">
        <f>IFERROR(SUM(SUMIFS('caseload data'!T:T,'caseload data'!$C:$C,'community %'!$B$71,'caseload data'!$D:$D,"PO",'caseload data'!$B:$B,{"licence","community"}))/SUM(SUMIFS('caseload data'!T:T,'caseload data'!$B:$B,{"licence","community"},'caseload data'!$C:$C,'community %'!$B$71)),"")</f>
        <v/>
      </c>
      <c r="T73" s="106" t="s">
        <v>911</v>
      </c>
      <c r="U73" s="181" t="str" cm="1">
        <f t="array" ref="U73">IFERROR(SUM(SUMIFS('caseload data'!E:E,'caseload data'!$C:$C,'community %'!$T$71,'caseload data'!$D:$D,"PO",'caseload data'!$B:$B,{"licence","community"}))/SUM(SUMIFS('caseload data'!E:E,'caseload data'!$B:$B,{"licence","community"},'caseload data'!$C:$C,'community %'!$T$71)),"")</f>
        <v/>
      </c>
      <c r="V73" s="181" t="str" cm="1">
        <f t="array" ref="V73">IFERROR(SUM(SUMIFS('caseload data'!F:F,'caseload data'!$C:$C,'community %'!$T$71,'caseload data'!$D:$D,"PO",'caseload data'!$B:$B,{"licence","community"}))/SUM(SUMIFS('caseload data'!F:F,'caseload data'!$B:$B,{"licence","community"},'caseload data'!$C:$C,'community %'!$T$71)),"")</f>
        <v/>
      </c>
      <c r="W73" s="181" t="str" cm="1">
        <f t="array" ref="W73">IFERROR(SUM(SUMIFS('caseload data'!G:G,'caseload data'!$C:$C,'community %'!$T$71,'caseload data'!$D:$D,"PO",'caseload data'!$B:$B,{"licence","community"}))/SUM(SUMIFS('caseload data'!G:G,'caseload data'!$B:$B,{"licence","community"},'caseload data'!$C:$C,'community %'!$T$71)),"")</f>
        <v/>
      </c>
      <c r="X73" s="181" t="str" cm="1">
        <f t="array" ref="X73">IFERROR(SUM(SUMIFS('caseload data'!H:H,'caseload data'!$C:$C,'community %'!$T$71,'caseload data'!$D:$D,"PO",'caseload data'!$B:$B,{"licence","community"}))/SUM(SUMIFS('caseload data'!H:H,'caseload data'!$B:$B,{"licence","community"},'caseload data'!$C:$C,'community %'!$T$71)),"")</f>
        <v/>
      </c>
      <c r="Y73" s="181" t="str" cm="1">
        <f t="array" ref="Y73">IFERROR(SUM(SUMIFS('caseload data'!I:I,'caseload data'!$C:$C,'community %'!$T$71,'caseload data'!$D:$D,"PO",'caseload data'!$B:$B,{"licence","community"}))/SUM(SUMIFS('caseload data'!I:I,'caseload data'!$B:$B,{"licence","community"},'caseload data'!$C:$C,'community %'!$T$71)),"")</f>
        <v/>
      </c>
      <c r="Z73" s="181" t="str" cm="1">
        <f t="array" ref="Z73">IFERROR(SUM(SUMIFS('caseload data'!J:J,'caseload data'!$C:$C,'community %'!$T$71,'caseload data'!$D:$D,"PO",'caseload data'!$B:$B,{"licence","community"}))/SUM(SUMIFS('caseload data'!J:J,'caseload data'!$B:$B,{"licence","community"},'caseload data'!$C:$C,'community %'!$T$71)),"")</f>
        <v/>
      </c>
      <c r="AA73" s="181" t="str" cm="1">
        <f t="array" ref="AA73">IFERROR(SUM(SUMIFS('caseload data'!K:K,'caseload data'!$C:$C,'community %'!$T$71,'caseload data'!$D:$D,"PO",'caseload data'!$B:$B,{"licence","community"}))/SUM(SUMIFS('caseload data'!K:K,'caseload data'!$B:$B,{"licence","community"},'caseload data'!$C:$C,'community %'!$T$71)),"")</f>
        <v/>
      </c>
      <c r="AB73" s="181" t="str" cm="1">
        <f t="array" ref="AB73">IFERROR(SUM(SUMIFS('caseload data'!L:L,'caseload data'!$C:$C,'community %'!$T$71,'caseload data'!$D:$D,"PO",'caseload data'!$B:$B,{"licence","community"}))/SUM(SUMIFS('caseload data'!L:L,'caseload data'!$B:$B,{"licence","community"},'caseload data'!$C:$C,'community %'!$T$71)),"")</f>
        <v/>
      </c>
      <c r="AC73" s="181" t="str" cm="1">
        <f t="array" ref="AC73">IFERROR(SUM(SUMIFS('caseload data'!M:M,'caseload data'!$C:$C,'community %'!$T$71,'caseload data'!$D:$D,"PO",'caseload data'!$B:$B,{"licence","community"}))/SUM(SUMIFS('caseload data'!M:M,'caseload data'!$B:$B,{"licence","community"},'caseload data'!$C:$C,'community %'!$T$71)),"")</f>
        <v/>
      </c>
      <c r="AD73" s="181" t="str" cm="1">
        <f t="array" ref="AD73">IFERROR(SUM(SUMIFS('caseload data'!N:N,'caseload data'!$C:$C,'community %'!$T$71,'caseload data'!$D:$D,"PO",'caseload data'!$B:$B,{"licence","community"}))/SUM(SUMIFS('caseload data'!N:N,'caseload data'!$B:$B,{"licence","community"},'caseload data'!$C:$C,'community %'!$T$71)),"")</f>
        <v/>
      </c>
      <c r="AE73" s="181" t="str" cm="1">
        <f t="array" ref="AE73">IFERROR(SUM(SUMIFS('caseload data'!O:O,'caseload data'!$C:$C,'community %'!$T$71,'caseload data'!$D:$D,"PO",'caseload data'!$B:$B,{"licence","community"}))/SUM(SUMIFS('caseload data'!O:O,'caseload data'!$B:$B,{"licence","community"},'caseload data'!$C:$C,'community %'!$T$71)),"")</f>
        <v/>
      </c>
      <c r="AF73" s="181" t="str" cm="1">
        <f t="array" ref="AF73">IFERROR(SUM(SUMIFS('caseload data'!P:P,'caseload data'!$C:$C,'community %'!$T$71,'caseload data'!$D:$D,"PO",'caseload data'!$B:$B,{"licence","community"}))/SUM(SUMIFS('caseload data'!P:P,'caseload data'!$B:$B,{"licence","community"},'caseload data'!$C:$C,'community %'!$T$71)),"")</f>
        <v/>
      </c>
      <c r="AG73" s="181" t="str" cm="1">
        <f t="array" ref="AG73">IFERROR(SUM(SUMIFS('caseload data'!Q:Q,'caseload data'!$C:$C,'community %'!$T$71,'caseload data'!$D:$D,"PO",'caseload data'!$B:$B,{"licence","community"}))/SUM(SUMIFS('caseload data'!Q:Q,'caseload data'!$B:$B,{"licence","community"},'caseload data'!$C:$C,'community %'!$T$71)),"")</f>
        <v/>
      </c>
      <c r="AH73" s="181" t="str" cm="1">
        <f t="array" ref="AH73">IFERROR(SUM(SUMIFS('caseload data'!R:R,'caseload data'!$C:$C,'community %'!$T$71,'caseload data'!$D:$D,"PO",'caseload data'!$B:$B,{"licence","community"}))/SUM(SUMIFS('caseload data'!R:R,'caseload data'!$B:$B,{"licence","community"},'caseload data'!$C:$C,'community %'!$T$71)),"")</f>
        <v/>
      </c>
      <c r="AI73" s="181" t="str" cm="1">
        <f t="array" ref="AI73">IFERROR(SUM(SUMIFS('caseload data'!S:S,'caseload data'!$C:$C,'community %'!$T$71,'caseload data'!$D:$D,"PO",'caseload data'!$B:$B,{"licence","community"}))/SUM(SUMIFS('caseload data'!S:S,'caseload data'!$B:$B,{"licence","community"},'caseload data'!$C:$C,'community %'!$T$71)),"")</f>
        <v/>
      </c>
      <c r="AJ73" s="181" t="str" cm="1">
        <f t="array" ref="AJ73">IFERROR(SUM(SUMIFS('caseload data'!T:T,'caseload data'!$C:$C,'community %'!$T$71,'caseload data'!$D:$D,"PO",'caseload data'!$B:$B,{"licence","community"}))/SUM(SUMIFS('caseload data'!T:T,'caseload data'!$B:$B,{"licence","community"},'caseload data'!$C:$C,'community %'!$T$71)),"")</f>
        <v/>
      </c>
    </row>
    <row r="74" spans="2:36" x14ac:dyDescent="0.15">
      <c r="B74" s="107" t="s">
        <v>912</v>
      </c>
      <c r="C74" s="181" t="str">
        <f>IFERROR(SUM(SUMIFS('caseload data'!E:E,'caseload data'!$C:$C,'community %'!$B$71,'caseload data'!$D:$D,"PSO",'caseload data'!$B:$B,{"licence","community"}))/SUM(SUMIFS('caseload data'!E:E,'caseload data'!$B:$B,{"licence","community"},'caseload data'!$C:$C,'community %'!$B$71)),"")</f>
        <v/>
      </c>
      <c r="D74" s="181" t="str">
        <f>IFERROR(SUM(SUMIFS('caseload data'!F:F,'caseload data'!$C:$C,'community %'!$B$71,'caseload data'!$D:$D,"PSO",'caseload data'!$B:$B,{"licence","community"}))/SUM(SUMIFS('caseload data'!F:F,'caseload data'!$B:$B,{"licence","community"},'caseload data'!$C:$C,'community %'!$B$71)),"")</f>
        <v/>
      </c>
      <c r="E74" s="181" t="str">
        <f>IFERROR(SUM(SUMIFS('caseload data'!G:G,'caseload data'!$C:$C,'community %'!$B$71,'caseload data'!$D:$D,"PSO",'caseload data'!$B:$B,{"licence","community"}))/SUM(SUMIFS('caseload data'!G:G,'caseload data'!$B:$B,{"licence","community"},'caseload data'!$C:$C,'community %'!$B$71)),"")</f>
        <v/>
      </c>
      <c r="F74" s="181" t="str">
        <f>IFERROR(SUM(SUMIFS('caseload data'!H:H,'caseload data'!$C:$C,'community %'!$B$71,'caseload data'!$D:$D,"PSO",'caseload data'!$B:$B,{"licence","community"}))/SUM(SUMIFS('caseload data'!H:H,'caseload data'!$B:$B,{"licence","community"},'caseload data'!$C:$C,'community %'!$B$71)),"")</f>
        <v/>
      </c>
      <c r="G74" s="181" t="str">
        <f>IFERROR(SUM(SUMIFS('caseload data'!I:I,'caseload data'!$C:$C,'community %'!$B$71,'caseload data'!$D:$D,"PSO",'caseload data'!$B:$B,{"licence","community"}))/SUM(SUMIFS('caseload data'!I:I,'caseload data'!$B:$B,{"licence","community"},'caseload data'!$C:$C,'community %'!$B$71)),"")</f>
        <v/>
      </c>
      <c r="H74" s="181" t="str">
        <f>IFERROR(SUM(SUMIFS('caseload data'!J:J,'caseload data'!$C:$C,'community %'!$B$71,'caseload data'!$D:$D,"PSO",'caseload data'!$B:$B,{"licence","community"}))/SUM(SUMIFS('caseload data'!J:J,'caseload data'!$B:$B,{"licence","community"},'caseload data'!$C:$C,'community %'!$B$71)),"")</f>
        <v/>
      </c>
      <c r="I74" s="181" t="str">
        <f>IFERROR(SUM(SUMIFS('caseload data'!K:K,'caseload data'!$C:$C,'community %'!$B$71,'caseload data'!$D:$D,"PSO",'caseload data'!$B:$B,{"licence","community"}))/SUM(SUMIFS('caseload data'!K:K,'caseload data'!$B:$B,{"licence","community"},'caseload data'!$C:$C,'community %'!$B$71)),"")</f>
        <v/>
      </c>
      <c r="J74" s="181" t="str">
        <f>IFERROR(SUM(SUMIFS('caseload data'!L:L,'caseload data'!$C:$C,'community %'!$B$71,'caseload data'!$D:$D,"PSO",'caseload data'!$B:$B,{"licence","community"}))/SUM(SUMIFS('caseload data'!L:L,'caseload data'!$B:$B,{"licence","community"},'caseload data'!$C:$C,'community %'!$B$71)),"")</f>
        <v/>
      </c>
      <c r="K74" s="181" t="str">
        <f>IFERROR(SUM(SUMIFS('caseload data'!M:M,'caseload data'!$C:$C,'community %'!$B$71,'caseload data'!$D:$D,"PSO",'caseload data'!$B:$B,{"licence","community"}))/SUM(SUMIFS('caseload data'!M:M,'caseload data'!$B:$B,{"licence","community"},'caseload data'!$C:$C,'community %'!$B$71)),"")</f>
        <v/>
      </c>
      <c r="L74" s="181" t="str">
        <f>IFERROR(SUM(SUMIFS('caseload data'!N:N,'caseload data'!$C:$C,'community %'!$B$71,'caseload data'!$D:$D,"PSO",'caseload data'!$B:$B,{"licence","community"}))/SUM(SUMIFS('caseload data'!N:N,'caseload data'!$B:$B,{"licence","community"},'caseload data'!$C:$C,'community %'!$B$71)),"")</f>
        <v/>
      </c>
      <c r="M74" s="181" t="str">
        <f>IFERROR(SUM(SUMIFS('caseload data'!O:O,'caseload data'!$C:$C,'community %'!$B$71,'caseload data'!$D:$D,"PSO",'caseload data'!$B:$B,{"licence","community"}))/SUM(SUMIFS('caseload data'!O:O,'caseload data'!$B:$B,{"licence","community"},'caseload data'!$C:$C,'community %'!$B$71)),"")</f>
        <v/>
      </c>
      <c r="N74" s="181" t="str">
        <f>IFERROR(SUM(SUMIFS('caseload data'!P:P,'caseload data'!$C:$C,'community %'!$B$71,'caseload data'!$D:$D,"PSO",'caseload data'!$B:$B,{"licence","community"}))/SUM(SUMIFS('caseload data'!P:P,'caseload data'!$B:$B,{"licence","community"},'caseload data'!$C:$C,'community %'!$B$71)),"")</f>
        <v/>
      </c>
      <c r="O74" s="181" t="str">
        <f>IFERROR(SUM(SUMIFS('caseload data'!Q:Q,'caseload data'!$C:$C,'community %'!$B$71,'caseload data'!$D:$D,"PSO",'caseload data'!$B:$B,{"licence","community"}))/SUM(SUMIFS('caseload data'!Q:Q,'caseload data'!$B:$B,{"licence","community"},'caseload data'!$C:$C,'community %'!$B$71)),"")</f>
        <v/>
      </c>
      <c r="P74" s="181" t="str">
        <f>IFERROR(SUM(SUMIFS('caseload data'!R:R,'caseload data'!$C:$C,'community %'!$B$71,'caseload data'!$D:$D,"PSO",'caseload data'!$B:$B,{"licence","community"}))/SUM(SUMIFS('caseload data'!R:R,'caseload data'!$B:$B,{"licence","community"},'caseload data'!$C:$C,'community %'!$B$71)),"")</f>
        <v/>
      </c>
      <c r="Q74" s="181" t="str">
        <f>IFERROR(SUM(SUMIFS('caseload data'!S:S,'caseload data'!$C:$C,'community %'!$B$71,'caseload data'!$D:$D,"PSO",'caseload data'!$B:$B,{"licence","community"}))/SUM(SUMIFS('caseload data'!S:S,'caseload data'!$B:$B,{"licence","community"},'caseload data'!$C:$C,'community %'!$B$71)),"")</f>
        <v/>
      </c>
      <c r="R74" s="181" t="str">
        <f>IFERROR(SUM(SUMIFS('caseload data'!T:T,'caseload data'!$C:$C,'community %'!$B$71,'caseload data'!$D:$D,"PSO",'caseload data'!$B:$B,{"licence","community"}))/SUM(SUMIFS('caseload data'!T:T,'caseload data'!$B:$B,{"licence","community"},'caseload data'!$C:$C,'community %'!$B$71)),"")</f>
        <v/>
      </c>
      <c r="T74" s="107" t="s">
        <v>912</v>
      </c>
      <c r="U74" s="181" t="str" cm="1">
        <f t="array" ref="U74">IFERROR(SUM(SUMIFS('caseload data'!E:E,'caseload data'!$C:$C,'community %'!$T$71,'caseload data'!$D:$D,"PSO",'caseload data'!$B:$B,{"licence","community"}))/SUM(SUMIFS('caseload data'!E:E,'caseload data'!$B:$B,{"licence","community"},'caseload data'!$C:$C,'community %'!$T$71)),"")</f>
        <v/>
      </c>
      <c r="V74" s="181" t="str" cm="1">
        <f t="array" ref="V74">IFERROR(SUM(SUMIFS('caseload data'!F:F,'caseload data'!$C:$C,'community %'!$T$71,'caseload data'!$D:$D,"PSO",'caseload data'!$B:$B,{"licence","community"}))/SUM(SUMIFS('caseload data'!F:F,'caseload data'!$B:$B,{"licence","community"},'caseload data'!$C:$C,'community %'!$T$71)),"")</f>
        <v/>
      </c>
      <c r="W74" s="181" t="str" cm="1">
        <f t="array" ref="W74">IFERROR(SUM(SUMIFS('caseload data'!G:G,'caseload data'!$C:$C,'community %'!$T$71,'caseload data'!$D:$D,"PSO",'caseload data'!$B:$B,{"licence","community"}))/SUM(SUMIFS('caseload data'!G:G,'caseload data'!$B:$B,{"licence","community"},'caseload data'!$C:$C,'community %'!$T$71)),"")</f>
        <v/>
      </c>
      <c r="X74" s="181" t="str" cm="1">
        <f t="array" ref="X74">IFERROR(SUM(SUMIFS('caseload data'!H:H,'caseload data'!$C:$C,'community %'!$T$71,'caseload data'!$D:$D,"PSO",'caseload data'!$B:$B,{"licence","community"}))/SUM(SUMIFS('caseload data'!H:H,'caseload data'!$B:$B,{"licence","community"},'caseload data'!$C:$C,'community %'!$T$71)),"")</f>
        <v/>
      </c>
      <c r="Y74" s="181" t="str" cm="1">
        <f t="array" ref="Y74">IFERROR(SUM(SUMIFS('caseload data'!I:I,'caseload data'!$C:$C,'community %'!$T$71,'caseload data'!$D:$D,"PSO",'caseload data'!$B:$B,{"licence","community"}))/SUM(SUMIFS('caseload data'!I:I,'caseload data'!$B:$B,{"licence","community"},'caseload data'!$C:$C,'community %'!$T$71)),"")</f>
        <v/>
      </c>
      <c r="Z74" s="181" t="str" cm="1">
        <f t="array" ref="Z74">IFERROR(SUM(SUMIFS('caseload data'!J:J,'caseload data'!$C:$C,'community %'!$T$71,'caseload data'!$D:$D,"PSO",'caseload data'!$B:$B,{"licence","community"}))/SUM(SUMIFS('caseload data'!J:J,'caseload data'!$B:$B,{"licence","community"},'caseload data'!$C:$C,'community %'!$T$71)),"")</f>
        <v/>
      </c>
      <c r="AA74" s="181" t="str" cm="1">
        <f t="array" ref="AA74">IFERROR(SUM(SUMIFS('caseload data'!K:K,'caseload data'!$C:$C,'community %'!$T$71,'caseload data'!$D:$D,"PSO",'caseload data'!$B:$B,{"licence","community"}))/SUM(SUMIFS('caseload data'!K:K,'caseload data'!$B:$B,{"licence","community"},'caseload data'!$C:$C,'community %'!$T$71)),"")</f>
        <v/>
      </c>
      <c r="AB74" s="181" t="str" cm="1">
        <f t="array" ref="AB74">IFERROR(SUM(SUMIFS('caseload data'!L:L,'caseload data'!$C:$C,'community %'!$T$71,'caseload data'!$D:$D,"PSO",'caseload data'!$B:$B,{"licence","community"}))/SUM(SUMIFS('caseload data'!L:L,'caseload data'!$B:$B,{"licence","community"},'caseload data'!$C:$C,'community %'!$T$71)),"")</f>
        <v/>
      </c>
      <c r="AC74" s="181" t="str" cm="1">
        <f t="array" ref="AC74">IFERROR(SUM(SUMIFS('caseload data'!M:M,'caseload data'!$C:$C,'community %'!$T$71,'caseload data'!$D:$D,"PSO",'caseload data'!$B:$B,{"licence","community"}))/SUM(SUMIFS('caseload data'!M:M,'caseload data'!$B:$B,{"licence","community"},'caseload data'!$C:$C,'community %'!$T$71)),"")</f>
        <v/>
      </c>
      <c r="AD74" s="181" t="str" cm="1">
        <f t="array" ref="AD74">IFERROR(SUM(SUMIFS('caseload data'!N:N,'caseload data'!$C:$C,'community %'!$T$71,'caseload data'!$D:$D,"PSO",'caseload data'!$B:$B,{"licence","community"}))/SUM(SUMIFS('caseload data'!N:N,'caseload data'!$B:$B,{"licence","community"},'caseload data'!$C:$C,'community %'!$T$71)),"")</f>
        <v/>
      </c>
      <c r="AE74" s="181" t="str" cm="1">
        <f t="array" ref="AE74">IFERROR(SUM(SUMIFS('caseload data'!O:O,'caseload data'!$C:$C,'community %'!$T$71,'caseload data'!$D:$D,"PSO",'caseload data'!$B:$B,{"licence","community"}))/SUM(SUMIFS('caseload data'!O:O,'caseload data'!$B:$B,{"licence","community"},'caseload data'!$C:$C,'community %'!$T$71)),"")</f>
        <v/>
      </c>
      <c r="AF74" s="181" t="str" cm="1">
        <f t="array" ref="AF74">IFERROR(SUM(SUMIFS('caseload data'!P:P,'caseload data'!$C:$C,'community %'!$T$71,'caseload data'!$D:$D,"PSO",'caseload data'!$B:$B,{"licence","community"}))/SUM(SUMIFS('caseload data'!P:P,'caseload data'!$B:$B,{"licence","community"},'caseload data'!$C:$C,'community %'!$T$71)),"")</f>
        <v/>
      </c>
      <c r="AG74" s="181" t="str" cm="1">
        <f t="array" ref="AG74">IFERROR(SUM(SUMIFS('caseload data'!Q:Q,'caseload data'!$C:$C,'community %'!$T$71,'caseload data'!$D:$D,"PSO",'caseload data'!$B:$B,{"licence","community"}))/SUM(SUMIFS('caseload data'!Q:Q,'caseload data'!$B:$B,{"licence","community"},'caseload data'!$C:$C,'community %'!$T$71)),"")</f>
        <v/>
      </c>
      <c r="AH74" s="181" t="str" cm="1">
        <f t="array" ref="AH74">IFERROR(SUM(SUMIFS('caseload data'!R:R,'caseload data'!$C:$C,'community %'!$T$71,'caseload data'!$D:$D,"PSO",'caseload data'!$B:$B,{"licence","community"}))/SUM(SUMIFS('caseload data'!R:R,'caseload data'!$B:$B,{"licence","community"},'caseload data'!$C:$C,'community %'!$T$71)),"")</f>
        <v/>
      </c>
      <c r="AI74" s="181" t="str" cm="1">
        <f t="array" ref="AI74">IFERROR(SUM(SUMIFS('caseload data'!S:S,'caseload data'!$C:$C,'community %'!$T$71,'caseload data'!$D:$D,"PSO",'caseload data'!$B:$B,{"licence","community"}))/SUM(SUMIFS('caseload data'!S:S,'caseload data'!$B:$B,{"licence","community"},'caseload data'!$C:$C,'community %'!$T$71)),"")</f>
        <v/>
      </c>
      <c r="AJ74" s="181" t="str" cm="1">
        <f t="array" ref="AJ74">IFERROR(SUM(SUMIFS('caseload data'!T:T,'caseload data'!$C:$C,'community %'!$T$71,'caseload data'!$D:$D,"PSO",'caseload data'!$B:$B,{"licence","community"}))/SUM(SUMIFS('caseload data'!T:T,'caseload data'!$B:$B,{"licence","community"},'caseload data'!$C:$C,'community %'!$T$71)),"")</f>
        <v/>
      </c>
    </row>
    <row r="75" spans="2:36" x14ac:dyDescent="0.15">
      <c r="B75" s="107" t="s">
        <v>913</v>
      </c>
      <c r="C75" s="181" t="str">
        <f>IFERROR(SUM(SUMIFS('caseload data'!E:E,'caseload data'!$C:$C,'community %'!$B$71,'caseload data'!$D:$D,"TPO",'caseload data'!$B:$B,{"licence","community"}))/SUM(SUMIFS('caseload data'!E:E,'caseload data'!$B:$B,{"licence","community"},'caseload data'!$C:$C,'community %'!$B$71)),"")</f>
        <v/>
      </c>
      <c r="D75" s="181" t="str">
        <f>IFERROR(SUM(SUMIFS('caseload data'!F:F,'caseload data'!$C:$C,'community %'!$B$71,'caseload data'!$D:$D,"TPO",'caseload data'!$B:$B,{"licence","community"}))/SUM(SUMIFS('caseload data'!F:F,'caseload data'!$B:$B,{"licence","community"},'caseload data'!$C:$C,'community %'!$B$71)),"")</f>
        <v/>
      </c>
      <c r="E75" s="181" t="str">
        <f>IFERROR(SUM(SUMIFS('caseload data'!G:G,'caseload data'!$C:$C,'community %'!$B$71,'caseload data'!$D:$D,"TPO",'caseload data'!$B:$B,{"licence","community"}))/SUM(SUMIFS('caseload data'!G:G,'caseload data'!$B:$B,{"licence","community"},'caseload data'!$C:$C,'community %'!$B$71)),"")</f>
        <v/>
      </c>
      <c r="F75" s="181" t="str">
        <f>IFERROR(SUM(SUMIFS('caseload data'!H:H,'caseload data'!$C:$C,'community %'!$B$71,'caseload data'!$D:$D,"TPO",'caseload data'!$B:$B,{"licence","community"}))/SUM(SUMIFS('caseload data'!H:H,'caseload data'!$B:$B,{"licence","community"},'caseload data'!$C:$C,'community %'!$B$71)),"")</f>
        <v/>
      </c>
      <c r="G75" s="181" t="str">
        <f>IFERROR(SUM(SUMIFS('caseload data'!I:I,'caseload data'!$C:$C,'community %'!$B$71,'caseload data'!$D:$D,"TPO",'caseload data'!$B:$B,{"licence","community"}))/SUM(SUMIFS('caseload data'!I:I,'caseload data'!$B:$B,{"licence","community"},'caseload data'!$C:$C,'community %'!$B$71)),"")</f>
        <v/>
      </c>
      <c r="H75" s="181" t="str">
        <f>IFERROR(SUM(SUMIFS('caseload data'!J:J,'caseload data'!$C:$C,'community %'!$B$71,'caseload data'!$D:$D,"TPO",'caseload data'!$B:$B,{"licence","community"}))/SUM(SUMIFS('caseload data'!J:J,'caseload data'!$B:$B,{"licence","community"},'caseload data'!$C:$C,'community %'!$B$71)),"")</f>
        <v/>
      </c>
      <c r="I75" s="181" t="str">
        <f>IFERROR(SUM(SUMIFS('caseload data'!K:K,'caseload data'!$C:$C,'community %'!$B$71,'caseload data'!$D:$D,"TPO",'caseload data'!$B:$B,{"licence","community"}))/SUM(SUMIFS('caseload data'!K:K,'caseload data'!$B:$B,{"licence","community"},'caseload data'!$C:$C,'community %'!$B$71)),"")</f>
        <v/>
      </c>
      <c r="J75" s="181" t="str">
        <f>IFERROR(SUM(SUMIFS('caseload data'!L:L,'caseload data'!$C:$C,'community %'!$B$71,'caseload data'!$D:$D,"TPO",'caseload data'!$B:$B,{"licence","community"}))/SUM(SUMIFS('caseload data'!L:L,'caseload data'!$B:$B,{"licence","community"},'caseload data'!$C:$C,'community %'!$B$71)),"")</f>
        <v/>
      </c>
      <c r="K75" s="181" t="str">
        <f>IFERROR(SUM(SUMIFS('caseload data'!M:M,'caseload data'!$C:$C,'community %'!$B$71,'caseload data'!$D:$D,"TPO",'caseload data'!$B:$B,{"licence","community"}))/SUM(SUMIFS('caseload data'!M:M,'caseload data'!$B:$B,{"licence","community"},'caseload data'!$C:$C,'community %'!$B$71)),"")</f>
        <v/>
      </c>
      <c r="L75" s="181" t="str">
        <f>IFERROR(SUM(SUMIFS('caseload data'!N:N,'caseload data'!$C:$C,'community %'!$B$71,'caseload data'!$D:$D,"TPO",'caseload data'!$B:$B,{"licence","community"}))/SUM(SUMIFS('caseload data'!N:N,'caseload data'!$B:$B,{"licence","community"},'caseload data'!$C:$C,'community %'!$B$71)),"")</f>
        <v/>
      </c>
      <c r="M75" s="181" t="str">
        <f>IFERROR(SUM(SUMIFS('caseload data'!O:O,'caseload data'!$C:$C,'community %'!$B$71,'caseload data'!$D:$D,"TPO",'caseload data'!$B:$B,{"licence","community"}))/SUM(SUMIFS('caseload data'!O:O,'caseload data'!$B:$B,{"licence","community"},'caseload data'!$C:$C,'community %'!$B$71)),"")</f>
        <v/>
      </c>
      <c r="N75" s="181" t="str">
        <f>IFERROR(SUM(SUMIFS('caseload data'!P:P,'caseload data'!$C:$C,'community %'!$B$71,'caseload data'!$D:$D,"TPO",'caseload data'!$B:$B,{"licence","community"}))/SUM(SUMIFS('caseload data'!P:P,'caseload data'!$B:$B,{"licence","community"},'caseload data'!$C:$C,'community %'!$B$71)),"")</f>
        <v/>
      </c>
      <c r="O75" s="181" t="str">
        <f>IFERROR(SUM(SUMIFS('caseload data'!Q:Q,'caseload data'!$C:$C,'community %'!$B$71,'caseload data'!$D:$D,"TPO",'caseload data'!$B:$B,{"licence","community"}))/SUM(SUMIFS('caseload data'!Q:Q,'caseload data'!$B:$B,{"licence","community"},'caseload data'!$C:$C,'community %'!$B$71)),"")</f>
        <v/>
      </c>
      <c r="P75" s="181" t="str">
        <f>IFERROR(SUM(SUMIFS('caseload data'!R:R,'caseload data'!$C:$C,'community %'!$B$71,'caseload data'!$D:$D,"TPO",'caseload data'!$B:$B,{"licence","community"}))/SUM(SUMIFS('caseload data'!R:R,'caseload data'!$B:$B,{"licence","community"},'caseload data'!$C:$C,'community %'!$B$71)),"")</f>
        <v/>
      </c>
      <c r="Q75" s="181" t="str">
        <f>IFERROR(SUM(SUMIFS('caseload data'!S:S,'caseload data'!$C:$C,'community %'!$B$71,'caseload data'!$D:$D,"TPO",'caseload data'!$B:$B,{"licence","community"}))/SUM(SUMIFS('caseload data'!S:S,'caseload data'!$B:$B,{"licence","community"},'caseload data'!$C:$C,'community %'!$B$71)),"")</f>
        <v/>
      </c>
      <c r="R75" s="181" t="str">
        <f>IFERROR(SUM(SUMIFS('caseload data'!T:T,'caseload data'!$C:$C,'community %'!$B$71,'caseload data'!$D:$D,"TPO",'caseload data'!$B:$B,{"licence","community"}))/SUM(SUMIFS('caseload data'!T:T,'caseload data'!$B:$B,{"licence","community"},'caseload data'!$C:$C,'community %'!$B$71)),"")</f>
        <v/>
      </c>
      <c r="T75" s="107" t="s">
        <v>913</v>
      </c>
      <c r="U75" s="181" t="str" cm="1">
        <f t="array" ref="U75">IFERROR(SUM(SUMIFS('caseload data'!E:E,'caseload data'!$C:$C,'community %'!$T$71,'caseload data'!$D:$D,"TPO",'caseload data'!$B:$B,{"licence","community"}))/SUM(SUMIFS('caseload data'!E:E,'caseload data'!$B:$B,{"licence","community"},'caseload data'!$C:$C,'community %'!$T$71)),"")</f>
        <v/>
      </c>
      <c r="V75" s="181" t="str" cm="1">
        <f t="array" ref="V75">IFERROR(SUM(SUMIFS('caseload data'!F:F,'caseload data'!$C:$C,'community %'!$T$71,'caseload data'!$D:$D,"TPO",'caseload data'!$B:$B,{"licence","community"}))/SUM(SUMIFS('caseload data'!F:F,'caseload data'!$B:$B,{"licence","community"},'caseload data'!$C:$C,'community %'!$T$71)),"")</f>
        <v/>
      </c>
      <c r="W75" s="181" t="str" cm="1">
        <f t="array" ref="W75">IFERROR(SUM(SUMIFS('caseload data'!G:G,'caseload data'!$C:$C,'community %'!$T$71,'caseload data'!$D:$D,"TPO",'caseload data'!$B:$B,{"licence","community"}))/SUM(SUMIFS('caseload data'!G:G,'caseload data'!$B:$B,{"licence","community"},'caseload data'!$C:$C,'community %'!$T$71)),"")</f>
        <v/>
      </c>
      <c r="X75" s="181" t="str" cm="1">
        <f t="array" ref="X75">IFERROR(SUM(SUMIFS('caseload data'!H:H,'caseload data'!$C:$C,'community %'!$T$71,'caseload data'!$D:$D,"TPO",'caseload data'!$B:$B,{"licence","community"}))/SUM(SUMIFS('caseload data'!H:H,'caseload data'!$B:$B,{"licence","community"},'caseload data'!$C:$C,'community %'!$T$71)),"")</f>
        <v/>
      </c>
      <c r="Y75" s="181" t="str" cm="1">
        <f t="array" ref="Y75">IFERROR(SUM(SUMIFS('caseload data'!I:I,'caseload data'!$C:$C,'community %'!$T$71,'caseload data'!$D:$D,"TPO",'caseload data'!$B:$B,{"licence","community"}))/SUM(SUMIFS('caseload data'!I:I,'caseload data'!$B:$B,{"licence","community"},'caseload data'!$C:$C,'community %'!$T$71)),"")</f>
        <v/>
      </c>
      <c r="Z75" s="181" t="str" cm="1">
        <f t="array" ref="Z75">IFERROR(SUM(SUMIFS('caseload data'!J:J,'caseload data'!$C:$C,'community %'!$T$71,'caseload data'!$D:$D,"TPO",'caseload data'!$B:$B,{"licence","community"}))/SUM(SUMIFS('caseload data'!J:J,'caseload data'!$B:$B,{"licence","community"},'caseload data'!$C:$C,'community %'!$T$71)),"")</f>
        <v/>
      </c>
      <c r="AA75" s="181" t="str" cm="1">
        <f t="array" ref="AA75">IFERROR(SUM(SUMIFS('caseload data'!K:K,'caseload data'!$C:$C,'community %'!$T$71,'caseload data'!$D:$D,"TPO",'caseload data'!$B:$B,{"licence","community"}))/SUM(SUMIFS('caseload data'!K:K,'caseload data'!$B:$B,{"licence","community"},'caseload data'!$C:$C,'community %'!$T$71)),"")</f>
        <v/>
      </c>
      <c r="AB75" s="181" t="str" cm="1">
        <f t="array" ref="AB75">IFERROR(SUM(SUMIFS('caseload data'!L:L,'caseload data'!$C:$C,'community %'!$T$71,'caseload data'!$D:$D,"TPO",'caseload data'!$B:$B,{"licence","community"}))/SUM(SUMIFS('caseload data'!L:L,'caseload data'!$B:$B,{"licence","community"},'caseload data'!$C:$C,'community %'!$T$71)),"")</f>
        <v/>
      </c>
      <c r="AC75" s="181" t="str" cm="1">
        <f t="array" ref="AC75">IFERROR(SUM(SUMIFS('caseload data'!M:M,'caseload data'!$C:$C,'community %'!$T$71,'caseload data'!$D:$D,"TPO",'caseload data'!$B:$B,{"licence","community"}))/SUM(SUMIFS('caseload data'!M:M,'caseload data'!$B:$B,{"licence","community"},'caseload data'!$C:$C,'community %'!$T$71)),"")</f>
        <v/>
      </c>
      <c r="AD75" s="181" t="str" cm="1">
        <f t="array" ref="AD75">IFERROR(SUM(SUMIFS('caseload data'!N:N,'caseload data'!$C:$C,'community %'!$T$71,'caseload data'!$D:$D,"TPO",'caseload data'!$B:$B,{"licence","community"}))/SUM(SUMIFS('caseload data'!N:N,'caseload data'!$B:$B,{"licence","community"},'caseload data'!$C:$C,'community %'!$T$71)),"")</f>
        <v/>
      </c>
      <c r="AE75" s="181" t="str" cm="1">
        <f t="array" ref="AE75">IFERROR(SUM(SUMIFS('caseload data'!O:O,'caseload data'!$C:$C,'community %'!$T$71,'caseload data'!$D:$D,"TPO",'caseload data'!$B:$B,{"licence","community"}))/SUM(SUMIFS('caseload data'!O:O,'caseload data'!$B:$B,{"licence","community"},'caseload data'!$C:$C,'community %'!$T$71)),"")</f>
        <v/>
      </c>
      <c r="AF75" s="181" t="str" cm="1">
        <f t="array" ref="AF75">IFERROR(SUM(SUMIFS('caseload data'!P:P,'caseload data'!$C:$C,'community %'!$T$71,'caseload data'!$D:$D,"TPO",'caseload data'!$B:$B,{"licence","community"}))/SUM(SUMIFS('caseload data'!P:P,'caseload data'!$B:$B,{"licence","community"},'caseload data'!$C:$C,'community %'!$T$71)),"")</f>
        <v/>
      </c>
      <c r="AG75" s="181" t="str" cm="1">
        <f t="array" ref="AG75">IFERROR(SUM(SUMIFS('caseload data'!Q:Q,'caseload data'!$C:$C,'community %'!$T$71,'caseload data'!$D:$D,"TPO",'caseload data'!$B:$B,{"licence","community"}))/SUM(SUMIFS('caseload data'!Q:Q,'caseload data'!$B:$B,{"licence","community"},'caseload data'!$C:$C,'community %'!$T$71)),"")</f>
        <v/>
      </c>
      <c r="AH75" s="181" t="str" cm="1">
        <f t="array" ref="AH75">IFERROR(SUM(SUMIFS('caseload data'!R:R,'caseload data'!$C:$C,'community %'!$T$71,'caseload data'!$D:$D,"TPO",'caseload data'!$B:$B,{"licence","community"}))/SUM(SUMIFS('caseload data'!R:R,'caseload data'!$B:$B,{"licence","community"},'caseload data'!$C:$C,'community %'!$T$71)),"")</f>
        <v/>
      </c>
      <c r="AI75" s="181" t="str" cm="1">
        <f t="array" ref="AI75">IFERROR(SUM(SUMIFS('caseload data'!S:S,'caseload data'!$C:$C,'community %'!$T$71,'caseload data'!$D:$D,"TPO",'caseload data'!$B:$B,{"licence","community"}))/SUM(SUMIFS('caseload data'!S:S,'caseload data'!$B:$B,{"licence","community"},'caseload data'!$C:$C,'community %'!$T$71)),"")</f>
        <v/>
      </c>
      <c r="AJ75" s="181" t="str" cm="1">
        <f t="array" ref="AJ75">IFERROR(SUM(SUMIFS('caseload data'!T:T,'caseload data'!$C:$C,'community %'!$T$71,'caseload data'!$D:$D,"TPO",'caseload data'!$B:$B,{"licence","community"}))/SUM(SUMIFS('caseload data'!T:T,'caseload data'!$B:$B,{"licence","community"},'caseload data'!$C:$C,'community %'!$T$71)),"")</f>
        <v/>
      </c>
    </row>
    <row r="76" spans="2:36" x14ac:dyDescent="0.15">
      <c r="B76" s="108" t="s">
        <v>914</v>
      </c>
      <c r="C76" s="181" t="str">
        <f>IFERROR(SUM(SUMIFS('caseload data'!E:E,'caseload data'!$C:$C,'community %'!$B$71,'caseload data'!$D:$D,"SPO",'caseload data'!$B:$B,{"licence","community"}))/SUM(SUMIFS('caseload data'!E:E,'caseload data'!$B:$B,{"licence","community"},'caseload data'!$C:$C,'community %'!$B$71)),"")</f>
        <v/>
      </c>
      <c r="D76" s="181" t="str">
        <f>IFERROR(SUM(SUMIFS('caseload data'!F:F,'caseload data'!$C:$C,'community %'!$B$71,'caseload data'!$D:$D,"SPO",'caseload data'!$B:$B,{"licence","community"}))/SUM(SUMIFS('caseload data'!F:F,'caseload data'!$B:$B,{"licence","community"},'caseload data'!$C:$C,'community %'!$B$71)),"")</f>
        <v/>
      </c>
      <c r="E76" s="181" t="str">
        <f>IFERROR(SUM(SUMIFS('caseload data'!G:G,'caseload data'!$C:$C,'community %'!$B$71,'caseload data'!$D:$D,"SPO",'caseload data'!$B:$B,{"licence","community"}))/SUM(SUMIFS('caseload data'!G:G,'caseload data'!$B:$B,{"licence","community"},'caseload data'!$C:$C,'community %'!$B$71)),"")</f>
        <v/>
      </c>
      <c r="F76" s="181" t="str">
        <f>IFERROR(SUM(SUMIFS('caseload data'!H:H,'caseload data'!$C:$C,'community %'!$B$71,'caseload data'!$D:$D,"SPO",'caseload data'!$B:$B,{"licence","community"}))/SUM(SUMIFS('caseload data'!H:H,'caseload data'!$B:$B,{"licence","community"},'caseload data'!$C:$C,'community %'!$B$71)),"")</f>
        <v/>
      </c>
      <c r="G76" s="181" t="str">
        <f>IFERROR(SUM(SUMIFS('caseload data'!I:I,'caseload data'!$C:$C,'community %'!$B$71,'caseload data'!$D:$D,"SPO",'caseload data'!$B:$B,{"licence","community"}))/SUM(SUMIFS('caseload data'!I:I,'caseload data'!$B:$B,{"licence","community"},'caseload data'!$C:$C,'community %'!$B$71)),"")</f>
        <v/>
      </c>
      <c r="H76" s="181" t="str">
        <f>IFERROR(SUM(SUMIFS('caseload data'!J:J,'caseload data'!$C:$C,'community %'!$B$71,'caseload data'!$D:$D,"SPO",'caseload data'!$B:$B,{"licence","community"}))/SUM(SUMIFS('caseload data'!J:J,'caseload data'!$B:$B,{"licence","community"},'caseload data'!$C:$C,'community %'!$B$71)),"")</f>
        <v/>
      </c>
      <c r="I76" s="181" t="str">
        <f>IFERROR(SUM(SUMIFS('caseload data'!K:K,'caseload data'!$C:$C,'community %'!$B$71,'caseload data'!$D:$D,"SPO",'caseload data'!$B:$B,{"licence","community"}))/SUM(SUMIFS('caseload data'!K:K,'caseload data'!$B:$B,{"licence","community"},'caseload data'!$C:$C,'community %'!$B$71)),"")</f>
        <v/>
      </c>
      <c r="J76" s="181" t="str">
        <f>IFERROR(SUM(SUMIFS('caseload data'!L:L,'caseload data'!$C:$C,'community %'!$B$71,'caseload data'!$D:$D,"SPO",'caseload data'!$B:$B,{"licence","community"}))/SUM(SUMIFS('caseload data'!L:L,'caseload data'!$B:$B,{"licence","community"},'caseload data'!$C:$C,'community %'!$B$71)),"")</f>
        <v/>
      </c>
      <c r="K76" s="181" t="str">
        <f>IFERROR(SUM(SUMIFS('caseload data'!M:M,'caseload data'!$C:$C,'community %'!$B$71,'caseload data'!$D:$D,"SPO",'caseload data'!$B:$B,{"licence","community"}))/SUM(SUMIFS('caseload data'!M:M,'caseload data'!$B:$B,{"licence","community"},'caseload data'!$C:$C,'community %'!$B$71)),"")</f>
        <v/>
      </c>
      <c r="L76" s="181" t="str">
        <f>IFERROR(SUM(SUMIFS('caseload data'!N:N,'caseload data'!$C:$C,'community %'!$B$71,'caseload data'!$D:$D,"SPO",'caseload data'!$B:$B,{"licence","community"}))/SUM(SUMIFS('caseload data'!N:N,'caseload data'!$B:$B,{"licence","community"},'caseload data'!$C:$C,'community %'!$B$71)),"")</f>
        <v/>
      </c>
      <c r="M76" s="181" t="str">
        <f>IFERROR(SUM(SUMIFS('caseload data'!O:O,'caseload data'!$C:$C,'community %'!$B$71,'caseload data'!$D:$D,"SPO",'caseload data'!$B:$B,{"licence","community"}))/SUM(SUMIFS('caseload data'!O:O,'caseload data'!$B:$B,{"licence","community"},'caseload data'!$C:$C,'community %'!$B$71)),"")</f>
        <v/>
      </c>
      <c r="N76" s="181" t="str">
        <f>IFERROR(SUM(SUMIFS('caseload data'!P:P,'caseload data'!$C:$C,'community %'!$B$71,'caseload data'!$D:$D,"SPO",'caseload data'!$B:$B,{"licence","community"}))/SUM(SUMIFS('caseload data'!P:P,'caseload data'!$B:$B,{"licence","community"},'caseload data'!$C:$C,'community %'!$B$71)),"")</f>
        <v/>
      </c>
      <c r="O76" s="181" t="str">
        <f>IFERROR(SUM(SUMIFS('caseload data'!Q:Q,'caseload data'!$C:$C,'community %'!$B$71,'caseload data'!$D:$D,"SPO",'caseload data'!$B:$B,{"licence","community"}))/SUM(SUMIFS('caseload data'!Q:Q,'caseload data'!$B:$B,{"licence","community"},'caseload data'!$C:$C,'community %'!$B$71)),"")</f>
        <v/>
      </c>
      <c r="P76" s="181" t="str">
        <f>IFERROR(SUM(SUMIFS('caseload data'!R:R,'caseload data'!$C:$C,'community %'!$B$71,'caseload data'!$D:$D,"SPO",'caseload data'!$B:$B,{"licence","community"}))/SUM(SUMIFS('caseload data'!R:R,'caseload data'!$B:$B,{"licence","community"},'caseload data'!$C:$C,'community %'!$B$71)),"")</f>
        <v/>
      </c>
      <c r="Q76" s="181" t="str">
        <f>IFERROR(SUM(SUMIFS('caseload data'!S:S,'caseload data'!$C:$C,'community %'!$B$71,'caseload data'!$D:$D,"SPO",'caseload data'!$B:$B,{"licence","community"}))/SUM(SUMIFS('caseload data'!S:S,'caseload data'!$B:$B,{"licence","community"},'caseload data'!$C:$C,'community %'!$B$71)),"")</f>
        <v/>
      </c>
      <c r="R76" s="181" t="str">
        <f>IFERROR(SUM(SUMIFS('caseload data'!T:T,'caseload data'!$C:$C,'community %'!$B$71,'caseload data'!$D:$D,"SPO",'caseload data'!$B:$B,{"licence","community"}))/SUM(SUMIFS('caseload data'!T:T,'caseload data'!$B:$B,{"licence","community"},'caseload data'!$C:$C,'community %'!$B$71)),"")</f>
        <v/>
      </c>
      <c r="T76" s="108" t="s">
        <v>914</v>
      </c>
      <c r="U76" s="181" t="str" cm="1">
        <f t="array" ref="U76">IFERROR(SUM(SUMIFS('caseload data'!E:E,'caseload data'!$C:$C,'community %'!$T$71,'caseload data'!$D:$D,"SPO",'caseload data'!$B:$B,{"licence","community"}))/SUM(SUMIFS('caseload data'!E:E,'caseload data'!$B:$B,{"licence","community"},'caseload data'!$C:$C,'community %'!$T$71)),"")</f>
        <v/>
      </c>
      <c r="V76" s="181" t="str" cm="1">
        <f t="array" ref="V76">IFERROR(SUM(SUMIFS('caseload data'!F:F,'caseload data'!$C:$C,'community %'!$T$71,'caseload data'!$D:$D,"SPO",'caseload data'!$B:$B,{"licence","community"}))/SUM(SUMIFS('caseload data'!F:F,'caseload data'!$B:$B,{"licence","community"},'caseload data'!$C:$C,'community %'!$T$71)),"")</f>
        <v/>
      </c>
      <c r="W76" s="181" t="str" cm="1">
        <f t="array" ref="W76">IFERROR(SUM(SUMIFS('caseload data'!G:G,'caseload data'!$C:$C,'community %'!$T$71,'caseload data'!$D:$D,"SPO",'caseload data'!$B:$B,{"licence","community"}))/SUM(SUMIFS('caseload data'!G:G,'caseload data'!$B:$B,{"licence","community"},'caseload data'!$C:$C,'community %'!$T$71)),"")</f>
        <v/>
      </c>
      <c r="X76" s="181" t="str" cm="1">
        <f t="array" ref="X76">IFERROR(SUM(SUMIFS('caseload data'!H:H,'caseload data'!$C:$C,'community %'!$T$71,'caseload data'!$D:$D,"SPO",'caseload data'!$B:$B,{"licence","community"}))/SUM(SUMIFS('caseload data'!H:H,'caseload data'!$B:$B,{"licence","community"},'caseload data'!$C:$C,'community %'!$T$71)),"")</f>
        <v/>
      </c>
      <c r="Y76" s="181" t="str" cm="1">
        <f t="array" ref="Y76">IFERROR(SUM(SUMIFS('caseload data'!I:I,'caseload data'!$C:$C,'community %'!$T$71,'caseload data'!$D:$D,"SPO",'caseload data'!$B:$B,{"licence","community"}))/SUM(SUMIFS('caseload data'!I:I,'caseload data'!$B:$B,{"licence","community"},'caseload data'!$C:$C,'community %'!$T$71)),"")</f>
        <v/>
      </c>
      <c r="Z76" s="181" t="str" cm="1">
        <f t="array" ref="Z76">IFERROR(SUM(SUMIFS('caseload data'!J:J,'caseload data'!$C:$C,'community %'!$T$71,'caseload data'!$D:$D,"SPO",'caseload data'!$B:$B,{"licence","community"}))/SUM(SUMIFS('caseload data'!J:J,'caseload data'!$B:$B,{"licence","community"},'caseload data'!$C:$C,'community %'!$T$71)),"")</f>
        <v/>
      </c>
      <c r="AA76" s="181" t="str" cm="1">
        <f t="array" ref="AA76">IFERROR(SUM(SUMIFS('caseload data'!K:K,'caseload data'!$C:$C,'community %'!$T$71,'caseload data'!$D:$D,"SPO",'caseload data'!$B:$B,{"licence","community"}))/SUM(SUMIFS('caseload data'!K:K,'caseload data'!$B:$B,{"licence","community"},'caseload data'!$C:$C,'community %'!$T$71)),"")</f>
        <v/>
      </c>
      <c r="AB76" s="181" t="str" cm="1">
        <f t="array" ref="AB76">IFERROR(SUM(SUMIFS('caseload data'!L:L,'caseload data'!$C:$C,'community %'!$T$71,'caseload data'!$D:$D,"SPO",'caseload data'!$B:$B,{"licence","community"}))/SUM(SUMIFS('caseload data'!L:L,'caseload data'!$B:$B,{"licence","community"},'caseload data'!$C:$C,'community %'!$T$71)),"")</f>
        <v/>
      </c>
      <c r="AC76" s="181" t="str" cm="1">
        <f t="array" ref="AC76">IFERROR(SUM(SUMIFS('caseload data'!M:M,'caseload data'!$C:$C,'community %'!$T$71,'caseload data'!$D:$D,"SPO",'caseload data'!$B:$B,{"licence","community"}))/SUM(SUMIFS('caseload data'!M:M,'caseload data'!$B:$B,{"licence","community"},'caseload data'!$C:$C,'community %'!$T$71)),"")</f>
        <v/>
      </c>
      <c r="AD76" s="181" t="str" cm="1">
        <f t="array" ref="AD76">IFERROR(SUM(SUMIFS('caseload data'!N:N,'caseload data'!$C:$C,'community %'!$T$71,'caseload data'!$D:$D,"SPO",'caseload data'!$B:$B,{"licence","community"}))/SUM(SUMIFS('caseload data'!N:N,'caseload data'!$B:$B,{"licence","community"},'caseload data'!$C:$C,'community %'!$T$71)),"")</f>
        <v/>
      </c>
      <c r="AE76" s="181" t="str" cm="1">
        <f t="array" ref="AE76">IFERROR(SUM(SUMIFS('caseload data'!O:O,'caseload data'!$C:$C,'community %'!$T$71,'caseload data'!$D:$D,"SPO",'caseload data'!$B:$B,{"licence","community"}))/SUM(SUMIFS('caseload data'!O:O,'caseload data'!$B:$B,{"licence","community"},'caseload data'!$C:$C,'community %'!$T$71)),"")</f>
        <v/>
      </c>
      <c r="AF76" s="181" t="str" cm="1">
        <f t="array" ref="AF76">IFERROR(SUM(SUMIFS('caseload data'!P:P,'caseload data'!$C:$C,'community %'!$T$71,'caseload data'!$D:$D,"SPO",'caseload data'!$B:$B,{"licence","community"}))/SUM(SUMIFS('caseload data'!P:P,'caseload data'!$B:$B,{"licence","community"},'caseload data'!$C:$C,'community %'!$T$71)),"")</f>
        <v/>
      </c>
      <c r="AG76" s="181" t="str" cm="1">
        <f t="array" ref="AG76">IFERROR(SUM(SUMIFS('caseload data'!Q:Q,'caseload data'!$C:$C,'community %'!$T$71,'caseload data'!$D:$D,"SPO",'caseload data'!$B:$B,{"licence","community"}))/SUM(SUMIFS('caseload data'!Q:Q,'caseload data'!$B:$B,{"licence","community"},'caseload data'!$C:$C,'community %'!$T$71)),"")</f>
        <v/>
      </c>
      <c r="AH76" s="181" t="str" cm="1">
        <f t="array" ref="AH76">IFERROR(SUM(SUMIFS('caseload data'!R:R,'caseload data'!$C:$C,'community %'!$T$71,'caseload data'!$D:$D,"SPO",'caseload data'!$B:$B,{"licence","community"}))/SUM(SUMIFS('caseload data'!R:R,'caseload data'!$B:$B,{"licence","community"},'caseload data'!$C:$C,'community %'!$T$71)),"")</f>
        <v/>
      </c>
      <c r="AI76" s="181" t="str" cm="1">
        <f t="array" ref="AI76">IFERROR(SUM(SUMIFS('caseload data'!S:S,'caseload data'!$C:$C,'community %'!$T$71,'caseload data'!$D:$D,"SPO",'caseload data'!$B:$B,{"licence","community"}))/SUM(SUMIFS('caseload data'!S:S,'caseload data'!$B:$B,{"licence","community"},'caseload data'!$C:$C,'community %'!$T$71)),"")</f>
        <v/>
      </c>
      <c r="AJ76" s="181" t="str" cm="1">
        <f t="array" ref="AJ76">IFERROR(SUM(SUMIFS('caseload data'!T:T,'caseload data'!$C:$C,'community %'!$T$71,'caseload data'!$D:$D,"SPO",'caseload data'!$B:$B,{"licence","community"}))/SUM(SUMIFS('caseload data'!T:T,'caseload data'!$B:$B,{"licence","community"},'caseload data'!$C:$C,'community %'!$T$71)),"")</f>
        <v/>
      </c>
    </row>
    <row r="78" spans="2:36" x14ac:dyDescent="0.15">
      <c r="B78" s="156" t="str">
        <f>HLOOKUP($B$5,Region_Table,22,0)</f>
        <v>Tower Hamlets</v>
      </c>
      <c r="C78" s="367" t="s">
        <v>1170</v>
      </c>
      <c r="D78" s="368"/>
      <c r="E78" s="368"/>
      <c r="F78" s="368"/>
      <c r="G78" s="368"/>
      <c r="H78" s="368"/>
      <c r="I78" s="368"/>
      <c r="J78" s="368"/>
      <c r="K78" s="368"/>
      <c r="L78" s="368"/>
      <c r="M78" s="377"/>
      <c r="N78" s="377"/>
      <c r="O78" s="378"/>
      <c r="P78" s="371" cm="1">
        <f t="array" ref="P78">SUM(SUMIFS('caseload data'!V:V,'caseload data'!B:B,{"licence","community"},'caseload data'!$C:$C,B78))</f>
        <v>0</v>
      </c>
      <c r="Q78" s="379"/>
      <c r="R78" s="380"/>
      <c r="T78" s="156" t="str">
        <f>HLOOKUP($B$5,Region_Table,23,0)</f>
        <v>Unallocated Level 2(N07)</v>
      </c>
      <c r="U78" s="367" t="s">
        <v>1170</v>
      </c>
      <c r="V78" s="368"/>
      <c r="W78" s="368"/>
      <c r="X78" s="368"/>
      <c r="Y78" s="368"/>
      <c r="Z78" s="368"/>
      <c r="AA78" s="368"/>
      <c r="AB78" s="368"/>
      <c r="AC78" s="368"/>
      <c r="AD78" s="368"/>
      <c r="AE78" s="377"/>
      <c r="AF78" s="377"/>
      <c r="AG78" s="378"/>
      <c r="AH78" s="371" cm="1">
        <f t="array" ref="AH78">SUM(SUMIFS('caseload data'!V:V,'caseload data'!B:B,{"licence","community"},'caseload data'!$C:$C,T78))</f>
        <v>0</v>
      </c>
      <c r="AI78" s="379"/>
      <c r="AJ78" s="380"/>
    </row>
    <row r="79" spans="2:36" x14ac:dyDescent="0.15">
      <c r="B79" s="105" t="s">
        <v>1065</v>
      </c>
      <c r="C79" s="41" t="s">
        <v>922</v>
      </c>
      <c r="D79" s="41" t="s">
        <v>923</v>
      </c>
      <c r="E79" s="41" t="s">
        <v>924</v>
      </c>
      <c r="F79" s="41" t="s">
        <v>925</v>
      </c>
      <c r="G79" s="41" t="s">
        <v>926</v>
      </c>
      <c r="H79" s="41" t="s">
        <v>927</v>
      </c>
      <c r="I79" s="41" t="s">
        <v>928</v>
      </c>
      <c r="J79" s="41" t="s">
        <v>929</v>
      </c>
      <c r="K79" s="41" t="s">
        <v>930</v>
      </c>
      <c r="L79" s="41" t="s">
        <v>931</v>
      </c>
      <c r="M79" s="41" t="s">
        <v>932</v>
      </c>
      <c r="N79" s="41" t="s">
        <v>933</v>
      </c>
      <c r="O79" s="41" t="s">
        <v>934</v>
      </c>
      <c r="P79" s="41" t="s">
        <v>935</v>
      </c>
      <c r="Q79" s="41" t="s">
        <v>936</v>
      </c>
      <c r="R79" s="41" t="s">
        <v>937</v>
      </c>
      <c r="T79" s="105" t="s">
        <v>1065</v>
      </c>
      <c r="U79" s="41" t="s">
        <v>922</v>
      </c>
      <c r="V79" s="41" t="s">
        <v>923</v>
      </c>
      <c r="W79" s="41" t="s">
        <v>924</v>
      </c>
      <c r="X79" s="41" t="s">
        <v>925</v>
      </c>
      <c r="Y79" s="41" t="s">
        <v>926</v>
      </c>
      <c r="Z79" s="41" t="s">
        <v>927</v>
      </c>
      <c r="AA79" s="41" t="s">
        <v>928</v>
      </c>
      <c r="AB79" s="41" t="s">
        <v>929</v>
      </c>
      <c r="AC79" s="41" t="s">
        <v>930</v>
      </c>
      <c r="AD79" s="41" t="s">
        <v>931</v>
      </c>
      <c r="AE79" s="41" t="s">
        <v>932</v>
      </c>
      <c r="AF79" s="41" t="s">
        <v>933</v>
      </c>
      <c r="AG79" s="41" t="s">
        <v>934</v>
      </c>
      <c r="AH79" s="41" t="s">
        <v>935</v>
      </c>
      <c r="AI79" s="41" t="s">
        <v>936</v>
      </c>
      <c r="AJ79" s="41" t="s">
        <v>937</v>
      </c>
    </row>
    <row r="80" spans="2:36" x14ac:dyDescent="0.15">
      <c r="B80" s="106" t="s">
        <v>911</v>
      </c>
      <c r="C80" s="181" t="str" cm="1">
        <f t="array" ref="C80">IFERROR(SUM(SUMIFS('caseload data'!E:E,'caseload data'!$C:$C,'community %'!$B$78,'caseload data'!$D:$D,"PO",'caseload data'!$B:$B,{"licence","community"}))/SUM(SUMIFS('caseload data'!E:E,'caseload data'!$B:$B,{"licence","community"},'caseload data'!$C:$C,'community %'!$B$78)),"")</f>
        <v/>
      </c>
      <c r="D80" s="181" t="str" cm="1">
        <f t="array" ref="D80">IFERROR(SUM(SUMIFS('caseload data'!F:F,'caseload data'!$C:$C,'community %'!$B$78,'caseload data'!$D:$D,"PO",'caseload data'!$B:$B,{"licence","community"}))/SUM(SUMIFS('caseload data'!F:F,'caseload data'!$B:$B,{"licence","community"},'caseload data'!$C:$C,'community %'!$B$78)),"")</f>
        <v/>
      </c>
      <c r="E80" s="181" t="str" cm="1">
        <f t="array" ref="E80">IFERROR(SUM(SUMIFS('caseload data'!G:G,'caseload data'!$C:$C,'community %'!$B$78,'caseload data'!$D:$D,"PO",'caseload data'!$B:$B,{"licence","community"}))/SUM(SUMIFS('caseload data'!G:G,'caseload data'!$B:$B,{"licence","community"},'caseload data'!$C:$C,'community %'!$B$78)),"")</f>
        <v/>
      </c>
      <c r="F80" s="181" t="str" cm="1">
        <f t="array" ref="F80">IFERROR(SUM(SUMIFS('caseload data'!H:H,'caseload data'!$C:$C,'community %'!$B$78,'caseload data'!$D:$D,"PO",'caseload data'!$B:$B,{"licence","community"}))/SUM(SUMIFS('caseload data'!H:H,'caseload data'!$B:$B,{"licence","community"},'caseload data'!$C:$C,'community %'!$B$78)),"")</f>
        <v/>
      </c>
      <c r="G80" s="181" t="str" cm="1">
        <f t="array" ref="G80">IFERROR(SUM(SUMIFS('caseload data'!I:I,'caseload data'!$C:$C,'community %'!$B$78,'caseload data'!$D:$D,"PO",'caseload data'!$B:$B,{"licence","community"}))/SUM(SUMIFS('caseload data'!I:I,'caseload data'!$B:$B,{"licence","community"},'caseload data'!$C:$C,'community %'!$B$78)),"")</f>
        <v/>
      </c>
      <c r="H80" s="181" t="str" cm="1">
        <f t="array" ref="H80">IFERROR(SUM(SUMIFS('caseload data'!J:J,'caseload data'!$C:$C,'community %'!$B$78,'caseload data'!$D:$D,"PO",'caseload data'!$B:$B,{"licence","community"}))/SUM(SUMIFS('caseload data'!J:J,'caseload data'!$B:$B,{"licence","community"},'caseload data'!$C:$C,'community %'!$B$78)),"")</f>
        <v/>
      </c>
      <c r="I80" s="181" t="str" cm="1">
        <f t="array" ref="I80">IFERROR(SUM(SUMIFS('caseload data'!K:K,'caseload data'!$C:$C,'community %'!$B$78,'caseload data'!$D:$D,"PO",'caseload data'!$B:$B,{"licence","community"}))/SUM(SUMIFS('caseload data'!K:K,'caseload data'!$B:$B,{"licence","community"},'caseload data'!$C:$C,'community %'!$B$78)),"")</f>
        <v/>
      </c>
      <c r="J80" s="181" t="str" cm="1">
        <f t="array" ref="J80">IFERROR(SUM(SUMIFS('caseload data'!L:L,'caseload data'!$C:$C,'community %'!$B$78,'caseload data'!$D:$D,"PO",'caseload data'!$B:$B,{"licence","community"}))/SUM(SUMIFS('caseload data'!L:L,'caseload data'!$B:$B,{"licence","community"},'caseload data'!$C:$C,'community %'!$B$78)),"")</f>
        <v/>
      </c>
      <c r="K80" s="181" t="str" cm="1">
        <f t="array" ref="K80">IFERROR(SUM(SUMIFS('caseload data'!M:M,'caseload data'!$C:$C,'community %'!$B$78,'caseload data'!$D:$D,"PO",'caseload data'!$B:$B,{"licence","community"}))/SUM(SUMIFS('caseload data'!M:M,'caseload data'!$B:$B,{"licence","community"},'caseload data'!$C:$C,'community %'!$B$78)),"")</f>
        <v/>
      </c>
      <c r="L80" s="181" t="str" cm="1">
        <f t="array" ref="L80">IFERROR(SUM(SUMIFS('caseload data'!N:N,'caseload data'!$C:$C,'community %'!$B$78,'caseload data'!$D:$D,"PO",'caseload data'!$B:$B,{"licence","community"}))/SUM(SUMIFS('caseload data'!N:N,'caseload data'!$B:$B,{"licence","community"},'caseload data'!$C:$C,'community %'!$B$78)),"")</f>
        <v/>
      </c>
      <c r="M80" s="181" t="str" cm="1">
        <f t="array" ref="M80">IFERROR(SUM(SUMIFS('caseload data'!O:O,'caseload data'!$C:$C,'community %'!$B$78,'caseload data'!$D:$D,"PO",'caseload data'!$B:$B,{"licence","community"}))/SUM(SUMIFS('caseload data'!O:O,'caseload data'!$B:$B,{"licence","community"},'caseload data'!$C:$C,'community %'!$B$78)),"")</f>
        <v/>
      </c>
      <c r="N80" s="181" t="str" cm="1">
        <f t="array" ref="N80">IFERROR(SUM(SUMIFS('caseload data'!P:P,'caseload data'!$C:$C,'community %'!$B$78,'caseload data'!$D:$D,"PO",'caseload data'!$B:$B,{"licence","community"}))/SUM(SUMIFS('caseload data'!P:P,'caseload data'!$B:$B,{"licence","community"},'caseload data'!$C:$C,'community %'!$B$78)),"")</f>
        <v/>
      </c>
      <c r="O80" s="181" t="str" cm="1">
        <f t="array" ref="O80">IFERROR(SUM(SUMIFS('caseload data'!Q:Q,'caseload data'!$C:$C,'community %'!$B$78,'caseload data'!$D:$D,"PO",'caseload data'!$B:$B,{"licence","community"}))/SUM(SUMIFS('caseload data'!Q:Q,'caseload data'!$B:$B,{"licence","community"},'caseload data'!$C:$C,'community %'!$B$78)),"")</f>
        <v/>
      </c>
      <c r="P80" s="181" t="str" cm="1">
        <f t="array" ref="P80">IFERROR(SUM(SUMIFS('caseload data'!R:R,'caseload data'!$C:$C,'community %'!$B$78,'caseload data'!$D:$D,"PO",'caseload data'!$B:$B,{"licence","community"}))/SUM(SUMIFS('caseload data'!R:R,'caseload data'!$B:$B,{"licence","community"},'caseload data'!$C:$C,'community %'!$B$78)),"")</f>
        <v/>
      </c>
      <c r="Q80" s="181" t="str" cm="1">
        <f t="array" ref="Q80">IFERROR(SUM(SUMIFS('caseload data'!S:S,'caseload data'!$C:$C,'community %'!$B$78,'caseload data'!$D:$D,"PO",'caseload data'!$B:$B,{"licence","community"}))/SUM(SUMIFS('caseload data'!S:S,'caseload data'!$B:$B,{"licence","community"},'caseload data'!$C:$C,'community %'!$B$78)),"")</f>
        <v/>
      </c>
      <c r="R80" s="181" t="str" cm="1">
        <f t="array" ref="R80">IFERROR(SUM(SUMIFS('caseload data'!T:T,'caseload data'!$C:$C,'community %'!$B$78,'caseload data'!$D:$D,"PO",'caseload data'!$B:$B,{"licence","community"}))/SUM(SUMIFS('caseload data'!T:T,'caseload data'!$B:$B,{"licence","community"},'caseload data'!$C:$C,'community %'!$B$78)),"")</f>
        <v/>
      </c>
      <c r="T80" s="106" t="s">
        <v>911</v>
      </c>
      <c r="U80" s="181" t="str" cm="1">
        <f t="array" ref="U80">IFERROR(SUM(SUMIFS('caseload data'!E:E,'caseload data'!$C:$C,'community %'!$T$78,'caseload data'!$D:$D,"PO",'caseload data'!$B:$B,{"licence","community"}))/SUM(SUMIFS('caseload data'!E:E,'caseload data'!$B:$B,{"licence","community"},'caseload data'!$C:$C,'community %'!$T$78)),"")</f>
        <v/>
      </c>
      <c r="V80" s="181" t="str" cm="1">
        <f t="array" ref="V80">IFERROR(SUM(SUMIFS('caseload data'!F:F,'caseload data'!$C:$C,'community %'!$T$78,'caseload data'!$D:$D,"PO",'caseload data'!$B:$B,{"licence","community"}))/SUM(SUMIFS('caseload data'!F:F,'caseload data'!$B:$B,{"licence","community"},'caseload data'!$C:$C,'community %'!$T$78)),"")</f>
        <v/>
      </c>
      <c r="W80" s="181" t="str" cm="1">
        <f t="array" ref="W80">IFERROR(SUM(SUMIFS('caseload data'!G:G,'caseload data'!$C:$C,'community %'!$T$78,'caseload data'!$D:$D,"PO",'caseload data'!$B:$B,{"licence","community"}))/SUM(SUMIFS('caseload data'!G:G,'caseload data'!$B:$B,{"licence","community"},'caseload data'!$C:$C,'community %'!$T$78)),"")</f>
        <v/>
      </c>
      <c r="X80" s="181" t="str" cm="1">
        <f t="array" ref="X80">IFERROR(SUM(SUMIFS('caseload data'!H:H,'caseload data'!$C:$C,'community %'!$T$78,'caseload data'!$D:$D,"PO",'caseload data'!$B:$B,{"licence","community"}))/SUM(SUMIFS('caseload data'!H:H,'caseload data'!$B:$B,{"licence","community"},'caseload data'!$C:$C,'community %'!$T$78)),"")</f>
        <v/>
      </c>
      <c r="Y80" s="181" t="str" cm="1">
        <f t="array" ref="Y80">IFERROR(SUM(SUMIFS('caseload data'!I:I,'caseload data'!$C:$C,'community %'!$T$78,'caseload data'!$D:$D,"PO",'caseload data'!$B:$B,{"licence","community"}))/SUM(SUMIFS('caseload data'!I:I,'caseload data'!$B:$B,{"licence","community"},'caseload data'!$C:$C,'community %'!$T$78)),"")</f>
        <v/>
      </c>
      <c r="Z80" s="181" t="str" cm="1">
        <f t="array" ref="Z80">IFERROR(SUM(SUMIFS('caseload data'!J:J,'caseload data'!$C:$C,'community %'!$T$78,'caseload data'!$D:$D,"PO",'caseload data'!$B:$B,{"licence","community"}))/SUM(SUMIFS('caseload data'!J:J,'caseload data'!$B:$B,{"licence","community"},'caseload data'!$C:$C,'community %'!$T$78)),"")</f>
        <v/>
      </c>
      <c r="AA80" s="181" t="str" cm="1">
        <f t="array" ref="AA80">IFERROR(SUM(SUMIFS('caseload data'!K:K,'caseload data'!$C:$C,'community %'!$T$78,'caseload data'!$D:$D,"PO",'caseload data'!$B:$B,{"licence","community"}))/SUM(SUMIFS('caseload data'!K:K,'caseload data'!$B:$B,{"licence","community"},'caseload data'!$C:$C,'community %'!$T$78)),"")</f>
        <v/>
      </c>
      <c r="AB80" s="181" t="str" cm="1">
        <f t="array" ref="AB80">IFERROR(SUM(SUMIFS('caseload data'!L:L,'caseload data'!$C:$C,'community %'!$T$78,'caseload data'!$D:$D,"PO",'caseload data'!$B:$B,{"licence","community"}))/SUM(SUMIFS('caseload data'!L:L,'caseload data'!$B:$B,{"licence","community"},'caseload data'!$C:$C,'community %'!$T$78)),"")</f>
        <v/>
      </c>
      <c r="AC80" s="181" t="str" cm="1">
        <f t="array" ref="AC80">IFERROR(SUM(SUMIFS('caseload data'!M:M,'caseload data'!$C:$C,'community %'!$T$78,'caseload data'!$D:$D,"PO",'caseload data'!$B:$B,{"licence","community"}))/SUM(SUMIFS('caseload data'!M:M,'caseload data'!$B:$B,{"licence","community"},'caseload data'!$C:$C,'community %'!$T$78)),"")</f>
        <v/>
      </c>
      <c r="AD80" s="181" t="str" cm="1">
        <f t="array" ref="AD80">IFERROR(SUM(SUMIFS('caseload data'!N:N,'caseload data'!$C:$C,'community %'!$T$78,'caseload data'!$D:$D,"PO",'caseload data'!$B:$B,{"licence","community"}))/SUM(SUMIFS('caseload data'!N:N,'caseload data'!$B:$B,{"licence","community"},'caseload data'!$C:$C,'community %'!$T$78)),"")</f>
        <v/>
      </c>
      <c r="AE80" s="181" t="str" cm="1">
        <f t="array" ref="AE80">IFERROR(SUM(SUMIFS('caseload data'!O:O,'caseload data'!$C:$C,'community %'!$T$78,'caseload data'!$D:$D,"PO",'caseload data'!$B:$B,{"licence","community"}))/SUM(SUMIFS('caseload data'!O:O,'caseload data'!$B:$B,{"licence","community"},'caseload data'!$C:$C,'community %'!$T$78)),"")</f>
        <v/>
      </c>
      <c r="AF80" s="181" t="str" cm="1">
        <f t="array" ref="AF80">IFERROR(SUM(SUMIFS('caseload data'!P:P,'caseload data'!$C:$C,'community %'!$T$78,'caseload data'!$D:$D,"PO",'caseload data'!$B:$B,{"licence","community"}))/SUM(SUMIFS('caseload data'!P:P,'caseload data'!$B:$B,{"licence","community"},'caseload data'!$C:$C,'community %'!$T$78)),"")</f>
        <v/>
      </c>
      <c r="AG80" s="181" t="str" cm="1">
        <f t="array" ref="AG80">IFERROR(SUM(SUMIFS('caseload data'!Q:Q,'caseload data'!$C:$C,'community %'!$T$78,'caseload data'!$D:$D,"PO",'caseload data'!$B:$B,{"licence","community"}))/SUM(SUMIFS('caseload data'!Q:Q,'caseload data'!$B:$B,{"licence","community"},'caseload data'!$C:$C,'community %'!$T$78)),"")</f>
        <v/>
      </c>
      <c r="AH80" s="181" t="str" cm="1">
        <f t="array" ref="AH80">IFERROR(SUM(SUMIFS('caseload data'!R:R,'caseload data'!$C:$C,'community %'!$T$78,'caseload data'!$D:$D,"PO",'caseload data'!$B:$B,{"licence","community"}))/SUM(SUMIFS('caseload data'!R:R,'caseload data'!$B:$B,{"licence","community"},'caseload data'!$C:$C,'community %'!$T$78)),"")</f>
        <v/>
      </c>
      <c r="AI80" s="181" t="str" cm="1">
        <f t="array" ref="AI80">IFERROR(SUM(SUMIFS('caseload data'!S:S,'caseload data'!$C:$C,'community %'!$T$78,'caseload data'!$D:$D,"PO",'caseload data'!$B:$B,{"licence","community"}))/SUM(SUMIFS('caseload data'!S:S,'caseload data'!$B:$B,{"licence","community"},'caseload data'!$C:$C,'community %'!$T$78)),"")</f>
        <v/>
      </c>
      <c r="AJ80" s="181" t="str" cm="1">
        <f t="array" ref="AJ80">IFERROR(SUM(SUMIFS('caseload data'!T:T,'caseload data'!$C:$C,'community %'!$T$78,'caseload data'!$D:$D,"PO",'caseload data'!$B:$B,{"licence","community"}))/SUM(SUMIFS('caseload data'!T:T,'caseload data'!$B:$B,{"licence","community"},'caseload data'!$C:$C,'community %'!$T$78)),"")</f>
        <v/>
      </c>
    </row>
    <row r="81" spans="2:36" x14ac:dyDescent="0.15">
      <c r="B81" s="107" t="s">
        <v>912</v>
      </c>
      <c r="C81" s="181" t="str" cm="1">
        <f t="array" ref="C81">IFERROR(SUM(SUMIFS('caseload data'!E:E,'caseload data'!$C:$C,'community %'!$B$78,'caseload data'!$D:$D,"PSO",'caseload data'!$B:$B,{"licence","community"}))/SUM(SUMIFS('caseload data'!E:E,'caseload data'!$B:$B,{"licence","community"},'caseload data'!$C:$C,'community %'!$B$78)),"")</f>
        <v/>
      </c>
      <c r="D81" s="181" t="str" cm="1">
        <f t="array" ref="D81">IFERROR(SUM(SUMIFS('caseload data'!F:F,'caseload data'!$C:$C,'community %'!$B$78,'caseload data'!$D:$D,"PSO",'caseload data'!$B:$B,{"licence","community"}))/SUM(SUMIFS('caseload data'!F:F,'caseload data'!$B:$B,{"licence","community"},'caseload data'!$C:$C,'community %'!$B$78)),"")</f>
        <v/>
      </c>
      <c r="E81" s="181" t="str" cm="1">
        <f t="array" ref="E81">IFERROR(SUM(SUMIFS('caseload data'!G:G,'caseload data'!$C:$C,'community %'!$B$78,'caseload data'!$D:$D,"PSO",'caseload data'!$B:$B,{"licence","community"}))/SUM(SUMIFS('caseload data'!G:G,'caseload data'!$B:$B,{"licence","community"},'caseload data'!$C:$C,'community %'!$B$78)),"")</f>
        <v/>
      </c>
      <c r="F81" s="181" t="str" cm="1">
        <f t="array" ref="F81">IFERROR(SUM(SUMIFS('caseload data'!H:H,'caseload data'!$C:$C,'community %'!$B$78,'caseload data'!$D:$D,"PSO",'caseload data'!$B:$B,{"licence","community"}))/SUM(SUMIFS('caseload data'!H:H,'caseload data'!$B:$B,{"licence","community"},'caseload data'!$C:$C,'community %'!$B$78)),"")</f>
        <v/>
      </c>
      <c r="G81" s="181" t="str" cm="1">
        <f t="array" ref="G81">IFERROR(SUM(SUMIFS('caseload data'!I:I,'caseload data'!$C:$C,'community %'!$B$78,'caseload data'!$D:$D,"PSO",'caseload data'!$B:$B,{"licence","community"}))/SUM(SUMIFS('caseload data'!I:I,'caseload data'!$B:$B,{"licence","community"},'caseload data'!$C:$C,'community %'!$B$78)),"")</f>
        <v/>
      </c>
      <c r="H81" s="181" t="str" cm="1">
        <f t="array" ref="H81">IFERROR(SUM(SUMIFS('caseload data'!J:J,'caseload data'!$C:$C,'community %'!$B$78,'caseload data'!$D:$D,"PSO",'caseload data'!$B:$B,{"licence","community"}))/SUM(SUMIFS('caseload data'!J:J,'caseload data'!$B:$B,{"licence","community"},'caseload data'!$C:$C,'community %'!$B$78)),"")</f>
        <v/>
      </c>
      <c r="I81" s="181" t="str" cm="1">
        <f t="array" ref="I81">IFERROR(SUM(SUMIFS('caseload data'!K:K,'caseload data'!$C:$C,'community %'!$B$78,'caseload data'!$D:$D,"PSO",'caseload data'!$B:$B,{"licence","community"}))/SUM(SUMIFS('caseload data'!K:K,'caseload data'!$B:$B,{"licence","community"},'caseload data'!$C:$C,'community %'!$B$78)),"")</f>
        <v/>
      </c>
      <c r="J81" s="181" t="str" cm="1">
        <f t="array" ref="J81">IFERROR(SUM(SUMIFS('caseload data'!L:L,'caseload data'!$C:$C,'community %'!$B$78,'caseload data'!$D:$D,"PSO",'caseload data'!$B:$B,{"licence","community"}))/SUM(SUMIFS('caseload data'!L:L,'caseload data'!$B:$B,{"licence","community"},'caseload data'!$C:$C,'community %'!$B$78)),"")</f>
        <v/>
      </c>
      <c r="K81" s="181" t="str" cm="1">
        <f t="array" ref="K81">IFERROR(SUM(SUMIFS('caseload data'!M:M,'caseload data'!$C:$C,'community %'!$B$78,'caseload data'!$D:$D,"PSO",'caseload data'!$B:$B,{"licence","community"}))/SUM(SUMIFS('caseload data'!M:M,'caseload data'!$B:$B,{"licence","community"},'caseload data'!$C:$C,'community %'!$B$78)),"")</f>
        <v/>
      </c>
      <c r="L81" s="181" t="str" cm="1">
        <f t="array" ref="L81">IFERROR(SUM(SUMIFS('caseload data'!N:N,'caseload data'!$C:$C,'community %'!$B$78,'caseload data'!$D:$D,"PSO",'caseload data'!$B:$B,{"licence","community"}))/SUM(SUMIFS('caseload data'!N:N,'caseload data'!$B:$B,{"licence","community"},'caseload data'!$C:$C,'community %'!$B$78)),"")</f>
        <v/>
      </c>
      <c r="M81" s="181" t="str" cm="1">
        <f t="array" ref="M81">IFERROR(SUM(SUMIFS('caseload data'!O:O,'caseload data'!$C:$C,'community %'!$B$78,'caseload data'!$D:$D,"PSO",'caseload data'!$B:$B,{"licence","community"}))/SUM(SUMIFS('caseload data'!O:O,'caseload data'!$B:$B,{"licence","community"},'caseload data'!$C:$C,'community %'!$B$78)),"")</f>
        <v/>
      </c>
      <c r="N81" s="181" t="str" cm="1">
        <f t="array" ref="N81">IFERROR(SUM(SUMIFS('caseload data'!P:P,'caseload data'!$C:$C,'community %'!$B$78,'caseload data'!$D:$D,"PSO",'caseload data'!$B:$B,{"licence","community"}))/SUM(SUMIFS('caseload data'!P:P,'caseload data'!$B:$B,{"licence","community"},'caseload data'!$C:$C,'community %'!$B$78)),"")</f>
        <v/>
      </c>
      <c r="O81" s="181" t="str" cm="1">
        <f t="array" ref="O81">IFERROR(SUM(SUMIFS('caseload data'!Q:Q,'caseload data'!$C:$C,'community %'!$B$78,'caseload data'!$D:$D,"PSO",'caseload data'!$B:$B,{"licence","community"}))/SUM(SUMIFS('caseload data'!Q:Q,'caseload data'!$B:$B,{"licence","community"},'caseload data'!$C:$C,'community %'!$B$78)),"")</f>
        <v/>
      </c>
      <c r="P81" s="181" t="str" cm="1">
        <f t="array" ref="P81">IFERROR(SUM(SUMIFS('caseload data'!R:R,'caseload data'!$C:$C,'community %'!$B$78,'caseload data'!$D:$D,"PSO",'caseload data'!$B:$B,{"licence","community"}))/SUM(SUMIFS('caseload data'!R:R,'caseload data'!$B:$B,{"licence","community"},'caseload data'!$C:$C,'community %'!$B$78)),"")</f>
        <v/>
      </c>
      <c r="Q81" s="181" t="str" cm="1">
        <f t="array" ref="Q81">IFERROR(SUM(SUMIFS('caseload data'!S:S,'caseload data'!$C:$C,'community %'!$B$78,'caseload data'!$D:$D,"PSO",'caseload data'!$B:$B,{"licence","community"}))/SUM(SUMIFS('caseload data'!S:S,'caseload data'!$B:$B,{"licence","community"},'caseload data'!$C:$C,'community %'!$B$78)),"")</f>
        <v/>
      </c>
      <c r="R81" s="181" t="str" cm="1">
        <f t="array" ref="R81">IFERROR(SUM(SUMIFS('caseload data'!T:T,'caseload data'!$C:$C,'community %'!$B$78,'caseload data'!$D:$D,"PSO",'caseload data'!$B:$B,{"licence","community"}))/SUM(SUMIFS('caseload data'!T:T,'caseload data'!$B:$B,{"licence","community"},'caseload data'!$C:$C,'community %'!$B$78)),"")</f>
        <v/>
      </c>
      <c r="T81" s="107" t="s">
        <v>912</v>
      </c>
      <c r="U81" s="181" t="str" cm="1">
        <f t="array" ref="U81">IFERROR(SUM(SUMIFS('caseload data'!E:E,'caseload data'!$C:$C,'community %'!$T$78,'caseload data'!$D:$D,"PSO",'caseload data'!$B:$B,{"licence","community"}))/SUM(SUMIFS('caseload data'!E:E,'caseload data'!$B:$B,{"licence","community"},'caseload data'!$C:$C,'community %'!$T$78)),"")</f>
        <v/>
      </c>
      <c r="V81" s="181" t="str" cm="1">
        <f t="array" ref="V81">IFERROR(SUM(SUMIFS('caseload data'!F:F,'caseload data'!$C:$C,'community %'!$T$78,'caseload data'!$D:$D,"PSO",'caseload data'!$B:$B,{"licence","community"}))/SUM(SUMIFS('caseload data'!F:F,'caseload data'!$B:$B,{"licence","community"},'caseload data'!$C:$C,'community %'!$T$78)),"")</f>
        <v/>
      </c>
      <c r="W81" s="181" t="str" cm="1">
        <f t="array" ref="W81">IFERROR(SUM(SUMIFS('caseload data'!G:G,'caseload data'!$C:$C,'community %'!$T$78,'caseload data'!$D:$D,"PSO",'caseload data'!$B:$B,{"licence","community"}))/SUM(SUMIFS('caseload data'!G:G,'caseload data'!$B:$B,{"licence","community"},'caseload data'!$C:$C,'community %'!$T$78)),"")</f>
        <v/>
      </c>
      <c r="X81" s="181" t="str" cm="1">
        <f t="array" ref="X81">IFERROR(SUM(SUMIFS('caseload data'!H:H,'caseload data'!$C:$C,'community %'!$T$78,'caseload data'!$D:$D,"PSO",'caseload data'!$B:$B,{"licence","community"}))/SUM(SUMIFS('caseload data'!H:H,'caseload data'!$B:$B,{"licence","community"},'caseload data'!$C:$C,'community %'!$T$78)),"")</f>
        <v/>
      </c>
      <c r="Y81" s="181" t="str" cm="1">
        <f t="array" ref="Y81">IFERROR(SUM(SUMIFS('caseload data'!I:I,'caseload data'!$C:$C,'community %'!$T$78,'caseload data'!$D:$D,"PSO",'caseload data'!$B:$B,{"licence","community"}))/SUM(SUMIFS('caseload data'!I:I,'caseload data'!$B:$B,{"licence","community"},'caseload data'!$C:$C,'community %'!$T$78)),"")</f>
        <v/>
      </c>
      <c r="Z81" s="181" t="str" cm="1">
        <f t="array" ref="Z81">IFERROR(SUM(SUMIFS('caseload data'!J:J,'caseload data'!$C:$C,'community %'!$T$78,'caseload data'!$D:$D,"PSO",'caseload data'!$B:$B,{"licence","community"}))/SUM(SUMIFS('caseload data'!J:J,'caseload data'!$B:$B,{"licence","community"},'caseload data'!$C:$C,'community %'!$T$78)),"")</f>
        <v/>
      </c>
      <c r="AA81" s="181" t="str" cm="1">
        <f t="array" ref="AA81">IFERROR(SUM(SUMIFS('caseload data'!K:K,'caseload data'!$C:$C,'community %'!$T$78,'caseload data'!$D:$D,"PSO",'caseload data'!$B:$B,{"licence","community"}))/SUM(SUMIFS('caseload data'!K:K,'caseload data'!$B:$B,{"licence","community"},'caseload data'!$C:$C,'community %'!$T$78)),"")</f>
        <v/>
      </c>
      <c r="AB81" s="181" t="str" cm="1">
        <f t="array" ref="AB81">IFERROR(SUM(SUMIFS('caseload data'!L:L,'caseload data'!$C:$C,'community %'!$T$78,'caseload data'!$D:$D,"PSO",'caseload data'!$B:$B,{"licence","community"}))/SUM(SUMIFS('caseload data'!L:L,'caseload data'!$B:$B,{"licence","community"},'caseload data'!$C:$C,'community %'!$T$78)),"")</f>
        <v/>
      </c>
      <c r="AC81" s="181" t="str" cm="1">
        <f t="array" ref="AC81">IFERROR(SUM(SUMIFS('caseload data'!M:M,'caseload data'!$C:$C,'community %'!$T$78,'caseload data'!$D:$D,"PSO",'caseload data'!$B:$B,{"licence","community"}))/SUM(SUMIFS('caseload data'!M:M,'caseload data'!$B:$B,{"licence","community"},'caseload data'!$C:$C,'community %'!$T$78)),"")</f>
        <v/>
      </c>
      <c r="AD81" s="181" t="str" cm="1">
        <f t="array" ref="AD81">IFERROR(SUM(SUMIFS('caseload data'!N:N,'caseload data'!$C:$C,'community %'!$T$78,'caseload data'!$D:$D,"PSO",'caseload data'!$B:$B,{"licence","community"}))/SUM(SUMIFS('caseload data'!N:N,'caseload data'!$B:$B,{"licence","community"},'caseload data'!$C:$C,'community %'!$T$78)),"")</f>
        <v/>
      </c>
      <c r="AE81" s="181" t="str" cm="1">
        <f t="array" ref="AE81">IFERROR(SUM(SUMIFS('caseload data'!O:O,'caseload data'!$C:$C,'community %'!$T$78,'caseload data'!$D:$D,"PSO",'caseload data'!$B:$B,{"licence","community"}))/SUM(SUMIFS('caseload data'!O:O,'caseload data'!$B:$B,{"licence","community"},'caseload data'!$C:$C,'community %'!$T$78)),"")</f>
        <v/>
      </c>
      <c r="AF81" s="181" t="str" cm="1">
        <f t="array" ref="AF81">IFERROR(SUM(SUMIFS('caseload data'!P:P,'caseload data'!$C:$C,'community %'!$T$78,'caseload data'!$D:$D,"PSO",'caseload data'!$B:$B,{"licence","community"}))/SUM(SUMIFS('caseload data'!P:P,'caseload data'!$B:$B,{"licence","community"},'caseload data'!$C:$C,'community %'!$T$78)),"")</f>
        <v/>
      </c>
      <c r="AG81" s="181" t="str" cm="1">
        <f t="array" ref="AG81">IFERROR(SUM(SUMIFS('caseload data'!Q:Q,'caseload data'!$C:$C,'community %'!$T$78,'caseload data'!$D:$D,"PSO",'caseload data'!$B:$B,{"licence","community"}))/SUM(SUMIFS('caseload data'!Q:Q,'caseload data'!$B:$B,{"licence","community"},'caseload data'!$C:$C,'community %'!$T$78)),"")</f>
        <v/>
      </c>
      <c r="AH81" s="181" t="str" cm="1">
        <f t="array" ref="AH81">IFERROR(SUM(SUMIFS('caseload data'!R:R,'caseload data'!$C:$C,'community %'!$T$78,'caseload data'!$D:$D,"PSO",'caseload data'!$B:$B,{"licence","community"}))/SUM(SUMIFS('caseload data'!R:R,'caseload data'!$B:$B,{"licence","community"},'caseload data'!$C:$C,'community %'!$T$78)),"")</f>
        <v/>
      </c>
      <c r="AI81" s="181" t="str" cm="1">
        <f t="array" ref="AI81">IFERROR(SUM(SUMIFS('caseload data'!S:S,'caseload data'!$C:$C,'community %'!$T$78,'caseload data'!$D:$D,"PSO",'caseload data'!$B:$B,{"licence","community"}))/SUM(SUMIFS('caseload data'!S:S,'caseload data'!$B:$B,{"licence","community"},'caseload data'!$C:$C,'community %'!$T$78)),"")</f>
        <v/>
      </c>
      <c r="AJ81" s="181" t="str" cm="1">
        <f t="array" ref="AJ81">IFERROR(SUM(SUMIFS('caseload data'!T:T,'caseload data'!$C:$C,'community %'!$T$78,'caseload data'!$D:$D,"PSO",'caseload data'!$B:$B,{"licence","community"}))/SUM(SUMIFS('caseload data'!T:T,'caseload data'!$B:$B,{"licence","community"},'caseload data'!$C:$C,'community %'!$T$78)),"")</f>
        <v/>
      </c>
    </row>
    <row r="82" spans="2:36" x14ac:dyDescent="0.15">
      <c r="B82" s="107" t="s">
        <v>913</v>
      </c>
      <c r="C82" s="181" t="str" cm="1">
        <f t="array" ref="C82">IFERROR(SUM(SUMIFS('caseload data'!E:E,'caseload data'!$C:$C,'community %'!$B$78,'caseload data'!$D:$D,"TPO",'caseload data'!$B:$B,{"licence","community"}))/SUM(SUMIFS('caseload data'!E:E,'caseload data'!$B:$B,{"licence","community"},'caseload data'!$C:$C,'community %'!$B$78)),"")</f>
        <v/>
      </c>
      <c r="D82" s="181" t="str" cm="1">
        <f t="array" ref="D82">IFERROR(SUM(SUMIFS('caseload data'!F:F,'caseload data'!$C:$C,'community %'!$B$78,'caseload data'!$D:$D,"TPO",'caseload data'!$B:$B,{"licence","community"}))/SUM(SUMIFS('caseload data'!F:F,'caseload data'!$B:$B,{"licence","community"},'caseload data'!$C:$C,'community %'!$B$78)),"")</f>
        <v/>
      </c>
      <c r="E82" s="181" t="str" cm="1">
        <f t="array" ref="E82">IFERROR(SUM(SUMIFS('caseload data'!G:G,'caseload data'!$C:$C,'community %'!$B$78,'caseload data'!$D:$D,"TPO",'caseload data'!$B:$B,{"licence","community"}))/SUM(SUMIFS('caseload data'!G:G,'caseload data'!$B:$B,{"licence","community"},'caseload data'!$C:$C,'community %'!$B$78)),"")</f>
        <v/>
      </c>
      <c r="F82" s="181" t="str" cm="1">
        <f t="array" ref="F82">IFERROR(SUM(SUMIFS('caseload data'!H:H,'caseload data'!$C:$C,'community %'!$B$78,'caseload data'!$D:$D,"TPO",'caseload data'!$B:$B,{"licence","community"}))/SUM(SUMIFS('caseload data'!H:H,'caseload data'!$B:$B,{"licence","community"},'caseload data'!$C:$C,'community %'!$B$78)),"")</f>
        <v/>
      </c>
      <c r="G82" s="181" t="str" cm="1">
        <f t="array" ref="G82">IFERROR(SUM(SUMIFS('caseload data'!I:I,'caseload data'!$C:$C,'community %'!$B$78,'caseload data'!$D:$D,"TPO",'caseload data'!$B:$B,{"licence","community"}))/SUM(SUMIFS('caseload data'!I:I,'caseload data'!$B:$B,{"licence","community"},'caseload data'!$C:$C,'community %'!$B$78)),"")</f>
        <v/>
      </c>
      <c r="H82" s="181" t="str" cm="1">
        <f t="array" ref="H82">IFERROR(SUM(SUMIFS('caseload data'!J:J,'caseload data'!$C:$C,'community %'!$B$78,'caseload data'!$D:$D,"TPO",'caseload data'!$B:$B,{"licence","community"}))/SUM(SUMIFS('caseload data'!J:J,'caseload data'!$B:$B,{"licence","community"},'caseload data'!$C:$C,'community %'!$B$78)),"")</f>
        <v/>
      </c>
      <c r="I82" s="181" t="str" cm="1">
        <f t="array" ref="I82">IFERROR(SUM(SUMIFS('caseload data'!K:K,'caseload data'!$C:$C,'community %'!$B$78,'caseload data'!$D:$D,"TPO",'caseload data'!$B:$B,{"licence","community"}))/SUM(SUMIFS('caseload data'!K:K,'caseload data'!$B:$B,{"licence","community"},'caseload data'!$C:$C,'community %'!$B$78)),"")</f>
        <v/>
      </c>
      <c r="J82" s="181" t="str" cm="1">
        <f t="array" ref="J82">IFERROR(SUM(SUMIFS('caseload data'!L:L,'caseload data'!$C:$C,'community %'!$B$78,'caseload data'!$D:$D,"TPO",'caseload data'!$B:$B,{"licence","community"}))/SUM(SUMIFS('caseload data'!L:L,'caseload data'!$B:$B,{"licence","community"},'caseload data'!$C:$C,'community %'!$B$78)),"")</f>
        <v/>
      </c>
      <c r="K82" s="181" t="str" cm="1">
        <f t="array" ref="K82">IFERROR(SUM(SUMIFS('caseload data'!M:M,'caseload data'!$C:$C,'community %'!$B$78,'caseload data'!$D:$D,"TPO",'caseload data'!$B:$B,{"licence","community"}))/SUM(SUMIFS('caseload data'!M:M,'caseload data'!$B:$B,{"licence","community"},'caseload data'!$C:$C,'community %'!$B$78)),"")</f>
        <v/>
      </c>
      <c r="L82" s="181" t="str" cm="1">
        <f t="array" ref="L82">IFERROR(SUM(SUMIFS('caseload data'!N:N,'caseload data'!$C:$C,'community %'!$B$78,'caseload data'!$D:$D,"TPO",'caseload data'!$B:$B,{"licence","community"}))/SUM(SUMIFS('caseload data'!N:N,'caseload data'!$B:$B,{"licence","community"},'caseload data'!$C:$C,'community %'!$B$78)),"")</f>
        <v/>
      </c>
      <c r="M82" s="181" t="str" cm="1">
        <f t="array" ref="M82">IFERROR(SUM(SUMIFS('caseload data'!O:O,'caseload data'!$C:$C,'community %'!$B$78,'caseload data'!$D:$D,"TPO",'caseload data'!$B:$B,{"licence","community"}))/SUM(SUMIFS('caseload data'!O:O,'caseload data'!$B:$B,{"licence","community"},'caseload data'!$C:$C,'community %'!$B$78)),"")</f>
        <v/>
      </c>
      <c r="N82" s="181" t="str" cm="1">
        <f t="array" ref="N82">IFERROR(SUM(SUMIFS('caseload data'!P:P,'caseload data'!$C:$C,'community %'!$B$78,'caseload data'!$D:$D,"TPO",'caseload data'!$B:$B,{"licence","community"}))/SUM(SUMIFS('caseload data'!P:P,'caseload data'!$B:$B,{"licence","community"},'caseload data'!$C:$C,'community %'!$B$78)),"")</f>
        <v/>
      </c>
      <c r="O82" s="181" t="str" cm="1">
        <f t="array" ref="O82">IFERROR(SUM(SUMIFS('caseload data'!Q:Q,'caseload data'!$C:$C,'community %'!$B$78,'caseload data'!$D:$D,"TPO",'caseload data'!$B:$B,{"licence","community"}))/SUM(SUMIFS('caseload data'!Q:Q,'caseload data'!$B:$B,{"licence","community"},'caseload data'!$C:$C,'community %'!$B$78)),"")</f>
        <v/>
      </c>
      <c r="P82" s="181" t="str" cm="1">
        <f t="array" ref="P82">IFERROR(SUM(SUMIFS('caseload data'!R:R,'caseload data'!$C:$C,'community %'!$B$78,'caseload data'!$D:$D,"TPO",'caseload data'!$B:$B,{"licence","community"}))/SUM(SUMIFS('caseload data'!R:R,'caseload data'!$B:$B,{"licence","community"},'caseload data'!$C:$C,'community %'!$B$78)),"")</f>
        <v/>
      </c>
      <c r="Q82" s="181" t="str" cm="1">
        <f t="array" ref="Q82">IFERROR(SUM(SUMIFS('caseload data'!S:S,'caseload data'!$C:$C,'community %'!$B$78,'caseload data'!$D:$D,"TPO",'caseload data'!$B:$B,{"licence","community"}))/SUM(SUMIFS('caseload data'!S:S,'caseload data'!$B:$B,{"licence","community"},'caseload data'!$C:$C,'community %'!$B$78)),"")</f>
        <v/>
      </c>
      <c r="R82" s="181" t="str" cm="1">
        <f t="array" ref="R82">IFERROR(SUM(SUMIFS('caseload data'!T:T,'caseload data'!$C:$C,'community %'!$B$78,'caseload data'!$D:$D,"TPO",'caseload data'!$B:$B,{"licence","community"}))/SUM(SUMIFS('caseload data'!T:T,'caseload data'!$B:$B,{"licence","community"},'caseload data'!$C:$C,'community %'!$B$78)),"")</f>
        <v/>
      </c>
      <c r="T82" s="107" t="s">
        <v>913</v>
      </c>
      <c r="U82" s="181" t="str" cm="1">
        <f t="array" ref="U82">IFERROR(SUM(SUMIFS('caseload data'!E:E,'caseload data'!$C:$C,'community %'!$T$78,'caseload data'!$D:$D,"TPO",'caseload data'!$B:$B,{"licence","community"}))/SUM(SUMIFS('caseload data'!E:E,'caseload data'!$B:$B,{"licence","community"},'caseload data'!$C:$C,'community %'!$T$78)),"")</f>
        <v/>
      </c>
      <c r="V82" s="181" t="str" cm="1">
        <f t="array" ref="V82">IFERROR(SUM(SUMIFS('caseload data'!F:F,'caseload data'!$C:$C,'community %'!$T$78,'caseload data'!$D:$D,"TPO",'caseload data'!$B:$B,{"licence","community"}))/SUM(SUMIFS('caseload data'!F:F,'caseload data'!$B:$B,{"licence","community"},'caseload data'!$C:$C,'community %'!$T$78)),"")</f>
        <v/>
      </c>
      <c r="W82" s="181" t="str" cm="1">
        <f t="array" ref="W82">IFERROR(SUM(SUMIFS('caseload data'!G:G,'caseload data'!$C:$C,'community %'!$T$78,'caseload data'!$D:$D,"TPO",'caseload data'!$B:$B,{"licence","community"}))/SUM(SUMIFS('caseload data'!G:G,'caseload data'!$B:$B,{"licence","community"},'caseload data'!$C:$C,'community %'!$T$78)),"")</f>
        <v/>
      </c>
      <c r="X82" s="181" t="str" cm="1">
        <f t="array" ref="X82">IFERROR(SUM(SUMIFS('caseload data'!H:H,'caseload data'!$C:$C,'community %'!$T$78,'caseload data'!$D:$D,"TPO",'caseload data'!$B:$B,{"licence","community"}))/SUM(SUMIFS('caseload data'!H:H,'caseload data'!$B:$B,{"licence","community"},'caseload data'!$C:$C,'community %'!$T$78)),"")</f>
        <v/>
      </c>
      <c r="Y82" s="181" t="str" cm="1">
        <f t="array" ref="Y82">IFERROR(SUM(SUMIFS('caseload data'!I:I,'caseload data'!$C:$C,'community %'!$T$78,'caseload data'!$D:$D,"TPO",'caseload data'!$B:$B,{"licence","community"}))/SUM(SUMIFS('caseload data'!I:I,'caseload data'!$B:$B,{"licence","community"},'caseload data'!$C:$C,'community %'!$T$78)),"")</f>
        <v/>
      </c>
      <c r="Z82" s="181" t="str" cm="1">
        <f t="array" ref="Z82">IFERROR(SUM(SUMIFS('caseload data'!J:J,'caseload data'!$C:$C,'community %'!$T$78,'caseload data'!$D:$D,"TPO",'caseload data'!$B:$B,{"licence","community"}))/SUM(SUMIFS('caseload data'!J:J,'caseload data'!$B:$B,{"licence","community"},'caseload data'!$C:$C,'community %'!$T$78)),"")</f>
        <v/>
      </c>
      <c r="AA82" s="181" t="str" cm="1">
        <f t="array" ref="AA82">IFERROR(SUM(SUMIFS('caseload data'!K:K,'caseload data'!$C:$C,'community %'!$T$78,'caseload data'!$D:$D,"TPO",'caseload data'!$B:$B,{"licence","community"}))/SUM(SUMIFS('caseload data'!K:K,'caseload data'!$B:$B,{"licence","community"},'caseload data'!$C:$C,'community %'!$T$78)),"")</f>
        <v/>
      </c>
      <c r="AB82" s="181" t="str" cm="1">
        <f t="array" ref="AB82">IFERROR(SUM(SUMIFS('caseload data'!L:L,'caseload data'!$C:$C,'community %'!$T$78,'caseload data'!$D:$D,"TPO",'caseload data'!$B:$B,{"licence","community"}))/SUM(SUMIFS('caseload data'!L:L,'caseload data'!$B:$B,{"licence","community"},'caseload data'!$C:$C,'community %'!$T$78)),"")</f>
        <v/>
      </c>
      <c r="AC82" s="181" t="str" cm="1">
        <f t="array" ref="AC82">IFERROR(SUM(SUMIFS('caseload data'!M:M,'caseload data'!$C:$C,'community %'!$T$78,'caseload data'!$D:$D,"TPO",'caseload data'!$B:$B,{"licence","community"}))/SUM(SUMIFS('caseload data'!M:M,'caseload data'!$B:$B,{"licence","community"},'caseload data'!$C:$C,'community %'!$T$78)),"")</f>
        <v/>
      </c>
      <c r="AD82" s="181" t="str" cm="1">
        <f t="array" ref="AD82">IFERROR(SUM(SUMIFS('caseload data'!N:N,'caseload data'!$C:$C,'community %'!$T$78,'caseload data'!$D:$D,"TPO",'caseload data'!$B:$B,{"licence","community"}))/SUM(SUMIFS('caseload data'!N:N,'caseload data'!$B:$B,{"licence","community"},'caseload data'!$C:$C,'community %'!$T$78)),"")</f>
        <v/>
      </c>
      <c r="AE82" s="181" t="str" cm="1">
        <f t="array" ref="AE82">IFERROR(SUM(SUMIFS('caseload data'!O:O,'caseload data'!$C:$C,'community %'!$T$78,'caseload data'!$D:$D,"TPO",'caseload data'!$B:$B,{"licence","community"}))/SUM(SUMIFS('caseload data'!O:O,'caseload data'!$B:$B,{"licence","community"},'caseload data'!$C:$C,'community %'!$T$78)),"")</f>
        <v/>
      </c>
      <c r="AF82" s="181" t="str" cm="1">
        <f t="array" ref="AF82">IFERROR(SUM(SUMIFS('caseload data'!P:P,'caseload data'!$C:$C,'community %'!$T$78,'caseload data'!$D:$D,"TPO",'caseload data'!$B:$B,{"licence","community"}))/SUM(SUMIFS('caseload data'!P:P,'caseload data'!$B:$B,{"licence","community"},'caseload data'!$C:$C,'community %'!$T$78)),"")</f>
        <v/>
      </c>
      <c r="AG82" s="181" t="str" cm="1">
        <f t="array" ref="AG82">IFERROR(SUM(SUMIFS('caseload data'!Q:Q,'caseload data'!$C:$C,'community %'!$T$78,'caseload data'!$D:$D,"TPO",'caseload data'!$B:$B,{"licence","community"}))/SUM(SUMIFS('caseload data'!Q:Q,'caseload data'!$B:$B,{"licence","community"},'caseload data'!$C:$C,'community %'!$T$78)),"")</f>
        <v/>
      </c>
      <c r="AH82" s="181" t="str" cm="1">
        <f t="array" ref="AH82">IFERROR(SUM(SUMIFS('caseload data'!R:R,'caseload data'!$C:$C,'community %'!$T$78,'caseload data'!$D:$D,"TPO",'caseload data'!$B:$B,{"licence","community"}))/SUM(SUMIFS('caseload data'!R:R,'caseload data'!$B:$B,{"licence","community"},'caseload data'!$C:$C,'community %'!$T$78)),"")</f>
        <v/>
      </c>
      <c r="AI82" s="181" t="str" cm="1">
        <f t="array" ref="AI82">IFERROR(SUM(SUMIFS('caseload data'!S:S,'caseload data'!$C:$C,'community %'!$T$78,'caseload data'!$D:$D,"TPO",'caseload data'!$B:$B,{"licence","community"}))/SUM(SUMIFS('caseload data'!S:S,'caseload data'!$B:$B,{"licence","community"},'caseload data'!$C:$C,'community %'!$T$78)),"")</f>
        <v/>
      </c>
      <c r="AJ82" s="181" t="str" cm="1">
        <f t="array" ref="AJ82">IFERROR(SUM(SUMIFS('caseload data'!T:T,'caseload data'!$C:$C,'community %'!$T$78,'caseload data'!$D:$D,"TPO",'caseload data'!$B:$B,{"licence","community"}))/SUM(SUMIFS('caseload data'!T:T,'caseload data'!$B:$B,{"licence","community"},'caseload data'!$C:$C,'community %'!$T$78)),"")</f>
        <v/>
      </c>
    </row>
    <row r="83" spans="2:36" x14ac:dyDescent="0.15">
      <c r="B83" s="108" t="s">
        <v>914</v>
      </c>
      <c r="C83" s="181" t="str" cm="1">
        <f t="array" ref="C83">IFERROR(SUM(SUMIFS('caseload data'!E:E,'caseload data'!$C:$C,'community %'!$B$78,'caseload data'!$D:$D,"SPO",'caseload data'!$B:$B,{"licence","community"}))/SUM(SUMIFS('caseload data'!E:E,'caseload data'!$B:$B,{"licence","community"},'caseload data'!$C:$C,'community %'!$B$78)),"")</f>
        <v/>
      </c>
      <c r="D83" s="181" t="str" cm="1">
        <f t="array" ref="D83">IFERROR(SUM(SUMIFS('caseload data'!F:F,'caseload data'!$C:$C,'community %'!$B$78,'caseload data'!$D:$D,"SPO",'caseload data'!$B:$B,{"licence","community"}))/SUM(SUMIFS('caseload data'!F:F,'caseload data'!$B:$B,{"licence","community"},'caseload data'!$C:$C,'community %'!$B$78)),"")</f>
        <v/>
      </c>
      <c r="E83" s="181" t="str" cm="1">
        <f t="array" ref="E83">IFERROR(SUM(SUMIFS('caseload data'!G:G,'caseload data'!$C:$C,'community %'!$B$78,'caseload data'!$D:$D,"SPO",'caseload data'!$B:$B,{"licence","community"}))/SUM(SUMIFS('caseload data'!G:G,'caseload data'!$B:$B,{"licence","community"},'caseload data'!$C:$C,'community %'!$B$78)),"")</f>
        <v/>
      </c>
      <c r="F83" s="181" t="str" cm="1">
        <f t="array" ref="F83">IFERROR(SUM(SUMIFS('caseload data'!H:H,'caseload data'!$C:$C,'community %'!$B$78,'caseload data'!$D:$D,"SPO",'caseload data'!$B:$B,{"licence","community"}))/SUM(SUMIFS('caseload data'!H:H,'caseload data'!$B:$B,{"licence","community"},'caseload data'!$C:$C,'community %'!$B$78)),"")</f>
        <v/>
      </c>
      <c r="G83" s="181" t="str" cm="1">
        <f t="array" ref="G83">IFERROR(SUM(SUMIFS('caseload data'!I:I,'caseload data'!$C:$C,'community %'!$B$78,'caseload data'!$D:$D,"SPO",'caseload data'!$B:$B,{"licence","community"}))/SUM(SUMIFS('caseload data'!I:I,'caseload data'!$B:$B,{"licence","community"},'caseload data'!$C:$C,'community %'!$B$78)),"")</f>
        <v/>
      </c>
      <c r="H83" s="181" t="str" cm="1">
        <f t="array" ref="H83">IFERROR(SUM(SUMIFS('caseload data'!J:J,'caseload data'!$C:$C,'community %'!$B$78,'caseload data'!$D:$D,"SPO",'caseload data'!$B:$B,{"licence","community"}))/SUM(SUMIFS('caseload data'!J:J,'caseload data'!$B:$B,{"licence","community"},'caseload data'!$C:$C,'community %'!$B$78)),"")</f>
        <v/>
      </c>
      <c r="I83" s="181" t="str" cm="1">
        <f t="array" ref="I83">IFERROR(SUM(SUMIFS('caseload data'!K:K,'caseload data'!$C:$C,'community %'!$B$78,'caseload data'!$D:$D,"SPO",'caseload data'!$B:$B,{"licence","community"}))/SUM(SUMIFS('caseload data'!K:K,'caseload data'!$B:$B,{"licence","community"},'caseload data'!$C:$C,'community %'!$B$78)),"")</f>
        <v/>
      </c>
      <c r="J83" s="181" t="str" cm="1">
        <f t="array" ref="J83">IFERROR(SUM(SUMIFS('caseload data'!L:L,'caseload data'!$C:$C,'community %'!$B$78,'caseload data'!$D:$D,"SPO",'caseload data'!$B:$B,{"licence","community"}))/SUM(SUMIFS('caseload data'!L:L,'caseload data'!$B:$B,{"licence","community"},'caseload data'!$C:$C,'community %'!$B$78)),"")</f>
        <v/>
      </c>
      <c r="K83" s="181" t="str" cm="1">
        <f t="array" ref="K83">IFERROR(SUM(SUMIFS('caseload data'!M:M,'caseload data'!$C:$C,'community %'!$B$78,'caseload data'!$D:$D,"SPO",'caseload data'!$B:$B,{"licence","community"}))/SUM(SUMIFS('caseload data'!M:M,'caseload data'!$B:$B,{"licence","community"},'caseload data'!$C:$C,'community %'!$B$78)),"")</f>
        <v/>
      </c>
      <c r="L83" s="181" t="str" cm="1">
        <f t="array" ref="L83">IFERROR(SUM(SUMIFS('caseload data'!N:N,'caseload data'!$C:$C,'community %'!$B$78,'caseload data'!$D:$D,"SPO",'caseload data'!$B:$B,{"licence","community"}))/SUM(SUMIFS('caseload data'!N:N,'caseload data'!$B:$B,{"licence","community"},'caseload data'!$C:$C,'community %'!$B$78)),"")</f>
        <v/>
      </c>
      <c r="M83" s="181" t="str" cm="1">
        <f t="array" ref="M83">IFERROR(SUM(SUMIFS('caseload data'!O:O,'caseload data'!$C:$C,'community %'!$B$78,'caseload data'!$D:$D,"SPO",'caseload data'!$B:$B,{"licence","community"}))/SUM(SUMIFS('caseload data'!O:O,'caseload data'!$B:$B,{"licence","community"},'caseload data'!$C:$C,'community %'!$B$78)),"")</f>
        <v/>
      </c>
      <c r="N83" s="181" t="str" cm="1">
        <f t="array" ref="N83">IFERROR(SUM(SUMIFS('caseload data'!P:P,'caseload data'!$C:$C,'community %'!$B$78,'caseload data'!$D:$D,"SPO",'caseload data'!$B:$B,{"licence","community"}))/SUM(SUMIFS('caseload data'!P:P,'caseload data'!$B:$B,{"licence","community"},'caseload data'!$C:$C,'community %'!$B$78)),"")</f>
        <v/>
      </c>
      <c r="O83" s="181" t="str" cm="1">
        <f t="array" ref="O83">IFERROR(SUM(SUMIFS('caseload data'!Q:Q,'caseload data'!$C:$C,'community %'!$B$78,'caseload data'!$D:$D,"SPO",'caseload data'!$B:$B,{"licence","community"}))/SUM(SUMIFS('caseload data'!Q:Q,'caseload data'!$B:$B,{"licence","community"},'caseload data'!$C:$C,'community %'!$B$78)),"")</f>
        <v/>
      </c>
      <c r="P83" s="181" t="str" cm="1">
        <f t="array" ref="P83">IFERROR(SUM(SUMIFS('caseload data'!R:R,'caseload data'!$C:$C,'community %'!$B$78,'caseload data'!$D:$D,"SPO",'caseload data'!$B:$B,{"licence","community"}))/SUM(SUMIFS('caseload data'!R:R,'caseload data'!$B:$B,{"licence","community"},'caseload data'!$C:$C,'community %'!$B$78)),"")</f>
        <v/>
      </c>
      <c r="Q83" s="181" t="str" cm="1">
        <f t="array" ref="Q83">IFERROR(SUM(SUMIFS('caseload data'!S:S,'caseload data'!$C:$C,'community %'!$B$78,'caseload data'!$D:$D,"SPO",'caseload data'!$B:$B,{"licence","community"}))/SUM(SUMIFS('caseload data'!S:S,'caseload data'!$B:$B,{"licence","community"},'caseload data'!$C:$C,'community %'!$B$78)),"")</f>
        <v/>
      </c>
      <c r="R83" s="181" t="str" cm="1">
        <f t="array" ref="R83">IFERROR(SUM(SUMIFS('caseload data'!T:T,'caseload data'!$C:$C,'community %'!$B$78,'caseload data'!$D:$D,"SPO",'caseload data'!$B:$B,{"licence","community"}))/SUM(SUMIFS('caseload data'!T:T,'caseload data'!$B:$B,{"licence","community"},'caseload data'!$C:$C,'community %'!$B$78)),"")</f>
        <v/>
      </c>
      <c r="T83" s="108" t="s">
        <v>914</v>
      </c>
      <c r="U83" s="181" t="str" cm="1">
        <f t="array" ref="U83">IFERROR(SUM(SUMIFS('caseload data'!E:E,'caseload data'!$C:$C,'community %'!$T$78,'caseload data'!$D:$D,"SPO",'caseload data'!$B:$B,{"licence","community"}))/SUM(SUMIFS('caseload data'!E:E,'caseload data'!$B:$B,{"licence","community"},'caseload data'!$C:$C,'community %'!$T$78)),"")</f>
        <v/>
      </c>
      <c r="V83" s="181" t="str" cm="1">
        <f t="array" ref="V83">IFERROR(SUM(SUMIFS('caseload data'!F:F,'caseload data'!$C:$C,'community %'!$T$78,'caseload data'!$D:$D,"SPO",'caseload data'!$B:$B,{"licence","community"}))/SUM(SUMIFS('caseload data'!F:F,'caseload data'!$B:$B,{"licence","community"},'caseload data'!$C:$C,'community %'!$T$78)),"")</f>
        <v/>
      </c>
      <c r="W83" s="181" t="str" cm="1">
        <f t="array" ref="W83">IFERROR(SUM(SUMIFS('caseload data'!G:G,'caseload data'!$C:$C,'community %'!$T$78,'caseload data'!$D:$D,"SPO",'caseload data'!$B:$B,{"licence","community"}))/SUM(SUMIFS('caseload data'!G:G,'caseload data'!$B:$B,{"licence","community"},'caseload data'!$C:$C,'community %'!$T$78)),"")</f>
        <v/>
      </c>
      <c r="X83" s="181" t="str" cm="1">
        <f t="array" ref="X83">IFERROR(SUM(SUMIFS('caseload data'!H:H,'caseload data'!$C:$C,'community %'!$T$78,'caseload data'!$D:$D,"SPO",'caseload data'!$B:$B,{"licence","community"}))/SUM(SUMIFS('caseload data'!H:H,'caseload data'!$B:$B,{"licence","community"},'caseload data'!$C:$C,'community %'!$T$78)),"")</f>
        <v/>
      </c>
      <c r="Y83" s="181" t="str" cm="1">
        <f t="array" ref="Y83">IFERROR(SUM(SUMIFS('caseload data'!I:I,'caseload data'!$C:$C,'community %'!$T$78,'caseload data'!$D:$D,"SPO",'caseload data'!$B:$B,{"licence","community"}))/SUM(SUMIFS('caseload data'!I:I,'caseload data'!$B:$B,{"licence","community"},'caseload data'!$C:$C,'community %'!$T$78)),"")</f>
        <v/>
      </c>
      <c r="Z83" s="181" t="str" cm="1">
        <f t="array" ref="Z83">IFERROR(SUM(SUMIFS('caseload data'!J:J,'caseload data'!$C:$C,'community %'!$T$78,'caseload data'!$D:$D,"SPO",'caseload data'!$B:$B,{"licence","community"}))/SUM(SUMIFS('caseload data'!J:J,'caseload data'!$B:$B,{"licence","community"},'caseload data'!$C:$C,'community %'!$T$78)),"")</f>
        <v/>
      </c>
      <c r="AA83" s="181" t="str" cm="1">
        <f t="array" ref="AA83">IFERROR(SUM(SUMIFS('caseload data'!K:K,'caseload data'!$C:$C,'community %'!$T$78,'caseload data'!$D:$D,"SPO",'caseload data'!$B:$B,{"licence","community"}))/SUM(SUMIFS('caseload data'!K:K,'caseload data'!$B:$B,{"licence","community"},'caseload data'!$C:$C,'community %'!$T$78)),"")</f>
        <v/>
      </c>
      <c r="AB83" s="181" t="str" cm="1">
        <f t="array" ref="AB83">IFERROR(SUM(SUMIFS('caseload data'!L:L,'caseload data'!$C:$C,'community %'!$T$78,'caseload data'!$D:$D,"SPO",'caseload data'!$B:$B,{"licence","community"}))/SUM(SUMIFS('caseload data'!L:L,'caseload data'!$B:$B,{"licence","community"},'caseload data'!$C:$C,'community %'!$T$78)),"")</f>
        <v/>
      </c>
      <c r="AC83" s="181" t="str" cm="1">
        <f t="array" ref="AC83">IFERROR(SUM(SUMIFS('caseload data'!M:M,'caseload data'!$C:$C,'community %'!$T$78,'caseload data'!$D:$D,"SPO",'caseload data'!$B:$B,{"licence","community"}))/SUM(SUMIFS('caseload data'!M:M,'caseload data'!$B:$B,{"licence","community"},'caseload data'!$C:$C,'community %'!$T$78)),"")</f>
        <v/>
      </c>
      <c r="AD83" s="181" t="str" cm="1">
        <f t="array" ref="AD83">IFERROR(SUM(SUMIFS('caseload data'!N:N,'caseload data'!$C:$C,'community %'!$T$78,'caseload data'!$D:$D,"SPO",'caseload data'!$B:$B,{"licence","community"}))/SUM(SUMIFS('caseload data'!N:N,'caseload data'!$B:$B,{"licence","community"},'caseload data'!$C:$C,'community %'!$T$78)),"")</f>
        <v/>
      </c>
      <c r="AE83" s="181" t="str" cm="1">
        <f t="array" ref="AE83">IFERROR(SUM(SUMIFS('caseload data'!O:O,'caseload data'!$C:$C,'community %'!$T$78,'caseload data'!$D:$D,"SPO",'caseload data'!$B:$B,{"licence","community"}))/SUM(SUMIFS('caseload data'!O:O,'caseload data'!$B:$B,{"licence","community"},'caseload data'!$C:$C,'community %'!$T$78)),"")</f>
        <v/>
      </c>
      <c r="AF83" s="181" t="str" cm="1">
        <f t="array" ref="AF83">IFERROR(SUM(SUMIFS('caseload data'!P:P,'caseload data'!$C:$C,'community %'!$T$78,'caseload data'!$D:$D,"SPO",'caseload data'!$B:$B,{"licence","community"}))/SUM(SUMIFS('caseload data'!P:P,'caseload data'!$B:$B,{"licence","community"},'caseload data'!$C:$C,'community %'!$T$78)),"")</f>
        <v/>
      </c>
      <c r="AG83" s="181" t="str" cm="1">
        <f t="array" ref="AG83">IFERROR(SUM(SUMIFS('caseload data'!Q:Q,'caseload data'!$C:$C,'community %'!$T$78,'caseload data'!$D:$D,"SPO",'caseload data'!$B:$B,{"licence","community"}))/SUM(SUMIFS('caseload data'!Q:Q,'caseload data'!$B:$B,{"licence","community"},'caseload data'!$C:$C,'community %'!$T$78)),"")</f>
        <v/>
      </c>
      <c r="AH83" s="181" t="str" cm="1">
        <f t="array" ref="AH83">IFERROR(SUM(SUMIFS('caseload data'!R:R,'caseload data'!$C:$C,'community %'!$T$78,'caseload data'!$D:$D,"SPO",'caseload data'!$B:$B,{"licence","community"}))/SUM(SUMIFS('caseload data'!R:R,'caseload data'!$B:$B,{"licence","community"},'caseload data'!$C:$C,'community %'!$T$78)),"")</f>
        <v/>
      </c>
      <c r="AI83" s="181" t="str" cm="1">
        <f t="array" ref="AI83">IFERROR(SUM(SUMIFS('caseload data'!S:S,'caseload data'!$C:$C,'community %'!$T$78,'caseload data'!$D:$D,"SPO",'caseload data'!$B:$B,{"licence","community"}))/SUM(SUMIFS('caseload data'!S:S,'caseload data'!$B:$B,{"licence","community"},'caseload data'!$C:$C,'community %'!$T$78)),"")</f>
        <v/>
      </c>
      <c r="AJ83" s="181" t="str" cm="1">
        <f t="array" ref="AJ83">IFERROR(SUM(SUMIFS('caseload data'!T:T,'caseload data'!$C:$C,'community %'!$T$78,'caseload data'!$D:$D,"SPO",'caseload data'!$B:$B,{"licence","community"}))/SUM(SUMIFS('caseload data'!T:T,'caseload data'!$B:$B,{"licence","community"},'caseload data'!$C:$C,'community %'!$T$78)),"")</f>
        <v/>
      </c>
    </row>
    <row r="85" spans="2:36" x14ac:dyDescent="0.15">
      <c r="B85" s="156" t="str">
        <f>HLOOKUP($B$5,Region_Table,24,0)</f>
        <v>Unpaid Work and Attendance Centres - N07</v>
      </c>
      <c r="C85" s="367" t="s">
        <v>1170</v>
      </c>
      <c r="D85" s="368"/>
      <c r="E85" s="368"/>
      <c r="F85" s="368"/>
      <c r="G85" s="368"/>
      <c r="H85" s="368"/>
      <c r="I85" s="368"/>
      <c r="J85" s="368"/>
      <c r="K85" s="368"/>
      <c r="L85" s="368"/>
      <c r="M85" s="377"/>
      <c r="N85" s="377"/>
      <c r="O85" s="378"/>
      <c r="P85" s="371" cm="1">
        <f t="array" ref="P85">SUM(SUMIFS('caseload data'!V:V,'caseload data'!B:B,{"licence","community"},'caseload data'!$C:$C,B85))</f>
        <v>0</v>
      </c>
      <c r="Q85" s="379"/>
      <c r="R85" s="380"/>
      <c r="T85" s="156" t="str">
        <f>HLOOKUP($B$5,Region_Table,25,0)</f>
        <v>Wandsworth, Merton and Sutton</v>
      </c>
      <c r="U85" s="367" t="s">
        <v>1170</v>
      </c>
      <c r="V85" s="368"/>
      <c r="W85" s="368"/>
      <c r="X85" s="368"/>
      <c r="Y85" s="368"/>
      <c r="Z85" s="368"/>
      <c r="AA85" s="368"/>
      <c r="AB85" s="368"/>
      <c r="AC85" s="368"/>
      <c r="AD85" s="368"/>
      <c r="AE85" s="377"/>
      <c r="AF85" s="377"/>
      <c r="AG85" s="378"/>
      <c r="AH85" s="371" cm="1">
        <f t="array" ref="AH85">SUM(SUMIFS('caseload data'!V:V,'caseload data'!B:B,{"licence","community"},'caseload data'!$C:$C,T85))</f>
        <v>0</v>
      </c>
      <c r="AI85" s="379"/>
      <c r="AJ85" s="380"/>
    </row>
    <row r="86" spans="2:36" x14ac:dyDescent="0.15">
      <c r="B86" s="105" t="s">
        <v>1065</v>
      </c>
      <c r="C86" s="41" t="s">
        <v>922</v>
      </c>
      <c r="D86" s="41" t="s">
        <v>923</v>
      </c>
      <c r="E86" s="41" t="s">
        <v>924</v>
      </c>
      <c r="F86" s="41" t="s">
        <v>925</v>
      </c>
      <c r="G86" s="41" t="s">
        <v>926</v>
      </c>
      <c r="H86" s="41" t="s">
        <v>927</v>
      </c>
      <c r="I86" s="41" t="s">
        <v>928</v>
      </c>
      <c r="J86" s="41" t="s">
        <v>929</v>
      </c>
      <c r="K86" s="41" t="s">
        <v>930</v>
      </c>
      <c r="L86" s="41" t="s">
        <v>931</v>
      </c>
      <c r="M86" s="41" t="s">
        <v>932</v>
      </c>
      <c r="N86" s="41" t="s">
        <v>933</v>
      </c>
      <c r="O86" s="41" t="s">
        <v>934</v>
      </c>
      <c r="P86" s="41" t="s">
        <v>935</v>
      </c>
      <c r="Q86" s="41" t="s">
        <v>936</v>
      </c>
      <c r="R86" s="41" t="s">
        <v>937</v>
      </c>
      <c r="T86" s="105" t="s">
        <v>1065</v>
      </c>
      <c r="U86" s="41" t="s">
        <v>922</v>
      </c>
      <c r="V86" s="41" t="s">
        <v>923</v>
      </c>
      <c r="W86" s="41" t="s">
        <v>924</v>
      </c>
      <c r="X86" s="41" t="s">
        <v>925</v>
      </c>
      <c r="Y86" s="41" t="s">
        <v>926</v>
      </c>
      <c r="Z86" s="41" t="s">
        <v>927</v>
      </c>
      <c r="AA86" s="41" t="s">
        <v>928</v>
      </c>
      <c r="AB86" s="41" t="s">
        <v>929</v>
      </c>
      <c r="AC86" s="41" t="s">
        <v>930</v>
      </c>
      <c r="AD86" s="41" t="s">
        <v>931</v>
      </c>
      <c r="AE86" s="41" t="s">
        <v>932</v>
      </c>
      <c r="AF86" s="41" t="s">
        <v>933</v>
      </c>
      <c r="AG86" s="41" t="s">
        <v>934</v>
      </c>
      <c r="AH86" s="41" t="s">
        <v>935</v>
      </c>
      <c r="AI86" s="41" t="s">
        <v>936</v>
      </c>
      <c r="AJ86" s="41" t="s">
        <v>937</v>
      </c>
    </row>
    <row r="87" spans="2:36" x14ac:dyDescent="0.15">
      <c r="B87" s="106" t="s">
        <v>911</v>
      </c>
      <c r="C87" s="181" t="str" cm="1">
        <f t="array" ref="C87">IFERROR(SUM(SUMIFS('caseload data'!E:E,'caseload data'!$C:$C,'community %'!$B$85,'caseload data'!$D:$D,"PO",'caseload data'!$B:$B,{"licence","community"}))/SUM(SUMIFS('caseload data'!E:E,'caseload data'!$B:$B,{"licence","community"},'caseload data'!$C:$C,'community %'!$B$85)),"")</f>
        <v/>
      </c>
      <c r="D87" s="181" t="str" cm="1">
        <f t="array" ref="D87">IFERROR(SUM(SUMIFS('caseload data'!F:F,'caseload data'!$C:$C,'community %'!$B$85,'caseload data'!$D:$D,"PO",'caseload data'!$B:$B,{"licence","community"}))/SUM(SUMIFS('caseload data'!F:F,'caseload data'!$B:$B,{"licence","community"},'caseload data'!$C:$C,'community %'!$B$85)),"")</f>
        <v/>
      </c>
      <c r="E87" s="181" t="str" cm="1">
        <f t="array" ref="E87">IFERROR(SUM(SUMIFS('caseload data'!G:G,'caseload data'!$C:$C,'community %'!$B$85,'caseload data'!$D:$D,"PO",'caseload data'!$B:$B,{"licence","community"}))/SUM(SUMIFS('caseload data'!G:G,'caseload data'!$B:$B,{"licence","community"},'caseload data'!$C:$C,'community %'!$B$85)),"")</f>
        <v/>
      </c>
      <c r="F87" s="181" t="str" cm="1">
        <f t="array" ref="F87">IFERROR(SUM(SUMIFS('caseload data'!H:H,'caseload data'!$C:$C,'community %'!$B$85,'caseload data'!$D:$D,"PO",'caseload data'!$B:$B,{"licence","community"}))/SUM(SUMIFS('caseload data'!H:H,'caseload data'!$B:$B,{"licence","community"},'caseload data'!$C:$C,'community %'!$B$85)),"")</f>
        <v/>
      </c>
      <c r="G87" s="181" t="str" cm="1">
        <f t="array" ref="G87">IFERROR(SUM(SUMIFS('caseload data'!I:I,'caseload data'!$C:$C,'community %'!$B$85,'caseload data'!$D:$D,"PO",'caseload data'!$B:$B,{"licence","community"}))/SUM(SUMIFS('caseload data'!I:I,'caseload data'!$B:$B,{"licence","community"},'caseload data'!$C:$C,'community %'!$B$85)),"")</f>
        <v/>
      </c>
      <c r="H87" s="181" t="str" cm="1">
        <f t="array" ref="H87">IFERROR(SUM(SUMIFS('caseload data'!J:J,'caseload data'!$C:$C,'community %'!$B$85,'caseload data'!$D:$D,"PO",'caseload data'!$B:$B,{"licence","community"}))/SUM(SUMIFS('caseload data'!J:J,'caseload data'!$B:$B,{"licence","community"},'caseload data'!$C:$C,'community %'!$B$85)),"")</f>
        <v/>
      </c>
      <c r="I87" s="181" t="str" cm="1">
        <f t="array" ref="I87">IFERROR(SUM(SUMIFS('caseload data'!K:K,'caseload data'!$C:$C,'community %'!$B$85,'caseload data'!$D:$D,"PO",'caseload data'!$B:$B,{"licence","community"}))/SUM(SUMIFS('caseload data'!K:K,'caseload data'!$B:$B,{"licence","community"},'caseload data'!$C:$C,'community %'!$B$85)),"")</f>
        <v/>
      </c>
      <c r="J87" s="181" t="str" cm="1">
        <f t="array" ref="J87">IFERROR(SUM(SUMIFS('caseload data'!L:L,'caseload data'!$C:$C,'community %'!$B$85,'caseload data'!$D:$D,"PO",'caseload data'!$B:$B,{"licence","community"}))/SUM(SUMIFS('caseload data'!L:L,'caseload data'!$B:$B,{"licence","community"},'caseload data'!$C:$C,'community %'!$B$85)),"")</f>
        <v/>
      </c>
      <c r="K87" s="181" t="str" cm="1">
        <f t="array" ref="K87">IFERROR(SUM(SUMIFS('caseload data'!M:M,'caseload data'!$C:$C,'community %'!$B$85,'caseload data'!$D:$D,"PO",'caseload data'!$B:$B,{"licence","community"}))/SUM(SUMIFS('caseload data'!M:M,'caseload data'!$B:$B,{"licence","community"},'caseload data'!$C:$C,'community %'!$B$85)),"")</f>
        <v/>
      </c>
      <c r="L87" s="181" t="str" cm="1">
        <f t="array" ref="L87">IFERROR(SUM(SUMIFS('caseload data'!N:N,'caseload data'!$C:$C,'community %'!$B$85,'caseload data'!$D:$D,"PO",'caseload data'!$B:$B,{"licence","community"}))/SUM(SUMIFS('caseload data'!N:N,'caseload data'!$B:$B,{"licence","community"},'caseload data'!$C:$C,'community %'!$B$85)),"")</f>
        <v/>
      </c>
      <c r="M87" s="181" t="str" cm="1">
        <f t="array" ref="M87">IFERROR(SUM(SUMIFS('caseload data'!O:O,'caseload data'!$C:$C,'community %'!$B$85,'caseload data'!$D:$D,"PO",'caseload data'!$B:$B,{"licence","community"}))/SUM(SUMIFS('caseload data'!O:O,'caseload data'!$B:$B,{"licence","community"},'caseload data'!$C:$C,'community %'!$B$85)),"")</f>
        <v/>
      </c>
      <c r="N87" s="181" t="str" cm="1">
        <f t="array" ref="N87">IFERROR(SUM(SUMIFS('caseload data'!P:P,'caseload data'!$C:$C,'community %'!$B$85,'caseload data'!$D:$D,"PO",'caseload data'!$B:$B,{"licence","community"}))/SUM(SUMIFS('caseload data'!P:P,'caseload data'!$B:$B,{"licence","community"},'caseload data'!$C:$C,'community %'!$B$85)),"")</f>
        <v/>
      </c>
      <c r="O87" s="181" t="str" cm="1">
        <f t="array" ref="O87">IFERROR(SUM(SUMIFS('caseload data'!Q:Q,'caseload data'!$C:$C,'community %'!$B$85,'caseload data'!$D:$D,"PO",'caseload data'!$B:$B,{"licence","community"}))/SUM(SUMIFS('caseload data'!Q:Q,'caseload data'!$B:$B,{"licence","community"},'caseload data'!$C:$C,'community %'!$B$85)),"")</f>
        <v/>
      </c>
      <c r="P87" s="181" t="str" cm="1">
        <f t="array" ref="P87">IFERROR(SUM(SUMIFS('caseload data'!R:R,'caseload data'!$C:$C,'community %'!$B$85,'caseload data'!$D:$D,"PO",'caseload data'!$B:$B,{"licence","community"}))/SUM(SUMIFS('caseload data'!R:R,'caseload data'!$B:$B,{"licence","community"},'caseload data'!$C:$C,'community %'!$B$85)),"")</f>
        <v/>
      </c>
      <c r="Q87" s="181" t="str" cm="1">
        <f t="array" ref="Q87">IFERROR(SUM(SUMIFS('caseload data'!S:S,'caseload data'!$C:$C,'community %'!$B$85,'caseload data'!$D:$D,"PO",'caseload data'!$B:$B,{"licence","community"}))/SUM(SUMIFS('caseload data'!S:S,'caseload data'!$B:$B,{"licence","community"},'caseload data'!$C:$C,'community %'!$B$85)),"")</f>
        <v/>
      </c>
      <c r="R87" s="181" t="str" cm="1">
        <f t="array" ref="R87">IFERROR(SUM(SUMIFS('caseload data'!T:T,'caseload data'!$C:$C,'community %'!$B$85,'caseload data'!$D:$D,"PO",'caseload data'!$B:$B,{"licence","community"}))/SUM(SUMIFS('caseload data'!T:T,'caseload data'!$B:$B,{"licence","community"},'caseload data'!$C:$C,'community %'!$B$85)),"")</f>
        <v/>
      </c>
      <c r="T87" s="106" t="s">
        <v>911</v>
      </c>
      <c r="U87" s="181" t="str" cm="1">
        <f t="array" ref="U87">IFERROR(SUM(SUMIFS('caseload data'!E:E,'caseload data'!$C:$C,'community %'!$T$85,'caseload data'!$D:$D,"PO",'caseload data'!$B:$B,{"licence","community"}))/SUM(SUMIFS('caseload data'!E:E,'caseload data'!$B:$B,{"licence","community"},'caseload data'!$C:$C,'community %'!$T$85)),"")</f>
        <v/>
      </c>
      <c r="V87" s="181" t="str" cm="1">
        <f t="array" ref="V87">IFERROR(SUM(SUMIFS('caseload data'!F:F,'caseload data'!$C:$C,'community %'!$T$85,'caseload data'!$D:$D,"PO",'caseload data'!$B:$B,{"licence","community"}))/SUM(SUMIFS('caseload data'!F:F,'caseload data'!$B:$B,{"licence","community"},'caseload data'!$C:$C,'community %'!$T$85)),"")</f>
        <v/>
      </c>
      <c r="W87" s="181" t="str" cm="1">
        <f t="array" ref="W87">IFERROR(SUM(SUMIFS('caseload data'!G:G,'caseload data'!$C:$C,'community %'!$T$85,'caseload data'!$D:$D,"PO",'caseload data'!$B:$B,{"licence","community"}))/SUM(SUMIFS('caseload data'!G:G,'caseload data'!$B:$B,{"licence","community"},'caseload data'!$C:$C,'community %'!$T$85)),"")</f>
        <v/>
      </c>
      <c r="X87" s="181" t="str" cm="1">
        <f t="array" ref="X87">IFERROR(SUM(SUMIFS('caseload data'!H:H,'caseload data'!$C:$C,'community %'!$T$85,'caseload data'!$D:$D,"PO",'caseload data'!$B:$B,{"licence","community"}))/SUM(SUMIFS('caseload data'!H:H,'caseload data'!$B:$B,{"licence","community"},'caseload data'!$C:$C,'community %'!$T$85)),"")</f>
        <v/>
      </c>
      <c r="Y87" s="181" t="str" cm="1">
        <f t="array" ref="Y87">IFERROR(SUM(SUMIFS('caseload data'!I:I,'caseload data'!$C:$C,'community %'!$T$85,'caseload data'!$D:$D,"PO",'caseload data'!$B:$B,{"licence","community"}))/SUM(SUMIFS('caseload data'!I:I,'caseload data'!$B:$B,{"licence","community"},'caseload data'!$C:$C,'community %'!$T$85)),"")</f>
        <v/>
      </c>
      <c r="Z87" s="181" t="str" cm="1">
        <f t="array" ref="Z87">IFERROR(SUM(SUMIFS('caseload data'!J:J,'caseload data'!$C:$C,'community %'!$T$85,'caseload data'!$D:$D,"PO",'caseload data'!$B:$B,{"licence","community"}))/SUM(SUMIFS('caseload data'!J:J,'caseload data'!$B:$B,{"licence","community"},'caseload data'!$C:$C,'community %'!$T$85)),"")</f>
        <v/>
      </c>
      <c r="AA87" s="181" t="str" cm="1">
        <f t="array" ref="AA87">IFERROR(SUM(SUMIFS('caseload data'!K:K,'caseload data'!$C:$C,'community %'!$T$85,'caseload data'!$D:$D,"PO",'caseload data'!$B:$B,{"licence","community"}))/SUM(SUMIFS('caseload data'!K:K,'caseload data'!$B:$B,{"licence","community"},'caseload data'!$C:$C,'community %'!$T$85)),"")</f>
        <v/>
      </c>
      <c r="AB87" s="181" t="str" cm="1">
        <f t="array" ref="AB87">IFERROR(SUM(SUMIFS('caseload data'!L:L,'caseload data'!$C:$C,'community %'!$T$85,'caseload data'!$D:$D,"PO",'caseload data'!$B:$B,{"licence","community"}))/SUM(SUMIFS('caseload data'!L:L,'caseload data'!$B:$B,{"licence","community"},'caseload data'!$C:$C,'community %'!$T$85)),"")</f>
        <v/>
      </c>
      <c r="AC87" s="181" t="str" cm="1">
        <f t="array" ref="AC87">IFERROR(SUM(SUMIFS('caseload data'!M:M,'caseload data'!$C:$C,'community %'!$T$85,'caseload data'!$D:$D,"PO",'caseload data'!$B:$B,{"licence","community"}))/SUM(SUMIFS('caseload data'!M:M,'caseload data'!$B:$B,{"licence","community"},'caseload data'!$C:$C,'community %'!$T$85)),"")</f>
        <v/>
      </c>
      <c r="AD87" s="181" t="str" cm="1">
        <f t="array" ref="AD87">IFERROR(SUM(SUMIFS('caseload data'!N:N,'caseload data'!$C:$C,'community %'!$T$85,'caseload data'!$D:$D,"PO",'caseload data'!$B:$B,{"licence","community"}))/SUM(SUMIFS('caseload data'!N:N,'caseload data'!$B:$B,{"licence","community"},'caseload data'!$C:$C,'community %'!$T$85)),"")</f>
        <v/>
      </c>
      <c r="AE87" s="181" t="str" cm="1">
        <f t="array" ref="AE87">IFERROR(SUM(SUMIFS('caseload data'!O:O,'caseload data'!$C:$C,'community %'!$T$85,'caseload data'!$D:$D,"PO",'caseload data'!$B:$B,{"licence","community"}))/SUM(SUMIFS('caseload data'!O:O,'caseload data'!$B:$B,{"licence","community"},'caseload data'!$C:$C,'community %'!$T$85)),"")</f>
        <v/>
      </c>
      <c r="AF87" s="181" t="str" cm="1">
        <f t="array" ref="AF87">IFERROR(SUM(SUMIFS('caseload data'!P:P,'caseload data'!$C:$C,'community %'!$T$85,'caseload data'!$D:$D,"PO",'caseload data'!$B:$B,{"licence","community"}))/SUM(SUMIFS('caseload data'!P:P,'caseload data'!$B:$B,{"licence","community"},'caseload data'!$C:$C,'community %'!$T$85)),"")</f>
        <v/>
      </c>
      <c r="AG87" s="181" t="str" cm="1">
        <f t="array" ref="AG87">IFERROR(SUM(SUMIFS('caseload data'!Q:Q,'caseload data'!$C:$C,'community %'!$T$85,'caseload data'!$D:$D,"PO",'caseload data'!$B:$B,{"licence","community"}))/SUM(SUMIFS('caseload data'!Q:Q,'caseload data'!$B:$B,{"licence","community"},'caseload data'!$C:$C,'community %'!$T$85)),"")</f>
        <v/>
      </c>
      <c r="AH87" s="181" t="str" cm="1">
        <f t="array" ref="AH87">IFERROR(SUM(SUMIFS('caseload data'!R:R,'caseload data'!$C:$C,'community %'!$T$85,'caseload data'!$D:$D,"PO",'caseload data'!$B:$B,{"licence","community"}))/SUM(SUMIFS('caseload data'!R:R,'caseload data'!$B:$B,{"licence","community"},'caseload data'!$C:$C,'community %'!$T$85)),"")</f>
        <v/>
      </c>
      <c r="AI87" s="181" t="str" cm="1">
        <f t="array" ref="AI87">IFERROR(SUM(SUMIFS('caseload data'!S:S,'caseload data'!$C:$C,'community %'!$T$85,'caseload data'!$D:$D,"PO",'caseload data'!$B:$B,{"licence","community"}))/SUM(SUMIFS('caseload data'!S:S,'caseload data'!$B:$B,{"licence","community"},'caseload data'!$C:$C,'community %'!$T$85)),"")</f>
        <v/>
      </c>
      <c r="AJ87" s="181" t="str" cm="1">
        <f t="array" ref="AJ87">IFERROR(SUM(SUMIFS('caseload data'!T:T,'caseload data'!$C:$C,'community %'!$T$85,'caseload data'!$D:$D,"PO",'caseload data'!$B:$B,{"licence","community"}))/SUM(SUMIFS('caseload data'!T:T,'caseload data'!$B:$B,{"licence","community"},'caseload data'!$C:$C,'community %'!$T$85)),"")</f>
        <v/>
      </c>
    </row>
    <row r="88" spans="2:36" x14ac:dyDescent="0.15">
      <c r="B88" s="107" t="s">
        <v>912</v>
      </c>
      <c r="C88" s="181" t="str" cm="1">
        <f t="array" ref="C88">IFERROR(SUM(SUMIFS('caseload data'!E:E,'caseload data'!$C:$C,'community %'!$B$85,'caseload data'!$D:$D,"PSO",'caseload data'!$B:$B,{"licence","community"}))/SUM(SUMIFS('caseload data'!E:E,'caseload data'!$B:$B,{"licence","community"},'caseload data'!$C:$C,'community %'!$B$85)),"")</f>
        <v/>
      </c>
      <c r="D88" s="181" t="str" cm="1">
        <f t="array" ref="D88">IFERROR(SUM(SUMIFS('caseload data'!F:F,'caseload data'!$C:$C,'community %'!$B$85,'caseload data'!$D:$D,"PSO",'caseload data'!$B:$B,{"licence","community"}))/SUM(SUMIFS('caseload data'!F:F,'caseload data'!$B:$B,{"licence","community"},'caseload data'!$C:$C,'community %'!$B$85)),"")</f>
        <v/>
      </c>
      <c r="E88" s="181" t="str" cm="1">
        <f t="array" ref="E88">IFERROR(SUM(SUMIFS('caseload data'!G:G,'caseload data'!$C:$C,'community %'!$B$85,'caseload data'!$D:$D,"PSO",'caseload data'!$B:$B,{"licence","community"}))/SUM(SUMIFS('caseload data'!G:G,'caseload data'!$B:$B,{"licence","community"},'caseload data'!$C:$C,'community %'!$B$85)),"")</f>
        <v/>
      </c>
      <c r="F88" s="181" t="str" cm="1">
        <f t="array" ref="F88">IFERROR(SUM(SUMIFS('caseload data'!H:H,'caseload data'!$C:$C,'community %'!$B$85,'caseload data'!$D:$D,"PSO",'caseload data'!$B:$B,{"licence","community"}))/SUM(SUMIFS('caseload data'!H:H,'caseload data'!$B:$B,{"licence","community"},'caseload data'!$C:$C,'community %'!$B$85)),"")</f>
        <v/>
      </c>
      <c r="G88" s="181" t="str" cm="1">
        <f t="array" ref="G88">IFERROR(SUM(SUMIFS('caseload data'!I:I,'caseload data'!$C:$C,'community %'!$B$85,'caseload data'!$D:$D,"PSO",'caseload data'!$B:$B,{"licence","community"}))/SUM(SUMIFS('caseload data'!I:I,'caseload data'!$B:$B,{"licence","community"},'caseload data'!$C:$C,'community %'!$B$85)),"")</f>
        <v/>
      </c>
      <c r="H88" s="181" t="str" cm="1">
        <f t="array" ref="H88">IFERROR(SUM(SUMIFS('caseload data'!J:J,'caseload data'!$C:$C,'community %'!$B$85,'caseload data'!$D:$D,"PSO",'caseload data'!$B:$B,{"licence","community"}))/SUM(SUMIFS('caseload data'!J:J,'caseload data'!$B:$B,{"licence","community"},'caseload data'!$C:$C,'community %'!$B$85)),"")</f>
        <v/>
      </c>
      <c r="I88" s="181" t="str" cm="1">
        <f t="array" ref="I88">IFERROR(SUM(SUMIFS('caseload data'!K:K,'caseload data'!$C:$C,'community %'!$B$85,'caseload data'!$D:$D,"PSO",'caseload data'!$B:$B,{"licence","community"}))/SUM(SUMIFS('caseload data'!K:K,'caseload data'!$B:$B,{"licence","community"},'caseload data'!$C:$C,'community %'!$B$85)),"")</f>
        <v/>
      </c>
      <c r="J88" s="181" t="str" cm="1">
        <f t="array" ref="J88">IFERROR(SUM(SUMIFS('caseload data'!L:L,'caseload data'!$C:$C,'community %'!$B$85,'caseload data'!$D:$D,"PSO",'caseload data'!$B:$B,{"licence","community"}))/SUM(SUMIFS('caseload data'!L:L,'caseload data'!$B:$B,{"licence","community"},'caseload data'!$C:$C,'community %'!$B$85)),"")</f>
        <v/>
      </c>
      <c r="K88" s="181" t="str" cm="1">
        <f t="array" ref="K88">IFERROR(SUM(SUMIFS('caseload data'!M:M,'caseload data'!$C:$C,'community %'!$B$85,'caseload data'!$D:$D,"PSO",'caseload data'!$B:$B,{"licence","community"}))/SUM(SUMIFS('caseload data'!M:M,'caseload data'!$B:$B,{"licence","community"},'caseload data'!$C:$C,'community %'!$B$85)),"")</f>
        <v/>
      </c>
      <c r="L88" s="181" t="str" cm="1">
        <f t="array" ref="L88">IFERROR(SUM(SUMIFS('caseload data'!N:N,'caseload data'!$C:$C,'community %'!$B$85,'caseload data'!$D:$D,"PSO",'caseload data'!$B:$B,{"licence","community"}))/SUM(SUMIFS('caseload data'!N:N,'caseload data'!$B:$B,{"licence","community"},'caseload data'!$C:$C,'community %'!$B$85)),"")</f>
        <v/>
      </c>
      <c r="M88" s="181" t="str" cm="1">
        <f t="array" ref="M88">IFERROR(SUM(SUMIFS('caseload data'!O:O,'caseload data'!$C:$C,'community %'!$B$85,'caseload data'!$D:$D,"PSO",'caseload data'!$B:$B,{"licence","community"}))/SUM(SUMIFS('caseload data'!O:O,'caseload data'!$B:$B,{"licence","community"},'caseload data'!$C:$C,'community %'!$B$85)),"")</f>
        <v/>
      </c>
      <c r="N88" s="181" t="str" cm="1">
        <f t="array" ref="N88">IFERROR(SUM(SUMIFS('caseload data'!P:P,'caseload data'!$C:$C,'community %'!$B$85,'caseload data'!$D:$D,"PSO",'caseload data'!$B:$B,{"licence","community"}))/SUM(SUMIFS('caseload data'!P:P,'caseload data'!$B:$B,{"licence","community"},'caseload data'!$C:$C,'community %'!$B$85)),"")</f>
        <v/>
      </c>
      <c r="O88" s="181" t="str" cm="1">
        <f t="array" ref="O88">IFERROR(SUM(SUMIFS('caseload data'!Q:Q,'caseload data'!$C:$C,'community %'!$B$85,'caseload data'!$D:$D,"PSO",'caseload data'!$B:$B,{"licence","community"}))/SUM(SUMIFS('caseload data'!Q:Q,'caseload data'!$B:$B,{"licence","community"},'caseload data'!$C:$C,'community %'!$B$85)),"")</f>
        <v/>
      </c>
      <c r="P88" s="181" t="str" cm="1">
        <f t="array" ref="P88">IFERROR(SUM(SUMIFS('caseload data'!R:R,'caseload data'!$C:$C,'community %'!$B$85,'caseload data'!$D:$D,"PSO",'caseload data'!$B:$B,{"licence","community"}))/SUM(SUMIFS('caseload data'!R:R,'caseload data'!$B:$B,{"licence","community"},'caseload data'!$C:$C,'community %'!$B$85)),"")</f>
        <v/>
      </c>
      <c r="Q88" s="181" t="str" cm="1">
        <f t="array" ref="Q88">IFERROR(SUM(SUMIFS('caseload data'!S:S,'caseload data'!$C:$C,'community %'!$B$85,'caseload data'!$D:$D,"PSO",'caseload data'!$B:$B,{"licence","community"}))/SUM(SUMIFS('caseload data'!S:S,'caseload data'!$B:$B,{"licence","community"},'caseload data'!$C:$C,'community %'!$B$85)),"")</f>
        <v/>
      </c>
      <c r="R88" s="181" t="str" cm="1">
        <f t="array" ref="R88">IFERROR(SUM(SUMIFS('caseload data'!T:T,'caseload data'!$C:$C,'community %'!$B$85,'caseload data'!$D:$D,"PSO",'caseload data'!$B:$B,{"licence","community"}))/SUM(SUMIFS('caseload data'!T:T,'caseload data'!$B:$B,{"licence","community"},'caseload data'!$C:$C,'community %'!$B$85)),"")</f>
        <v/>
      </c>
      <c r="T88" s="107" t="s">
        <v>912</v>
      </c>
      <c r="U88" s="181" t="str" cm="1">
        <f t="array" ref="U88">IFERROR(SUM(SUMIFS('caseload data'!E:E,'caseload data'!$C:$C,'community %'!$T$85,'caseload data'!$D:$D,"PSO",'caseload data'!$B:$B,{"licence","community"}))/SUM(SUMIFS('caseload data'!E:E,'caseload data'!$B:$B,{"licence","community"},'caseload data'!$C:$C,'community %'!$T$85)),"")</f>
        <v/>
      </c>
      <c r="V88" s="181" t="str" cm="1">
        <f t="array" ref="V88">IFERROR(SUM(SUMIFS('caseload data'!F:F,'caseload data'!$C:$C,'community %'!$T$85,'caseload data'!$D:$D,"PSO",'caseload data'!$B:$B,{"licence","community"}))/SUM(SUMIFS('caseload data'!F:F,'caseload data'!$B:$B,{"licence","community"},'caseload data'!$C:$C,'community %'!$T$85)),"")</f>
        <v/>
      </c>
      <c r="W88" s="181" t="str" cm="1">
        <f t="array" ref="W88">IFERROR(SUM(SUMIFS('caseload data'!G:G,'caseload data'!$C:$C,'community %'!$T$85,'caseload data'!$D:$D,"PSO",'caseload data'!$B:$B,{"licence","community"}))/SUM(SUMIFS('caseload data'!G:G,'caseload data'!$B:$B,{"licence","community"},'caseload data'!$C:$C,'community %'!$T$85)),"")</f>
        <v/>
      </c>
      <c r="X88" s="181" t="str" cm="1">
        <f t="array" ref="X88">IFERROR(SUM(SUMIFS('caseload data'!H:H,'caseload data'!$C:$C,'community %'!$T$85,'caseload data'!$D:$D,"PSO",'caseload data'!$B:$B,{"licence","community"}))/SUM(SUMIFS('caseload data'!H:H,'caseload data'!$B:$B,{"licence","community"},'caseload data'!$C:$C,'community %'!$T$85)),"")</f>
        <v/>
      </c>
      <c r="Y88" s="181" t="str" cm="1">
        <f t="array" ref="Y88">IFERROR(SUM(SUMIFS('caseload data'!I:I,'caseload data'!$C:$C,'community %'!$T$85,'caseload data'!$D:$D,"PSO",'caseload data'!$B:$B,{"licence","community"}))/SUM(SUMIFS('caseload data'!I:I,'caseload data'!$B:$B,{"licence","community"},'caseload data'!$C:$C,'community %'!$T$85)),"")</f>
        <v/>
      </c>
      <c r="Z88" s="181" t="str" cm="1">
        <f t="array" ref="Z88">IFERROR(SUM(SUMIFS('caseload data'!J:J,'caseload data'!$C:$C,'community %'!$T$85,'caseload data'!$D:$D,"PSO",'caseload data'!$B:$B,{"licence","community"}))/SUM(SUMIFS('caseload data'!J:J,'caseload data'!$B:$B,{"licence","community"},'caseload data'!$C:$C,'community %'!$T$85)),"")</f>
        <v/>
      </c>
      <c r="AA88" s="181" t="str" cm="1">
        <f t="array" ref="AA88">IFERROR(SUM(SUMIFS('caseload data'!K:K,'caseload data'!$C:$C,'community %'!$T$85,'caseload data'!$D:$D,"PSO",'caseload data'!$B:$B,{"licence","community"}))/SUM(SUMIFS('caseload data'!K:K,'caseload data'!$B:$B,{"licence","community"},'caseload data'!$C:$C,'community %'!$T$85)),"")</f>
        <v/>
      </c>
      <c r="AB88" s="181" t="str" cm="1">
        <f t="array" ref="AB88">IFERROR(SUM(SUMIFS('caseload data'!L:L,'caseload data'!$C:$C,'community %'!$T$85,'caseload data'!$D:$D,"PSO",'caseload data'!$B:$B,{"licence","community"}))/SUM(SUMIFS('caseload data'!L:L,'caseload data'!$B:$B,{"licence","community"},'caseload data'!$C:$C,'community %'!$T$85)),"")</f>
        <v/>
      </c>
      <c r="AC88" s="181" t="str" cm="1">
        <f t="array" ref="AC88">IFERROR(SUM(SUMIFS('caseload data'!M:M,'caseload data'!$C:$C,'community %'!$T$85,'caseload data'!$D:$D,"PSO",'caseload data'!$B:$B,{"licence","community"}))/SUM(SUMIFS('caseload data'!M:M,'caseload data'!$B:$B,{"licence","community"},'caseload data'!$C:$C,'community %'!$T$85)),"")</f>
        <v/>
      </c>
      <c r="AD88" s="181" t="str" cm="1">
        <f t="array" ref="AD88">IFERROR(SUM(SUMIFS('caseload data'!N:N,'caseload data'!$C:$C,'community %'!$T$85,'caseload data'!$D:$D,"PSO",'caseload data'!$B:$B,{"licence","community"}))/SUM(SUMIFS('caseload data'!N:N,'caseload data'!$B:$B,{"licence","community"},'caseload data'!$C:$C,'community %'!$T$85)),"")</f>
        <v/>
      </c>
      <c r="AE88" s="181" t="str" cm="1">
        <f t="array" ref="AE88">IFERROR(SUM(SUMIFS('caseload data'!O:O,'caseload data'!$C:$C,'community %'!$T$85,'caseload data'!$D:$D,"PSO",'caseload data'!$B:$B,{"licence","community"}))/SUM(SUMIFS('caseload data'!O:O,'caseload data'!$B:$B,{"licence","community"},'caseload data'!$C:$C,'community %'!$T$85)),"")</f>
        <v/>
      </c>
      <c r="AF88" s="181" t="str" cm="1">
        <f t="array" ref="AF88">IFERROR(SUM(SUMIFS('caseload data'!P:P,'caseload data'!$C:$C,'community %'!$T$85,'caseload data'!$D:$D,"PSO",'caseload data'!$B:$B,{"licence","community"}))/SUM(SUMIFS('caseload data'!P:P,'caseload data'!$B:$B,{"licence","community"},'caseload data'!$C:$C,'community %'!$T$85)),"")</f>
        <v/>
      </c>
      <c r="AG88" s="181" t="str" cm="1">
        <f t="array" ref="AG88">IFERROR(SUM(SUMIFS('caseload data'!Q:Q,'caseload data'!$C:$C,'community %'!$T$85,'caseload data'!$D:$D,"PSO",'caseload data'!$B:$B,{"licence","community"}))/SUM(SUMIFS('caseload data'!Q:Q,'caseload data'!$B:$B,{"licence","community"},'caseload data'!$C:$C,'community %'!$T$85)),"")</f>
        <v/>
      </c>
      <c r="AH88" s="181" t="str" cm="1">
        <f t="array" ref="AH88">IFERROR(SUM(SUMIFS('caseload data'!R:R,'caseload data'!$C:$C,'community %'!$T$85,'caseload data'!$D:$D,"PSO",'caseload data'!$B:$B,{"licence","community"}))/SUM(SUMIFS('caseload data'!R:R,'caseload data'!$B:$B,{"licence","community"},'caseload data'!$C:$C,'community %'!$T$85)),"")</f>
        <v/>
      </c>
      <c r="AI88" s="181" t="str" cm="1">
        <f t="array" ref="AI88">IFERROR(SUM(SUMIFS('caseload data'!S:S,'caseload data'!$C:$C,'community %'!$T$85,'caseload data'!$D:$D,"PSO",'caseload data'!$B:$B,{"licence","community"}))/SUM(SUMIFS('caseload data'!S:S,'caseload data'!$B:$B,{"licence","community"},'caseload data'!$C:$C,'community %'!$T$85)),"")</f>
        <v/>
      </c>
      <c r="AJ88" s="181" t="str" cm="1">
        <f t="array" ref="AJ88">IFERROR(SUM(SUMIFS('caseload data'!T:T,'caseload data'!$C:$C,'community %'!$T$85,'caseload data'!$D:$D,"PSO",'caseload data'!$B:$B,{"licence","community"}))/SUM(SUMIFS('caseload data'!T:T,'caseload data'!$B:$B,{"licence","community"},'caseload data'!$C:$C,'community %'!$T$85)),"")</f>
        <v/>
      </c>
    </row>
    <row r="89" spans="2:36" x14ac:dyDescent="0.15">
      <c r="B89" s="107" t="s">
        <v>913</v>
      </c>
      <c r="C89" s="181" t="str" cm="1">
        <f t="array" ref="C89">IFERROR(SUM(SUMIFS('caseload data'!E:E,'caseload data'!$C:$C,'community %'!$B$85,'caseload data'!$D:$D,"TPO",'caseload data'!$B:$B,{"licence","community"}))/SUM(SUMIFS('caseload data'!E:E,'caseload data'!$B:$B,{"licence","community"},'caseload data'!$C:$C,'community %'!$B$85)),"")</f>
        <v/>
      </c>
      <c r="D89" s="181" t="str" cm="1">
        <f t="array" ref="D89">IFERROR(SUM(SUMIFS('caseload data'!F:F,'caseload data'!$C:$C,'community %'!$B$85,'caseload data'!$D:$D,"TPO",'caseload data'!$B:$B,{"licence","community"}))/SUM(SUMIFS('caseload data'!F:F,'caseload data'!$B:$B,{"licence","community"},'caseload data'!$C:$C,'community %'!$B$85)),"")</f>
        <v/>
      </c>
      <c r="E89" s="181" t="str" cm="1">
        <f t="array" ref="E89">IFERROR(SUM(SUMIFS('caseload data'!G:G,'caseload data'!$C:$C,'community %'!$B$85,'caseload data'!$D:$D,"TPO",'caseload data'!$B:$B,{"licence","community"}))/SUM(SUMIFS('caseload data'!G:G,'caseload data'!$B:$B,{"licence","community"},'caseload data'!$C:$C,'community %'!$B$85)),"")</f>
        <v/>
      </c>
      <c r="F89" s="181" t="str" cm="1">
        <f t="array" ref="F89">IFERROR(SUM(SUMIFS('caseload data'!H:H,'caseload data'!$C:$C,'community %'!$B$85,'caseload data'!$D:$D,"TPO",'caseload data'!$B:$B,{"licence","community"}))/SUM(SUMIFS('caseload data'!H:H,'caseload data'!$B:$B,{"licence","community"},'caseload data'!$C:$C,'community %'!$B$85)),"")</f>
        <v/>
      </c>
      <c r="G89" s="181" t="str" cm="1">
        <f t="array" ref="G89">IFERROR(SUM(SUMIFS('caseload data'!I:I,'caseload data'!$C:$C,'community %'!$B$85,'caseload data'!$D:$D,"TPO",'caseload data'!$B:$B,{"licence","community"}))/SUM(SUMIFS('caseload data'!I:I,'caseload data'!$B:$B,{"licence","community"},'caseload data'!$C:$C,'community %'!$B$85)),"")</f>
        <v/>
      </c>
      <c r="H89" s="181" t="str" cm="1">
        <f t="array" ref="H89">IFERROR(SUM(SUMIFS('caseload data'!J:J,'caseload data'!$C:$C,'community %'!$B$85,'caseload data'!$D:$D,"TPO",'caseload data'!$B:$B,{"licence","community"}))/SUM(SUMIFS('caseload data'!J:J,'caseload data'!$B:$B,{"licence","community"},'caseload data'!$C:$C,'community %'!$B$85)),"")</f>
        <v/>
      </c>
      <c r="I89" s="181" t="str" cm="1">
        <f t="array" ref="I89">IFERROR(SUM(SUMIFS('caseload data'!K:K,'caseload data'!$C:$C,'community %'!$B$85,'caseload data'!$D:$D,"TPO",'caseload data'!$B:$B,{"licence","community"}))/SUM(SUMIFS('caseload data'!K:K,'caseload data'!$B:$B,{"licence","community"},'caseload data'!$C:$C,'community %'!$B$85)),"")</f>
        <v/>
      </c>
      <c r="J89" s="181" t="str" cm="1">
        <f t="array" ref="J89">IFERROR(SUM(SUMIFS('caseload data'!L:L,'caseload data'!$C:$C,'community %'!$B$85,'caseload data'!$D:$D,"TPO",'caseload data'!$B:$B,{"licence","community"}))/SUM(SUMIFS('caseload data'!L:L,'caseload data'!$B:$B,{"licence","community"},'caseload data'!$C:$C,'community %'!$B$85)),"")</f>
        <v/>
      </c>
      <c r="K89" s="181" t="str" cm="1">
        <f t="array" ref="K89">IFERROR(SUM(SUMIFS('caseload data'!M:M,'caseload data'!$C:$C,'community %'!$B$85,'caseload data'!$D:$D,"TPO",'caseload data'!$B:$B,{"licence","community"}))/SUM(SUMIFS('caseload data'!M:M,'caseload data'!$B:$B,{"licence","community"},'caseload data'!$C:$C,'community %'!$B$85)),"")</f>
        <v/>
      </c>
      <c r="L89" s="181" t="str" cm="1">
        <f t="array" ref="L89">IFERROR(SUM(SUMIFS('caseload data'!N:N,'caseload data'!$C:$C,'community %'!$B$85,'caseload data'!$D:$D,"TPO",'caseload data'!$B:$B,{"licence","community"}))/SUM(SUMIFS('caseload data'!N:N,'caseload data'!$B:$B,{"licence","community"},'caseload data'!$C:$C,'community %'!$B$85)),"")</f>
        <v/>
      </c>
      <c r="M89" s="181" t="str" cm="1">
        <f t="array" ref="M89">IFERROR(SUM(SUMIFS('caseload data'!O:O,'caseload data'!$C:$C,'community %'!$B$85,'caseload data'!$D:$D,"TPO",'caseload data'!$B:$B,{"licence","community"}))/SUM(SUMIFS('caseload data'!O:O,'caseload data'!$B:$B,{"licence","community"},'caseload data'!$C:$C,'community %'!$B$85)),"")</f>
        <v/>
      </c>
      <c r="N89" s="181" t="str" cm="1">
        <f t="array" ref="N89">IFERROR(SUM(SUMIFS('caseload data'!P:P,'caseload data'!$C:$C,'community %'!$B$85,'caseload data'!$D:$D,"TPO",'caseload data'!$B:$B,{"licence","community"}))/SUM(SUMIFS('caseload data'!P:P,'caseload data'!$B:$B,{"licence","community"},'caseload data'!$C:$C,'community %'!$B$85)),"")</f>
        <v/>
      </c>
      <c r="O89" s="181" t="str" cm="1">
        <f t="array" ref="O89">IFERROR(SUM(SUMIFS('caseload data'!Q:Q,'caseload data'!$C:$C,'community %'!$B$85,'caseload data'!$D:$D,"TPO",'caseload data'!$B:$B,{"licence","community"}))/SUM(SUMIFS('caseload data'!Q:Q,'caseload data'!$B:$B,{"licence","community"},'caseload data'!$C:$C,'community %'!$B$85)),"")</f>
        <v/>
      </c>
      <c r="P89" s="181" t="str" cm="1">
        <f t="array" ref="P89">IFERROR(SUM(SUMIFS('caseload data'!R:R,'caseload data'!$C:$C,'community %'!$B$85,'caseload data'!$D:$D,"TPO",'caseload data'!$B:$B,{"licence","community"}))/SUM(SUMIFS('caseload data'!R:R,'caseload data'!$B:$B,{"licence","community"},'caseload data'!$C:$C,'community %'!$B$85)),"")</f>
        <v/>
      </c>
      <c r="Q89" s="181" t="str" cm="1">
        <f t="array" ref="Q89">IFERROR(SUM(SUMIFS('caseload data'!S:S,'caseload data'!$C:$C,'community %'!$B$85,'caseload data'!$D:$D,"TPO",'caseload data'!$B:$B,{"licence","community"}))/SUM(SUMIFS('caseload data'!S:S,'caseload data'!$B:$B,{"licence","community"},'caseload data'!$C:$C,'community %'!$B$85)),"")</f>
        <v/>
      </c>
      <c r="R89" s="181" t="str" cm="1">
        <f t="array" ref="R89">IFERROR(SUM(SUMIFS('caseload data'!T:T,'caseload data'!$C:$C,'community %'!$B$85,'caseload data'!$D:$D,"TPO",'caseload data'!$B:$B,{"licence","community"}))/SUM(SUMIFS('caseload data'!T:T,'caseload data'!$B:$B,{"licence","community"},'caseload data'!$C:$C,'community %'!$B$85)),"")</f>
        <v/>
      </c>
      <c r="T89" s="107" t="s">
        <v>913</v>
      </c>
      <c r="U89" s="181" t="str" cm="1">
        <f t="array" ref="U89">IFERROR(SUM(SUMIFS('caseload data'!E:E,'caseload data'!$C:$C,'community %'!$T$85,'caseload data'!$D:$D,"TPO",'caseload data'!$B:$B,{"licence","community"}))/SUM(SUMIFS('caseload data'!E:E,'caseload data'!$B:$B,{"licence","community"},'caseload data'!$C:$C,'community %'!$T$85)),"")</f>
        <v/>
      </c>
      <c r="V89" s="181" t="str" cm="1">
        <f t="array" ref="V89">IFERROR(SUM(SUMIFS('caseload data'!F:F,'caseload data'!$C:$C,'community %'!$T$85,'caseload data'!$D:$D,"TPO",'caseload data'!$B:$B,{"licence","community"}))/SUM(SUMIFS('caseload data'!F:F,'caseload data'!$B:$B,{"licence","community"},'caseload data'!$C:$C,'community %'!$T$85)),"")</f>
        <v/>
      </c>
      <c r="W89" s="181" t="str" cm="1">
        <f t="array" ref="W89">IFERROR(SUM(SUMIFS('caseload data'!G:G,'caseload data'!$C:$C,'community %'!$T$85,'caseload data'!$D:$D,"TPO",'caseload data'!$B:$B,{"licence","community"}))/SUM(SUMIFS('caseload data'!G:G,'caseload data'!$B:$B,{"licence","community"},'caseload data'!$C:$C,'community %'!$T$85)),"")</f>
        <v/>
      </c>
      <c r="X89" s="181" t="str" cm="1">
        <f t="array" ref="X89">IFERROR(SUM(SUMIFS('caseload data'!H:H,'caseload data'!$C:$C,'community %'!$T$85,'caseload data'!$D:$D,"TPO",'caseload data'!$B:$B,{"licence","community"}))/SUM(SUMIFS('caseload data'!H:H,'caseload data'!$B:$B,{"licence","community"},'caseload data'!$C:$C,'community %'!$T$85)),"")</f>
        <v/>
      </c>
      <c r="Y89" s="181" t="str" cm="1">
        <f t="array" ref="Y89">IFERROR(SUM(SUMIFS('caseload data'!I:I,'caseload data'!$C:$C,'community %'!$T$85,'caseload data'!$D:$D,"TPO",'caseload data'!$B:$B,{"licence","community"}))/SUM(SUMIFS('caseload data'!I:I,'caseload data'!$B:$B,{"licence","community"},'caseload data'!$C:$C,'community %'!$T$85)),"")</f>
        <v/>
      </c>
      <c r="Z89" s="181" t="str" cm="1">
        <f t="array" ref="Z89">IFERROR(SUM(SUMIFS('caseload data'!J:J,'caseload data'!$C:$C,'community %'!$T$85,'caseload data'!$D:$D,"TPO",'caseload data'!$B:$B,{"licence","community"}))/SUM(SUMIFS('caseload data'!J:J,'caseload data'!$B:$B,{"licence","community"},'caseload data'!$C:$C,'community %'!$T$85)),"")</f>
        <v/>
      </c>
      <c r="AA89" s="181" t="str" cm="1">
        <f t="array" ref="AA89">IFERROR(SUM(SUMIFS('caseload data'!K:K,'caseload data'!$C:$C,'community %'!$T$85,'caseload data'!$D:$D,"TPO",'caseload data'!$B:$B,{"licence","community"}))/SUM(SUMIFS('caseload data'!K:K,'caseload data'!$B:$B,{"licence","community"},'caseload data'!$C:$C,'community %'!$T$85)),"")</f>
        <v/>
      </c>
      <c r="AB89" s="181" t="str" cm="1">
        <f t="array" ref="AB89">IFERROR(SUM(SUMIFS('caseload data'!L:L,'caseload data'!$C:$C,'community %'!$T$85,'caseload data'!$D:$D,"TPO",'caseload data'!$B:$B,{"licence","community"}))/SUM(SUMIFS('caseload data'!L:L,'caseload data'!$B:$B,{"licence","community"},'caseload data'!$C:$C,'community %'!$T$85)),"")</f>
        <v/>
      </c>
      <c r="AC89" s="181" t="str" cm="1">
        <f t="array" ref="AC89">IFERROR(SUM(SUMIFS('caseload data'!M:M,'caseload data'!$C:$C,'community %'!$T$85,'caseload data'!$D:$D,"TPO",'caseload data'!$B:$B,{"licence","community"}))/SUM(SUMIFS('caseload data'!M:M,'caseload data'!$B:$B,{"licence","community"},'caseload data'!$C:$C,'community %'!$T$85)),"")</f>
        <v/>
      </c>
      <c r="AD89" s="181" t="str" cm="1">
        <f t="array" ref="AD89">IFERROR(SUM(SUMIFS('caseload data'!N:N,'caseload data'!$C:$C,'community %'!$T$85,'caseload data'!$D:$D,"TPO",'caseload data'!$B:$B,{"licence","community"}))/SUM(SUMIFS('caseload data'!N:N,'caseload data'!$B:$B,{"licence","community"},'caseload data'!$C:$C,'community %'!$T$85)),"")</f>
        <v/>
      </c>
      <c r="AE89" s="181" t="str" cm="1">
        <f t="array" ref="AE89">IFERROR(SUM(SUMIFS('caseload data'!O:O,'caseload data'!$C:$C,'community %'!$T$85,'caseload data'!$D:$D,"TPO",'caseload data'!$B:$B,{"licence","community"}))/SUM(SUMIFS('caseload data'!O:O,'caseload data'!$B:$B,{"licence","community"},'caseload data'!$C:$C,'community %'!$T$85)),"")</f>
        <v/>
      </c>
      <c r="AF89" s="181" t="str" cm="1">
        <f t="array" ref="AF89">IFERROR(SUM(SUMIFS('caseload data'!P:P,'caseload data'!$C:$C,'community %'!$T$85,'caseload data'!$D:$D,"TPO",'caseload data'!$B:$B,{"licence","community"}))/SUM(SUMIFS('caseload data'!P:P,'caseload data'!$B:$B,{"licence","community"},'caseload data'!$C:$C,'community %'!$T$85)),"")</f>
        <v/>
      </c>
      <c r="AG89" s="181" t="str" cm="1">
        <f t="array" ref="AG89">IFERROR(SUM(SUMIFS('caseload data'!Q:Q,'caseload data'!$C:$C,'community %'!$T$85,'caseload data'!$D:$D,"TPO",'caseload data'!$B:$B,{"licence","community"}))/SUM(SUMIFS('caseload data'!Q:Q,'caseload data'!$B:$B,{"licence","community"},'caseload data'!$C:$C,'community %'!$T$85)),"")</f>
        <v/>
      </c>
      <c r="AH89" s="181" t="str" cm="1">
        <f t="array" ref="AH89">IFERROR(SUM(SUMIFS('caseload data'!R:R,'caseload data'!$C:$C,'community %'!$T$85,'caseload data'!$D:$D,"TPO",'caseload data'!$B:$B,{"licence","community"}))/SUM(SUMIFS('caseload data'!R:R,'caseload data'!$B:$B,{"licence","community"},'caseload data'!$C:$C,'community %'!$T$85)),"")</f>
        <v/>
      </c>
      <c r="AI89" s="181" t="str" cm="1">
        <f t="array" ref="AI89">IFERROR(SUM(SUMIFS('caseload data'!S:S,'caseload data'!$C:$C,'community %'!$T$85,'caseload data'!$D:$D,"TPO",'caseload data'!$B:$B,{"licence","community"}))/SUM(SUMIFS('caseload data'!S:S,'caseload data'!$B:$B,{"licence","community"},'caseload data'!$C:$C,'community %'!$T$85)),"")</f>
        <v/>
      </c>
      <c r="AJ89" s="181" t="str" cm="1">
        <f t="array" ref="AJ89">IFERROR(SUM(SUMIFS('caseload data'!T:T,'caseload data'!$C:$C,'community %'!$T$85,'caseload data'!$D:$D,"TPO",'caseload data'!$B:$B,{"licence","community"}))/SUM(SUMIFS('caseload data'!T:T,'caseload data'!$B:$B,{"licence","community"},'caseload data'!$C:$C,'community %'!$T$85)),"")</f>
        <v/>
      </c>
    </row>
    <row r="90" spans="2:36" x14ac:dyDescent="0.15">
      <c r="B90" s="108" t="s">
        <v>914</v>
      </c>
      <c r="C90" s="181" t="str" cm="1">
        <f t="array" ref="C90">IFERROR(SUM(SUMIFS('caseload data'!E:E,'caseload data'!$C:$C,'community %'!$B$85,'caseload data'!$D:$D,"SPO",'caseload data'!$B:$B,{"licence","community"}))/SUM(SUMIFS('caseload data'!E:E,'caseload data'!$B:$B,{"licence","community"},'caseload data'!$C:$C,'community %'!$B$85)),"")</f>
        <v/>
      </c>
      <c r="D90" s="181" t="str" cm="1">
        <f t="array" ref="D90">IFERROR(SUM(SUMIFS('caseload data'!F:F,'caseload data'!$C:$C,'community %'!$B$85,'caseload data'!$D:$D,"SPO",'caseload data'!$B:$B,{"licence","community"}))/SUM(SUMIFS('caseload data'!F:F,'caseload data'!$B:$B,{"licence","community"},'caseload data'!$C:$C,'community %'!$B$85)),"")</f>
        <v/>
      </c>
      <c r="E90" s="181" t="str" cm="1">
        <f t="array" ref="E90">IFERROR(SUM(SUMIFS('caseload data'!G:G,'caseload data'!$C:$C,'community %'!$B$85,'caseload data'!$D:$D,"SPO",'caseload data'!$B:$B,{"licence","community"}))/SUM(SUMIFS('caseload data'!G:G,'caseload data'!$B:$B,{"licence","community"},'caseload data'!$C:$C,'community %'!$B$85)),"")</f>
        <v/>
      </c>
      <c r="F90" s="181" t="str" cm="1">
        <f t="array" ref="F90">IFERROR(SUM(SUMIFS('caseload data'!H:H,'caseload data'!$C:$C,'community %'!$B$85,'caseload data'!$D:$D,"SPO",'caseload data'!$B:$B,{"licence","community"}))/SUM(SUMIFS('caseload data'!H:H,'caseload data'!$B:$B,{"licence","community"},'caseload data'!$C:$C,'community %'!$B$85)),"")</f>
        <v/>
      </c>
      <c r="G90" s="181" t="str" cm="1">
        <f t="array" ref="G90">IFERROR(SUM(SUMIFS('caseload data'!I:I,'caseload data'!$C:$C,'community %'!$B$85,'caseload data'!$D:$D,"SPO",'caseload data'!$B:$B,{"licence","community"}))/SUM(SUMIFS('caseload data'!I:I,'caseload data'!$B:$B,{"licence","community"},'caseload data'!$C:$C,'community %'!$B$85)),"")</f>
        <v/>
      </c>
      <c r="H90" s="181" t="str" cm="1">
        <f t="array" ref="H90">IFERROR(SUM(SUMIFS('caseload data'!J:J,'caseload data'!$C:$C,'community %'!$B$85,'caseload data'!$D:$D,"SPO",'caseload data'!$B:$B,{"licence","community"}))/SUM(SUMIFS('caseload data'!J:J,'caseload data'!$B:$B,{"licence","community"},'caseload data'!$C:$C,'community %'!$B$85)),"")</f>
        <v/>
      </c>
      <c r="I90" s="181" t="str" cm="1">
        <f t="array" ref="I90">IFERROR(SUM(SUMIFS('caseload data'!K:K,'caseload data'!$C:$C,'community %'!$B$85,'caseload data'!$D:$D,"SPO",'caseload data'!$B:$B,{"licence","community"}))/SUM(SUMIFS('caseload data'!K:K,'caseload data'!$B:$B,{"licence","community"},'caseload data'!$C:$C,'community %'!$B$85)),"")</f>
        <v/>
      </c>
      <c r="J90" s="181" t="str" cm="1">
        <f t="array" ref="J90">IFERROR(SUM(SUMIFS('caseload data'!L:L,'caseload data'!$C:$C,'community %'!$B$85,'caseload data'!$D:$D,"SPO",'caseload data'!$B:$B,{"licence","community"}))/SUM(SUMIFS('caseload data'!L:L,'caseload data'!$B:$B,{"licence","community"},'caseload data'!$C:$C,'community %'!$B$85)),"")</f>
        <v/>
      </c>
      <c r="K90" s="181" t="str" cm="1">
        <f t="array" ref="K90">IFERROR(SUM(SUMIFS('caseload data'!M:M,'caseload data'!$C:$C,'community %'!$B$85,'caseload data'!$D:$D,"SPO",'caseload data'!$B:$B,{"licence","community"}))/SUM(SUMIFS('caseload data'!M:M,'caseload data'!$B:$B,{"licence","community"},'caseload data'!$C:$C,'community %'!$B$85)),"")</f>
        <v/>
      </c>
      <c r="L90" s="181" t="str" cm="1">
        <f t="array" ref="L90">IFERROR(SUM(SUMIFS('caseload data'!N:N,'caseload data'!$C:$C,'community %'!$B$85,'caseload data'!$D:$D,"SPO",'caseload data'!$B:$B,{"licence","community"}))/SUM(SUMIFS('caseload data'!N:N,'caseload data'!$B:$B,{"licence","community"},'caseload data'!$C:$C,'community %'!$B$85)),"")</f>
        <v/>
      </c>
      <c r="M90" s="181" t="str" cm="1">
        <f t="array" ref="M90">IFERROR(SUM(SUMIFS('caseload data'!O:O,'caseload data'!$C:$C,'community %'!$B$85,'caseload data'!$D:$D,"SPO",'caseload data'!$B:$B,{"licence","community"}))/SUM(SUMIFS('caseload data'!O:O,'caseload data'!$B:$B,{"licence","community"},'caseload data'!$C:$C,'community %'!$B$85)),"")</f>
        <v/>
      </c>
      <c r="N90" s="181" t="str" cm="1">
        <f t="array" ref="N90">IFERROR(SUM(SUMIFS('caseload data'!P:P,'caseload data'!$C:$C,'community %'!$B$85,'caseload data'!$D:$D,"SPO",'caseload data'!$B:$B,{"licence","community"}))/SUM(SUMIFS('caseload data'!P:P,'caseload data'!$B:$B,{"licence","community"},'caseload data'!$C:$C,'community %'!$B$85)),"")</f>
        <v/>
      </c>
      <c r="O90" s="181" t="str" cm="1">
        <f t="array" ref="O90">IFERROR(SUM(SUMIFS('caseload data'!Q:Q,'caseload data'!$C:$C,'community %'!$B$85,'caseload data'!$D:$D,"SPO",'caseload data'!$B:$B,{"licence","community"}))/SUM(SUMIFS('caseload data'!Q:Q,'caseload data'!$B:$B,{"licence","community"},'caseload data'!$C:$C,'community %'!$B$85)),"")</f>
        <v/>
      </c>
      <c r="P90" s="181" t="str" cm="1">
        <f t="array" ref="P90">IFERROR(SUM(SUMIFS('caseload data'!R:R,'caseload data'!$C:$C,'community %'!$B$85,'caseload data'!$D:$D,"SPO",'caseload data'!$B:$B,{"licence","community"}))/SUM(SUMIFS('caseload data'!R:R,'caseload data'!$B:$B,{"licence","community"},'caseload data'!$C:$C,'community %'!$B$85)),"")</f>
        <v/>
      </c>
      <c r="Q90" s="181" t="str" cm="1">
        <f t="array" ref="Q90">IFERROR(SUM(SUMIFS('caseload data'!S:S,'caseload data'!$C:$C,'community %'!$B$85,'caseload data'!$D:$D,"SPO",'caseload data'!$B:$B,{"licence","community"}))/SUM(SUMIFS('caseload data'!S:S,'caseload data'!$B:$B,{"licence","community"},'caseload data'!$C:$C,'community %'!$B$85)),"")</f>
        <v/>
      </c>
      <c r="R90" s="181" t="str" cm="1">
        <f t="array" ref="R90">IFERROR(SUM(SUMIFS('caseload data'!T:T,'caseload data'!$C:$C,'community %'!$B$85,'caseload data'!$D:$D,"SPO",'caseload data'!$B:$B,{"licence","community"}))/SUM(SUMIFS('caseload data'!T:T,'caseload data'!$B:$B,{"licence","community"},'caseload data'!$C:$C,'community %'!$B$85)),"")</f>
        <v/>
      </c>
      <c r="T90" s="108" t="s">
        <v>914</v>
      </c>
      <c r="U90" s="181" t="str" cm="1">
        <f t="array" ref="U90">IFERROR(SUM(SUMIFS('caseload data'!E:E,'caseload data'!$C:$C,'community %'!$T$85,'caseload data'!$D:$D,"SPO",'caseload data'!$B:$B,{"licence","community"}))/SUM(SUMIFS('caseload data'!E:E,'caseload data'!$B:$B,{"licence","community"},'caseload data'!$C:$C,'community %'!$T$85)),"")</f>
        <v/>
      </c>
      <c r="V90" s="181" t="str" cm="1">
        <f t="array" ref="V90">IFERROR(SUM(SUMIFS('caseload data'!F:F,'caseload data'!$C:$C,'community %'!$T$85,'caseload data'!$D:$D,"SPO",'caseload data'!$B:$B,{"licence","community"}))/SUM(SUMIFS('caseload data'!F:F,'caseload data'!$B:$B,{"licence","community"},'caseload data'!$C:$C,'community %'!$T$85)),"")</f>
        <v/>
      </c>
      <c r="W90" s="181" t="str" cm="1">
        <f t="array" ref="W90">IFERROR(SUM(SUMIFS('caseload data'!G:G,'caseload data'!$C:$C,'community %'!$T$85,'caseload data'!$D:$D,"SPO",'caseload data'!$B:$B,{"licence","community"}))/SUM(SUMIFS('caseload data'!G:G,'caseload data'!$B:$B,{"licence","community"},'caseload data'!$C:$C,'community %'!$T$85)),"")</f>
        <v/>
      </c>
      <c r="X90" s="181" t="str" cm="1">
        <f t="array" ref="X90">IFERROR(SUM(SUMIFS('caseload data'!H:H,'caseload data'!$C:$C,'community %'!$T$85,'caseload data'!$D:$D,"SPO",'caseload data'!$B:$B,{"licence","community"}))/SUM(SUMIFS('caseload data'!H:H,'caseload data'!$B:$B,{"licence","community"},'caseload data'!$C:$C,'community %'!$T$85)),"")</f>
        <v/>
      </c>
      <c r="Y90" s="181" t="str" cm="1">
        <f t="array" ref="Y90">IFERROR(SUM(SUMIFS('caseload data'!I:I,'caseload data'!$C:$C,'community %'!$T$85,'caseload data'!$D:$D,"SPO",'caseload data'!$B:$B,{"licence","community"}))/SUM(SUMIFS('caseload data'!I:I,'caseload data'!$B:$B,{"licence","community"},'caseload data'!$C:$C,'community %'!$T$85)),"")</f>
        <v/>
      </c>
      <c r="Z90" s="181" t="str" cm="1">
        <f t="array" ref="Z90">IFERROR(SUM(SUMIFS('caseload data'!J:J,'caseload data'!$C:$C,'community %'!$T$85,'caseload data'!$D:$D,"SPO",'caseload data'!$B:$B,{"licence","community"}))/SUM(SUMIFS('caseload data'!J:J,'caseload data'!$B:$B,{"licence","community"},'caseload data'!$C:$C,'community %'!$T$85)),"")</f>
        <v/>
      </c>
      <c r="AA90" s="181" t="str" cm="1">
        <f t="array" ref="AA90">IFERROR(SUM(SUMIFS('caseload data'!K:K,'caseload data'!$C:$C,'community %'!$T$85,'caseload data'!$D:$D,"SPO",'caseload data'!$B:$B,{"licence","community"}))/SUM(SUMIFS('caseload data'!K:K,'caseload data'!$B:$B,{"licence","community"},'caseload data'!$C:$C,'community %'!$T$85)),"")</f>
        <v/>
      </c>
      <c r="AB90" s="181" t="str" cm="1">
        <f t="array" ref="AB90">IFERROR(SUM(SUMIFS('caseload data'!L:L,'caseload data'!$C:$C,'community %'!$T$85,'caseload data'!$D:$D,"SPO",'caseload data'!$B:$B,{"licence","community"}))/SUM(SUMIFS('caseload data'!L:L,'caseload data'!$B:$B,{"licence","community"},'caseload data'!$C:$C,'community %'!$T$85)),"")</f>
        <v/>
      </c>
      <c r="AC90" s="181" t="str" cm="1">
        <f t="array" ref="AC90">IFERROR(SUM(SUMIFS('caseload data'!M:M,'caseload data'!$C:$C,'community %'!$T$85,'caseload data'!$D:$D,"SPO",'caseload data'!$B:$B,{"licence","community"}))/SUM(SUMIFS('caseload data'!M:M,'caseload data'!$B:$B,{"licence","community"},'caseload data'!$C:$C,'community %'!$T$85)),"")</f>
        <v/>
      </c>
      <c r="AD90" s="181" t="str" cm="1">
        <f t="array" ref="AD90">IFERROR(SUM(SUMIFS('caseload data'!N:N,'caseload data'!$C:$C,'community %'!$T$85,'caseload data'!$D:$D,"SPO",'caseload data'!$B:$B,{"licence","community"}))/SUM(SUMIFS('caseload data'!N:N,'caseload data'!$B:$B,{"licence","community"},'caseload data'!$C:$C,'community %'!$T$85)),"")</f>
        <v/>
      </c>
      <c r="AE90" s="181" t="str" cm="1">
        <f t="array" ref="AE90">IFERROR(SUM(SUMIFS('caseload data'!O:O,'caseload data'!$C:$C,'community %'!$T$85,'caseload data'!$D:$D,"SPO",'caseload data'!$B:$B,{"licence","community"}))/SUM(SUMIFS('caseload data'!O:O,'caseload data'!$B:$B,{"licence","community"},'caseload data'!$C:$C,'community %'!$T$85)),"")</f>
        <v/>
      </c>
      <c r="AF90" s="181" t="str" cm="1">
        <f t="array" ref="AF90">IFERROR(SUM(SUMIFS('caseload data'!P:P,'caseload data'!$C:$C,'community %'!$T$85,'caseload data'!$D:$D,"SPO",'caseload data'!$B:$B,{"licence","community"}))/SUM(SUMIFS('caseload data'!P:P,'caseload data'!$B:$B,{"licence","community"},'caseload data'!$C:$C,'community %'!$T$85)),"")</f>
        <v/>
      </c>
      <c r="AG90" s="181" t="str" cm="1">
        <f t="array" ref="AG90">IFERROR(SUM(SUMIFS('caseload data'!Q:Q,'caseload data'!$C:$C,'community %'!$T$85,'caseload data'!$D:$D,"SPO",'caseload data'!$B:$B,{"licence","community"}))/SUM(SUMIFS('caseload data'!Q:Q,'caseload data'!$B:$B,{"licence","community"},'caseload data'!$C:$C,'community %'!$T$85)),"")</f>
        <v/>
      </c>
      <c r="AH90" s="181" t="str" cm="1">
        <f t="array" ref="AH90">IFERROR(SUM(SUMIFS('caseload data'!R:R,'caseload data'!$C:$C,'community %'!$T$85,'caseload data'!$D:$D,"SPO",'caseload data'!$B:$B,{"licence","community"}))/SUM(SUMIFS('caseload data'!R:R,'caseload data'!$B:$B,{"licence","community"},'caseload data'!$C:$C,'community %'!$T$85)),"")</f>
        <v/>
      </c>
      <c r="AI90" s="181" t="str" cm="1">
        <f t="array" ref="AI90">IFERROR(SUM(SUMIFS('caseload data'!S:S,'caseload data'!$C:$C,'community %'!$T$85,'caseload data'!$D:$D,"SPO",'caseload data'!$B:$B,{"licence","community"}))/SUM(SUMIFS('caseload data'!S:S,'caseload data'!$B:$B,{"licence","community"},'caseload data'!$C:$C,'community %'!$T$85)),"")</f>
        <v/>
      </c>
      <c r="AJ90" s="181" t="str" cm="1">
        <f t="array" ref="AJ90">IFERROR(SUM(SUMIFS('caseload data'!T:T,'caseload data'!$C:$C,'community %'!$T$85,'caseload data'!$D:$D,"SPO",'caseload data'!$B:$B,{"licence","community"}))/SUM(SUMIFS('caseload data'!T:T,'caseload data'!$B:$B,{"licence","community"},'caseload data'!$C:$C,'community %'!$T$85)),"")</f>
        <v/>
      </c>
    </row>
    <row r="92" spans="2:36" x14ac:dyDescent="0.15">
      <c r="B92" s="156">
        <f>HLOOKUP($B$5,Region_Table,26,0)</f>
        <v>0</v>
      </c>
      <c r="C92" s="367" t="s">
        <v>1170</v>
      </c>
      <c r="D92" s="368"/>
      <c r="E92" s="368"/>
      <c r="F92" s="368"/>
      <c r="G92" s="368"/>
      <c r="H92" s="368"/>
      <c r="I92" s="368"/>
      <c r="J92" s="368"/>
      <c r="K92" s="368"/>
      <c r="L92" s="368"/>
      <c r="M92" s="377"/>
      <c r="N92" s="377"/>
      <c r="O92" s="378"/>
      <c r="P92" s="371" cm="1">
        <f t="array" ref="P92">SUM(SUMIFS('caseload data'!V:V,'caseload data'!B:B,{"licence","community"},'caseload data'!$C:$C,B92))</f>
        <v>0</v>
      </c>
      <c r="Q92" s="379"/>
      <c r="R92" s="380"/>
      <c r="T92" s="156">
        <f>HLOOKUP($B$5,Region_Table,27,0)</f>
        <v>0</v>
      </c>
      <c r="U92" s="367" t="s">
        <v>1170</v>
      </c>
      <c r="V92" s="368"/>
      <c r="W92" s="368"/>
      <c r="X92" s="368"/>
      <c r="Y92" s="368"/>
      <c r="Z92" s="368"/>
      <c r="AA92" s="368"/>
      <c r="AB92" s="368"/>
      <c r="AC92" s="368"/>
      <c r="AD92" s="368"/>
      <c r="AE92" s="377"/>
      <c r="AF92" s="377"/>
      <c r="AG92" s="378"/>
      <c r="AH92" s="371" cm="1">
        <f t="array" ref="AH92">SUM(SUMIFS('caseload data'!V:V,'caseload data'!B:B,{"licence","community"},'caseload data'!$C:$C,T92))</f>
        <v>0</v>
      </c>
      <c r="AI92" s="379"/>
      <c r="AJ92" s="380"/>
    </row>
    <row r="93" spans="2:36" x14ac:dyDescent="0.15">
      <c r="B93" s="105" t="s">
        <v>1065</v>
      </c>
      <c r="C93" s="41" t="s">
        <v>922</v>
      </c>
      <c r="D93" s="41" t="s">
        <v>923</v>
      </c>
      <c r="E93" s="41" t="s">
        <v>924</v>
      </c>
      <c r="F93" s="41" t="s">
        <v>925</v>
      </c>
      <c r="G93" s="41" t="s">
        <v>926</v>
      </c>
      <c r="H93" s="41" t="s">
        <v>927</v>
      </c>
      <c r="I93" s="41" t="s">
        <v>928</v>
      </c>
      <c r="J93" s="41" t="s">
        <v>929</v>
      </c>
      <c r="K93" s="41" t="s">
        <v>930</v>
      </c>
      <c r="L93" s="41" t="s">
        <v>931</v>
      </c>
      <c r="M93" s="41" t="s">
        <v>932</v>
      </c>
      <c r="N93" s="41" t="s">
        <v>933</v>
      </c>
      <c r="O93" s="41" t="s">
        <v>934</v>
      </c>
      <c r="P93" s="41" t="s">
        <v>935</v>
      </c>
      <c r="Q93" s="41" t="s">
        <v>936</v>
      </c>
      <c r="R93" s="41" t="s">
        <v>937</v>
      </c>
      <c r="T93" s="105" t="s">
        <v>1065</v>
      </c>
      <c r="U93" s="41" t="s">
        <v>922</v>
      </c>
      <c r="V93" s="41" t="s">
        <v>923</v>
      </c>
      <c r="W93" s="41" t="s">
        <v>924</v>
      </c>
      <c r="X93" s="41" t="s">
        <v>925</v>
      </c>
      <c r="Y93" s="41" t="s">
        <v>926</v>
      </c>
      <c r="Z93" s="41" t="s">
        <v>927</v>
      </c>
      <c r="AA93" s="41" t="s">
        <v>928</v>
      </c>
      <c r="AB93" s="41" t="s">
        <v>929</v>
      </c>
      <c r="AC93" s="41" t="s">
        <v>930</v>
      </c>
      <c r="AD93" s="41" t="s">
        <v>931</v>
      </c>
      <c r="AE93" s="41" t="s">
        <v>932</v>
      </c>
      <c r="AF93" s="41" t="s">
        <v>933</v>
      </c>
      <c r="AG93" s="41" t="s">
        <v>934</v>
      </c>
      <c r="AH93" s="41" t="s">
        <v>935</v>
      </c>
      <c r="AI93" s="41" t="s">
        <v>936</v>
      </c>
      <c r="AJ93" s="41" t="s">
        <v>937</v>
      </c>
    </row>
    <row r="94" spans="2:36" x14ac:dyDescent="0.15">
      <c r="B94" s="106" t="s">
        <v>911</v>
      </c>
      <c r="C94" s="181" t="str" cm="1">
        <f t="array" ref="C94">IFERROR(SUM(SUMIFS('caseload data'!E:E,'caseload data'!$C:$C,'community %'!$B$92,'caseload data'!$D:$D,"PO",'caseload data'!$B:$B,{"licence","community"}))/SUM(SUMIFS('caseload data'!E:E,'caseload data'!$B:$B,{"licence","community"},'caseload data'!$C:$C,'community %'!$B$92)),"")</f>
        <v/>
      </c>
      <c r="D94" s="181" t="str" cm="1">
        <f t="array" ref="D94">IFERROR(SUM(SUMIFS('caseload data'!F:F,'caseload data'!$C:$C,'community %'!$B$92,'caseload data'!$D:$D,"PO",'caseload data'!$B:$B,{"licence","community"}))/SUM(SUMIFS('caseload data'!F:F,'caseload data'!$B:$B,{"licence","community"},'caseload data'!$C:$C,'community %'!$B$92)),"")</f>
        <v/>
      </c>
      <c r="E94" s="181" t="str" cm="1">
        <f t="array" ref="E94">IFERROR(SUM(SUMIFS('caseload data'!G:G,'caseload data'!$C:$C,'community %'!$B$92,'caseload data'!$D:$D,"PO",'caseload data'!$B:$B,{"licence","community"}))/SUM(SUMIFS('caseload data'!G:G,'caseload data'!$B:$B,{"licence","community"},'caseload data'!$C:$C,'community %'!$B$92)),"")</f>
        <v/>
      </c>
      <c r="F94" s="181" t="str" cm="1">
        <f t="array" ref="F94">IFERROR(SUM(SUMIFS('caseload data'!H:H,'caseload data'!$C:$C,'community %'!$B$92,'caseload data'!$D:$D,"PO",'caseload data'!$B:$B,{"licence","community"}))/SUM(SUMIFS('caseload data'!H:H,'caseload data'!$B:$B,{"licence","community"},'caseload data'!$C:$C,'community %'!$B$92)),"")</f>
        <v/>
      </c>
      <c r="G94" s="181" t="str" cm="1">
        <f t="array" ref="G94">IFERROR(SUM(SUMIFS('caseload data'!I:I,'caseload data'!$C:$C,'community %'!$B$92,'caseload data'!$D:$D,"PO",'caseload data'!$B:$B,{"licence","community"}))/SUM(SUMIFS('caseload data'!I:I,'caseload data'!$B:$B,{"licence","community"},'caseload data'!$C:$C,'community %'!$B$92)),"")</f>
        <v/>
      </c>
      <c r="H94" s="181" t="str" cm="1">
        <f t="array" ref="H94">IFERROR(SUM(SUMIFS('caseload data'!J:J,'caseload data'!$C:$C,'community %'!$B$92,'caseload data'!$D:$D,"PO",'caseload data'!$B:$B,{"licence","community"}))/SUM(SUMIFS('caseload data'!J:J,'caseload data'!$B:$B,{"licence","community"},'caseload data'!$C:$C,'community %'!$B$92)),"")</f>
        <v/>
      </c>
      <c r="I94" s="181" t="str" cm="1">
        <f t="array" ref="I94">IFERROR(SUM(SUMIFS('caseload data'!K:K,'caseload data'!$C:$C,'community %'!$B$92,'caseload data'!$D:$D,"PO",'caseload data'!$B:$B,{"licence","community"}))/SUM(SUMIFS('caseload data'!K:K,'caseload data'!$B:$B,{"licence","community"},'caseload data'!$C:$C,'community %'!$B$92)),"")</f>
        <v/>
      </c>
      <c r="J94" s="181" t="str" cm="1">
        <f t="array" ref="J94">IFERROR(SUM(SUMIFS('caseload data'!L:L,'caseload data'!$C:$C,'community %'!$B$92,'caseload data'!$D:$D,"PO",'caseload data'!$B:$B,{"licence","community"}))/SUM(SUMIFS('caseload data'!L:L,'caseload data'!$B:$B,{"licence","community"},'caseload data'!$C:$C,'community %'!$B$92)),"")</f>
        <v/>
      </c>
      <c r="K94" s="181" t="str" cm="1">
        <f t="array" ref="K94">IFERROR(SUM(SUMIFS('caseload data'!M:M,'caseload data'!$C:$C,'community %'!$B$92,'caseload data'!$D:$D,"PO",'caseload data'!$B:$B,{"licence","community"}))/SUM(SUMIFS('caseload data'!M:M,'caseload data'!$B:$B,{"licence","community"},'caseload data'!$C:$C,'community %'!$B$92)),"")</f>
        <v/>
      </c>
      <c r="L94" s="181" t="str" cm="1">
        <f t="array" ref="L94">IFERROR(SUM(SUMIFS('caseload data'!N:N,'caseload data'!$C:$C,'community %'!$B$92,'caseload data'!$D:$D,"PO",'caseload data'!$B:$B,{"licence","community"}))/SUM(SUMIFS('caseload data'!N:N,'caseload data'!$B:$B,{"licence","community"},'caseload data'!$C:$C,'community %'!$B$92)),"")</f>
        <v/>
      </c>
      <c r="M94" s="181" t="str" cm="1">
        <f t="array" ref="M94">IFERROR(SUM(SUMIFS('caseload data'!O:O,'caseload data'!$C:$C,'community %'!$B$92,'caseload data'!$D:$D,"PO",'caseload data'!$B:$B,{"licence","community"}))/SUM(SUMIFS('caseload data'!O:O,'caseload data'!$B:$B,{"licence","community"},'caseload data'!$C:$C,'community %'!$B$92)),"")</f>
        <v/>
      </c>
      <c r="N94" s="181" t="str" cm="1">
        <f t="array" ref="N94">IFERROR(SUM(SUMIFS('caseload data'!P:P,'caseload data'!$C:$C,'community %'!$B$92,'caseload data'!$D:$D,"PO",'caseload data'!$B:$B,{"licence","community"}))/SUM(SUMIFS('caseload data'!P:P,'caseload data'!$B:$B,{"licence","community"},'caseload data'!$C:$C,'community %'!$B$92)),"")</f>
        <v/>
      </c>
      <c r="O94" s="181" t="str" cm="1">
        <f t="array" ref="O94">IFERROR(SUM(SUMIFS('caseload data'!Q:Q,'caseload data'!$C:$C,'community %'!$B$92,'caseload data'!$D:$D,"PO",'caseload data'!$B:$B,{"licence","community"}))/SUM(SUMIFS('caseload data'!Q:Q,'caseload data'!$B:$B,{"licence","community"},'caseload data'!$C:$C,'community %'!$B$92)),"")</f>
        <v/>
      </c>
      <c r="P94" s="181" t="str" cm="1">
        <f t="array" ref="P94">IFERROR(SUM(SUMIFS('caseload data'!R:R,'caseload data'!$C:$C,'community %'!$B$92,'caseload data'!$D:$D,"PO",'caseload data'!$B:$B,{"licence","community"}))/SUM(SUMIFS('caseload data'!R:R,'caseload data'!$B:$B,{"licence","community"},'caseload data'!$C:$C,'community %'!$B$92)),"")</f>
        <v/>
      </c>
      <c r="Q94" s="181" t="str" cm="1">
        <f t="array" ref="Q94">IFERROR(SUM(SUMIFS('caseload data'!S:S,'caseload data'!$C:$C,'community %'!$B$92,'caseload data'!$D:$D,"PO",'caseload data'!$B:$B,{"licence","community"}))/SUM(SUMIFS('caseload data'!S:S,'caseload data'!$B:$B,{"licence","community"},'caseload data'!$C:$C,'community %'!$B$92)),"")</f>
        <v/>
      </c>
      <c r="R94" s="181" t="str" cm="1">
        <f t="array" ref="R94">IFERROR(SUM(SUMIFS('caseload data'!T:T,'caseload data'!$C:$C,'community %'!$B$92,'caseload data'!$D:$D,"PO",'caseload data'!$B:$B,{"licence","community"}))/SUM(SUMIFS('caseload data'!T:T,'caseload data'!$B:$B,{"licence","community"},'caseload data'!$C:$C,'community %'!$B$92)),"")</f>
        <v/>
      </c>
      <c r="T94" s="106" t="s">
        <v>911</v>
      </c>
      <c r="U94" s="181" t="str" cm="1">
        <f t="array" ref="U94">IFERROR(SUM(SUMIFS('caseload data'!E:E,'caseload data'!$C:$C,'community %'!$T$92,'caseload data'!$D:$D,"PO",'caseload data'!$B:$B,{"licence","community"}))/SUM(SUMIFS('caseload data'!E:E,'caseload data'!$B:$B,{"licence","community"},'caseload data'!$C:$C,'community %'!$T$92)),"")</f>
        <v/>
      </c>
      <c r="V94" s="181" t="str" cm="1">
        <f t="array" ref="V94">IFERROR(SUM(SUMIFS('caseload data'!F:F,'caseload data'!$C:$C,'community %'!$T$92,'caseload data'!$D:$D,"PO",'caseload data'!$B:$B,{"licence","community"}))/SUM(SUMIFS('caseload data'!F:F,'caseload data'!$B:$B,{"licence","community"},'caseload data'!$C:$C,'community %'!$T$92)),"")</f>
        <v/>
      </c>
      <c r="W94" s="181" t="str" cm="1">
        <f t="array" ref="W94">IFERROR(SUM(SUMIFS('caseload data'!G:G,'caseload data'!$C:$C,'community %'!$T$92,'caseload data'!$D:$D,"PO",'caseload data'!$B:$B,{"licence","community"}))/SUM(SUMIFS('caseload data'!G:G,'caseload data'!$B:$B,{"licence","community"},'caseload data'!$C:$C,'community %'!$T$92)),"")</f>
        <v/>
      </c>
      <c r="X94" s="181" t="str" cm="1">
        <f t="array" ref="X94">IFERROR(SUM(SUMIFS('caseload data'!H:H,'caseload data'!$C:$C,'community %'!$T$92,'caseload data'!$D:$D,"PO",'caseload data'!$B:$B,{"licence","community"}))/SUM(SUMIFS('caseload data'!H:H,'caseload data'!$B:$B,{"licence","community"},'caseload data'!$C:$C,'community %'!$T$92)),"")</f>
        <v/>
      </c>
      <c r="Y94" s="181" t="str" cm="1">
        <f t="array" ref="Y94">IFERROR(SUM(SUMIFS('caseload data'!I:I,'caseload data'!$C:$C,'community %'!$T$92,'caseload data'!$D:$D,"PO",'caseload data'!$B:$B,{"licence","community"}))/SUM(SUMIFS('caseload data'!I:I,'caseload data'!$B:$B,{"licence","community"},'caseload data'!$C:$C,'community %'!$T$92)),"")</f>
        <v/>
      </c>
      <c r="Z94" s="181" t="str" cm="1">
        <f t="array" ref="Z94">IFERROR(SUM(SUMIFS('caseload data'!J:J,'caseload data'!$C:$C,'community %'!$T$92,'caseload data'!$D:$D,"PO",'caseload data'!$B:$B,{"licence","community"}))/SUM(SUMIFS('caseload data'!J:J,'caseload data'!$B:$B,{"licence","community"},'caseload data'!$C:$C,'community %'!$T$92)),"")</f>
        <v/>
      </c>
      <c r="AA94" s="181" t="str" cm="1">
        <f t="array" ref="AA94">IFERROR(SUM(SUMIFS('caseload data'!K:K,'caseload data'!$C:$C,'community %'!$T$92,'caseload data'!$D:$D,"PO",'caseload data'!$B:$B,{"licence","community"}))/SUM(SUMIFS('caseload data'!K:K,'caseload data'!$B:$B,{"licence","community"},'caseload data'!$C:$C,'community %'!$T$92)),"")</f>
        <v/>
      </c>
      <c r="AB94" s="181" t="str" cm="1">
        <f t="array" ref="AB94">IFERROR(SUM(SUMIFS('caseload data'!L:L,'caseload data'!$C:$C,'community %'!$T$92,'caseload data'!$D:$D,"PO",'caseload data'!$B:$B,{"licence","community"}))/SUM(SUMIFS('caseload data'!L:L,'caseload data'!$B:$B,{"licence","community"},'caseload data'!$C:$C,'community %'!$T$92)),"")</f>
        <v/>
      </c>
      <c r="AC94" s="181" t="str" cm="1">
        <f t="array" ref="AC94">IFERROR(SUM(SUMIFS('caseload data'!M:M,'caseload data'!$C:$C,'community %'!$T$92,'caseload data'!$D:$D,"PO",'caseload data'!$B:$B,{"licence","community"}))/SUM(SUMIFS('caseload data'!M:M,'caseload data'!$B:$B,{"licence","community"},'caseload data'!$C:$C,'community %'!$T$92)),"")</f>
        <v/>
      </c>
      <c r="AD94" s="181" t="str" cm="1">
        <f t="array" ref="AD94">IFERROR(SUM(SUMIFS('caseload data'!N:N,'caseload data'!$C:$C,'community %'!$T$92,'caseload data'!$D:$D,"PO",'caseload data'!$B:$B,{"licence","community"}))/SUM(SUMIFS('caseload data'!N:N,'caseload data'!$B:$B,{"licence","community"},'caseload data'!$C:$C,'community %'!$T$92)),"")</f>
        <v/>
      </c>
      <c r="AE94" s="181" t="str" cm="1">
        <f t="array" ref="AE94">IFERROR(SUM(SUMIFS('caseload data'!O:O,'caseload data'!$C:$C,'community %'!$T$92,'caseload data'!$D:$D,"PO",'caseload data'!$B:$B,{"licence","community"}))/SUM(SUMIFS('caseload data'!O:O,'caseload data'!$B:$B,{"licence","community"},'caseload data'!$C:$C,'community %'!$T$92)),"")</f>
        <v/>
      </c>
      <c r="AF94" s="181" t="str" cm="1">
        <f t="array" ref="AF94">IFERROR(SUM(SUMIFS('caseload data'!P:P,'caseload data'!$C:$C,'community %'!$T$92,'caseload data'!$D:$D,"PO",'caseload data'!$B:$B,{"licence","community"}))/SUM(SUMIFS('caseload data'!P:P,'caseload data'!$B:$B,{"licence","community"},'caseload data'!$C:$C,'community %'!$T$92)),"")</f>
        <v/>
      </c>
      <c r="AG94" s="181" t="str" cm="1">
        <f t="array" ref="AG94">IFERROR(SUM(SUMIFS('caseload data'!Q:Q,'caseload data'!$C:$C,'community %'!$T$92,'caseload data'!$D:$D,"PO",'caseload data'!$B:$B,{"licence","community"}))/SUM(SUMIFS('caseload data'!Q:Q,'caseload data'!$B:$B,{"licence","community"},'caseload data'!$C:$C,'community %'!$T$92)),"")</f>
        <v/>
      </c>
      <c r="AH94" s="181" t="str" cm="1">
        <f t="array" ref="AH94">IFERROR(SUM(SUMIFS('caseload data'!R:R,'caseload data'!$C:$C,'community %'!$T$92,'caseload data'!$D:$D,"PO",'caseload data'!$B:$B,{"licence","community"}))/SUM(SUMIFS('caseload data'!R:R,'caseload data'!$B:$B,{"licence","community"},'caseload data'!$C:$C,'community %'!$T$92)),"")</f>
        <v/>
      </c>
      <c r="AI94" s="181" t="str" cm="1">
        <f t="array" ref="AI94">IFERROR(SUM(SUMIFS('caseload data'!S:S,'caseload data'!$C:$C,'community %'!$T$92,'caseload data'!$D:$D,"PO",'caseload data'!$B:$B,{"licence","community"}))/SUM(SUMIFS('caseload data'!S:S,'caseload data'!$B:$B,{"licence","community"},'caseload data'!$C:$C,'community %'!$T$92)),"")</f>
        <v/>
      </c>
      <c r="AJ94" s="181" t="str" cm="1">
        <f t="array" ref="AJ94">IFERROR(SUM(SUMIFS('caseload data'!T:T,'caseload data'!$C:$C,'community %'!$T$92,'caseload data'!$D:$D,"PO",'caseload data'!$B:$B,{"licence","community"}))/SUM(SUMIFS('caseload data'!T:T,'caseload data'!$B:$B,{"licence","community"},'caseload data'!$C:$C,'community %'!$T$92)),"")</f>
        <v/>
      </c>
    </row>
    <row r="95" spans="2:36" x14ac:dyDescent="0.15">
      <c r="B95" s="107" t="s">
        <v>912</v>
      </c>
      <c r="C95" s="181" t="str" cm="1">
        <f t="array" ref="C95">IFERROR(SUM(SUMIFS('caseload data'!E:E,'caseload data'!$C:$C,'community %'!$B$92,'caseload data'!$D:$D,"PSO",'caseload data'!$B:$B,{"licence","community"}))/SUM(SUMIFS('caseload data'!E:E,'caseload data'!$B:$B,{"licence","community"},'caseload data'!$C:$C,'community %'!$B$92)),"")</f>
        <v/>
      </c>
      <c r="D95" s="181" t="str" cm="1">
        <f t="array" ref="D95">IFERROR(SUM(SUMIFS('caseload data'!F:F,'caseload data'!$C:$C,'community %'!$B$92,'caseload data'!$D:$D,"PSO",'caseload data'!$B:$B,{"licence","community"}))/SUM(SUMIFS('caseload data'!F:F,'caseload data'!$B:$B,{"licence","community"},'caseload data'!$C:$C,'community %'!$B$92)),"")</f>
        <v/>
      </c>
      <c r="E95" s="181" t="str" cm="1">
        <f t="array" ref="E95">IFERROR(SUM(SUMIFS('caseload data'!G:G,'caseload data'!$C:$C,'community %'!$B$92,'caseload data'!$D:$D,"PSO",'caseload data'!$B:$B,{"licence","community"}))/SUM(SUMIFS('caseload data'!G:G,'caseload data'!$B:$B,{"licence","community"},'caseload data'!$C:$C,'community %'!$B$92)),"")</f>
        <v/>
      </c>
      <c r="F95" s="181" t="str" cm="1">
        <f t="array" ref="F95">IFERROR(SUM(SUMIFS('caseload data'!H:H,'caseload data'!$C:$C,'community %'!$B$92,'caseload data'!$D:$D,"PSO",'caseload data'!$B:$B,{"licence","community"}))/SUM(SUMIFS('caseload data'!H:H,'caseload data'!$B:$B,{"licence","community"},'caseload data'!$C:$C,'community %'!$B$92)),"")</f>
        <v/>
      </c>
      <c r="G95" s="181" t="str" cm="1">
        <f t="array" ref="G95">IFERROR(SUM(SUMIFS('caseload data'!I:I,'caseload data'!$C:$C,'community %'!$B$92,'caseload data'!$D:$D,"PSO",'caseload data'!$B:$B,{"licence","community"}))/SUM(SUMIFS('caseload data'!I:I,'caseload data'!$B:$B,{"licence","community"},'caseload data'!$C:$C,'community %'!$B$92)),"")</f>
        <v/>
      </c>
      <c r="H95" s="181" t="str" cm="1">
        <f t="array" ref="H95">IFERROR(SUM(SUMIFS('caseload data'!J:J,'caseload data'!$C:$C,'community %'!$B$92,'caseload data'!$D:$D,"PSO",'caseload data'!$B:$B,{"licence","community"}))/SUM(SUMIFS('caseload data'!J:J,'caseload data'!$B:$B,{"licence","community"},'caseload data'!$C:$C,'community %'!$B$92)),"")</f>
        <v/>
      </c>
      <c r="I95" s="181" t="str" cm="1">
        <f t="array" ref="I95">IFERROR(SUM(SUMIFS('caseload data'!K:K,'caseload data'!$C:$C,'community %'!$B$92,'caseload data'!$D:$D,"PSO",'caseload data'!$B:$B,{"licence","community"}))/SUM(SUMIFS('caseload data'!K:K,'caseload data'!$B:$B,{"licence","community"},'caseload data'!$C:$C,'community %'!$B$92)),"")</f>
        <v/>
      </c>
      <c r="J95" s="181" t="str" cm="1">
        <f t="array" ref="J95">IFERROR(SUM(SUMIFS('caseload data'!L:L,'caseload data'!$C:$C,'community %'!$B$92,'caseload data'!$D:$D,"PSO",'caseload data'!$B:$B,{"licence","community"}))/SUM(SUMIFS('caseload data'!L:L,'caseload data'!$B:$B,{"licence","community"},'caseload data'!$C:$C,'community %'!$B$92)),"")</f>
        <v/>
      </c>
      <c r="K95" s="181" t="str" cm="1">
        <f t="array" ref="K95">IFERROR(SUM(SUMIFS('caseload data'!M:M,'caseload data'!$C:$C,'community %'!$B$92,'caseload data'!$D:$D,"PSO",'caseload data'!$B:$B,{"licence","community"}))/SUM(SUMIFS('caseload data'!M:M,'caseload data'!$B:$B,{"licence","community"},'caseload data'!$C:$C,'community %'!$B$92)),"")</f>
        <v/>
      </c>
      <c r="L95" s="181" t="str" cm="1">
        <f t="array" ref="L95">IFERROR(SUM(SUMIFS('caseload data'!N:N,'caseload data'!$C:$C,'community %'!$B$92,'caseload data'!$D:$D,"PSO",'caseload data'!$B:$B,{"licence","community"}))/SUM(SUMIFS('caseload data'!N:N,'caseload data'!$B:$B,{"licence","community"},'caseload data'!$C:$C,'community %'!$B$92)),"")</f>
        <v/>
      </c>
      <c r="M95" s="181" t="str" cm="1">
        <f t="array" ref="M95">IFERROR(SUM(SUMIFS('caseload data'!O:O,'caseload data'!$C:$C,'community %'!$B$92,'caseload data'!$D:$D,"PSO",'caseload data'!$B:$B,{"licence","community"}))/SUM(SUMIFS('caseload data'!O:O,'caseload data'!$B:$B,{"licence","community"},'caseload data'!$C:$C,'community %'!$B$92)),"")</f>
        <v/>
      </c>
      <c r="N95" s="181" t="str" cm="1">
        <f t="array" ref="N95">IFERROR(SUM(SUMIFS('caseload data'!P:P,'caseload data'!$C:$C,'community %'!$B$92,'caseload data'!$D:$D,"PSO",'caseload data'!$B:$B,{"licence","community"}))/SUM(SUMIFS('caseload data'!P:P,'caseload data'!$B:$B,{"licence","community"},'caseload data'!$C:$C,'community %'!$B$92)),"")</f>
        <v/>
      </c>
      <c r="O95" s="181" t="str" cm="1">
        <f t="array" ref="O95">IFERROR(SUM(SUMIFS('caseload data'!Q:Q,'caseload data'!$C:$C,'community %'!$B$92,'caseload data'!$D:$D,"PSO",'caseload data'!$B:$B,{"licence","community"}))/SUM(SUMIFS('caseload data'!Q:Q,'caseload data'!$B:$B,{"licence","community"},'caseload data'!$C:$C,'community %'!$B$92)),"")</f>
        <v/>
      </c>
      <c r="P95" s="181" t="str" cm="1">
        <f t="array" ref="P95">IFERROR(SUM(SUMIFS('caseload data'!R:R,'caseload data'!$C:$C,'community %'!$B$92,'caseload data'!$D:$D,"PSO",'caseload data'!$B:$B,{"licence","community"}))/SUM(SUMIFS('caseload data'!R:R,'caseload data'!$B:$B,{"licence","community"},'caseload data'!$C:$C,'community %'!$B$92)),"")</f>
        <v/>
      </c>
      <c r="Q95" s="181" t="str" cm="1">
        <f t="array" ref="Q95">IFERROR(SUM(SUMIFS('caseload data'!S:S,'caseload data'!$C:$C,'community %'!$B$92,'caseload data'!$D:$D,"PSO",'caseload data'!$B:$B,{"licence","community"}))/SUM(SUMIFS('caseload data'!S:S,'caseload data'!$B:$B,{"licence","community"},'caseload data'!$C:$C,'community %'!$B$92)),"")</f>
        <v/>
      </c>
      <c r="R95" s="181" t="str" cm="1">
        <f t="array" ref="R95">IFERROR(SUM(SUMIFS('caseload data'!T:T,'caseload data'!$C:$C,'community %'!$B$92,'caseload data'!$D:$D,"PSO",'caseload data'!$B:$B,{"licence","community"}))/SUM(SUMIFS('caseload data'!T:T,'caseload data'!$B:$B,{"licence","community"},'caseload data'!$C:$C,'community %'!$B$92)),"")</f>
        <v/>
      </c>
      <c r="T95" s="107" t="s">
        <v>912</v>
      </c>
      <c r="U95" s="181" t="str" cm="1">
        <f t="array" ref="U95">IFERROR(SUM(SUMIFS('caseload data'!E:E,'caseload data'!$C:$C,'community %'!$T$92,'caseload data'!$D:$D,"PSO",'caseload data'!$B:$B,{"licence","community"}))/SUM(SUMIFS('caseload data'!E:E,'caseload data'!$B:$B,{"licence","community"},'caseload data'!$C:$C,'community %'!$T$92)),"")</f>
        <v/>
      </c>
      <c r="V95" s="181" t="str" cm="1">
        <f t="array" ref="V95">IFERROR(SUM(SUMIFS('caseload data'!F:F,'caseload data'!$C:$C,'community %'!$T$92,'caseload data'!$D:$D,"PSO",'caseload data'!$B:$B,{"licence","community"}))/SUM(SUMIFS('caseload data'!F:F,'caseload data'!$B:$B,{"licence","community"},'caseload data'!$C:$C,'community %'!$T$92)),"")</f>
        <v/>
      </c>
      <c r="W95" s="181" t="str" cm="1">
        <f t="array" ref="W95">IFERROR(SUM(SUMIFS('caseload data'!G:G,'caseload data'!$C:$C,'community %'!$T$92,'caseload data'!$D:$D,"PSO",'caseload data'!$B:$B,{"licence","community"}))/SUM(SUMIFS('caseload data'!G:G,'caseload data'!$B:$B,{"licence","community"},'caseload data'!$C:$C,'community %'!$T$92)),"")</f>
        <v/>
      </c>
      <c r="X95" s="181" t="str" cm="1">
        <f t="array" ref="X95">IFERROR(SUM(SUMIFS('caseload data'!H:H,'caseload data'!$C:$C,'community %'!$T$92,'caseload data'!$D:$D,"PSO",'caseload data'!$B:$B,{"licence","community"}))/SUM(SUMIFS('caseload data'!H:H,'caseload data'!$B:$B,{"licence","community"},'caseload data'!$C:$C,'community %'!$T$92)),"")</f>
        <v/>
      </c>
      <c r="Y95" s="181" t="str" cm="1">
        <f t="array" ref="Y95">IFERROR(SUM(SUMIFS('caseload data'!I:I,'caseload data'!$C:$C,'community %'!$T$92,'caseload data'!$D:$D,"PSO",'caseload data'!$B:$B,{"licence","community"}))/SUM(SUMIFS('caseload data'!I:I,'caseload data'!$B:$B,{"licence","community"},'caseload data'!$C:$C,'community %'!$T$92)),"")</f>
        <v/>
      </c>
      <c r="Z95" s="181" t="str" cm="1">
        <f t="array" ref="Z95">IFERROR(SUM(SUMIFS('caseload data'!J:J,'caseload data'!$C:$C,'community %'!$T$92,'caseload data'!$D:$D,"PSO",'caseload data'!$B:$B,{"licence","community"}))/SUM(SUMIFS('caseload data'!J:J,'caseload data'!$B:$B,{"licence","community"},'caseload data'!$C:$C,'community %'!$T$92)),"")</f>
        <v/>
      </c>
      <c r="AA95" s="181" t="str" cm="1">
        <f t="array" ref="AA95">IFERROR(SUM(SUMIFS('caseload data'!K:K,'caseload data'!$C:$C,'community %'!$T$92,'caseload data'!$D:$D,"PSO",'caseload data'!$B:$B,{"licence","community"}))/SUM(SUMIFS('caseload data'!K:K,'caseload data'!$B:$B,{"licence","community"},'caseload data'!$C:$C,'community %'!$T$92)),"")</f>
        <v/>
      </c>
      <c r="AB95" s="181" t="str" cm="1">
        <f t="array" ref="AB95">IFERROR(SUM(SUMIFS('caseload data'!L:L,'caseload data'!$C:$C,'community %'!$T$92,'caseload data'!$D:$D,"PSO",'caseload data'!$B:$B,{"licence","community"}))/SUM(SUMIFS('caseload data'!L:L,'caseload data'!$B:$B,{"licence","community"},'caseload data'!$C:$C,'community %'!$T$92)),"")</f>
        <v/>
      </c>
      <c r="AC95" s="181" t="str" cm="1">
        <f t="array" ref="AC95">IFERROR(SUM(SUMIFS('caseload data'!M:M,'caseload data'!$C:$C,'community %'!$T$92,'caseload data'!$D:$D,"PSO",'caseload data'!$B:$B,{"licence","community"}))/SUM(SUMIFS('caseload data'!M:M,'caseload data'!$B:$B,{"licence","community"},'caseload data'!$C:$C,'community %'!$T$92)),"")</f>
        <v/>
      </c>
      <c r="AD95" s="181" t="str" cm="1">
        <f t="array" ref="AD95">IFERROR(SUM(SUMIFS('caseload data'!N:N,'caseload data'!$C:$C,'community %'!$T$92,'caseload data'!$D:$D,"PSO",'caseload data'!$B:$B,{"licence","community"}))/SUM(SUMIFS('caseload data'!N:N,'caseload data'!$B:$B,{"licence","community"},'caseload data'!$C:$C,'community %'!$T$92)),"")</f>
        <v/>
      </c>
      <c r="AE95" s="181" t="str" cm="1">
        <f t="array" ref="AE95">IFERROR(SUM(SUMIFS('caseload data'!O:O,'caseload data'!$C:$C,'community %'!$T$92,'caseload data'!$D:$D,"PSO",'caseload data'!$B:$B,{"licence","community"}))/SUM(SUMIFS('caseload data'!O:O,'caseload data'!$B:$B,{"licence","community"},'caseload data'!$C:$C,'community %'!$T$92)),"")</f>
        <v/>
      </c>
      <c r="AF95" s="181" t="str" cm="1">
        <f t="array" ref="AF95">IFERROR(SUM(SUMIFS('caseload data'!P:P,'caseload data'!$C:$C,'community %'!$T$92,'caseload data'!$D:$D,"PSO",'caseload data'!$B:$B,{"licence","community"}))/SUM(SUMIFS('caseload data'!P:P,'caseload data'!$B:$B,{"licence","community"},'caseload data'!$C:$C,'community %'!$T$92)),"")</f>
        <v/>
      </c>
      <c r="AG95" s="181" t="str" cm="1">
        <f t="array" ref="AG95">IFERROR(SUM(SUMIFS('caseload data'!Q:Q,'caseload data'!$C:$C,'community %'!$T$92,'caseload data'!$D:$D,"PSO",'caseload data'!$B:$B,{"licence","community"}))/SUM(SUMIFS('caseload data'!Q:Q,'caseload data'!$B:$B,{"licence","community"},'caseload data'!$C:$C,'community %'!$T$92)),"")</f>
        <v/>
      </c>
      <c r="AH95" s="181" t="str" cm="1">
        <f t="array" ref="AH95">IFERROR(SUM(SUMIFS('caseload data'!R:R,'caseload data'!$C:$C,'community %'!$T$92,'caseload data'!$D:$D,"PSO",'caseload data'!$B:$B,{"licence","community"}))/SUM(SUMIFS('caseload data'!R:R,'caseload data'!$B:$B,{"licence","community"},'caseload data'!$C:$C,'community %'!$T$92)),"")</f>
        <v/>
      </c>
      <c r="AI95" s="181" t="str" cm="1">
        <f t="array" ref="AI95">IFERROR(SUM(SUMIFS('caseload data'!S:S,'caseload data'!$C:$C,'community %'!$T$92,'caseload data'!$D:$D,"PSO",'caseload data'!$B:$B,{"licence","community"}))/SUM(SUMIFS('caseload data'!S:S,'caseload data'!$B:$B,{"licence","community"},'caseload data'!$C:$C,'community %'!$T$92)),"")</f>
        <v/>
      </c>
      <c r="AJ95" s="181" t="str" cm="1">
        <f t="array" ref="AJ95">IFERROR(SUM(SUMIFS('caseload data'!T:T,'caseload data'!$C:$C,'community %'!$T$92,'caseload data'!$D:$D,"PSO",'caseload data'!$B:$B,{"licence","community"}))/SUM(SUMIFS('caseload data'!T:T,'caseload data'!$B:$B,{"licence","community"},'caseload data'!$C:$C,'community %'!$T$92)),"")</f>
        <v/>
      </c>
    </row>
    <row r="96" spans="2:36" x14ac:dyDescent="0.15">
      <c r="B96" s="107" t="s">
        <v>913</v>
      </c>
      <c r="C96" s="181" t="str" cm="1">
        <f t="array" ref="C96">IFERROR(SUM(SUMIFS('caseload data'!E:E,'caseload data'!$C:$C,'community %'!$B$92,'caseload data'!$D:$D,"TPO",'caseload data'!$B:$B,{"licence","community"}))/SUM(SUMIFS('caseload data'!E:E,'caseload data'!$B:$B,{"licence","community"},'caseload data'!$C:$C,'community %'!$B$92)),"")</f>
        <v/>
      </c>
      <c r="D96" s="181" t="str" cm="1">
        <f t="array" ref="D96">IFERROR(SUM(SUMIFS('caseload data'!F:F,'caseload data'!$C:$C,'community %'!$B$92,'caseload data'!$D:$D,"TPO",'caseload data'!$B:$B,{"licence","community"}))/SUM(SUMIFS('caseload data'!F:F,'caseload data'!$B:$B,{"licence","community"},'caseload data'!$C:$C,'community %'!$B$92)),"")</f>
        <v/>
      </c>
      <c r="E96" s="181" t="str" cm="1">
        <f t="array" ref="E96">IFERROR(SUM(SUMIFS('caseload data'!G:G,'caseload data'!$C:$C,'community %'!$B$92,'caseload data'!$D:$D,"TPO",'caseload data'!$B:$B,{"licence","community"}))/SUM(SUMIFS('caseload data'!G:G,'caseload data'!$B:$B,{"licence","community"},'caseload data'!$C:$C,'community %'!$B$92)),"")</f>
        <v/>
      </c>
      <c r="F96" s="181" t="str" cm="1">
        <f t="array" ref="F96">IFERROR(SUM(SUMIFS('caseload data'!H:H,'caseload data'!$C:$C,'community %'!$B$92,'caseload data'!$D:$D,"TPO",'caseload data'!$B:$B,{"licence","community"}))/SUM(SUMIFS('caseload data'!H:H,'caseload data'!$B:$B,{"licence","community"},'caseload data'!$C:$C,'community %'!$B$92)),"")</f>
        <v/>
      </c>
      <c r="G96" s="181" t="str" cm="1">
        <f t="array" ref="G96">IFERROR(SUM(SUMIFS('caseload data'!I:I,'caseload data'!$C:$C,'community %'!$B$92,'caseload data'!$D:$D,"TPO",'caseload data'!$B:$B,{"licence","community"}))/SUM(SUMIFS('caseload data'!I:I,'caseload data'!$B:$B,{"licence","community"},'caseload data'!$C:$C,'community %'!$B$92)),"")</f>
        <v/>
      </c>
      <c r="H96" s="181" t="str" cm="1">
        <f t="array" ref="H96">IFERROR(SUM(SUMIFS('caseload data'!J:J,'caseload data'!$C:$C,'community %'!$B$92,'caseload data'!$D:$D,"TPO",'caseload data'!$B:$B,{"licence","community"}))/SUM(SUMIFS('caseload data'!J:J,'caseload data'!$B:$B,{"licence","community"},'caseload data'!$C:$C,'community %'!$B$92)),"")</f>
        <v/>
      </c>
      <c r="I96" s="181" t="str" cm="1">
        <f t="array" ref="I96">IFERROR(SUM(SUMIFS('caseload data'!K:K,'caseload data'!$C:$C,'community %'!$B$92,'caseload data'!$D:$D,"TPO",'caseload data'!$B:$B,{"licence","community"}))/SUM(SUMIFS('caseload data'!K:K,'caseload data'!$B:$B,{"licence","community"},'caseload data'!$C:$C,'community %'!$B$92)),"")</f>
        <v/>
      </c>
      <c r="J96" s="181" t="str" cm="1">
        <f t="array" ref="J96">IFERROR(SUM(SUMIFS('caseload data'!L:L,'caseload data'!$C:$C,'community %'!$B$92,'caseload data'!$D:$D,"TPO",'caseload data'!$B:$B,{"licence","community"}))/SUM(SUMIFS('caseload data'!L:L,'caseload data'!$B:$B,{"licence","community"},'caseload data'!$C:$C,'community %'!$B$92)),"")</f>
        <v/>
      </c>
      <c r="K96" s="181" t="str" cm="1">
        <f t="array" ref="K96">IFERROR(SUM(SUMIFS('caseload data'!M:M,'caseload data'!$C:$C,'community %'!$B$92,'caseload data'!$D:$D,"TPO",'caseload data'!$B:$B,{"licence","community"}))/SUM(SUMIFS('caseload data'!M:M,'caseload data'!$B:$B,{"licence","community"},'caseload data'!$C:$C,'community %'!$B$92)),"")</f>
        <v/>
      </c>
      <c r="L96" s="181" t="str" cm="1">
        <f t="array" ref="L96">IFERROR(SUM(SUMIFS('caseload data'!N:N,'caseload data'!$C:$C,'community %'!$B$92,'caseload data'!$D:$D,"TPO",'caseload data'!$B:$B,{"licence","community"}))/SUM(SUMIFS('caseload data'!N:N,'caseload data'!$B:$B,{"licence","community"},'caseload data'!$C:$C,'community %'!$B$92)),"")</f>
        <v/>
      </c>
      <c r="M96" s="181" t="str" cm="1">
        <f t="array" ref="M96">IFERROR(SUM(SUMIFS('caseload data'!O:O,'caseload data'!$C:$C,'community %'!$B$92,'caseload data'!$D:$D,"TPO",'caseload data'!$B:$B,{"licence","community"}))/SUM(SUMIFS('caseload data'!O:O,'caseload data'!$B:$B,{"licence","community"},'caseload data'!$C:$C,'community %'!$B$92)),"")</f>
        <v/>
      </c>
      <c r="N96" s="181" t="str" cm="1">
        <f t="array" ref="N96">IFERROR(SUM(SUMIFS('caseload data'!P:P,'caseload data'!$C:$C,'community %'!$B$92,'caseload data'!$D:$D,"TPO",'caseload data'!$B:$B,{"licence","community"}))/SUM(SUMIFS('caseload data'!P:P,'caseload data'!$B:$B,{"licence","community"},'caseload data'!$C:$C,'community %'!$B$92)),"")</f>
        <v/>
      </c>
      <c r="O96" s="181" t="str" cm="1">
        <f t="array" ref="O96">IFERROR(SUM(SUMIFS('caseload data'!Q:Q,'caseload data'!$C:$C,'community %'!$B$92,'caseload data'!$D:$D,"TPO",'caseload data'!$B:$B,{"licence","community"}))/SUM(SUMIFS('caseload data'!Q:Q,'caseload data'!$B:$B,{"licence","community"},'caseload data'!$C:$C,'community %'!$B$92)),"")</f>
        <v/>
      </c>
      <c r="P96" s="181" t="str" cm="1">
        <f t="array" ref="P96">IFERROR(SUM(SUMIFS('caseload data'!R:R,'caseload data'!$C:$C,'community %'!$B$92,'caseload data'!$D:$D,"TPO",'caseload data'!$B:$B,{"licence","community"}))/SUM(SUMIFS('caseload data'!R:R,'caseload data'!$B:$B,{"licence","community"},'caseload data'!$C:$C,'community %'!$B$92)),"")</f>
        <v/>
      </c>
      <c r="Q96" s="181" t="str" cm="1">
        <f t="array" ref="Q96">IFERROR(SUM(SUMIFS('caseload data'!S:S,'caseload data'!$C:$C,'community %'!$B$92,'caseload data'!$D:$D,"TPO",'caseload data'!$B:$B,{"licence","community"}))/SUM(SUMIFS('caseload data'!S:S,'caseload data'!$B:$B,{"licence","community"},'caseload data'!$C:$C,'community %'!$B$92)),"")</f>
        <v/>
      </c>
      <c r="R96" s="181" t="str" cm="1">
        <f t="array" ref="R96">IFERROR(SUM(SUMIFS('caseload data'!T:T,'caseload data'!$C:$C,'community %'!$B$92,'caseload data'!$D:$D,"TPO",'caseload data'!$B:$B,{"licence","community"}))/SUM(SUMIFS('caseload data'!T:T,'caseload data'!$B:$B,{"licence","community"},'caseload data'!$C:$C,'community %'!$B$92)),"")</f>
        <v/>
      </c>
      <c r="T96" s="107" t="s">
        <v>913</v>
      </c>
      <c r="U96" s="181" t="str" cm="1">
        <f t="array" ref="U96">IFERROR(SUM(SUMIFS('caseload data'!E:E,'caseload data'!$C:$C,'community %'!$T$92,'caseload data'!$D:$D,"TPO",'caseload data'!$B:$B,{"licence","community"}))/SUM(SUMIFS('caseload data'!E:E,'caseload data'!$B:$B,{"licence","community"},'caseload data'!$C:$C,'community %'!$T$92)),"")</f>
        <v/>
      </c>
      <c r="V96" s="181" t="str" cm="1">
        <f t="array" ref="V96">IFERROR(SUM(SUMIFS('caseload data'!F:F,'caseload data'!$C:$C,'community %'!$T$92,'caseload data'!$D:$D,"TPO",'caseload data'!$B:$B,{"licence","community"}))/SUM(SUMIFS('caseload data'!F:F,'caseload data'!$B:$B,{"licence","community"},'caseload data'!$C:$C,'community %'!$T$92)),"")</f>
        <v/>
      </c>
      <c r="W96" s="181" t="str" cm="1">
        <f t="array" ref="W96">IFERROR(SUM(SUMIFS('caseload data'!G:G,'caseload data'!$C:$C,'community %'!$T$92,'caseload data'!$D:$D,"TPO",'caseload data'!$B:$B,{"licence","community"}))/SUM(SUMIFS('caseload data'!G:G,'caseload data'!$B:$B,{"licence","community"},'caseload data'!$C:$C,'community %'!$T$92)),"")</f>
        <v/>
      </c>
      <c r="X96" s="181" t="str" cm="1">
        <f t="array" ref="X96">IFERROR(SUM(SUMIFS('caseload data'!H:H,'caseload data'!$C:$C,'community %'!$T$92,'caseload data'!$D:$D,"TPO",'caseload data'!$B:$B,{"licence","community"}))/SUM(SUMIFS('caseload data'!H:H,'caseload data'!$B:$B,{"licence","community"},'caseload data'!$C:$C,'community %'!$T$92)),"")</f>
        <v/>
      </c>
      <c r="Y96" s="181" t="str" cm="1">
        <f t="array" ref="Y96">IFERROR(SUM(SUMIFS('caseload data'!I:I,'caseload data'!$C:$C,'community %'!$T$92,'caseload data'!$D:$D,"TPO",'caseload data'!$B:$B,{"licence","community"}))/SUM(SUMIFS('caseload data'!I:I,'caseload data'!$B:$B,{"licence","community"},'caseload data'!$C:$C,'community %'!$T$92)),"")</f>
        <v/>
      </c>
      <c r="Z96" s="181" t="str" cm="1">
        <f t="array" ref="Z96">IFERROR(SUM(SUMIFS('caseload data'!J:J,'caseload data'!$C:$C,'community %'!$T$92,'caseload data'!$D:$D,"TPO",'caseload data'!$B:$B,{"licence","community"}))/SUM(SUMIFS('caseload data'!J:J,'caseload data'!$B:$B,{"licence","community"},'caseload data'!$C:$C,'community %'!$T$92)),"")</f>
        <v/>
      </c>
      <c r="AA96" s="181" t="str" cm="1">
        <f t="array" ref="AA96">IFERROR(SUM(SUMIFS('caseload data'!K:K,'caseload data'!$C:$C,'community %'!$T$92,'caseload data'!$D:$D,"TPO",'caseload data'!$B:$B,{"licence","community"}))/SUM(SUMIFS('caseload data'!K:K,'caseload data'!$B:$B,{"licence","community"},'caseload data'!$C:$C,'community %'!$T$92)),"")</f>
        <v/>
      </c>
      <c r="AB96" s="181" t="str" cm="1">
        <f t="array" ref="AB96">IFERROR(SUM(SUMIFS('caseload data'!L:L,'caseload data'!$C:$C,'community %'!$T$92,'caseload data'!$D:$D,"TPO",'caseload data'!$B:$B,{"licence","community"}))/SUM(SUMIFS('caseload data'!L:L,'caseload data'!$B:$B,{"licence","community"},'caseload data'!$C:$C,'community %'!$T$92)),"")</f>
        <v/>
      </c>
      <c r="AC96" s="181" t="str" cm="1">
        <f t="array" ref="AC96">IFERROR(SUM(SUMIFS('caseload data'!M:M,'caseload data'!$C:$C,'community %'!$T$92,'caseload data'!$D:$D,"TPO",'caseload data'!$B:$B,{"licence","community"}))/SUM(SUMIFS('caseload data'!M:M,'caseload data'!$B:$B,{"licence","community"},'caseload data'!$C:$C,'community %'!$T$92)),"")</f>
        <v/>
      </c>
      <c r="AD96" s="181" t="str" cm="1">
        <f t="array" ref="AD96">IFERROR(SUM(SUMIFS('caseload data'!N:N,'caseload data'!$C:$C,'community %'!$T$92,'caseload data'!$D:$D,"TPO",'caseload data'!$B:$B,{"licence","community"}))/SUM(SUMIFS('caseload data'!N:N,'caseload data'!$B:$B,{"licence","community"},'caseload data'!$C:$C,'community %'!$T$92)),"")</f>
        <v/>
      </c>
      <c r="AE96" s="181" t="str" cm="1">
        <f t="array" ref="AE96">IFERROR(SUM(SUMIFS('caseload data'!O:O,'caseload data'!$C:$C,'community %'!$T$92,'caseload data'!$D:$D,"TPO",'caseload data'!$B:$B,{"licence","community"}))/SUM(SUMIFS('caseload data'!O:O,'caseload data'!$B:$B,{"licence","community"},'caseload data'!$C:$C,'community %'!$T$92)),"")</f>
        <v/>
      </c>
      <c r="AF96" s="181" t="str" cm="1">
        <f t="array" ref="AF96">IFERROR(SUM(SUMIFS('caseload data'!P:P,'caseload data'!$C:$C,'community %'!$T$92,'caseload data'!$D:$D,"TPO",'caseload data'!$B:$B,{"licence","community"}))/SUM(SUMIFS('caseload data'!P:P,'caseload data'!$B:$B,{"licence","community"},'caseload data'!$C:$C,'community %'!$T$92)),"")</f>
        <v/>
      </c>
      <c r="AG96" s="181" t="str" cm="1">
        <f t="array" ref="AG96">IFERROR(SUM(SUMIFS('caseload data'!Q:Q,'caseload data'!$C:$C,'community %'!$T$92,'caseload data'!$D:$D,"TPO",'caseload data'!$B:$B,{"licence","community"}))/SUM(SUMIFS('caseload data'!Q:Q,'caseload data'!$B:$B,{"licence","community"},'caseload data'!$C:$C,'community %'!$T$92)),"")</f>
        <v/>
      </c>
      <c r="AH96" s="181" t="str" cm="1">
        <f t="array" ref="AH96">IFERROR(SUM(SUMIFS('caseload data'!R:R,'caseload data'!$C:$C,'community %'!$T$92,'caseload data'!$D:$D,"TPO",'caseload data'!$B:$B,{"licence","community"}))/SUM(SUMIFS('caseload data'!R:R,'caseload data'!$B:$B,{"licence","community"},'caseload data'!$C:$C,'community %'!$T$92)),"")</f>
        <v/>
      </c>
      <c r="AI96" s="181" t="str" cm="1">
        <f t="array" ref="AI96">IFERROR(SUM(SUMIFS('caseload data'!S:S,'caseload data'!$C:$C,'community %'!$T$92,'caseload data'!$D:$D,"TPO",'caseload data'!$B:$B,{"licence","community"}))/SUM(SUMIFS('caseload data'!S:S,'caseload data'!$B:$B,{"licence","community"},'caseload data'!$C:$C,'community %'!$T$92)),"")</f>
        <v/>
      </c>
      <c r="AJ96" s="181" t="str" cm="1">
        <f t="array" ref="AJ96">IFERROR(SUM(SUMIFS('caseload data'!T:T,'caseload data'!$C:$C,'community %'!$T$92,'caseload data'!$D:$D,"TPO",'caseload data'!$B:$B,{"licence","community"}))/SUM(SUMIFS('caseload data'!T:T,'caseload data'!$B:$B,{"licence","community"},'caseload data'!$C:$C,'community %'!$T$92)),"")</f>
        <v/>
      </c>
    </row>
    <row r="97" spans="2:36" x14ac:dyDescent="0.15">
      <c r="B97" s="108" t="s">
        <v>914</v>
      </c>
      <c r="C97" s="181" t="str" cm="1">
        <f t="array" ref="C97">IFERROR(SUM(SUMIFS('caseload data'!E:E,'caseload data'!$C:$C,'community %'!$B$92,'caseload data'!$D:$D,"SPO",'caseload data'!$B:$B,{"licence","community"}))/SUM(SUMIFS('caseload data'!E:E,'caseload data'!$B:$B,{"licence","community"},'caseload data'!$C:$C,'community %'!$B$92)),"")</f>
        <v/>
      </c>
      <c r="D97" s="181" t="str" cm="1">
        <f t="array" ref="D97">IFERROR(SUM(SUMIFS('caseload data'!F:F,'caseload data'!$C:$C,'community %'!$B$92,'caseload data'!$D:$D,"SPO",'caseload data'!$B:$B,{"licence","community"}))/SUM(SUMIFS('caseload data'!F:F,'caseload data'!$B:$B,{"licence","community"},'caseload data'!$C:$C,'community %'!$B$92)),"")</f>
        <v/>
      </c>
      <c r="E97" s="181" t="str" cm="1">
        <f t="array" ref="E97">IFERROR(SUM(SUMIFS('caseload data'!G:G,'caseload data'!$C:$C,'community %'!$B$92,'caseload data'!$D:$D,"SPO",'caseload data'!$B:$B,{"licence","community"}))/SUM(SUMIFS('caseload data'!G:G,'caseload data'!$B:$B,{"licence","community"},'caseload data'!$C:$C,'community %'!$B$92)),"")</f>
        <v/>
      </c>
      <c r="F97" s="181" t="str" cm="1">
        <f t="array" ref="F97">IFERROR(SUM(SUMIFS('caseload data'!H:H,'caseload data'!$C:$C,'community %'!$B$92,'caseload data'!$D:$D,"SPO",'caseload data'!$B:$B,{"licence","community"}))/SUM(SUMIFS('caseload data'!H:H,'caseload data'!$B:$B,{"licence","community"},'caseload data'!$C:$C,'community %'!$B$92)),"")</f>
        <v/>
      </c>
      <c r="G97" s="181" t="str" cm="1">
        <f t="array" ref="G97">IFERROR(SUM(SUMIFS('caseload data'!I:I,'caseload data'!$C:$C,'community %'!$B$92,'caseload data'!$D:$D,"SPO",'caseload data'!$B:$B,{"licence","community"}))/SUM(SUMIFS('caseload data'!I:I,'caseload data'!$B:$B,{"licence","community"},'caseload data'!$C:$C,'community %'!$B$92)),"")</f>
        <v/>
      </c>
      <c r="H97" s="181" t="str" cm="1">
        <f t="array" ref="H97">IFERROR(SUM(SUMIFS('caseload data'!J:J,'caseload data'!$C:$C,'community %'!$B$92,'caseload data'!$D:$D,"SPO",'caseload data'!$B:$B,{"licence","community"}))/SUM(SUMIFS('caseload data'!J:J,'caseload data'!$B:$B,{"licence","community"},'caseload data'!$C:$C,'community %'!$B$92)),"")</f>
        <v/>
      </c>
      <c r="I97" s="181" t="str" cm="1">
        <f t="array" ref="I97">IFERROR(SUM(SUMIFS('caseload data'!K:K,'caseload data'!$C:$C,'community %'!$B$92,'caseload data'!$D:$D,"SPO",'caseload data'!$B:$B,{"licence","community"}))/SUM(SUMIFS('caseload data'!K:K,'caseload data'!$B:$B,{"licence","community"},'caseload data'!$C:$C,'community %'!$B$92)),"")</f>
        <v/>
      </c>
      <c r="J97" s="181" t="str" cm="1">
        <f t="array" ref="J97">IFERROR(SUM(SUMIFS('caseload data'!L:L,'caseload data'!$C:$C,'community %'!$B$92,'caseload data'!$D:$D,"SPO",'caseload data'!$B:$B,{"licence","community"}))/SUM(SUMIFS('caseload data'!L:L,'caseload data'!$B:$B,{"licence","community"},'caseload data'!$C:$C,'community %'!$B$92)),"")</f>
        <v/>
      </c>
      <c r="K97" s="181" t="str" cm="1">
        <f t="array" ref="K97">IFERROR(SUM(SUMIFS('caseload data'!M:M,'caseload data'!$C:$C,'community %'!$B$92,'caseload data'!$D:$D,"SPO",'caseload data'!$B:$B,{"licence","community"}))/SUM(SUMIFS('caseload data'!M:M,'caseload data'!$B:$B,{"licence","community"},'caseload data'!$C:$C,'community %'!$B$92)),"")</f>
        <v/>
      </c>
      <c r="L97" s="181" t="str" cm="1">
        <f t="array" ref="L97">IFERROR(SUM(SUMIFS('caseload data'!N:N,'caseload data'!$C:$C,'community %'!$B$92,'caseload data'!$D:$D,"SPO",'caseload data'!$B:$B,{"licence","community"}))/SUM(SUMIFS('caseload data'!N:N,'caseload data'!$B:$B,{"licence","community"},'caseload data'!$C:$C,'community %'!$B$92)),"")</f>
        <v/>
      </c>
      <c r="M97" s="181" t="str" cm="1">
        <f t="array" ref="M97">IFERROR(SUM(SUMIFS('caseload data'!O:O,'caseload data'!$C:$C,'community %'!$B$92,'caseload data'!$D:$D,"SPO",'caseload data'!$B:$B,{"licence","community"}))/SUM(SUMIFS('caseload data'!O:O,'caseload data'!$B:$B,{"licence","community"},'caseload data'!$C:$C,'community %'!$B$92)),"")</f>
        <v/>
      </c>
      <c r="N97" s="181" t="str" cm="1">
        <f t="array" ref="N97">IFERROR(SUM(SUMIFS('caseload data'!P:P,'caseload data'!$C:$C,'community %'!$B$92,'caseload data'!$D:$D,"SPO",'caseload data'!$B:$B,{"licence","community"}))/SUM(SUMIFS('caseload data'!P:P,'caseload data'!$B:$B,{"licence","community"},'caseload data'!$C:$C,'community %'!$B$92)),"")</f>
        <v/>
      </c>
      <c r="O97" s="181" t="str" cm="1">
        <f t="array" ref="O97">IFERROR(SUM(SUMIFS('caseload data'!Q:Q,'caseload data'!$C:$C,'community %'!$B$92,'caseload data'!$D:$D,"SPO",'caseload data'!$B:$B,{"licence","community"}))/SUM(SUMIFS('caseload data'!Q:Q,'caseload data'!$B:$B,{"licence","community"},'caseload data'!$C:$C,'community %'!$B$92)),"")</f>
        <v/>
      </c>
      <c r="P97" s="181" t="str" cm="1">
        <f t="array" ref="P97">IFERROR(SUM(SUMIFS('caseload data'!R:R,'caseload data'!$C:$C,'community %'!$B$92,'caseload data'!$D:$D,"SPO",'caseload data'!$B:$B,{"licence","community"}))/SUM(SUMIFS('caseload data'!R:R,'caseload data'!$B:$B,{"licence","community"},'caseload data'!$C:$C,'community %'!$B$92)),"")</f>
        <v/>
      </c>
      <c r="Q97" s="181" t="str" cm="1">
        <f t="array" ref="Q97">IFERROR(SUM(SUMIFS('caseload data'!S:S,'caseload data'!$C:$C,'community %'!$B$92,'caseload data'!$D:$D,"SPO",'caseload data'!$B:$B,{"licence","community"}))/SUM(SUMIFS('caseload data'!S:S,'caseload data'!$B:$B,{"licence","community"},'caseload data'!$C:$C,'community %'!$B$92)),"")</f>
        <v/>
      </c>
      <c r="R97" s="181" t="str" cm="1">
        <f t="array" ref="R97">IFERROR(SUM(SUMIFS('caseload data'!T:T,'caseload data'!$C:$C,'community %'!$B$92,'caseload data'!$D:$D,"SPO",'caseload data'!$B:$B,{"licence","community"}))/SUM(SUMIFS('caseload data'!T:T,'caseload data'!$B:$B,{"licence","community"},'caseload data'!$C:$C,'community %'!$B$92)),"")</f>
        <v/>
      </c>
      <c r="T97" s="108" t="s">
        <v>914</v>
      </c>
      <c r="U97" s="181" t="str" cm="1">
        <f t="array" ref="U97">IFERROR(SUM(SUMIFS('caseload data'!E:E,'caseload data'!$C:$C,'community %'!$T$92,'caseload data'!$D:$D,"SPO",'caseload data'!$B:$B,{"licence","community"}))/SUM(SUMIFS('caseload data'!E:E,'caseload data'!$B:$B,{"licence","community"},'caseload data'!$C:$C,'community %'!$T$92)),"")</f>
        <v/>
      </c>
      <c r="V97" s="181" t="str" cm="1">
        <f t="array" ref="V97">IFERROR(SUM(SUMIFS('caseload data'!F:F,'caseload data'!$C:$C,'community %'!$T$92,'caseload data'!$D:$D,"SPO",'caseload data'!$B:$B,{"licence","community"}))/SUM(SUMIFS('caseload data'!F:F,'caseload data'!$B:$B,{"licence","community"},'caseload data'!$C:$C,'community %'!$T$92)),"")</f>
        <v/>
      </c>
      <c r="W97" s="181" t="str" cm="1">
        <f t="array" ref="W97">IFERROR(SUM(SUMIFS('caseload data'!G:G,'caseload data'!$C:$C,'community %'!$T$92,'caseload data'!$D:$D,"SPO",'caseload data'!$B:$B,{"licence","community"}))/SUM(SUMIFS('caseload data'!G:G,'caseload data'!$B:$B,{"licence","community"},'caseload data'!$C:$C,'community %'!$T$92)),"")</f>
        <v/>
      </c>
      <c r="X97" s="181" t="str" cm="1">
        <f t="array" ref="X97">IFERROR(SUM(SUMIFS('caseload data'!H:H,'caseload data'!$C:$C,'community %'!$T$92,'caseload data'!$D:$D,"SPO",'caseload data'!$B:$B,{"licence","community"}))/SUM(SUMIFS('caseload data'!H:H,'caseload data'!$B:$B,{"licence","community"},'caseload data'!$C:$C,'community %'!$T$92)),"")</f>
        <v/>
      </c>
      <c r="Y97" s="181" t="str" cm="1">
        <f t="array" ref="Y97">IFERROR(SUM(SUMIFS('caseload data'!I:I,'caseload data'!$C:$C,'community %'!$T$92,'caseload data'!$D:$D,"SPO",'caseload data'!$B:$B,{"licence","community"}))/SUM(SUMIFS('caseload data'!I:I,'caseload data'!$B:$B,{"licence","community"},'caseload data'!$C:$C,'community %'!$T$92)),"")</f>
        <v/>
      </c>
      <c r="Z97" s="181" t="str" cm="1">
        <f t="array" ref="Z97">IFERROR(SUM(SUMIFS('caseload data'!J:J,'caseload data'!$C:$C,'community %'!$T$92,'caseload data'!$D:$D,"SPO",'caseload data'!$B:$B,{"licence","community"}))/SUM(SUMIFS('caseload data'!J:J,'caseload data'!$B:$B,{"licence","community"},'caseload data'!$C:$C,'community %'!$T$92)),"")</f>
        <v/>
      </c>
      <c r="AA97" s="181" t="str" cm="1">
        <f t="array" ref="AA97">IFERROR(SUM(SUMIFS('caseload data'!K:K,'caseload data'!$C:$C,'community %'!$T$92,'caseload data'!$D:$D,"SPO",'caseload data'!$B:$B,{"licence","community"}))/SUM(SUMIFS('caseload data'!K:K,'caseload data'!$B:$B,{"licence","community"},'caseload data'!$C:$C,'community %'!$T$92)),"")</f>
        <v/>
      </c>
      <c r="AB97" s="181" t="str" cm="1">
        <f t="array" ref="AB97">IFERROR(SUM(SUMIFS('caseload data'!L:L,'caseload data'!$C:$C,'community %'!$T$92,'caseload data'!$D:$D,"SPO",'caseload data'!$B:$B,{"licence","community"}))/SUM(SUMIFS('caseload data'!L:L,'caseload data'!$B:$B,{"licence","community"},'caseload data'!$C:$C,'community %'!$T$92)),"")</f>
        <v/>
      </c>
      <c r="AC97" s="181" t="str" cm="1">
        <f t="array" ref="AC97">IFERROR(SUM(SUMIFS('caseload data'!M:M,'caseload data'!$C:$C,'community %'!$T$92,'caseload data'!$D:$D,"SPO",'caseload data'!$B:$B,{"licence","community"}))/SUM(SUMIFS('caseload data'!M:M,'caseload data'!$B:$B,{"licence","community"},'caseload data'!$C:$C,'community %'!$T$92)),"")</f>
        <v/>
      </c>
      <c r="AD97" s="181" t="str" cm="1">
        <f t="array" ref="AD97">IFERROR(SUM(SUMIFS('caseload data'!N:N,'caseload data'!$C:$C,'community %'!$T$92,'caseload data'!$D:$D,"SPO",'caseload data'!$B:$B,{"licence","community"}))/SUM(SUMIFS('caseload data'!N:N,'caseload data'!$B:$B,{"licence","community"},'caseload data'!$C:$C,'community %'!$T$92)),"")</f>
        <v/>
      </c>
      <c r="AE97" s="181" t="str" cm="1">
        <f t="array" ref="AE97">IFERROR(SUM(SUMIFS('caseload data'!O:O,'caseload data'!$C:$C,'community %'!$T$92,'caseload data'!$D:$D,"SPO",'caseload data'!$B:$B,{"licence","community"}))/SUM(SUMIFS('caseload data'!O:O,'caseload data'!$B:$B,{"licence","community"},'caseload data'!$C:$C,'community %'!$T$92)),"")</f>
        <v/>
      </c>
      <c r="AF97" s="181" t="str" cm="1">
        <f t="array" ref="AF97">IFERROR(SUM(SUMIFS('caseload data'!P:P,'caseload data'!$C:$C,'community %'!$T$92,'caseload data'!$D:$D,"SPO",'caseload data'!$B:$B,{"licence","community"}))/SUM(SUMIFS('caseload data'!P:P,'caseload data'!$B:$B,{"licence","community"},'caseload data'!$C:$C,'community %'!$T$92)),"")</f>
        <v/>
      </c>
      <c r="AG97" s="181" t="str" cm="1">
        <f t="array" ref="AG97">IFERROR(SUM(SUMIFS('caseload data'!Q:Q,'caseload data'!$C:$C,'community %'!$T$92,'caseload data'!$D:$D,"SPO",'caseload data'!$B:$B,{"licence","community"}))/SUM(SUMIFS('caseload data'!Q:Q,'caseload data'!$B:$B,{"licence","community"},'caseload data'!$C:$C,'community %'!$T$92)),"")</f>
        <v/>
      </c>
      <c r="AH97" s="181" t="str" cm="1">
        <f t="array" ref="AH97">IFERROR(SUM(SUMIFS('caseload data'!R:R,'caseload data'!$C:$C,'community %'!$T$92,'caseload data'!$D:$D,"SPO",'caseload data'!$B:$B,{"licence","community"}))/SUM(SUMIFS('caseload data'!R:R,'caseload data'!$B:$B,{"licence","community"},'caseload data'!$C:$C,'community %'!$T$92)),"")</f>
        <v/>
      </c>
      <c r="AI97" s="181" t="str" cm="1">
        <f t="array" ref="AI97">IFERROR(SUM(SUMIFS('caseload data'!S:S,'caseload data'!$C:$C,'community %'!$T$92,'caseload data'!$D:$D,"SPO",'caseload data'!$B:$B,{"licence","community"}))/SUM(SUMIFS('caseload data'!S:S,'caseload data'!$B:$B,{"licence","community"},'caseload data'!$C:$C,'community %'!$T$92)),"")</f>
        <v/>
      </c>
      <c r="AJ97" s="181" t="str" cm="1">
        <f t="array" ref="AJ97">IFERROR(SUM(SUMIFS('caseload data'!T:T,'caseload data'!$C:$C,'community %'!$T$92,'caseload data'!$D:$D,"SPO",'caseload data'!$B:$B,{"licence","community"}))/SUM(SUMIFS('caseload data'!T:T,'caseload data'!$B:$B,{"licence","community"},'caseload data'!$C:$C,'community %'!$T$92)),"")</f>
        <v/>
      </c>
    </row>
    <row r="99" spans="2:36" x14ac:dyDescent="0.15">
      <c r="B99" s="156">
        <f>HLOOKUP($B$5,Region_Table,28,0)</f>
        <v>0</v>
      </c>
      <c r="C99" s="367" t="s">
        <v>1170</v>
      </c>
      <c r="D99" s="368"/>
      <c r="E99" s="368"/>
      <c r="F99" s="368"/>
      <c r="G99" s="368"/>
      <c r="H99" s="368"/>
      <c r="I99" s="368"/>
      <c r="J99" s="368"/>
      <c r="K99" s="368"/>
      <c r="L99" s="368"/>
      <c r="M99" s="377"/>
      <c r="N99" s="377"/>
      <c r="O99" s="378"/>
      <c r="P99" s="371" cm="1">
        <f t="array" ref="P99">SUM(SUMIFS('caseload data'!V:V,'caseload data'!B:B,{"licence","community"},'caseload data'!$C:$C,B99))</f>
        <v>0</v>
      </c>
      <c r="Q99" s="379"/>
      <c r="R99" s="380"/>
      <c r="T99" s="156">
        <f>HLOOKUP($B$5,Region_Table,29,0)</f>
        <v>0</v>
      </c>
      <c r="U99" s="367" t="s">
        <v>1170</v>
      </c>
      <c r="V99" s="368"/>
      <c r="W99" s="368"/>
      <c r="X99" s="368"/>
      <c r="Y99" s="368"/>
      <c r="Z99" s="368"/>
      <c r="AA99" s="368"/>
      <c r="AB99" s="368"/>
      <c r="AC99" s="368"/>
      <c r="AD99" s="368"/>
      <c r="AE99" s="377"/>
      <c r="AF99" s="377"/>
      <c r="AG99" s="378"/>
      <c r="AH99" s="371" cm="1">
        <f t="array" ref="AH99">SUM(SUMIFS('caseload data'!V:V,'caseload data'!B:B,{"licence","community"},'caseload data'!$C:$C,T99))</f>
        <v>0</v>
      </c>
      <c r="AI99" s="379"/>
      <c r="AJ99" s="380"/>
    </row>
    <row r="100" spans="2:36" x14ac:dyDescent="0.15">
      <c r="B100" s="105" t="s">
        <v>1065</v>
      </c>
      <c r="C100" s="41" t="s">
        <v>922</v>
      </c>
      <c r="D100" s="41" t="s">
        <v>923</v>
      </c>
      <c r="E100" s="41" t="s">
        <v>924</v>
      </c>
      <c r="F100" s="41" t="s">
        <v>925</v>
      </c>
      <c r="G100" s="41" t="s">
        <v>926</v>
      </c>
      <c r="H100" s="41" t="s">
        <v>927</v>
      </c>
      <c r="I100" s="41" t="s">
        <v>928</v>
      </c>
      <c r="J100" s="41" t="s">
        <v>929</v>
      </c>
      <c r="K100" s="41" t="s">
        <v>930</v>
      </c>
      <c r="L100" s="41" t="s">
        <v>931</v>
      </c>
      <c r="M100" s="41" t="s">
        <v>932</v>
      </c>
      <c r="N100" s="41" t="s">
        <v>933</v>
      </c>
      <c r="O100" s="41" t="s">
        <v>934</v>
      </c>
      <c r="P100" s="41" t="s">
        <v>935</v>
      </c>
      <c r="Q100" s="41" t="s">
        <v>936</v>
      </c>
      <c r="R100" s="41" t="s">
        <v>937</v>
      </c>
      <c r="T100" s="105" t="s">
        <v>1065</v>
      </c>
      <c r="U100" s="41" t="s">
        <v>922</v>
      </c>
      <c r="V100" s="41" t="s">
        <v>923</v>
      </c>
      <c r="W100" s="41" t="s">
        <v>924</v>
      </c>
      <c r="X100" s="41" t="s">
        <v>925</v>
      </c>
      <c r="Y100" s="41" t="s">
        <v>926</v>
      </c>
      <c r="Z100" s="41" t="s">
        <v>927</v>
      </c>
      <c r="AA100" s="41" t="s">
        <v>928</v>
      </c>
      <c r="AB100" s="41" t="s">
        <v>929</v>
      </c>
      <c r="AC100" s="41" t="s">
        <v>930</v>
      </c>
      <c r="AD100" s="41" t="s">
        <v>931</v>
      </c>
      <c r="AE100" s="41" t="s">
        <v>932</v>
      </c>
      <c r="AF100" s="41" t="s">
        <v>933</v>
      </c>
      <c r="AG100" s="41" t="s">
        <v>934</v>
      </c>
      <c r="AH100" s="41" t="s">
        <v>935</v>
      </c>
      <c r="AI100" s="41" t="s">
        <v>936</v>
      </c>
      <c r="AJ100" s="41" t="s">
        <v>937</v>
      </c>
    </row>
    <row r="101" spans="2:36" x14ac:dyDescent="0.15">
      <c r="B101" s="106" t="s">
        <v>911</v>
      </c>
      <c r="C101" s="181" t="str" cm="1">
        <f t="array" ref="C101">IFERROR(SUM(SUMIFS('caseload data'!E:E,'caseload data'!$C:$C,'community %'!$B$99,'caseload data'!$D:$D,"PO",'caseload data'!$B:$B,{"licence","community"}))/SUM(SUMIFS('caseload data'!E:E,'caseload data'!$B:$B,{"licence","community"},'caseload data'!$C:$C,'community %'!$B$99)),"")</f>
        <v/>
      </c>
      <c r="D101" s="181" t="str" cm="1">
        <f t="array" ref="D101">IFERROR(SUM(SUMIFS('caseload data'!F:F,'caseload data'!$C:$C,'community %'!$B$99,'caseload data'!$D:$D,"PO",'caseload data'!$B:$B,{"licence","community"}))/SUM(SUMIFS('caseload data'!F:F,'caseload data'!$B:$B,{"licence","community"},'caseload data'!$C:$C,'community %'!$B$99)),"")</f>
        <v/>
      </c>
      <c r="E101" s="181" t="str" cm="1">
        <f t="array" ref="E101">IFERROR(SUM(SUMIFS('caseload data'!G:G,'caseload data'!$C:$C,'community %'!$B$99,'caseload data'!$D:$D,"PO",'caseload data'!$B:$B,{"licence","community"}))/SUM(SUMIFS('caseload data'!G:G,'caseload data'!$B:$B,{"licence","community"},'caseload data'!$C:$C,'community %'!$B$99)),"")</f>
        <v/>
      </c>
      <c r="F101" s="181" t="str" cm="1">
        <f t="array" ref="F101">IFERROR(SUM(SUMIFS('caseload data'!H:H,'caseload data'!$C:$C,'community %'!$B$99,'caseload data'!$D:$D,"PO",'caseload data'!$B:$B,{"licence","community"}))/SUM(SUMIFS('caseload data'!H:H,'caseload data'!$B:$B,{"licence","community"},'caseload data'!$C:$C,'community %'!$B$99)),"")</f>
        <v/>
      </c>
      <c r="G101" s="181" t="str" cm="1">
        <f t="array" ref="G101">IFERROR(SUM(SUMIFS('caseload data'!I:I,'caseload data'!$C:$C,'community %'!$B$99,'caseload data'!$D:$D,"PO",'caseload data'!$B:$B,{"licence","community"}))/SUM(SUMIFS('caseload data'!I:I,'caseload data'!$B:$B,{"licence","community"},'caseload data'!$C:$C,'community %'!$B$99)),"")</f>
        <v/>
      </c>
      <c r="H101" s="181" t="str" cm="1">
        <f t="array" ref="H101">IFERROR(SUM(SUMIFS('caseload data'!J:J,'caseload data'!$C:$C,'community %'!$B$99,'caseload data'!$D:$D,"PO",'caseload data'!$B:$B,{"licence","community"}))/SUM(SUMIFS('caseload data'!J:J,'caseload data'!$B:$B,{"licence","community"},'caseload data'!$C:$C,'community %'!$B$99)),"")</f>
        <v/>
      </c>
      <c r="I101" s="181" t="str" cm="1">
        <f t="array" ref="I101">IFERROR(SUM(SUMIFS('caseload data'!K:K,'caseload data'!$C:$C,'community %'!$B$99,'caseload data'!$D:$D,"PO",'caseload data'!$B:$B,{"licence","community"}))/SUM(SUMIFS('caseload data'!K:K,'caseload data'!$B:$B,{"licence","community"},'caseload data'!$C:$C,'community %'!$B$99)),"")</f>
        <v/>
      </c>
      <c r="J101" s="181" t="str" cm="1">
        <f t="array" ref="J101">IFERROR(SUM(SUMIFS('caseload data'!L:L,'caseload data'!$C:$C,'community %'!$B$99,'caseload data'!$D:$D,"PO",'caseload data'!$B:$B,{"licence","community"}))/SUM(SUMIFS('caseload data'!L:L,'caseload data'!$B:$B,{"licence","community"},'caseload data'!$C:$C,'community %'!$B$99)),"")</f>
        <v/>
      </c>
      <c r="K101" s="181" t="str" cm="1">
        <f t="array" ref="K101">IFERROR(SUM(SUMIFS('caseload data'!M:M,'caseload data'!$C:$C,'community %'!$B$99,'caseload data'!$D:$D,"PO",'caseload data'!$B:$B,{"licence","community"}))/SUM(SUMIFS('caseload data'!M:M,'caseload data'!$B:$B,{"licence","community"},'caseload data'!$C:$C,'community %'!$B$99)),"")</f>
        <v/>
      </c>
      <c r="L101" s="181" t="str" cm="1">
        <f t="array" ref="L101">IFERROR(SUM(SUMIFS('caseload data'!N:N,'caseload data'!$C:$C,'community %'!$B$99,'caseload data'!$D:$D,"PO",'caseload data'!$B:$B,{"licence","community"}))/SUM(SUMIFS('caseload data'!N:N,'caseload data'!$B:$B,{"licence","community"},'caseload data'!$C:$C,'community %'!$B$99)),"")</f>
        <v/>
      </c>
      <c r="M101" s="181" t="str" cm="1">
        <f t="array" ref="M101">IFERROR(SUM(SUMIFS('caseload data'!O:O,'caseload data'!$C:$C,'community %'!$B$99,'caseload data'!$D:$D,"PO",'caseload data'!$B:$B,{"licence","community"}))/SUM(SUMIFS('caseload data'!O:O,'caseload data'!$B:$B,{"licence","community"},'caseload data'!$C:$C,'community %'!$B$99)),"")</f>
        <v/>
      </c>
      <c r="N101" s="181" t="str" cm="1">
        <f t="array" ref="N101">IFERROR(SUM(SUMIFS('caseload data'!P:P,'caseload data'!$C:$C,'community %'!$B$99,'caseload data'!$D:$D,"PO",'caseload data'!$B:$B,{"licence","community"}))/SUM(SUMIFS('caseload data'!P:P,'caseload data'!$B:$B,{"licence","community"},'caseload data'!$C:$C,'community %'!$B$99)),"")</f>
        <v/>
      </c>
      <c r="O101" s="181" t="str" cm="1">
        <f t="array" ref="O101">IFERROR(SUM(SUMIFS('caseload data'!Q:Q,'caseload data'!$C:$C,'community %'!$B$99,'caseload data'!$D:$D,"PO",'caseload data'!$B:$B,{"licence","community"}))/SUM(SUMIFS('caseload data'!Q:Q,'caseload data'!$B:$B,{"licence","community"},'caseload data'!$C:$C,'community %'!$B$99)),"")</f>
        <v/>
      </c>
      <c r="P101" s="181" t="str" cm="1">
        <f t="array" ref="P101">IFERROR(SUM(SUMIFS('caseload data'!R:R,'caseload data'!$C:$C,'community %'!$B$99,'caseload data'!$D:$D,"PO",'caseload data'!$B:$B,{"licence","community"}))/SUM(SUMIFS('caseload data'!R:R,'caseload data'!$B:$B,{"licence","community"},'caseload data'!$C:$C,'community %'!$B$99)),"")</f>
        <v/>
      </c>
      <c r="Q101" s="181" t="str" cm="1">
        <f t="array" ref="Q101">IFERROR(SUM(SUMIFS('caseload data'!S:S,'caseload data'!$C:$C,'community %'!$B$99,'caseload data'!$D:$D,"PO",'caseload data'!$B:$B,{"licence","community"}))/SUM(SUMIFS('caseload data'!S:S,'caseload data'!$B:$B,{"licence","community"},'caseload data'!$C:$C,'community %'!$B$99)),"")</f>
        <v/>
      </c>
      <c r="R101" s="181" t="str" cm="1">
        <f t="array" ref="R101">IFERROR(SUM(SUMIFS('caseload data'!T:T,'caseload data'!$C:$C,'community %'!$B$99,'caseload data'!$D:$D,"PO",'caseload data'!$B:$B,{"licence","community"}))/SUM(SUMIFS('caseload data'!T:T,'caseload data'!$B:$B,{"licence","community"},'caseload data'!$C:$C,'community %'!$B$99)),"")</f>
        <v/>
      </c>
      <c r="T101" s="106" t="s">
        <v>911</v>
      </c>
      <c r="U101" s="181" t="str" cm="1">
        <f t="array" ref="U101">IFERROR(SUM(SUMIFS('caseload data'!E:E,'caseload data'!$C:$C,'community %'!$T$99,'caseload data'!$D:$D,"PO",'caseload data'!$B:$B,{"licence","community"}))/SUM(SUMIFS('caseload data'!E:E,'caseload data'!$B:$B,{"licence","community"},'caseload data'!$C:$C,'community %'!$T$99)),"")</f>
        <v/>
      </c>
      <c r="V101" s="181" t="str" cm="1">
        <f t="array" ref="V101">IFERROR(SUM(SUMIFS('caseload data'!F:F,'caseload data'!$C:$C,'community %'!$T$99,'caseload data'!$D:$D,"PO",'caseload data'!$B:$B,{"licence","community"}))/SUM(SUMIFS('caseload data'!F:F,'caseload data'!$B:$B,{"licence","community"},'caseload data'!$C:$C,'community %'!$T$99)),"")</f>
        <v/>
      </c>
      <c r="W101" s="181" t="str" cm="1">
        <f t="array" ref="W101">IFERROR(SUM(SUMIFS('caseload data'!G:G,'caseload data'!$C:$C,'community %'!$T$99,'caseload data'!$D:$D,"PO",'caseload data'!$B:$B,{"licence","community"}))/SUM(SUMIFS('caseload data'!G:G,'caseload data'!$B:$B,{"licence","community"},'caseload data'!$C:$C,'community %'!$T$99)),"")</f>
        <v/>
      </c>
      <c r="X101" s="181" t="str" cm="1">
        <f t="array" ref="X101">IFERROR(SUM(SUMIFS('caseload data'!H:H,'caseload data'!$C:$C,'community %'!$T$99,'caseload data'!$D:$D,"PO",'caseload data'!$B:$B,{"licence","community"}))/SUM(SUMIFS('caseload data'!H:H,'caseload data'!$B:$B,{"licence","community"},'caseload data'!$C:$C,'community %'!$T$99)),"")</f>
        <v/>
      </c>
      <c r="Y101" s="181" t="str" cm="1">
        <f t="array" ref="Y101">IFERROR(SUM(SUMIFS('caseload data'!I:I,'caseload data'!$C:$C,'community %'!$T$99,'caseload data'!$D:$D,"PO",'caseload data'!$B:$B,{"licence","community"}))/SUM(SUMIFS('caseload data'!I:I,'caseload data'!$B:$B,{"licence","community"},'caseload data'!$C:$C,'community %'!$T$99)),"")</f>
        <v/>
      </c>
      <c r="Z101" s="181" t="str" cm="1">
        <f t="array" ref="Z101">IFERROR(SUM(SUMIFS('caseload data'!J:J,'caseload data'!$C:$C,'community %'!$T$99,'caseload data'!$D:$D,"PO",'caseload data'!$B:$B,{"licence","community"}))/SUM(SUMIFS('caseload data'!J:J,'caseload data'!$B:$B,{"licence","community"},'caseload data'!$C:$C,'community %'!$T$99)),"")</f>
        <v/>
      </c>
      <c r="AA101" s="181" t="str" cm="1">
        <f t="array" ref="AA101">IFERROR(SUM(SUMIFS('caseload data'!K:K,'caseload data'!$C:$C,'community %'!$T$99,'caseload data'!$D:$D,"PO",'caseload data'!$B:$B,{"licence","community"}))/SUM(SUMIFS('caseload data'!K:K,'caseload data'!$B:$B,{"licence","community"},'caseload data'!$C:$C,'community %'!$T$99)),"")</f>
        <v/>
      </c>
      <c r="AB101" s="181" t="str" cm="1">
        <f t="array" ref="AB101">IFERROR(SUM(SUMIFS('caseload data'!L:L,'caseload data'!$C:$C,'community %'!$T$99,'caseload data'!$D:$D,"PO",'caseload data'!$B:$B,{"licence","community"}))/SUM(SUMIFS('caseload data'!L:L,'caseload data'!$B:$B,{"licence","community"},'caseload data'!$C:$C,'community %'!$T$99)),"")</f>
        <v/>
      </c>
      <c r="AC101" s="181" t="str" cm="1">
        <f t="array" ref="AC101">IFERROR(SUM(SUMIFS('caseload data'!M:M,'caseload data'!$C:$C,'community %'!$T$99,'caseload data'!$D:$D,"PO",'caseload data'!$B:$B,{"licence","community"}))/SUM(SUMIFS('caseload data'!M:M,'caseload data'!$B:$B,{"licence","community"},'caseload data'!$C:$C,'community %'!$T$99)),"")</f>
        <v/>
      </c>
      <c r="AD101" s="181" t="str" cm="1">
        <f t="array" ref="AD101">IFERROR(SUM(SUMIFS('caseload data'!N:N,'caseload data'!$C:$C,'community %'!$T$99,'caseload data'!$D:$D,"PO",'caseload data'!$B:$B,{"licence","community"}))/SUM(SUMIFS('caseload data'!N:N,'caseload data'!$B:$B,{"licence","community"},'caseload data'!$C:$C,'community %'!$T$99)),"")</f>
        <v/>
      </c>
      <c r="AE101" s="181" t="str" cm="1">
        <f t="array" ref="AE101">IFERROR(SUM(SUMIFS('caseload data'!O:O,'caseload data'!$C:$C,'community %'!$T$99,'caseload data'!$D:$D,"PO",'caseload data'!$B:$B,{"licence","community"}))/SUM(SUMIFS('caseload data'!O:O,'caseload data'!$B:$B,{"licence","community"},'caseload data'!$C:$C,'community %'!$T$99)),"")</f>
        <v/>
      </c>
      <c r="AF101" s="181" t="str" cm="1">
        <f t="array" ref="AF101">IFERROR(SUM(SUMIFS('caseload data'!P:P,'caseload data'!$C:$C,'community %'!$T$99,'caseload data'!$D:$D,"PO",'caseload data'!$B:$B,{"licence","community"}))/SUM(SUMIFS('caseload data'!P:P,'caseload data'!$B:$B,{"licence","community"},'caseload data'!$C:$C,'community %'!$T$99)),"")</f>
        <v/>
      </c>
      <c r="AG101" s="181" t="str" cm="1">
        <f t="array" ref="AG101">IFERROR(SUM(SUMIFS('caseload data'!Q:Q,'caseload data'!$C:$C,'community %'!$T$99,'caseload data'!$D:$D,"PO",'caseload data'!$B:$B,{"licence","community"}))/SUM(SUMIFS('caseload data'!Q:Q,'caseload data'!$B:$B,{"licence","community"},'caseload data'!$C:$C,'community %'!$T$99)),"")</f>
        <v/>
      </c>
      <c r="AH101" s="181" t="str" cm="1">
        <f t="array" ref="AH101">IFERROR(SUM(SUMIFS('caseload data'!R:R,'caseload data'!$C:$C,'community %'!$T$99,'caseload data'!$D:$D,"PO",'caseload data'!$B:$B,{"licence","community"}))/SUM(SUMIFS('caseload data'!R:R,'caseload data'!$B:$B,{"licence","community"},'caseload data'!$C:$C,'community %'!$T$99)),"")</f>
        <v/>
      </c>
      <c r="AI101" s="181" t="str" cm="1">
        <f t="array" ref="AI101">IFERROR(SUM(SUMIFS('caseload data'!S:S,'caseload data'!$C:$C,'community %'!$T$99,'caseload data'!$D:$D,"PO",'caseload data'!$B:$B,{"licence","community"}))/SUM(SUMIFS('caseload data'!S:S,'caseload data'!$B:$B,{"licence","community"},'caseload data'!$C:$C,'community %'!$T$99)),"")</f>
        <v/>
      </c>
      <c r="AJ101" s="181" t="str" cm="1">
        <f t="array" ref="AJ101">IFERROR(SUM(SUMIFS('caseload data'!T:T,'caseload data'!$C:$C,'community %'!$T$99,'caseload data'!$D:$D,"PO",'caseload data'!$B:$B,{"licence","community"}))/SUM(SUMIFS('caseload data'!T:T,'caseload data'!$B:$B,{"licence","community"},'caseload data'!$C:$C,'community %'!$T$99)),"")</f>
        <v/>
      </c>
    </row>
    <row r="102" spans="2:36" x14ac:dyDescent="0.15">
      <c r="B102" s="107" t="s">
        <v>912</v>
      </c>
      <c r="C102" s="181" t="str" cm="1">
        <f t="array" ref="C102">IFERROR(SUM(SUMIFS('caseload data'!E:E,'caseload data'!$C:$C,'community %'!$B$99,'caseload data'!$D:$D,"PSO",'caseload data'!$B:$B,{"licence","community"}))/SUM(SUMIFS('caseload data'!E:E,'caseload data'!$B:$B,{"licence","community"},'caseload data'!$C:$C,'community %'!$B$99)),"")</f>
        <v/>
      </c>
      <c r="D102" s="181" t="str" cm="1">
        <f t="array" ref="D102">IFERROR(SUM(SUMIFS('caseload data'!F:F,'caseload data'!$C:$C,'community %'!$B$99,'caseload data'!$D:$D,"PSO",'caseload data'!$B:$B,{"licence","community"}))/SUM(SUMIFS('caseload data'!F:F,'caseload data'!$B:$B,{"licence","community"},'caseload data'!$C:$C,'community %'!$B$99)),"")</f>
        <v/>
      </c>
      <c r="E102" s="181" t="str" cm="1">
        <f t="array" ref="E102">IFERROR(SUM(SUMIFS('caseload data'!G:G,'caseload data'!$C:$C,'community %'!$B$99,'caseload data'!$D:$D,"PSO",'caseload data'!$B:$B,{"licence","community"}))/SUM(SUMIFS('caseload data'!G:G,'caseload data'!$B:$B,{"licence","community"},'caseload data'!$C:$C,'community %'!$B$99)),"")</f>
        <v/>
      </c>
      <c r="F102" s="181" t="str" cm="1">
        <f t="array" ref="F102">IFERROR(SUM(SUMIFS('caseload data'!H:H,'caseload data'!$C:$C,'community %'!$B$99,'caseload data'!$D:$D,"PSO",'caseload data'!$B:$B,{"licence","community"}))/SUM(SUMIFS('caseload data'!H:H,'caseload data'!$B:$B,{"licence","community"},'caseload data'!$C:$C,'community %'!$B$99)),"")</f>
        <v/>
      </c>
      <c r="G102" s="181" t="str" cm="1">
        <f t="array" ref="G102">IFERROR(SUM(SUMIFS('caseload data'!I:I,'caseload data'!$C:$C,'community %'!$B$99,'caseload data'!$D:$D,"PSO",'caseload data'!$B:$B,{"licence","community"}))/SUM(SUMIFS('caseload data'!I:I,'caseload data'!$B:$B,{"licence","community"},'caseload data'!$C:$C,'community %'!$B$99)),"")</f>
        <v/>
      </c>
      <c r="H102" s="181" t="str" cm="1">
        <f t="array" ref="H102">IFERROR(SUM(SUMIFS('caseload data'!J:J,'caseload data'!$C:$C,'community %'!$B$99,'caseload data'!$D:$D,"PSO",'caseload data'!$B:$B,{"licence","community"}))/SUM(SUMIFS('caseload data'!J:J,'caseload data'!$B:$B,{"licence","community"},'caseload data'!$C:$C,'community %'!$B$99)),"")</f>
        <v/>
      </c>
      <c r="I102" s="181" t="str" cm="1">
        <f t="array" ref="I102">IFERROR(SUM(SUMIFS('caseload data'!K:K,'caseload data'!$C:$C,'community %'!$B$99,'caseload data'!$D:$D,"PSO",'caseload data'!$B:$B,{"licence","community"}))/SUM(SUMIFS('caseload data'!K:K,'caseload data'!$B:$B,{"licence","community"},'caseload data'!$C:$C,'community %'!$B$99)),"")</f>
        <v/>
      </c>
      <c r="J102" s="181" t="str" cm="1">
        <f t="array" ref="J102">IFERROR(SUM(SUMIFS('caseload data'!L:L,'caseload data'!$C:$C,'community %'!$B$99,'caseload data'!$D:$D,"PSO",'caseload data'!$B:$B,{"licence","community"}))/SUM(SUMIFS('caseload data'!L:L,'caseload data'!$B:$B,{"licence","community"},'caseload data'!$C:$C,'community %'!$B$99)),"")</f>
        <v/>
      </c>
      <c r="K102" s="181" t="str" cm="1">
        <f t="array" ref="K102">IFERROR(SUM(SUMIFS('caseload data'!M:M,'caseload data'!$C:$C,'community %'!$B$99,'caseload data'!$D:$D,"PSO",'caseload data'!$B:$B,{"licence","community"}))/SUM(SUMIFS('caseload data'!M:M,'caseload data'!$B:$B,{"licence","community"},'caseload data'!$C:$C,'community %'!$B$99)),"")</f>
        <v/>
      </c>
      <c r="L102" s="181" t="str" cm="1">
        <f t="array" ref="L102">IFERROR(SUM(SUMIFS('caseload data'!N:N,'caseload data'!$C:$C,'community %'!$B$99,'caseload data'!$D:$D,"PSO",'caseload data'!$B:$B,{"licence","community"}))/SUM(SUMIFS('caseload data'!N:N,'caseload data'!$B:$B,{"licence","community"},'caseload data'!$C:$C,'community %'!$B$99)),"")</f>
        <v/>
      </c>
      <c r="M102" s="181" t="str" cm="1">
        <f t="array" ref="M102">IFERROR(SUM(SUMIFS('caseload data'!O:O,'caseload data'!$C:$C,'community %'!$B$99,'caseload data'!$D:$D,"PSO",'caseload data'!$B:$B,{"licence","community"}))/SUM(SUMIFS('caseload data'!O:O,'caseload data'!$B:$B,{"licence","community"},'caseload data'!$C:$C,'community %'!$B$99)),"")</f>
        <v/>
      </c>
      <c r="N102" s="181" t="str" cm="1">
        <f t="array" ref="N102">IFERROR(SUM(SUMIFS('caseload data'!P:P,'caseload data'!$C:$C,'community %'!$B$99,'caseload data'!$D:$D,"PSO",'caseload data'!$B:$B,{"licence","community"}))/SUM(SUMIFS('caseload data'!P:P,'caseload data'!$B:$B,{"licence","community"},'caseload data'!$C:$C,'community %'!$B$99)),"")</f>
        <v/>
      </c>
      <c r="O102" s="181" t="str" cm="1">
        <f t="array" ref="O102">IFERROR(SUM(SUMIFS('caseload data'!Q:Q,'caseload data'!$C:$C,'community %'!$B$99,'caseload data'!$D:$D,"PSO",'caseload data'!$B:$B,{"licence","community"}))/SUM(SUMIFS('caseload data'!Q:Q,'caseload data'!$B:$B,{"licence","community"},'caseload data'!$C:$C,'community %'!$B$99)),"")</f>
        <v/>
      </c>
      <c r="P102" s="181" t="str" cm="1">
        <f t="array" ref="P102">IFERROR(SUM(SUMIFS('caseload data'!R:R,'caseload data'!$C:$C,'community %'!$B$99,'caseload data'!$D:$D,"PSO",'caseload data'!$B:$B,{"licence","community"}))/SUM(SUMIFS('caseload data'!R:R,'caseload data'!$B:$B,{"licence","community"},'caseload data'!$C:$C,'community %'!$B$99)),"")</f>
        <v/>
      </c>
      <c r="Q102" s="181" t="str" cm="1">
        <f t="array" ref="Q102">IFERROR(SUM(SUMIFS('caseload data'!S:S,'caseload data'!$C:$C,'community %'!$B$99,'caseload data'!$D:$D,"PSO",'caseload data'!$B:$B,{"licence","community"}))/SUM(SUMIFS('caseload data'!S:S,'caseload data'!$B:$B,{"licence","community"},'caseload data'!$C:$C,'community %'!$B$99)),"")</f>
        <v/>
      </c>
      <c r="R102" s="181" t="str" cm="1">
        <f t="array" ref="R102">IFERROR(SUM(SUMIFS('caseload data'!T:T,'caseload data'!$C:$C,'community %'!$B$99,'caseload data'!$D:$D,"PSO",'caseload data'!$B:$B,{"licence","community"}))/SUM(SUMIFS('caseload data'!T:T,'caseload data'!$B:$B,{"licence","community"},'caseload data'!$C:$C,'community %'!$B$99)),"")</f>
        <v/>
      </c>
      <c r="T102" s="107" t="s">
        <v>912</v>
      </c>
      <c r="U102" s="181" t="str" cm="1">
        <f t="array" ref="U102">IFERROR(SUM(SUMIFS('caseload data'!E:E,'caseload data'!$C:$C,'community %'!$T$99,'caseload data'!$D:$D,"PSO",'caseload data'!$B:$B,{"licence","community"}))/SUM(SUMIFS('caseload data'!E:E,'caseload data'!$B:$B,{"licence","community"},'caseload data'!$C:$C,'community %'!$T$99)),"")</f>
        <v/>
      </c>
      <c r="V102" s="181" t="str" cm="1">
        <f t="array" ref="V102">IFERROR(SUM(SUMIFS('caseload data'!F:F,'caseload data'!$C:$C,'community %'!$T$99,'caseload data'!$D:$D,"PSO",'caseload data'!$B:$B,{"licence","community"}))/SUM(SUMIFS('caseload data'!F:F,'caseload data'!$B:$B,{"licence","community"},'caseload data'!$C:$C,'community %'!$T$99)),"")</f>
        <v/>
      </c>
      <c r="W102" s="181" t="str" cm="1">
        <f t="array" ref="W102">IFERROR(SUM(SUMIFS('caseload data'!G:G,'caseload data'!$C:$C,'community %'!$T$99,'caseload data'!$D:$D,"PSO",'caseload data'!$B:$B,{"licence","community"}))/SUM(SUMIFS('caseload data'!G:G,'caseload data'!$B:$B,{"licence","community"},'caseload data'!$C:$C,'community %'!$T$99)),"")</f>
        <v/>
      </c>
      <c r="X102" s="181" t="str" cm="1">
        <f t="array" ref="X102">IFERROR(SUM(SUMIFS('caseload data'!H:H,'caseload data'!$C:$C,'community %'!$T$99,'caseload data'!$D:$D,"PSO",'caseload data'!$B:$B,{"licence","community"}))/SUM(SUMIFS('caseload data'!H:H,'caseload data'!$B:$B,{"licence","community"},'caseload data'!$C:$C,'community %'!$T$99)),"")</f>
        <v/>
      </c>
      <c r="Y102" s="181" t="str" cm="1">
        <f t="array" ref="Y102">IFERROR(SUM(SUMIFS('caseload data'!I:I,'caseload data'!$C:$C,'community %'!$T$99,'caseload data'!$D:$D,"PSO",'caseload data'!$B:$B,{"licence","community"}))/SUM(SUMIFS('caseload data'!I:I,'caseload data'!$B:$B,{"licence","community"},'caseload data'!$C:$C,'community %'!$T$99)),"")</f>
        <v/>
      </c>
      <c r="Z102" s="181" t="str" cm="1">
        <f t="array" ref="Z102">IFERROR(SUM(SUMIFS('caseload data'!J:J,'caseload data'!$C:$C,'community %'!$T$99,'caseload data'!$D:$D,"PSO",'caseload data'!$B:$B,{"licence","community"}))/SUM(SUMIFS('caseload data'!J:J,'caseload data'!$B:$B,{"licence","community"},'caseload data'!$C:$C,'community %'!$T$99)),"")</f>
        <v/>
      </c>
      <c r="AA102" s="181" t="str" cm="1">
        <f t="array" ref="AA102">IFERROR(SUM(SUMIFS('caseload data'!K:K,'caseload data'!$C:$C,'community %'!$T$99,'caseload data'!$D:$D,"PSO",'caseload data'!$B:$B,{"licence","community"}))/SUM(SUMIFS('caseload data'!K:K,'caseload data'!$B:$B,{"licence","community"},'caseload data'!$C:$C,'community %'!$T$99)),"")</f>
        <v/>
      </c>
      <c r="AB102" s="181" t="str" cm="1">
        <f t="array" ref="AB102">IFERROR(SUM(SUMIFS('caseload data'!L:L,'caseload data'!$C:$C,'community %'!$T$99,'caseload data'!$D:$D,"PSO",'caseload data'!$B:$B,{"licence","community"}))/SUM(SUMIFS('caseload data'!L:L,'caseload data'!$B:$B,{"licence","community"},'caseload data'!$C:$C,'community %'!$T$99)),"")</f>
        <v/>
      </c>
      <c r="AC102" s="181" t="str" cm="1">
        <f t="array" ref="AC102">IFERROR(SUM(SUMIFS('caseload data'!M:M,'caseload data'!$C:$C,'community %'!$T$99,'caseload data'!$D:$D,"PSO",'caseload data'!$B:$B,{"licence","community"}))/SUM(SUMIFS('caseload data'!M:M,'caseload data'!$B:$B,{"licence","community"},'caseload data'!$C:$C,'community %'!$T$99)),"")</f>
        <v/>
      </c>
      <c r="AD102" s="181" t="str" cm="1">
        <f t="array" ref="AD102">IFERROR(SUM(SUMIFS('caseload data'!N:N,'caseload data'!$C:$C,'community %'!$T$99,'caseload data'!$D:$D,"PSO",'caseload data'!$B:$B,{"licence","community"}))/SUM(SUMIFS('caseload data'!N:N,'caseload data'!$B:$B,{"licence","community"},'caseload data'!$C:$C,'community %'!$T$99)),"")</f>
        <v/>
      </c>
      <c r="AE102" s="181" t="str" cm="1">
        <f t="array" ref="AE102">IFERROR(SUM(SUMIFS('caseload data'!O:O,'caseload data'!$C:$C,'community %'!$T$99,'caseload data'!$D:$D,"PSO",'caseload data'!$B:$B,{"licence","community"}))/SUM(SUMIFS('caseload data'!O:O,'caseload data'!$B:$B,{"licence","community"},'caseload data'!$C:$C,'community %'!$T$99)),"")</f>
        <v/>
      </c>
      <c r="AF102" s="181" t="str" cm="1">
        <f t="array" ref="AF102">IFERROR(SUM(SUMIFS('caseload data'!P:P,'caseload data'!$C:$C,'community %'!$T$99,'caseload data'!$D:$D,"PSO",'caseload data'!$B:$B,{"licence","community"}))/SUM(SUMIFS('caseload data'!P:P,'caseload data'!$B:$B,{"licence","community"},'caseload data'!$C:$C,'community %'!$T$99)),"")</f>
        <v/>
      </c>
      <c r="AG102" s="181" t="str" cm="1">
        <f t="array" ref="AG102">IFERROR(SUM(SUMIFS('caseload data'!Q:Q,'caseload data'!$C:$C,'community %'!$T$99,'caseload data'!$D:$D,"PSO",'caseload data'!$B:$B,{"licence","community"}))/SUM(SUMIFS('caseload data'!Q:Q,'caseload data'!$B:$B,{"licence","community"},'caseload data'!$C:$C,'community %'!$T$99)),"")</f>
        <v/>
      </c>
      <c r="AH102" s="181" t="str" cm="1">
        <f t="array" ref="AH102">IFERROR(SUM(SUMIFS('caseload data'!R:R,'caseload data'!$C:$C,'community %'!$T$99,'caseload data'!$D:$D,"PSO",'caseload data'!$B:$B,{"licence","community"}))/SUM(SUMIFS('caseload data'!R:R,'caseload data'!$B:$B,{"licence","community"},'caseload data'!$C:$C,'community %'!$T$99)),"")</f>
        <v/>
      </c>
      <c r="AI102" s="181" t="str" cm="1">
        <f t="array" ref="AI102">IFERROR(SUM(SUMIFS('caseload data'!S:S,'caseload data'!$C:$C,'community %'!$T$99,'caseload data'!$D:$D,"PSO",'caseload data'!$B:$B,{"licence","community"}))/SUM(SUMIFS('caseload data'!S:S,'caseload data'!$B:$B,{"licence","community"},'caseload data'!$C:$C,'community %'!$T$99)),"")</f>
        <v/>
      </c>
      <c r="AJ102" s="181" t="str" cm="1">
        <f t="array" ref="AJ102">IFERROR(SUM(SUMIFS('caseload data'!T:T,'caseload data'!$C:$C,'community %'!$T$99,'caseload data'!$D:$D,"PSO",'caseload data'!$B:$B,{"licence","community"}))/SUM(SUMIFS('caseload data'!T:T,'caseload data'!$B:$B,{"licence","community"},'caseload data'!$C:$C,'community %'!$T$99)),"")</f>
        <v/>
      </c>
    </row>
    <row r="103" spans="2:36" x14ac:dyDescent="0.15">
      <c r="B103" s="107" t="s">
        <v>913</v>
      </c>
      <c r="C103" s="181" t="str" cm="1">
        <f t="array" ref="C103">IFERROR(SUM(SUMIFS('caseload data'!E:E,'caseload data'!$C:$C,'community %'!$B$99,'caseload data'!$D:$D,"TPO",'caseload data'!$B:$B,{"licence","community"}))/SUM(SUMIFS('caseload data'!E:E,'caseload data'!$B:$B,{"licence","community"},'caseload data'!$C:$C,'community %'!$B$99)),"")</f>
        <v/>
      </c>
      <c r="D103" s="181" t="str" cm="1">
        <f t="array" ref="D103">IFERROR(SUM(SUMIFS('caseload data'!F:F,'caseload data'!$C:$C,'community %'!$B$99,'caseload data'!$D:$D,"TPO",'caseload data'!$B:$B,{"licence","community"}))/SUM(SUMIFS('caseload data'!F:F,'caseload data'!$B:$B,{"licence","community"},'caseload data'!$C:$C,'community %'!$B$99)),"")</f>
        <v/>
      </c>
      <c r="E103" s="181" t="str" cm="1">
        <f t="array" ref="E103">IFERROR(SUM(SUMIFS('caseload data'!G:G,'caseload data'!$C:$C,'community %'!$B$99,'caseload data'!$D:$D,"TPO",'caseload data'!$B:$B,{"licence","community"}))/SUM(SUMIFS('caseload data'!G:G,'caseload data'!$B:$B,{"licence","community"},'caseload data'!$C:$C,'community %'!$B$99)),"")</f>
        <v/>
      </c>
      <c r="F103" s="181" t="str" cm="1">
        <f t="array" ref="F103">IFERROR(SUM(SUMIFS('caseload data'!H:H,'caseload data'!$C:$C,'community %'!$B$99,'caseload data'!$D:$D,"TPO",'caseload data'!$B:$B,{"licence","community"}))/SUM(SUMIFS('caseload data'!H:H,'caseload data'!$B:$B,{"licence","community"},'caseload data'!$C:$C,'community %'!$B$99)),"")</f>
        <v/>
      </c>
      <c r="G103" s="181" t="str" cm="1">
        <f t="array" ref="G103">IFERROR(SUM(SUMIFS('caseload data'!I:I,'caseload data'!$C:$C,'community %'!$B$99,'caseload data'!$D:$D,"TPO",'caseload data'!$B:$B,{"licence","community"}))/SUM(SUMIFS('caseload data'!I:I,'caseload data'!$B:$B,{"licence","community"},'caseload data'!$C:$C,'community %'!$B$99)),"")</f>
        <v/>
      </c>
      <c r="H103" s="181" t="str" cm="1">
        <f t="array" ref="H103">IFERROR(SUM(SUMIFS('caseload data'!J:J,'caseload data'!$C:$C,'community %'!$B$99,'caseload data'!$D:$D,"TPO",'caseload data'!$B:$B,{"licence","community"}))/SUM(SUMIFS('caseload data'!J:J,'caseload data'!$B:$B,{"licence","community"},'caseload data'!$C:$C,'community %'!$B$99)),"")</f>
        <v/>
      </c>
      <c r="I103" s="181" t="str" cm="1">
        <f t="array" ref="I103">IFERROR(SUM(SUMIFS('caseload data'!K:K,'caseload data'!$C:$C,'community %'!$B$99,'caseload data'!$D:$D,"TPO",'caseload data'!$B:$B,{"licence","community"}))/SUM(SUMIFS('caseload data'!K:K,'caseload data'!$B:$B,{"licence","community"},'caseload data'!$C:$C,'community %'!$B$99)),"")</f>
        <v/>
      </c>
      <c r="J103" s="181" t="str" cm="1">
        <f t="array" ref="J103">IFERROR(SUM(SUMIFS('caseload data'!L:L,'caseload data'!$C:$C,'community %'!$B$99,'caseload data'!$D:$D,"TPO",'caseload data'!$B:$B,{"licence","community"}))/SUM(SUMIFS('caseload data'!L:L,'caseload data'!$B:$B,{"licence","community"},'caseload data'!$C:$C,'community %'!$B$99)),"")</f>
        <v/>
      </c>
      <c r="K103" s="181" t="str" cm="1">
        <f t="array" ref="K103">IFERROR(SUM(SUMIFS('caseload data'!M:M,'caseload data'!$C:$C,'community %'!$B$99,'caseload data'!$D:$D,"TPO",'caseload data'!$B:$B,{"licence","community"}))/SUM(SUMIFS('caseload data'!M:M,'caseload data'!$B:$B,{"licence","community"},'caseload data'!$C:$C,'community %'!$B$99)),"")</f>
        <v/>
      </c>
      <c r="L103" s="181" t="str" cm="1">
        <f t="array" ref="L103">IFERROR(SUM(SUMIFS('caseload data'!N:N,'caseload data'!$C:$C,'community %'!$B$99,'caseload data'!$D:$D,"TPO",'caseload data'!$B:$B,{"licence","community"}))/SUM(SUMIFS('caseload data'!N:N,'caseload data'!$B:$B,{"licence","community"},'caseload data'!$C:$C,'community %'!$B$99)),"")</f>
        <v/>
      </c>
      <c r="M103" s="181" t="str" cm="1">
        <f t="array" ref="M103">IFERROR(SUM(SUMIFS('caseload data'!O:O,'caseload data'!$C:$C,'community %'!$B$99,'caseload data'!$D:$D,"TPO",'caseload data'!$B:$B,{"licence","community"}))/SUM(SUMIFS('caseload data'!O:O,'caseload data'!$B:$B,{"licence","community"},'caseload data'!$C:$C,'community %'!$B$99)),"")</f>
        <v/>
      </c>
      <c r="N103" s="181" t="str" cm="1">
        <f t="array" ref="N103">IFERROR(SUM(SUMIFS('caseload data'!P:P,'caseload data'!$C:$C,'community %'!$B$99,'caseload data'!$D:$D,"TPO",'caseload data'!$B:$B,{"licence","community"}))/SUM(SUMIFS('caseload data'!P:P,'caseload data'!$B:$B,{"licence","community"},'caseload data'!$C:$C,'community %'!$B$99)),"")</f>
        <v/>
      </c>
      <c r="O103" s="181" t="str" cm="1">
        <f t="array" ref="O103">IFERROR(SUM(SUMIFS('caseload data'!Q:Q,'caseload data'!$C:$C,'community %'!$B$99,'caseload data'!$D:$D,"TPO",'caseload data'!$B:$B,{"licence","community"}))/SUM(SUMIFS('caseload data'!Q:Q,'caseload data'!$B:$B,{"licence","community"},'caseload data'!$C:$C,'community %'!$B$99)),"")</f>
        <v/>
      </c>
      <c r="P103" s="181" t="str" cm="1">
        <f t="array" ref="P103">IFERROR(SUM(SUMIFS('caseload data'!R:R,'caseload data'!$C:$C,'community %'!$B$99,'caseload data'!$D:$D,"TPO",'caseload data'!$B:$B,{"licence","community"}))/SUM(SUMIFS('caseload data'!R:R,'caseload data'!$B:$B,{"licence","community"},'caseload data'!$C:$C,'community %'!$B$99)),"")</f>
        <v/>
      </c>
      <c r="Q103" s="181" t="str" cm="1">
        <f t="array" ref="Q103">IFERROR(SUM(SUMIFS('caseload data'!S:S,'caseload data'!$C:$C,'community %'!$B$99,'caseload data'!$D:$D,"TPO",'caseload data'!$B:$B,{"licence","community"}))/SUM(SUMIFS('caseload data'!S:S,'caseload data'!$B:$B,{"licence","community"},'caseload data'!$C:$C,'community %'!$B$99)),"")</f>
        <v/>
      </c>
      <c r="R103" s="181" t="str" cm="1">
        <f t="array" ref="R103">IFERROR(SUM(SUMIFS('caseload data'!T:T,'caseload data'!$C:$C,'community %'!$B$99,'caseload data'!$D:$D,"TPO",'caseload data'!$B:$B,{"licence","community"}))/SUM(SUMIFS('caseload data'!T:T,'caseload data'!$B:$B,{"licence","community"},'caseload data'!$C:$C,'community %'!$B$99)),"")</f>
        <v/>
      </c>
      <c r="T103" s="107" t="s">
        <v>913</v>
      </c>
      <c r="U103" s="181" t="str" cm="1">
        <f t="array" ref="U103">IFERROR(SUM(SUMIFS('caseload data'!E:E,'caseload data'!$C:$C,'community %'!$T$99,'caseload data'!$D:$D,"TPO",'caseload data'!$B:$B,{"licence","community"}))/SUM(SUMIFS('caseload data'!E:E,'caseload data'!$B:$B,{"licence","community"},'caseload data'!$C:$C,'community %'!$T$99)),"")</f>
        <v/>
      </c>
      <c r="V103" s="181" t="str" cm="1">
        <f t="array" ref="V103">IFERROR(SUM(SUMIFS('caseload data'!F:F,'caseload data'!$C:$C,'community %'!$T$99,'caseload data'!$D:$D,"TPO",'caseload data'!$B:$B,{"licence","community"}))/SUM(SUMIFS('caseload data'!F:F,'caseload data'!$B:$B,{"licence","community"},'caseload data'!$C:$C,'community %'!$T$99)),"")</f>
        <v/>
      </c>
      <c r="W103" s="181" t="str" cm="1">
        <f t="array" ref="W103">IFERROR(SUM(SUMIFS('caseload data'!G:G,'caseload data'!$C:$C,'community %'!$T$99,'caseload data'!$D:$D,"TPO",'caseload data'!$B:$B,{"licence","community"}))/SUM(SUMIFS('caseload data'!G:G,'caseload data'!$B:$B,{"licence","community"},'caseload data'!$C:$C,'community %'!$T$99)),"")</f>
        <v/>
      </c>
      <c r="X103" s="181" t="str" cm="1">
        <f t="array" ref="X103">IFERROR(SUM(SUMIFS('caseload data'!H:H,'caseload data'!$C:$C,'community %'!$T$99,'caseload data'!$D:$D,"TPO",'caseload data'!$B:$B,{"licence","community"}))/SUM(SUMIFS('caseload data'!H:H,'caseload data'!$B:$B,{"licence","community"},'caseload data'!$C:$C,'community %'!$T$99)),"")</f>
        <v/>
      </c>
      <c r="Y103" s="181" t="str" cm="1">
        <f t="array" ref="Y103">IFERROR(SUM(SUMIFS('caseload data'!I:I,'caseload data'!$C:$C,'community %'!$T$99,'caseload data'!$D:$D,"TPO",'caseload data'!$B:$B,{"licence","community"}))/SUM(SUMIFS('caseload data'!I:I,'caseload data'!$B:$B,{"licence","community"},'caseload data'!$C:$C,'community %'!$T$99)),"")</f>
        <v/>
      </c>
      <c r="Z103" s="181" t="str" cm="1">
        <f t="array" ref="Z103">IFERROR(SUM(SUMIFS('caseload data'!J:J,'caseload data'!$C:$C,'community %'!$T$99,'caseload data'!$D:$D,"TPO",'caseload data'!$B:$B,{"licence","community"}))/SUM(SUMIFS('caseload data'!J:J,'caseload data'!$B:$B,{"licence","community"},'caseload data'!$C:$C,'community %'!$T$99)),"")</f>
        <v/>
      </c>
      <c r="AA103" s="181" t="str" cm="1">
        <f t="array" ref="AA103">IFERROR(SUM(SUMIFS('caseload data'!K:K,'caseload data'!$C:$C,'community %'!$T$99,'caseload data'!$D:$D,"TPO",'caseload data'!$B:$B,{"licence","community"}))/SUM(SUMIFS('caseload data'!K:K,'caseload data'!$B:$B,{"licence","community"},'caseload data'!$C:$C,'community %'!$T$99)),"")</f>
        <v/>
      </c>
      <c r="AB103" s="181" t="str" cm="1">
        <f t="array" ref="AB103">IFERROR(SUM(SUMIFS('caseload data'!L:L,'caseload data'!$C:$C,'community %'!$T$99,'caseload data'!$D:$D,"TPO",'caseload data'!$B:$B,{"licence","community"}))/SUM(SUMIFS('caseload data'!L:L,'caseload data'!$B:$B,{"licence","community"},'caseload data'!$C:$C,'community %'!$T$99)),"")</f>
        <v/>
      </c>
      <c r="AC103" s="181" t="str" cm="1">
        <f t="array" ref="AC103">IFERROR(SUM(SUMIFS('caseload data'!M:M,'caseload data'!$C:$C,'community %'!$T$99,'caseload data'!$D:$D,"TPO",'caseload data'!$B:$B,{"licence","community"}))/SUM(SUMIFS('caseload data'!M:M,'caseload data'!$B:$B,{"licence","community"},'caseload data'!$C:$C,'community %'!$T$99)),"")</f>
        <v/>
      </c>
      <c r="AD103" s="181" t="str" cm="1">
        <f t="array" ref="AD103">IFERROR(SUM(SUMIFS('caseload data'!N:N,'caseload data'!$C:$C,'community %'!$T$99,'caseload data'!$D:$D,"TPO",'caseload data'!$B:$B,{"licence","community"}))/SUM(SUMIFS('caseload data'!N:N,'caseload data'!$B:$B,{"licence","community"},'caseload data'!$C:$C,'community %'!$T$99)),"")</f>
        <v/>
      </c>
      <c r="AE103" s="181" t="str" cm="1">
        <f t="array" ref="AE103">IFERROR(SUM(SUMIFS('caseload data'!O:O,'caseload data'!$C:$C,'community %'!$T$99,'caseload data'!$D:$D,"TPO",'caseload data'!$B:$B,{"licence","community"}))/SUM(SUMIFS('caseload data'!O:O,'caseload data'!$B:$B,{"licence","community"},'caseload data'!$C:$C,'community %'!$T$99)),"")</f>
        <v/>
      </c>
      <c r="AF103" s="181" t="str" cm="1">
        <f t="array" ref="AF103">IFERROR(SUM(SUMIFS('caseload data'!P:P,'caseload data'!$C:$C,'community %'!$T$99,'caseload data'!$D:$D,"TPO",'caseload data'!$B:$B,{"licence","community"}))/SUM(SUMIFS('caseload data'!P:P,'caseload data'!$B:$B,{"licence","community"},'caseload data'!$C:$C,'community %'!$T$99)),"")</f>
        <v/>
      </c>
      <c r="AG103" s="181" t="str" cm="1">
        <f t="array" ref="AG103">IFERROR(SUM(SUMIFS('caseload data'!Q:Q,'caseload data'!$C:$C,'community %'!$T$99,'caseload data'!$D:$D,"TPO",'caseload data'!$B:$B,{"licence","community"}))/SUM(SUMIFS('caseload data'!Q:Q,'caseload data'!$B:$B,{"licence","community"},'caseload data'!$C:$C,'community %'!$T$99)),"")</f>
        <v/>
      </c>
      <c r="AH103" s="181" t="str" cm="1">
        <f t="array" ref="AH103">IFERROR(SUM(SUMIFS('caseload data'!R:R,'caseload data'!$C:$C,'community %'!$T$99,'caseload data'!$D:$D,"TPO",'caseload data'!$B:$B,{"licence","community"}))/SUM(SUMIFS('caseload data'!R:R,'caseload data'!$B:$B,{"licence","community"},'caseload data'!$C:$C,'community %'!$T$99)),"")</f>
        <v/>
      </c>
      <c r="AI103" s="181" t="str" cm="1">
        <f t="array" ref="AI103">IFERROR(SUM(SUMIFS('caseload data'!S:S,'caseload data'!$C:$C,'community %'!$T$99,'caseload data'!$D:$D,"TPO",'caseload data'!$B:$B,{"licence","community"}))/SUM(SUMIFS('caseload data'!S:S,'caseload data'!$B:$B,{"licence","community"},'caseload data'!$C:$C,'community %'!$T$99)),"")</f>
        <v/>
      </c>
      <c r="AJ103" s="181" t="str" cm="1">
        <f t="array" ref="AJ103">IFERROR(SUM(SUMIFS('caseload data'!T:T,'caseload data'!$C:$C,'community %'!$T$99,'caseload data'!$D:$D,"TPO",'caseload data'!$B:$B,{"licence","community"}))/SUM(SUMIFS('caseload data'!T:T,'caseload data'!$B:$B,{"licence","community"},'caseload data'!$C:$C,'community %'!$T$99)),"")</f>
        <v/>
      </c>
    </row>
    <row r="104" spans="2:36" x14ac:dyDescent="0.15">
      <c r="B104" s="108" t="s">
        <v>914</v>
      </c>
      <c r="C104" s="181" t="str" cm="1">
        <f t="array" ref="C104">IFERROR(SUM(SUMIFS('caseload data'!E:E,'caseload data'!$C:$C,'community %'!$B$99,'caseload data'!$D:$D,"SPO",'caseload data'!$B:$B,{"licence","community"}))/SUM(SUMIFS('caseload data'!E:E,'caseload data'!$B:$B,{"licence","community"},'caseload data'!$C:$C,'community %'!$B$99)),"")</f>
        <v/>
      </c>
      <c r="D104" s="181" t="str" cm="1">
        <f t="array" ref="D104">IFERROR(SUM(SUMIFS('caseload data'!F:F,'caseload data'!$C:$C,'community %'!$B$99,'caseload data'!$D:$D,"SPO",'caseload data'!$B:$B,{"licence","community"}))/SUM(SUMIFS('caseload data'!F:F,'caseload data'!$B:$B,{"licence","community"},'caseload data'!$C:$C,'community %'!$B$99)),"")</f>
        <v/>
      </c>
      <c r="E104" s="181" t="str" cm="1">
        <f t="array" ref="E104">IFERROR(SUM(SUMIFS('caseload data'!G:G,'caseload data'!$C:$C,'community %'!$B$99,'caseload data'!$D:$D,"SPO",'caseload data'!$B:$B,{"licence","community"}))/SUM(SUMIFS('caseload data'!G:G,'caseload data'!$B:$B,{"licence","community"},'caseload data'!$C:$C,'community %'!$B$99)),"")</f>
        <v/>
      </c>
      <c r="F104" s="181" t="str" cm="1">
        <f t="array" ref="F104">IFERROR(SUM(SUMIFS('caseload data'!H:H,'caseload data'!$C:$C,'community %'!$B$99,'caseload data'!$D:$D,"SPO",'caseload data'!$B:$B,{"licence","community"}))/SUM(SUMIFS('caseload data'!H:H,'caseload data'!$B:$B,{"licence","community"},'caseload data'!$C:$C,'community %'!$B$99)),"")</f>
        <v/>
      </c>
      <c r="G104" s="181" t="str" cm="1">
        <f t="array" ref="G104">IFERROR(SUM(SUMIFS('caseload data'!I:I,'caseload data'!$C:$C,'community %'!$B$99,'caseload data'!$D:$D,"SPO",'caseload data'!$B:$B,{"licence","community"}))/SUM(SUMIFS('caseload data'!I:I,'caseload data'!$B:$B,{"licence","community"},'caseload data'!$C:$C,'community %'!$B$99)),"")</f>
        <v/>
      </c>
      <c r="H104" s="181" t="str" cm="1">
        <f t="array" ref="H104">IFERROR(SUM(SUMIFS('caseload data'!J:J,'caseload data'!$C:$C,'community %'!$B$99,'caseload data'!$D:$D,"SPO",'caseload data'!$B:$B,{"licence","community"}))/SUM(SUMIFS('caseload data'!J:J,'caseload data'!$B:$B,{"licence","community"},'caseload data'!$C:$C,'community %'!$B$99)),"")</f>
        <v/>
      </c>
      <c r="I104" s="181" t="str" cm="1">
        <f t="array" ref="I104">IFERROR(SUM(SUMIFS('caseload data'!K:K,'caseload data'!$C:$C,'community %'!$B$99,'caseload data'!$D:$D,"SPO",'caseload data'!$B:$B,{"licence","community"}))/SUM(SUMIFS('caseload data'!K:K,'caseload data'!$B:$B,{"licence","community"},'caseload data'!$C:$C,'community %'!$B$99)),"")</f>
        <v/>
      </c>
      <c r="J104" s="181" t="str" cm="1">
        <f t="array" ref="J104">IFERROR(SUM(SUMIFS('caseload data'!L:L,'caseload data'!$C:$C,'community %'!$B$99,'caseload data'!$D:$D,"SPO",'caseload data'!$B:$B,{"licence","community"}))/SUM(SUMIFS('caseload data'!L:L,'caseload data'!$B:$B,{"licence","community"},'caseload data'!$C:$C,'community %'!$B$99)),"")</f>
        <v/>
      </c>
      <c r="K104" s="181" t="str" cm="1">
        <f t="array" ref="K104">IFERROR(SUM(SUMIFS('caseload data'!M:M,'caseload data'!$C:$C,'community %'!$B$99,'caseload data'!$D:$D,"SPO",'caseload data'!$B:$B,{"licence","community"}))/SUM(SUMIFS('caseload data'!M:M,'caseload data'!$B:$B,{"licence","community"},'caseload data'!$C:$C,'community %'!$B$99)),"")</f>
        <v/>
      </c>
      <c r="L104" s="181" t="str" cm="1">
        <f t="array" ref="L104">IFERROR(SUM(SUMIFS('caseload data'!N:N,'caseload data'!$C:$C,'community %'!$B$99,'caseload data'!$D:$D,"SPO",'caseload data'!$B:$B,{"licence","community"}))/SUM(SUMIFS('caseload data'!N:N,'caseload data'!$B:$B,{"licence","community"},'caseload data'!$C:$C,'community %'!$B$99)),"")</f>
        <v/>
      </c>
      <c r="M104" s="181" t="str" cm="1">
        <f t="array" ref="M104">IFERROR(SUM(SUMIFS('caseload data'!O:O,'caseload data'!$C:$C,'community %'!$B$99,'caseload data'!$D:$D,"SPO",'caseload data'!$B:$B,{"licence","community"}))/SUM(SUMIFS('caseload data'!O:O,'caseload data'!$B:$B,{"licence","community"},'caseload data'!$C:$C,'community %'!$B$99)),"")</f>
        <v/>
      </c>
      <c r="N104" s="181" t="str" cm="1">
        <f t="array" ref="N104">IFERROR(SUM(SUMIFS('caseload data'!P:P,'caseload data'!$C:$C,'community %'!$B$99,'caseload data'!$D:$D,"SPO",'caseload data'!$B:$B,{"licence","community"}))/SUM(SUMIFS('caseload data'!P:P,'caseload data'!$B:$B,{"licence","community"},'caseload data'!$C:$C,'community %'!$B$99)),"")</f>
        <v/>
      </c>
      <c r="O104" s="181" t="str" cm="1">
        <f t="array" ref="O104">IFERROR(SUM(SUMIFS('caseload data'!Q:Q,'caseload data'!$C:$C,'community %'!$B$99,'caseload data'!$D:$D,"SPO",'caseload data'!$B:$B,{"licence","community"}))/SUM(SUMIFS('caseload data'!Q:Q,'caseload data'!$B:$B,{"licence","community"},'caseload data'!$C:$C,'community %'!$B$99)),"")</f>
        <v/>
      </c>
      <c r="P104" s="181" t="str" cm="1">
        <f t="array" ref="P104">IFERROR(SUM(SUMIFS('caseload data'!R:R,'caseload data'!$C:$C,'community %'!$B$99,'caseload data'!$D:$D,"SPO",'caseload data'!$B:$B,{"licence","community"}))/SUM(SUMIFS('caseload data'!R:R,'caseload data'!$B:$B,{"licence","community"},'caseload data'!$C:$C,'community %'!$B$99)),"")</f>
        <v/>
      </c>
      <c r="Q104" s="181" t="str" cm="1">
        <f t="array" ref="Q104">IFERROR(SUM(SUMIFS('caseload data'!S:S,'caseload data'!$C:$C,'community %'!$B$99,'caseload data'!$D:$D,"SPO",'caseload data'!$B:$B,{"licence","community"}))/SUM(SUMIFS('caseload data'!S:S,'caseload data'!$B:$B,{"licence","community"},'caseload data'!$C:$C,'community %'!$B$99)),"")</f>
        <v/>
      </c>
      <c r="R104" s="181" t="str" cm="1">
        <f t="array" ref="R104">IFERROR(SUM(SUMIFS('caseload data'!T:T,'caseload data'!$C:$C,'community %'!$B$99,'caseload data'!$D:$D,"SPO",'caseload data'!$B:$B,{"licence","community"}))/SUM(SUMIFS('caseload data'!T:T,'caseload data'!$B:$B,{"licence","community"},'caseload data'!$C:$C,'community %'!$B$99)),"")</f>
        <v/>
      </c>
      <c r="T104" s="108" t="s">
        <v>914</v>
      </c>
      <c r="U104" s="181" t="str" cm="1">
        <f t="array" ref="U104">IFERROR(SUM(SUMIFS('caseload data'!E:E,'caseload data'!$C:$C,'community %'!$T$99,'caseload data'!$D:$D,"SPO",'caseload data'!$B:$B,{"licence","community"}))/SUM(SUMIFS('caseload data'!E:E,'caseload data'!$B:$B,{"licence","community"},'caseload data'!$C:$C,'community %'!$T$99)),"")</f>
        <v/>
      </c>
      <c r="V104" s="181" t="str" cm="1">
        <f t="array" ref="V104">IFERROR(SUM(SUMIFS('caseload data'!F:F,'caseload data'!$C:$C,'community %'!$T$99,'caseload data'!$D:$D,"SPO",'caseload data'!$B:$B,{"licence","community"}))/SUM(SUMIFS('caseload data'!F:F,'caseload data'!$B:$B,{"licence","community"},'caseload data'!$C:$C,'community %'!$T$99)),"")</f>
        <v/>
      </c>
      <c r="W104" s="181" t="str" cm="1">
        <f t="array" ref="W104">IFERROR(SUM(SUMIFS('caseload data'!G:G,'caseload data'!$C:$C,'community %'!$T$99,'caseload data'!$D:$D,"SPO",'caseload data'!$B:$B,{"licence","community"}))/SUM(SUMIFS('caseload data'!G:G,'caseload data'!$B:$B,{"licence","community"},'caseload data'!$C:$C,'community %'!$T$99)),"")</f>
        <v/>
      </c>
      <c r="X104" s="181" t="str" cm="1">
        <f t="array" ref="X104">IFERROR(SUM(SUMIFS('caseload data'!H:H,'caseload data'!$C:$C,'community %'!$T$99,'caseload data'!$D:$D,"SPO",'caseload data'!$B:$B,{"licence","community"}))/SUM(SUMIFS('caseload data'!H:H,'caseload data'!$B:$B,{"licence","community"},'caseload data'!$C:$C,'community %'!$T$99)),"")</f>
        <v/>
      </c>
      <c r="Y104" s="181" t="str" cm="1">
        <f t="array" ref="Y104">IFERROR(SUM(SUMIFS('caseload data'!I:I,'caseload data'!$C:$C,'community %'!$T$99,'caseload data'!$D:$D,"SPO",'caseload data'!$B:$B,{"licence","community"}))/SUM(SUMIFS('caseload data'!I:I,'caseload data'!$B:$B,{"licence","community"},'caseload data'!$C:$C,'community %'!$T$99)),"")</f>
        <v/>
      </c>
      <c r="Z104" s="181" t="str" cm="1">
        <f t="array" ref="Z104">IFERROR(SUM(SUMIFS('caseload data'!J:J,'caseload data'!$C:$C,'community %'!$T$99,'caseload data'!$D:$D,"SPO",'caseload data'!$B:$B,{"licence","community"}))/SUM(SUMIFS('caseload data'!J:J,'caseload data'!$B:$B,{"licence","community"},'caseload data'!$C:$C,'community %'!$T$99)),"")</f>
        <v/>
      </c>
      <c r="AA104" s="181" t="str" cm="1">
        <f t="array" ref="AA104">IFERROR(SUM(SUMIFS('caseload data'!K:K,'caseload data'!$C:$C,'community %'!$T$99,'caseload data'!$D:$D,"SPO",'caseload data'!$B:$B,{"licence","community"}))/SUM(SUMIFS('caseload data'!K:K,'caseload data'!$B:$B,{"licence","community"},'caseload data'!$C:$C,'community %'!$T$99)),"")</f>
        <v/>
      </c>
      <c r="AB104" s="181" t="str" cm="1">
        <f t="array" ref="AB104">IFERROR(SUM(SUMIFS('caseload data'!L:L,'caseload data'!$C:$C,'community %'!$T$99,'caseload data'!$D:$D,"SPO",'caseload data'!$B:$B,{"licence","community"}))/SUM(SUMIFS('caseload data'!L:L,'caseload data'!$B:$B,{"licence","community"},'caseload data'!$C:$C,'community %'!$T$99)),"")</f>
        <v/>
      </c>
      <c r="AC104" s="181" t="str" cm="1">
        <f t="array" ref="AC104">IFERROR(SUM(SUMIFS('caseload data'!M:M,'caseload data'!$C:$C,'community %'!$T$99,'caseload data'!$D:$D,"SPO",'caseload data'!$B:$B,{"licence","community"}))/SUM(SUMIFS('caseload data'!M:M,'caseload data'!$B:$B,{"licence","community"},'caseload data'!$C:$C,'community %'!$T$99)),"")</f>
        <v/>
      </c>
      <c r="AD104" s="181" t="str" cm="1">
        <f t="array" ref="AD104">IFERROR(SUM(SUMIFS('caseload data'!N:N,'caseload data'!$C:$C,'community %'!$T$99,'caseload data'!$D:$D,"SPO",'caseload data'!$B:$B,{"licence","community"}))/SUM(SUMIFS('caseload data'!N:N,'caseload data'!$B:$B,{"licence","community"},'caseload data'!$C:$C,'community %'!$T$99)),"")</f>
        <v/>
      </c>
      <c r="AE104" s="181" t="str" cm="1">
        <f t="array" ref="AE104">IFERROR(SUM(SUMIFS('caseload data'!O:O,'caseload data'!$C:$C,'community %'!$T$99,'caseload data'!$D:$D,"SPO",'caseload data'!$B:$B,{"licence","community"}))/SUM(SUMIFS('caseload data'!O:O,'caseload data'!$B:$B,{"licence","community"},'caseload data'!$C:$C,'community %'!$T$99)),"")</f>
        <v/>
      </c>
      <c r="AF104" s="181" t="str" cm="1">
        <f t="array" ref="AF104">IFERROR(SUM(SUMIFS('caseload data'!P:P,'caseload data'!$C:$C,'community %'!$T$99,'caseload data'!$D:$D,"SPO",'caseload data'!$B:$B,{"licence","community"}))/SUM(SUMIFS('caseload data'!P:P,'caseload data'!$B:$B,{"licence","community"},'caseload data'!$C:$C,'community %'!$T$99)),"")</f>
        <v/>
      </c>
      <c r="AG104" s="181" t="str" cm="1">
        <f t="array" ref="AG104">IFERROR(SUM(SUMIFS('caseload data'!Q:Q,'caseload data'!$C:$C,'community %'!$T$99,'caseload data'!$D:$D,"SPO",'caseload data'!$B:$B,{"licence","community"}))/SUM(SUMIFS('caseload data'!Q:Q,'caseload data'!$B:$B,{"licence","community"},'caseload data'!$C:$C,'community %'!$T$99)),"")</f>
        <v/>
      </c>
      <c r="AH104" s="181" t="str" cm="1">
        <f t="array" ref="AH104">IFERROR(SUM(SUMIFS('caseload data'!R:R,'caseload data'!$C:$C,'community %'!$T$99,'caseload data'!$D:$D,"SPO",'caseload data'!$B:$B,{"licence","community"}))/SUM(SUMIFS('caseload data'!R:R,'caseload data'!$B:$B,{"licence","community"},'caseload data'!$C:$C,'community %'!$T$99)),"")</f>
        <v/>
      </c>
      <c r="AI104" s="181" t="str" cm="1">
        <f t="array" ref="AI104">IFERROR(SUM(SUMIFS('caseload data'!S:S,'caseload data'!$C:$C,'community %'!$T$99,'caseload data'!$D:$D,"SPO",'caseload data'!$B:$B,{"licence","community"}))/SUM(SUMIFS('caseload data'!S:S,'caseload data'!$B:$B,{"licence","community"},'caseload data'!$C:$C,'community %'!$T$99)),"")</f>
        <v/>
      </c>
      <c r="AJ104" s="181" t="str" cm="1">
        <f t="array" ref="AJ104">IFERROR(SUM(SUMIFS('caseload data'!T:T,'caseload data'!$C:$C,'community %'!$T$99,'caseload data'!$D:$D,"SPO",'caseload data'!$B:$B,{"licence","community"}))/SUM(SUMIFS('caseload data'!T:T,'caseload data'!$B:$B,{"licence","community"},'caseload data'!$C:$C,'community %'!$T$99)),"")</f>
        <v/>
      </c>
    </row>
  </sheetData>
  <mergeCells count="58">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 ref="C92:O92"/>
    <mergeCell ref="P92:R92"/>
    <mergeCell ref="C64:O64"/>
    <mergeCell ref="P64:R64"/>
    <mergeCell ref="U64:AG64"/>
    <mergeCell ref="AH64:AJ64"/>
    <mergeCell ref="C71:O71"/>
    <mergeCell ref="P71:R71"/>
    <mergeCell ref="C8:O8"/>
    <mergeCell ref="P8:R8"/>
    <mergeCell ref="U8:AG8"/>
    <mergeCell ref="AH8:AJ8"/>
    <mergeCell ref="C22:O22"/>
    <mergeCell ref="P22:R22"/>
    <mergeCell ref="U22:AG22"/>
    <mergeCell ref="AH22:AJ22"/>
    <mergeCell ref="C29:O29"/>
    <mergeCell ref="P29:R29"/>
    <mergeCell ref="U29:AG29"/>
    <mergeCell ref="AH29:AJ29"/>
    <mergeCell ref="C36:O36"/>
    <mergeCell ref="A1:AX1"/>
    <mergeCell ref="A2:AX2"/>
    <mergeCell ref="C15:O15"/>
    <mergeCell ref="P15:R15"/>
    <mergeCell ref="U15:AG15"/>
    <mergeCell ref="AH15:AJ15"/>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s>
  <conditionalFormatting sqref="C11:C12">
    <cfRule type="cellIs" dxfId="673" priority="671" operator="equal">
      <formula>0</formula>
    </cfRule>
    <cfRule type="cellIs" dxfId="672" priority="672" operator="notEqual">
      <formula>0</formula>
    </cfRule>
  </conditionalFormatting>
  <conditionalFormatting sqref="D11:D12">
    <cfRule type="cellIs" dxfId="671" priority="669" operator="equal">
      <formula>0</formula>
    </cfRule>
    <cfRule type="cellIs" dxfId="670" priority="670" operator="notEqual">
      <formula>0</formula>
    </cfRule>
  </conditionalFormatting>
  <conditionalFormatting sqref="E11:E12">
    <cfRule type="cellIs" dxfId="669" priority="667" operator="equal">
      <formula>0</formula>
    </cfRule>
    <cfRule type="cellIs" dxfId="668" priority="668" operator="notEqual">
      <formula>0</formula>
    </cfRule>
  </conditionalFormatting>
  <conditionalFormatting sqref="F11:F12">
    <cfRule type="cellIs" dxfId="667" priority="665" operator="equal">
      <formula>0</formula>
    </cfRule>
    <cfRule type="cellIs" dxfId="666" priority="666" operator="notEqual">
      <formula>0</formula>
    </cfRule>
  </conditionalFormatting>
  <conditionalFormatting sqref="G11:G12">
    <cfRule type="cellIs" dxfId="665" priority="663" operator="equal">
      <formula>0</formula>
    </cfRule>
    <cfRule type="cellIs" dxfId="664" priority="664" operator="notEqual">
      <formula>0</formula>
    </cfRule>
  </conditionalFormatting>
  <conditionalFormatting sqref="H11:H12">
    <cfRule type="cellIs" dxfId="663" priority="661" operator="equal">
      <formula>0</formula>
    </cfRule>
    <cfRule type="cellIs" dxfId="662" priority="662" operator="notEqual">
      <formula>0</formula>
    </cfRule>
  </conditionalFormatting>
  <conditionalFormatting sqref="I11:I12">
    <cfRule type="cellIs" dxfId="661" priority="659" operator="equal">
      <formula>0</formula>
    </cfRule>
    <cfRule type="cellIs" dxfId="660" priority="660" operator="notEqual">
      <formula>0</formula>
    </cfRule>
  </conditionalFormatting>
  <conditionalFormatting sqref="J11:J12">
    <cfRule type="cellIs" dxfId="659" priority="657" operator="equal">
      <formula>0</formula>
    </cfRule>
    <cfRule type="cellIs" dxfId="658" priority="658" operator="notEqual">
      <formula>0</formula>
    </cfRule>
  </conditionalFormatting>
  <conditionalFormatting sqref="O10">
    <cfRule type="cellIs" dxfId="657" priority="655" operator="equal">
      <formula>0</formula>
    </cfRule>
    <cfRule type="cellIs" dxfId="656" priority="656" operator="greaterThan">
      <formula>0</formula>
    </cfRule>
  </conditionalFormatting>
  <conditionalFormatting sqref="P10">
    <cfRule type="cellIs" dxfId="655" priority="653" operator="equal">
      <formula>0</formula>
    </cfRule>
    <cfRule type="cellIs" dxfId="654" priority="654" operator="greaterThan">
      <formula>0</formula>
    </cfRule>
  </conditionalFormatting>
  <conditionalFormatting sqref="Q10">
    <cfRule type="cellIs" dxfId="653" priority="651" operator="equal">
      <formula>0</formula>
    </cfRule>
    <cfRule type="cellIs" dxfId="652" priority="652" operator="greaterThan">
      <formula>0</formula>
    </cfRule>
  </conditionalFormatting>
  <conditionalFormatting sqref="R10">
    <cfRule type="cellIs" dxfId="651" priority="649" operator="equal">
      <formula>0</formula>
    </cfRule>
    <cfRule type="cellIs" dxfId="650" priority="650" operator="greaterThan">
      <formula>0</formula>
    </cfRule>
  </conditionalFormatting>
  <conditionalFormatting sqref="C18:C19">
    <cfRule type="cellIs" dxfId="649" priority="647" operator="equal">
      <formula>0</formula>
    </cfRule>
    <cfRule type="cellIs" dxfId="648" priority="648" operator="notEqual">
      <formula>0</formula>
    </cfRule>
  </conditionalFormatting>
  <conditionalFormatting sqref="D18:D19">
    <cfRule type="cellIs" dxfId="647" priority="645" operator="equal">
      <formula>0</formula>
    </cfRule>
    <cfRule type="cellIs" dxfId="646" priority="646" operator="notEqual">
      <formula>0</formula>
    </cfRule>
  </conditionalFormatting>
  <conditionalFormatting sqref="E18:E19">
    <cfRule type="cellIs" dxfId="645" priority="643" operator="equal">
      <formula>0</formula>
    </cfRule>
    <cfRule type="cellIs" dxfId="644" priority="644" operator="notEqual">
      <formula>0</formula>
    </cfRule>
  </conditionalFormatting>
  <conditionalFormatting sqref="F18:F19">
    <cfRule type="cellIs" dxfId="643" priority="641" operator="equal">
      <formula>0</formula>
    </cfRule>
    <cfRule type="cellIs" dxfId="642" priority="642" operator="notEqual">
      <formula>0</formula>
    </cfRule>
  </conditionalFormatting>
  <conditionalFormatting sqref="G18:G19">
    <cfRule type="cellIs" dxfId="641" priority="639" operator="equal">
      <formula>0</formula>
    </cfRule>
    <cfRule type="cellIs" dxfId="640" priority="640" operator="notEqual">
      <formula>0</formula>
    </cfRule>
  </conditionalFormatting>
  <conditionalFormatting sqref="H18:H19">
    <cfRule type="cellIs" dxfId="639" priority="637" operator="equal">
      <formula>0</formula>
    </cfRule>
    <cfRule type="cellIs" dxfId="638" priority="638" operator="notEqual">
      <formula>0</formula>
    </cfRule>
  </conditionalFormatting>
  <conditionalFormatting sqref="I18:I19">
    <cfRule type="cellIs" dxfId="637" priority="635" operator="equal">
      <formula>0</formula>
    </cfRule>
    <cfRule type="cellIs" dxfId="636" priority="636" operator="notEqual">
      <formula>0</formula>
    </cfRule>
  </conditionalFormatting>
  <conditionalFormatting sqref="J18:J19">
    <cfRule type="cellIs" dxfId="635" priority="633" operator="equal">
      <formula>0</formula>
    </cfRule>
    <cfRule type="cellIs" dxfId="634" priority="634" operator="notEqual">
      <formula>0</formula>
    </cfRule>
  </conditionalFormatting>
  <conditionalFormatting sqref="O17">
    <cfRule type="cellIs" dxfId="633" priority="631" operator="equal">
      <formula>0</formula>
    </cfRule>
    <cfRule type="cellIs" dxfId="632" priority="632" operator="greaterThan">
      <formula>0</formula>
    </cfRule>
  </conditionalFormatting>
  <conditionalFormatting sqref="P17">
    <cfRule type="cellIs" dxfId="631" priority="629" operator="equal">
      <formula>0</formula>
    </cfRule>
    <cfRule type="cellIs" dxfId="630" priority="630" operator="greaterThan">
      <formula>0</formula>
    </cfRule>
  </conditionalFormatting>
  <conditionalFormatting sqref="Q17">
    <cfRule type="cellIs" dxfId="629" priority="627" operator="equal">
      <formula>0</formula>
    </cfRule>
    <cfRule type="cellIs" dxfId="628" priority="628" operator="greaterThan">
      <formula>0</formula>
    </cfRule>
  </conditionalFormatting>
  <conditionalFormatting sqref="R17">
    <cfRule type="cellIs" dxfId="627" priority="625" operator="equal">
      <formula>0</formula>
    </cfRule>
    <cfRule type="cellIs" dxfId="626" priority="626" operator="greaterThan">
      <formula>0</formula>
    </cfRule>
  </conditionalFormatting>
  <conditionalFormatting sqref="C25:C26">
    <cfRule type="cellIs" dxfId="625" priority="623" operator="equal">
      <formula>0</formula>
    </cfRule>
    <cfRule type="cellIs" dxfId="624" priority="624" operator="notEqual">
      <formula>0</formula>
    </cfRule>
  </conditionalFormatting>
  <conditionalFormatting sqref="D25:D26">
    <cfRule type="cellIs" dxfId="623" priority="621" operator="equal">
      <formula>0</formula>
    </cfRule>
    <cfRule type="cellIs" dxfId="622" priority="622" operator="notEqual">
      <formula>0</formula>
    </cfRule>
  </conditionalFormatting>
  <conditionalFormatting sqref="E25:E26">
    <cfRule type="cellIs" dxfId="621" priority="619" operator="equal">
      <formula>0</formula>
    </cfRule>
    <cfRule type="cellIs" dxfId="620" priority="620" operator="notEqual">
      <formula>0</formula>
    </cfRule>
  </conditionalFormatting>
  <conditionalFormatting sqref="F25:F26">
    <cfRule type="cellIs" dxfId="619" priority="617" operator="equal">
      <formula>0</formula>
    </cfRule>
    <cfRule type="cellIs" dxfId="618" priority="618" operator="notEqual">
      <formula>0</formula>
    </cfRule>
  </conditionalFormatting>
  <conditionalFormatting sqref="G25:G26">
    <cfRule type="cellIs" dxfId="617" priority="615" operator="equal">
      <formula>0</formula>
    </cfRule>
    <cfRule type="cellIs" dxfId="616" priority="616" operator="notEqual">
      <formula>0</formula>
    </cfRule>
  </conditionalFormatting>
  <conditionalFormatting sqref="H25:H26">
    <cfRule type="cellIs" dxfId="615" priority="613" operator="equal">
      <formula>0</formula>
    </cfRule>
    <cfRule type="cellIs" dxfId="614" priority="614" operator="notEqual">
      <formula>0</formula>
    </cfRule>
  </conditionalFormatting>
  <conditionalFormatting sqref="I25:I26">
    <cfRule type="cellIs" dxfId="613" priority="611" operator="equal">
      <formula>0</formula>
    </cfRule>
    <cfRule type="cellIs" dxfId="612" priority="612" operator="notEqual">
      <formula>0</formula>
    </cfRule>
  </conditionalFormatting>
  <conditionalFormatting sqref="J25:J26">
    <cfRule type="cellIs" dxfId="611" priority="609" operator="equal">
      <formula>0</formula>
    </cfRule>
    <cfRule type="cellIs" dxfId="610" priority="610" operator="notEqual">
      <formula>0</formula>
    </cfRule>
  </conditionalFormatting>
  <conditionalFormatting sqref="O24">
    <cfRule type="cellIs" dxfId="609" priority="607" operator="equal">
      <formula>0</formula>
    </cfRule>
    <cfRule type="cellIs" dxfId="608" priority="608" operator="greaterThan">
      <formula>0</formula>
    </cfRule>
  </conditionalFormatting>
  <conditionalFormatting sqref="P24">
    <cfRule type="cellIs" dxfId="607" priority="605" operator="equal">
      <formula>0</formula>
    </cfRule>
    <cfRule type="cellIs" dxfId="606" priority="606" operator="greaterThan">
      <formula>0</formula>
    </cfRule>
  </conditionalFormatting>
  <conditionalFormatting sqref="Q24">
    <cfRule type="cellIs" dxfId="605" priority="603" operator="equal">
      <formula>0</formula>
    </cfRule>
    <cfRule type="cellIs" dxfId="604" priority="604" operator="greaterThan">
      <formula>0</formula>
    </cfRule>
  </conditionalFormatting>
  <conditionalFormatting sqref="R24">
    <cfRule type="cellIs" dxfId="603" priority="601" operator="equal">
      <formula>0</formula>
    </cfRule>
    <cfRule type="cellIs" dxfId="602" priority="602" operator="greaterThan">
      <formula>0</formula>
    </cfRule>
  </conditionalFormatting>
  <conditionalFormatting sqref="C32:C33">
    <cfRule type="cellIs" dxfId="601" priority="599" operator="equal">
      <formula>0</formula>
    </cfRule>
    <cfRule type="cellIs" dxfId="600" priority="600" operator="notEqual">
      <formula>0</formula>
    </cfRule>
  </conditionalFormatting>
  <conditionalFormatting sqref="D32:D33">
    <cfRule type="cellIs" dxfId="599" priority="597" operator="equal">
      <formula>0</formula>
    </cfRule>
    <cfRule type="cellIs" dxfId="598" priority="598" operator="notEqual">
      <formula>0</formula>
    </cfRule>
  </conditionalFormatting>
  <conditionalFormatting sqref="E32:E33">
    <cfRule type="cellIs" dxfId="597" priority="595" operator="equal">
      <formula>0</formula>
    </cfRule>
    <cfRule type="cellIs" dxfId="596" priority="596" operator="notEqual">
      <formula>0</formula>
    </cfRule>
  </conditionalFormatting>
  <conditionalFormatting sqref="F32:F33">
    <cfRule type="cellIs" dxfId="595" priority="593" operator="equal">
      <formula>0</formula>
    </cfRule>
    <cfRule type="cellIs" dxfId="594" priority="594" operator="notEqual">
      <formula>0</formula>
    </cfRule>
  </conditionalFormatting>
  <conditionalFormatting sqref="G32:G33">
    <cfRule type="cellIs" dxfId="593" priority="591" operator="equal">
      <formula>0</formula>
    </cfRule>
    <cfRule type="cellIs" dxfId="592" priority="592" operator="notEqual">
      <formula>0</formula>
    </cfRule>
  </conditionalFormatting>
  <conditionalFormatting sqref="H32:H33">
    <cfRule type="cellIs" dxfId="591" priority="589" operator="equal">
      <formula>0</formula>
    </cfRule>
    <cfRule type="cellIs" dxfId="590" priority="590" operator="notEqual">
      <formula>0</formula>
    </cfRule>
  </conditionalFormatting>
  <conditionalFormatting sqref="I32:I33">
    <cfRule type="cellIs" dxfId="589" priority="587" operator="equal">
      <formula>0</formula>
    </cfRule>
    <cfRule type="cellIs" dxfId="588" priority="588" operator="notEqual">
      <formula>0</formula>
    </cfRule>
  </conditionalFormatting>
  <conditionalFormatting sqref="J32:J33">
    <cfRule type="cellIs" dxfId="587" priority="585" operator="equal">
      <formula>0</formula>
    </cfRule>
    <cfRule type="cellIs" dxfId="586" priority="586" operator="notEqual">
      <formula>0</formula>
    </cfRule>
  </conditionalFormatting>
  <conditionalFormatting sqref="O31">
    <cfRule type="cellIs" dxfId="585" priority="583" operator="equal">
      <formula>0</formula>
    </cfRule>
    <cfRule type="cellIs" dxfId="584" priority="584" operator="greaterThan">
      <formula>0</formula>
    </cfRule>
  </conditionalFormatting>
  <conditionalFormatting sqref="P31">
    <cfRule type="cellIs" dxfId="583" priority="581" operator="equal">
      <formula>0</formula>
    </cfRule>
    <cfRule type="cellIs" dxfId="582" priority="582" operator="greaterThan">
      <formula>0</formula>
    </cfRule>
  </conditionalFormatting>
  <conditionalFormatting sqref="Q31">
    <cfRule type="cellIs" dxfId="581" priority="579" operator="equal">
      <formula>0</formula>
    </cfRule>
    <cfRule type="cellIs" dxfId="580" priority="580" operator="greaterThan">
      <formula>0</formula>
    </cfRule>
  </conditionalFormatting>
  <conditionalFormatting sqref="R31">
    <cfRule type="cellIs" dxfId="579" priority="577" operator="equal">
      <formula>0</formula>
    </cfRule>
    <cfRule type="cellIs" dxfId="578" priority="578" operator="greaterThan">
      <formula>0</formula>
    </cfRule>
  </conditionalFormatting>
  <conditionalFormatting sqref="C39:C40">
    <cfRule type="cellIs" dxfId="577" priority="575" operator="equal">
      <formula>0</formula>
    </cfRule>
    <cfRule type="cellIs" dxfId="576" priority="576" operator="notEqual">
      <formula>0</formula>
    </cfRule>
  </conditionalFormatting>
  <conditionalFormatting sqref="D39:D40">
    <cfRule type="cellIs" dxfId="575" priority="573" operator="equal">
      <formula>0</formula>
    </cfRule>
    <cfRule type="cellIs" dxfId="574" priority="574" operator="notEqual">
      <formula>0</formula>
    </cfRule>
  </conditionalFormatting>
  <conditionalFormatting sqref="E39:E40">
    <cfRule type="cellIs" dxfId="573" priority="571" operator="equal">
      <formula>0</formula>
    </cfRule>
    <cfRule type="cellIs" dxfId="572" priority="572" operator="notEqual">
      <formula>0</formula>
    </cfRule>
  </conditionalFormatting>
  <conditionalFormatting sqref="F39:F40">
    <cfRule type="cellIs" dxfId="571" priority="569" operator="equal">
      <formula>0</formula>
    </cfRule>
    <cfRule type="cellIs" dxfId="570" priority="570" operator="notEqual">
      <formula>0</formula>
    </cfRule>
  </conditionalFormatting>
  <conditionalFormatting sqref="G39:G40">
    <cfRule type="cellIs" dxfId="569" priority="567" operator="equal">
      <formula>0</formula>
    </cfRule>
    <cfRule type="cellIs" dxfId="568" priority="568" operator="notEqual">
      <formula>0</formula>
    </cfRule>
  </conditionalFormatting>
  <conditionalFormatting sqref="H39:H40">
    <cfRule type="cellIs" dxfId="567" priority="565" operator="equal">
      <formula>0</formula>
    </cfRule>
    <cfRule type="cellIs" dxfId="566" priority="566" operator="notEqual">
      <formula>0</formula>
    </cfRule>
  </conditionalFormatting>
  <conditionalFormatting sqref="I39:I40">
    <cfRule type="cellIs" dxfId="565" priority="563" operator="equal">
      <formula>0</formula>
    </cfRule>
    <cfRule type="cellIs" dxfId="564" priority="564" operator="notEqual">
      <formula>0</formula>
    </cfRule>
  </conditionalFormatting>
  <conditionalFormatting sqref="J39:J40">
    <cfRule type="cellIs" dxfId="563" priority="561" operator="equal">
      <formula>0</formula>
    </cfRule>
    <cfRule type="cellIs" dxfId="562" priority="562" operator="notEqual">
      <formula>0</formula>
    </cfRule>
  </conditionalFormatting>
  <conditionalFormatting sqref="O38">
    <cfRule type="cellIs" dxfId="561" priority="559" operator="equal">
      <formula>0</formula>
    </cfRule>
    <cfRule type="cellIs" dxfId="560" priority="560" operator="greaterThan">
      <formula>0</formula>
    </cfRule>
  </conditionalFormatting>
  <conditionalFormatting sqref="P38">
    <cfRule type="cellIs" dxfId="559" priority="557" operator="equal">
      <formula>0</formula>
    </cfRule>
    <cfRule type="cellIs" dxfId="558" priority="558" operator="greaterThan">
      <formula>0</formula>
    </cfRule>
  </conditionalFormatting>
  <conditionalFormatting sqref="Q38">
    <cfRule type="cellIs" dxfId="557" priority="555" operator="equal">
      <formula>0</formula>
    </cfRule>
    <cfRule type="cellIs" dxfId="556" priority="556" operator="greaterThan">
      <formula>0</formula>
    </cfRule>
  </conditionalFormatting>
  <conditionalFormatting sqref="R38">
    <cfRule type="cellIs" dxfId="555" priority="553" operator="equal">
      <formula>0</formula>
    </cfRule>
    <cfRule type="cellIs" dxfId="554" priority="554" operator="greaterThan">
      <formula>0</formula>
    </cfRule>
  </conditionalFormatting>
  <conditionalFormatting sqref="C46:C47">
    <cfRule type="cellIs" dxfId="553" priority="551" operator="equal">
      <formula>0</formula>
    </cfRule>
    <cfRule type="cellIs" dxfId="552" priority="552" operator="notEqual">
      <formula>0</formula>
    </cfRule>
  </conditionalFormatting>
  <conditionalFormatting sqref="D46:D47">
    <cfRule type="cellIs" dxfId="551" priority="549" operator="equal">
      <formula>0</formula>
    </cfRule>
    <cfRule type="cellIs" dxfId="550" priority="550" operator="notEqual">
      <formula>0</formula>
    </cfRule>
  </conditionalFormatting>
  <conditionalFormatting sqref="E46:E47">
    <cfRule type="cellIs" dxfId="549" priority="547" operator="equal">
      <formula>0</formula>
    </cfRule>
    <cfRule type="cellIs" dxfId="548" priority="548" operator="notEqual">
      <formula>0</formula>
    </cfRule>
  </conditionalFormatting>
  <conditionalFormatting sqref="F46:F47">
    <cfRule type="cellIs" dxfId="547" priority="545" operator="equal">
      <formula>0</formula>
    </cfRule>
    <cfRule type="cellIs" dxfId="546" priority="546" operator="notEqual">
      <formula>0</formula>
    </cfRule>
  </conditionalFormatting>
  <conditionalFormatting sqref="G46:G47">
    <cfRule type="cellIs" dxfId="545" priority="543" operator="equal">
      <formula>0</formula>
    </cfRule>
    <cfRule type="cellIs" dxfId="544" priority="544" operator="notEqual">
      <formula>0</formula>
    </cfRule>
  </conditionalFormatting>
  <conditionalFormatting sqref="H46:H47">
    <cfRule type="cellIs" dxfId="543" priority="541" operator="equal">
      <formula>0</formula>
    </cfRule>
    <cfRule type="cellIs" dxfId="542" priority="542" operator="notEqual">
      <formula>0</formula>
    </cfRule>
  </conditionalFormatting>
  <conditionalFormatting sqref="I46:I47">
    <cfRule type="cellIs" dxfId="541" priority="539" operator="equal">
      <formula>0</formula>
    </cfRule>
    <cfRule type="cellIs" dxfId="540" priority="540" operator="notEqual">
      <formula>0</formula>
    </cfRule>
  </conditionalFormatting>
  <conditionalFormatting sqref="J46:J47">
    <cfRule type="cellIs" dxfId="539" priority="537" operator="equal">
      <formula>0</formula>
    </cfRule>
    <cfRule type="cellIs" dxfId="538" priority="538" operator="notEqual">
      <formula>0</formula>
    </cfRule>
  </conditionalFormatting>
  <conditionalFormatting sqref="O45">
    <cfRule type="cellIs" dxfId="537" priority="535" operator="equal">
      <formula>0</formula>
    </cfRule>
    <cfRule type="cellIs" dxfId="536" priority="536" operator="greaterThan">
      <formula>0</formula>
    </cfRule>
  </conditionalFormatting>
  <conditionalFormatting sqref="P45">
    <cfRule type="cellIs" dxfId="535" priority="533" operator="equal">
      <formula>0</formula>
    </cfRule>
    <cfRule type="cellIs" dxfId="534" priority="534" operator="greaterThan">
      <formula>0</formula>
    </cfRule>
  </conditionalFormatting>
  <conditionalFormatting sqref="Q45">
    <cfRule type="cellIs" dxfId="533" priority="531" operator="equal">
      <formula>0</formula>
    </cfRule>
    <cfRule type="cellIs" dxfId="532" priority="532" operator="greaterThan">
      <formula>0</formula>
    </cfRule>
  </conditionalFormatting>
  <conditionalFormatting sqref="R45">
    <cfRule type="cellIs" dxfId="531" priority="529" operator="equal">
      <formula>0</formula>
    </cfRule>
    <cfRule type="cellIs" dxfId="530" priority="530" operator="greaterThan">
      <formula>0</formula>
    </cfRule>
  </conditionalFormatting>
  <conditionalFormatting sqref="C53:C54">
    <cfRule type="cellIs" dxfId="529" priority="527" operator="equal">
      <formula>0</formula>
    </cfRule>
    <cfRule type="cellIs" dxfId="528" priority="528" operator="notEqual">
      <formula>0</formula>
    </cfRule>
  </conditionalFormatting>
  <conditionalFormatting sqref="D53:D54">
    <cfRule type="cellIs" dxfId="527" priority="525" operator="equal">
      <formula>0</formula>
    </cfRule>
    <cfRule type="cellIs" dxfId="526" priority="526" operator="notEqual">
      <formula>0</formula>
    </cfRule>
  </conditionalFormatting>
  <conditionalFormatting sqref="E53:E54">
    <cfRule type="cellIs" dxfId="525" priority="523" operator="equal">
      <formula>0</formula>
    </cfRule>
    <cfRule type="cellIs" dxfId="524" priority="524" operator="notEqual">
      <formula>0</formula>
    </cfRule>
  </conditionalFormatting>
  <conditionalFormatting sqref="F53:F54">
    <cfRule type="cellIs" dxfId="523" priority="521" operator="equal">
      <formula>0</formula>
    </cfRule>
    <cfRule type="cellIs" dxfId="522" priority="522" operator="notEqual">
      <formula>0</formula>
    </cfRule>
  </conditionalFormatting>
  <conditionalFormatting sqref="G53:G54">
    <cfRule type="cellIs" dxfId="521" priority="519" operator="equal">
      <formula>0</formula>
    </cfRule>
    <cfRule type="cellIs" dxfId="520" priority="520" operator="notEqual">
      <formula>0</formula>
    </cfRule>
  </conditionalFormatting>
  <conditionalFormatting sqref="H53:H54">
    <cfRule type="cellIs" dxfId="519" priority="517" operator="equal">
      <formula>0</formula>
    </cfRule>
    <cfRule type="cellIs" dxfId="518" priority="518" operator="notEqual">
      <formula>0</formula>
    </cfRule>
  </conditionalFormatting>
  <conditionalFormatting sqref="I53:I54">
    <cfRule type="cellIs" dxfId="517" priority="515" operator="equal">
      <formula>0</formula>
    </cfRule>
    <cfRule type="cellIs" dxfId="516" priority="516" operator="notEqual">
      <formula>0</formula>
    </cfRule>
  </conditionalFormatting>
  <conditionalFormatting sqref="J53:J54">
    <cfRule type="cellIs" dxfId="515" priority="513" operator="equal">
      <formula>0</formula>
    </cfRule>
    <cfRule type="cellIs" dxfId="514" priority="514" operator="notEqual">
      <formula>0</formula>
    </cfRule>
  </conditionalFormatting>
  <conditionalFormatting sqref="O52">
    <cfRule type="cellIs" dxfId="513" priority="511" operator="equal">
      <formula>0</formula>
    </cfRule>
    <cfRule type="cellIs" dxfId="512" priority="512" operator="greaterThan">
      <formula>0</formula>
    </cfRule>
  </conditionalFormatting>
  <conditionalFormatting sqref="P52">
    <cfRule type="cellIs" dxfId="511" priority="509" operator="equal">
      <formula>0</formula>
    </cfRule>
    <cfRule type="cellIs" dxfId="510" priority="510" operator="greaterThan">
      <formula>0</formula>
    </cfRule>
  </conditionalFormatting>
  <conditionalFormatting sqref="Q52">
    <cfRule type="cellIs" dxfId="509" priority="507" operator="equal">
      <formula>0</formula>
    </cfRule>
    <cfRule type="cellIs" dxfId="508" priority="508" operator="greaterThan">
      <formula>0</formula>
    </cfRule>
  </conditionalFormatting>
  <conditionalFormatting sqref="R52">
    <cfRule type="cellIs" dxfId="507" priority="505" operator="equal">
      <formula>0</formula>
    </cfRule>
    <cfRule type="cellIs" dxfId="506" priority="506" operator="greaterThan">
      <formula>0</formula>
    </cfRule>
  </conditionalFormatting>
  <conditionalFormatting sqref="C60:C61">
    <cfRule type="cellIs" dxfId="505" priority="503" operator="equal">
      <formula>0</formula>
    </cfRule>
    <cfRule type="cellIs" dxfId="504" priority="504" operator="notEqual">
      <formula>0</formula>
    </cfRule>
  </conditionalFormatting>
  <conditionalFormatting sqref="D60:D61">
    <cfRule type="cellIs" dxfId="503" priority="501" operator="equal">
      <formula>0</formula>
    </cfRule>
    <cfRule type="cellIs" dxfId="502" priority="502" operator="notEqual">
      <formula>0</formula>
    </cfRule>
  </conditionalFormatting>
  <conditionalFormatting sqref="E60:E61">
    <cfRule type="cellIs" dxfId="501" priority="499" operator="equal">
      <formula>0</formula>
    </cfRule>
    <cfRule type="cellIs" dxfId="500" priority="500" operator="notEqual">
      <formula>0</formula>
    </cfRule>
  </conditionalFormatting>
  <conditionalFormatting sqref="F60:F61">
    <cfRule type="cellIs" dxfId="499" priority="497" operator="equal">
      <formula>0</formula>
    </cfRule>
    <cfRule type="cellIs" dxfId="498" priority="498" operator="notEqual">
      <formula>0</formula>
    </cfRule>
  </conditionalFormatting>
  <conditionalFormatting sqref="G60:G61">
    <cfRule type="cellIs" dxfId="497" priority="495" operator="equal">
      <formula>0</formula>
    </cfRule>
    <cfRule type="cellIs" dxfId="496" priority="496" operator="notEqual">
      <formula>0</formula>
    </cfRule>
  </conditionalFormatting>
  <conditionalFormatting sqref="H60:H61">
    <cfRule type="cellIs" dxfId="495" priority="493" operator="equal">
      <formula>0</formula>
    </cfRule>
    <cfRule type="cellIs" dxfId="494" priority="494" operator="notEqual">
      <formula>0</formula>
    </cfRule>
  </conditionalFormatting>
  <conditionalFormatting sqref="I60:I61">
    <cfRule type="cellIs" dxfId="493" priority="491" operator="equal">
      <formula>0</formula>
    </cfRule>
    <cfRule type="cellIs" dxfId="492" priority="492" operator="notEqual">
      <formula>0</formula>
    </cfRule>
  </conditionalFormatting>
  <conditionalFormatting sqref="J60:J61">
    <cfRule type="cellIs" dxfId="491" priority="489" operator="equal">
      <formula>0</formula>
    </cfRule>
    <cfRule type="cellIs" dxfId="490" priority="490" operator="notEqual">
      <formula>0</formula>
    </cfRule>
  </conditionalFormatting>
  <conditionalFormatting sqref="O59">
    <cfRule type="cellIs" dxfId="489" priority="487" operator="equal">
      <formula>0</formula>
    </cfRule>
    <cfRule type="cellIs" dxfId="488" priority="488" operator="greaterThan">
      <formula>0</formula>
    </cfRule>
  </conditionalFormatting>
  <conditionalFormatting sqref="P59">
    <cfRule type="cellIs" dxfId="487" priority="485" operator="equal">
      <formula>0</formula>
    </cfRule>
    <cfRule type="cellIs" dxfId="486" priority="486" operator="greaterThan">
      <formula>0</formula>
    </cfRule>
  </conditionalFormatting>
  <conditionalFormatting sqref="Q59">
    <cfRule type="cellIs" dxfId="485" priority="483" operator="equal">
      <formula>0</formula>
    </cfRule>
    <cfRule type="cellIs" dxfId="484" priority="484" operator="greaterThan">
      <formula>0</formula>
    </cfRule>
  </conditionalFormatting>
  <conditionalFormatting sqref="R59">
    <cfRule type="cellIs" dxfId="483" priority="481" operator="equal">
      <formula>0</formula>
    </cfRule>
    <cfRule type="cellIs" dxfId="482" priority="482" operator="greaterThan">
      <formula>0</formula>
    </cfRule>
  </conditionalFormatting>
  <conditionalFormatting sqref="C67:C68">
    <cfRule type="cellIs" dxfId="481" priority="479" operator="equal">
      <formula>0</formula>
    </cfRule>
    <cfRule type="cellIs" dxfId="480" priority="480" operator="notEqual">
      <formula>0</formula>
    </cfRule>
  </conditionalFormatting>
  <conditionalFormatting sqref="D67:D68">
    <cfRule type="cellIs" dxfId="479" priority="477" operator="equal">
      <formula>0</formula>
    </cfRule>
    <cfRule type="cellIs" dxfId="478" priority="478" operator="notEqual">
      <formula>0</formula>
    </cfRule>
  </conditionalFormatting>
  <conditionalFormatting sqref="E67:E68">
    <cfRule type="cellIs" dxfId="477" priority="475" operator="equal">
      <formula>0</formula>
    </cfRule>
    <cfRule type="cellIs" dxfId="476" priority="476" operator="notEqual">
      <formula>0</formula>
    </cfRule>
  </conditionalFormatting>
  <conditionalFormatting sqref="F67:F68">
    <cfRule type="cellIs" dxfId="475" priority="473" operator="equal">
      <formula>0</formula>
    </cfRule>
    <cfRule type="cellIs" dxfId="474" priority="474" operator="notEqual">
      <formula>0</formula>
    </cfRule>
  </conditionalFormatting>
  <conditionalFormatting sqref="G67:G68">
    <cfRule type="cellIs" dxfId="473" priority="471" operator="equal">
      <formula>0</formula>
    </cfRule>
    <cfRule type="cellIs" dxfId="472" priority="472" operator="notEqual">
      <formula>0</formula>
    </cfRule>
  </conditionalFormatting>
  <conditionalFormatting sqref="H67:H68">
    <cfRule type="cellIs" dxfId="471" priority="469" operator="equal">
      <formula>0</formula>
    </cfRule>
    <cfRule type="cellIs" dxfId="470" priority="470" operator="notEqual">
      <formula>0</formula>
    </cfRule>
  </conditionalFormatting>
  <conditionalFormatting sqref="I67:I68">
    <cfRule type="cellIs" dxfId="469" priority="467" operator="equal">
      <formula>0</formula>
    </cfRule>
    <cfRule type="cellIs" dxfId="468" priority="468" operator="notEqual">
      <formula>0</formula>
    </cfRule>
  </conditionalFormatting>
  <conditionalFormatting sqref="J67:J68">
    <cfRule type="cellIs" dxfId="467" priority="465" operator="equal">
      <formula>0</formula>
    </cfRule>
    <cfRule type="cellIs" dxfId="466" priority="466" operator="notEqual">
      <formula>0</formula>
    </cfRule>
  </conditionalFormatting>
  <conditionalFormatting sqref="O66">
    <cfRule type="cellIs" dxfId="465" priority="463" operator="equal">
      <formula>0</formula>
    </cfRule>
    <cfRule type="cellIs" dxfId="464" priority="464" operator="greaterThan">
      <formula>0</formula>
    </cfRule>
  </conditionalFormatting>
  <conditionalFormatting sqref="P66">
    <cfRule type="cellIs" dxfId="463" priority="461" operator="equal">
      <formula>0</formula>
    </cfRule>
    <cfRule type="cellIs" dxfId="462" priority="462" operator="greaterThan">
      <formula>0</formula>
    </cfRule>
  </conditionalFormatting>
  <conditionalFormatting sqref="Q66">
    <cfRule type="cellIs" dxfId="461" priority="459" operator="equal">
      <formula>0</formula>
    </cfRule>
    <cfRule type="cellIs" dxfId="460" priority="460" operator="greaterThan">
      <formula>0</formula>
    </cfRule>
  </conditionalFormatting>
  <conditionalFormatting sqref="R66">
    <cfRule type="cellIs" dxfId="459" priority="457" operator="equal">
      <formula>0</formula>
    </cfRule>
    <cfRule type="cellIs" dxfId="458" priority="458" operator="greaterThan">
      <formula>0</formula>
    </cfRule>
  </conditionalFormatting>
  <conditionalFormatting sqref="C74:C75">
    <cfRule type="cellIs" dxfId="457" priority="455" operator="equal">
      <formula>0</formula>
    </cfRule>
    <cfRule type="cellIs" dxfId="456" priority="456" operator="notEqual">
      <formula>0</formula>
    </cfRule>
  </conditionalFormatting>
  <conditionalFormatting sqref="D74:D75">
    <cfRule type="cellIs" dxfId="455" priority="453" operator="equal">
      <formula>0</formula>
    </cfRule>
    <cfRule type="cellIs" dxfId="454" priority="454" operator="notEqual">
      <formula>0</formula>
    </cfRule>
  </conditionalFormatting>
  <conditionalFormatting sqref="E74:E75">
    <cfRule type="cellIs" dxfId="453" priority="451" operator="equal">
      <formula>0</formula>
    </cfRule>
    <cfRule type="cellIs" dxfId="452" priority="452" operator="notEqual">
      <formula>0</formula>
    </cfRule>
  </conditionalFormatting>
  <conditionalFormatting sqref="F74:F75">
    <cfRule type="cellIs" dxfId="451" priority="449" operator="equal">
      <formula>0</formula>
    </cfRule>
    <cfRule type="cellIs" dxfId="450" priority="450" operator="notEqual">
      <formula>0</formula>
    </cfRule>
  </conditionalFormatting>
  <conditionalFormatting sqref="G74:G75">
    <cfRule type="cellIs" dxfId="449" priority="447" operator="equal">
      <formula>0</formula>
    </cfRule>
    <cfRule type="cellIs" dxfId="448" priority="448" operator="notEqual">
      <formula>0</formula>
    </cfRule>
  </conditionalFormatting>
  <conditionalFormatting sqref="H74:H75">
    <cfRule type="cellIs" dxfId="447" priority="445" operator="equal">
      <formula>0</formula>
    </cfRule>
    <cfRule type="cellIs" dxfId="446" priority="446" operator="notEqual">
      <formula>0</formula>
    </cfRule>
  </conditionalFormatting>
  <conditionalFormatting sqref="I74:I75">
    <cfRule type="cellIs" dxfId="445" priority="443" operator="equal">
      <formula>0</formula>
    </cfRule>
    <cfRule type="cellIs" dxfId="444" priority="444" operator="notEqual">
      <formula>0</formula>
    </cfRule>
  </conditionalFormatting>
  <conditionalFormatting sqref="J74:J75">
    <cfRule type="cellIs" dxfId="443" priority="441" operator="equal">
      <formula>0</formula>
    </cfRule>
    <cfRule type="cellIs" dxfId="442" priority="442" operator="notEqual">
      <formula>0</formula>
    </cfRule>
  </conditionalFormatting>
  <conditionalFormatting sqref="O73">
    <cfRule type="cellIs" dxfId="441" priority="439" operator="equal">
      <formula>0</formula>
    </cfRule>
    <cfRule type="cellIs" dxfId="440" priority="440" operator="greaterThan">
      <formula>0</formula>
    </cfRule>
  </conditionalFormatting>
  <conditionalFormatting sqref="P73">
    <cfRule type="cellIs" dxfId="439" priority="437" operator="equal">
      <formula>0</formula>
    </cfRule>
    <cfRule type="cellIs" dxfId="438" priority="438" operator="greaterThan">
      <formula>0</formula>
    </cfRule>
  </conditionalFormatting>
  <conditionalFormatting sqref="Q73">
    <cfRule type="cellIs" dxfId="437" priority="435" operator="equal">
      <formula>0</formula>
    </cfRule>
    <cfRule type="cellIs" dxfId="436" priority="436" operator="greaterThan">
      <formula>0</formula>
    </cfRule>
  </conditionalFormatting>
  <conditionalFormatting sqref="R73">
    <cfRule type="cellIs" dxfId="435" priority="433" operator="equal">
      <formula>0</formula>
    </cfRule>
    <cfRule type="cellIs" dxfId="434" priority="434" operator="greaterThan">
      <formula>0</formula>
    </cfRule>
  </conditionalFormatting>
  <conditionalFormatting sqref="U67:U68">
    <cfRule type="cellIs" dxfId="433" priority="431" operator="equal">
      <formula>0</formula>
    </cfRule>
    <cfRule type="cellIs" dxfId="432" priority="432" operator="notEqual">
      <formula>0</formula>
    </cfRule>
  </conditionalFormatting>
  <conditionalFormatting sqref="V67:V68">
    <cfRule type="cellIs" dxfId="431" priority="429" operator="equal">
      <formula>0</formula>
    </cfRule>
    <cfRule type="cellIs" dxfId="430" priority="430" operator="notEqual">
      <formula>0</formula>
    </cfRule>
  </conditionalFormatting>
  <conditionalFormatting sqref="W67:W68">
    <cfRule type="cellIs" dxfId="429" priority="427" operator="equal">
      <formula>0</formula>
    </cfRule>
    <cfRule type="cellIs" dxfId="428" priority="428" operator="notEqual">
      <formula>0</formula>
    </cfRule>
  </conditionalFormatting>
  <conditionalFormatting sqref="X67:X68">
    <cfRule type="cellIs" dxfId="427" priority="425" operator="equal">
      <formula>0</formula>
    </cfRule>
    <cfRule type="cellIs" dxfId="426" priority="426" operator="notEqual">
      <formula>0</formula>
    </cfRule>
  </conditionalFormatting>
  <conditionalFormatting sqref="Y67:Y68">
    <cfRule type="cellIs" dxfId="425" priority="423" operator="equal">
      <formula>0</formula>
    </cfRule>
    <cfRule type="cellIs" dxfId="424" priority="424" operator="notEqual">
      <formula>0</formula>
    </cfRule>
  </conditionalFormatting>
  <conditionalFormatting sqref="Z67:Z68">
    <cfRule type="cellIs" dxfId="423" priority="421" operator="equal">
      <formula>0</formula>
    </cfRule>
    <cfRule type="cellIs" dxfId="422" priority="422" operator="notEqual">
      <formula>0</formula>
    </cfRule>
  </conditionalFormatting>
  <conditionalFormatting sqref="AA67:AA68">
    <cfRule type="cellIs" dxfId="421" priority="419" operator="equal">
      <formula>0</formula>
    </cfRule>
    <cfRule type="cellIs" dxfId="420" priority="420" operator="notEqual">
      <formula>0</formula>
    </cfRule>
  </conditionalFormatting>
  <conditionalFormatting sqref="AB67:AB68">
    <cfRule type="cellIs" dxfId="419" priority="417" operator="equal">
      <formula>0</formula>
    </cfRule>
    <cfRule type="cellIs" dxfId="418" priority="418" operator="notEqual">
      <formula>0</formula>
    </cfRule>
  </conditionalFormatting>
  <conditionalFormatting sqref="AG66">
    <cfRule type="cellIs" dxfId="417" priority="415" operator="equal">
      <formula>0</formula>
    </cfRule>
    <cfRule type="cellIs" dxfId="416" priority="416" operator="greaterThan">
      <formula>0</formula>
    </cfRule>
  </conditionalFormatting>
  <conditionalFormatting sqref="AH66">
    <cfRule type="cellIs" dxfId="415" priority="413" operator="equal">
      <formula>0</formula>
    </cfRule>
    <cfRule type="cellIs" dxfId="414" priority="414" operator="greaterThan">
      <formula>0</formula>
    </cfRule>
  </conditionalFormatting>
  <conditionalFormatting sqref="AI66">
    <cfRule type="cellIs" dxfId="413" priority="411" operator="equal">
      <formula>0</formula>
    </cfRule>
    <cfRule type="cellIs" dxfId="412" priority="412" operator="greaterThan">
      <formula>0</formula>
    </cfRule>
  </conditionalFormatting>
  <conditionalFormatting sqref="AJ66">
    <cfRule type="cellIs" dxfId="411" priority="409" operator="equal">
      <formula>0</formula>
    </cfRule>
    <cfRule type="cellIs" dxfId="410" priority="410" operator="greaterThan">
      <formula>0</formula>
    </cfRule>
  </conditionalFormatting>
  <conditionalFormatting sqref="U60:U61">
    <cfRule type="cellIs" dxfId="409" priority="407" operator="equal">
      <formula>0</formula>
    </cfRule>
    <cfRule type="cellIs" dxfId="408" priority="408" operator="notEqual">
      <formula>0</formula>
    </cfRule>
  </conditionalFormatting>
  <conditionalFormatting sqref="V60:V61">
    <cfRule type="cellIs" dxfId="407" priority="405" operator="equal">
      <formula>0</formula>
    </cfRule>
    <cfRule type="cellIs" dxfId="406" priority="406" operator="notEqual">
      <formula>0</formula>
    </cfRule>
  </conditionalFormatting>
  <conditionalFormatting sqref="W60:W61">
    <cfRule type="cellIs" dxfId="405" priority="403" operator="equal">
      <formula>0</formula>
    </cfRule>
    <cfRule type="cellIs" dxfId="404" priority="404" operator="notEqual">
      <formula>0</formula>
    </cfRule>
  </conditionalFormatting>
  <conditionalFormatting sqref="X60:X61">
    <cfRule type="cellIs" dxfId="403" priority="401" operator="equal">
      <formula>0</formula>
    </cfRule>
    <cfRule type="cellIs" dxfId="402" priority="402" operator="notEqual">
      <formula>0</formula>
    </cfRule>
  </conditionalFormatting>
  <conditionalFormatting sqref="Y60:Y61">
    <cfRule type="cellIs" dxfId="401" priority="399" operator="equal">
      <formula>0</formula>
    </cfRule>
    <cfRule type="cellIs" dxfId="400" priority="400" operator="notEqual">
      <formula>0</formula>
    </cfRule>
  </conditionalFormatting>
  <conditionalFormatting sqref="Z60:Z61">
    <cfRule type="cellIs" dxfId="399" priority="397" operator="equal">
      <formula>0</formula>
    </cfRule>
    <cfRule type="cellIs" dxfId="398" priority="398" operator="notEqual">
      <formula>0</formula>
    </cfRule>
  </conditionalFormatting>
  <conditionalFormatting sqref="AA60:AA61">
    <cfRule type="cellIs" dxfId="397" priority="395" operator="equal">
      <formula>0</formula>
    </cfRule>
    <cfRule type="cellIs" dxfId="396" priority="396" operator="notEqual">
      <formula>0</formula>
    </cfRule>
  </conditionalFormatting>
  <conditionalFormatting sqref="AB60:AB61">
    <cfRule type="cellIs" dxfId="395" priority="393" operator="equal">
      <formula>0</formula>
    </cfRule>
    <cfRule type="cellIs" dxfId="394" priority="394" operator="notEqual">
      <formula>0</formula>
    </cfRule>
  </conditionalFormatting>
  <conditionalFormatting sqref="AG59">
    <cfRule type="cellIs" dxfId="393" priority="391" operator="equal">
      <formula>0</formula>
    </cfRule>
    <cfRule type="cellIs" dxfId="392" priority="392" operator="greaterThan">
      <formula>0</formula>
    </cfRule>
  </conditionalFormatting>
  <conditionalFormatting sqref="AH59">
    <cfRule type="cellIs" dxfId="391" priority="389" operator="equal">
      <formula>0</formula>
    </cfRule>
    <cfRule type="cellIs" dxfId="390" priority="390" operator="greaterThan">
      <formula>0</formula>
    </cfRule>
  </conditionalFormatting>
  <conditionalFormatting sqref="AI59">
    <cfRule type="cellIs" dxfId="389" priority="387" operator="equal">
      <formula>0</formula>
    </cfRule>
    <cfRule type="cellIs" dxfId="388" priority="388" operator="greaterThan">
      <formula>0</formula>
    </cfRule>
  </conditionalFormatting>
  <conditionalFormatting sqref="AJ59">
    <cfRule type="cellIs" dxfId="387" priority="385" operator="equal">
      <formula>0</formula>
    </cfRule>
    <cfRule type="cellIs" dxfId="386" priority="386" operator="greaterThan">
      <formula>0</formula>
    </cfRule>
  </conditionalFormatting>
  <conditionalFormatting sqref="U53:U54">
    <cfRule type="cellIs" dxfId="385" priority="383" operator="equal">
      <formula>0</formula>
    </cfRule>
    <cfRule type="cellIs" dxfId="384" priority="384" operator="notEqual">
      <formula>0</formula>
    </cfRule>
  </conditionalFormatting>
  <conditionalFormatting sqref="V53:V54">
    <cfRule type="cellIs" dxfId="383" priority="381" operator="equal">
      <formula>0</formula>
    </cfRule>
    <cfRule type="cellIs" dxfId="382" priority="382" operator="notEqual">
      <formula>0</formula>
    </cfRule>
  </conditionalFormatting>
  <conditionalFormatting sqref="W53:W54">
    <cfRule type="cellIs" dxfId="381" priority="379" operator="equal">
      <formula>0</formula>
    </cfRule>
    <cfRule type="cellIs" dxfId="380" priority="380" operator="notEqual">
      <formula>0</formula>
    </cfRule>
  </conditionalFormatting>
  <conditionalFormatting sqref="X53:X54">
    <cfRule type="cellIs" dxfId="379" priority="377" operator="equal">
      <formula>0</formula>
    </cfRule>
    <cfRule type="cellIs" dxfId="378" priority="378" operator="notEqual">
      <formula>0</formula>
    </cfRule>
  </conditionalFormatting>
  <conditionalFormatting sqref="Y53:Y54">
    <cfRule type="cellIs" dxfId="377" priority="375" operator="equal">
      <formula>0</formula>
    </cfRule>
    <cfRule type="cellIs" dxfId="376" priority="376" operator="notEqual">
      <formula>0</formula>
    </cfRule>
  </conditionalFormatting>
  <conditionalFormatting sqref="Z53:Z54">
    <cfRule type="cellIs" dxfId="375" priority="373" operator="equal">
      <formula>0</formula>
    </cfRule>
    <cfRule type="cellIs" dxfId="374" priority="374" operator="notEqual">
      <formula>0</formula>
    </cfRule>
  </conditionalFormatting>
  <conditionalFormatting sqref="AA53:AA54">
    <cfRule type="cellIs" dxfId="373" priority="371" operator="equal">
      <formula>0</formula>
    </cfRule>
    <cfRule type="cellIs" dxfId="372" priority="372" operator="notEqual">
      <formula>0</formula>
    </cfRule>
  </conditionalFormatting>
  <conditionalFormatting sqref="AB53:AB54">
    <cfRule type="cellIs" dxfId="371" priority="369" operator="equal">
      <formula>0</formula>
    </cfRule>
    <cfRule type="cellIs" dxfId="370" priority="370" operator="notEqual">
      <formula>0</formula>
    </cfRule>
  </conditionalFormatting>
  <conditionalFormatting sqref="AG52">
    <cfRule type="cellIs" dxfId="369" priority="367" operator="equal">
      <formula>0</formula>
    </cfRule>
    <cfRule type="cellIs" dxfId="368" priority="368" operator="greaterThan">
      <formula>0</formula>
    </cfRule>
  </conditionalFormatting>
  <conditionalFormatting sqref="AH52">
    <cfRule type="cellIs" dxfId="367" priority="365" operator="equal">
      <formula>0</formula>
    </cfRule>
    <cfRule type="cellIs" dxfId="366" priority="366" operator="greaterThan">
      <formula>0</formula>
    </cfRule>
  </conditionalFormatting>
  <conditionalFormatting sqref="AI52">
    <cfRule type="cellIs" dxfId="365" priority="363" operator="equal">
      <formula>0</formula>
    </cfRule>
    <cfRule type="cellIs" dxfId="364" priority="364" operator="greaterThan">
      <formula>0</formula>
    </cfRule>
  </conditionalFormatting>
  <conditionalFormatting sqref="AJ52">
    <cfRule type="cellIs" dxfId="363" priority="361" operator="equal">
      <formula>0</formula>
    </cfRule>
    <cfRule type="cellIs" dxfId="362" priority="362" operator="greaterThan">
      <formula>0</formula>
    </cfRule>
  </conditionalFormatting>
  <conditionalFormatting sqref="U46:U47">
    <cfRule type="cellIs" dxfId="361" priority="359" operator="equal">
      <formula>0</formula>
    </cfRule>
    <cfRule type="cellIs" dxfId="360" priority="360" operator="notEqual">
      <formula>0</formula>
    </cfRule>
  </conditionalFormatting>
  <conditionalFormatting sqref="V46:V47">
    <cfRule type="cellIs" dxfId="359" priority="357" operator="equal">
      <formula>0</formula>
    </cfRule>
    <cfRule type="cellIs" dxfId="358" priority="358" operator="notEqual">
      <formula>0</formula>
    </cfRule>
  </conditionalFormatting>
  <conditionalFormatting sqref="W46:W47">
    <cfRule type="cellIs" dxfId="357" priority="355" operator="equal">
      <formula>0</formula>
    </cfRule>
    <cfRule type="cellIs" dxfId="356" priority="356" operator="notEqual">
      <formula>0</formula>
    </cfRule>
  </conditionalFormatting>
  <conditionalFormatting sqref="X46:X47">
    <cfRule type="cellIs" dxfId="355" priority="353" operator="equal">
      <formula>0</formula>
    </cfRule>
    <cfRule type="cellIs" dxfId="354" priority="354" operator="notEqual">
      <formula>0</formula>
    </cfRule>
  </conditionalFormatting>
  <conditionalFormatting sqref="Y46:Y47">
    <cfRule type="cellIs" dxfId="353" priority="351" operator="equal">
      <formula>0</formula>
    </cfRule>
    <cfRule type="cellIs" dxfId="352" priority="352" operator="notEqual">
      <formula>0</formula>
    </cfRule>
  </conditionalFormatting>
  <conditionalFormatting sqref="Z46:Z47">
    <cfRule type="cellIs" dxfId="351" priority="349" operator="equal">
      <formula>0</formula>
    </cfRule>
    <cfRule type="cellIs" dxfId="350" priority="350" operator="notEqual">
      <formula>0</formula>
    </cfRule>
  </conditionalFormatting>
  <conditionalFormatting sqref="AA46:AA47">
    <cfRule type="cellIs" dxfId="349" priority="347" operator="equal">
      <formula>0</formula>
    </cfRule>
    <cfRule type="cellIs" dxfId="348" priority="348" operator="notEqual">
      <formula>0</formula>
    </cfRule>
  </conditionalFormatting>
  <conditionalFormatting sqref="AB46:AB47">
    <cfRule type="cellIs" dxfId="347" priority="345" operator="equal">
      <formula>0</formula>
    </cfRule>
    <cfRule type="cellIs" dxfId="346" priority="346" operator="notEqual">
      <formula>0</formula>
    </cfRule>
  </conditionalFormatting>
  <conditionalFormatting sqref="AG45">
    <cfRule type="cellIs" dxfId="345" priority="343" operator="equal">
      <formula>0</formula>
    </cfRule>
    <cfRule type="cellIs" dxfId="344" priority="344" operator="greaterThan">
      <formula>0</formula>
    </cfRule>
  </conditionalFormatting>
  <conditionalFormatting sqref="AH45">
    <cfRule type="cellIs" dxfId="343" priority="341" operator="equal">
      <formula>0</formula>
    </cfRule>
    <cfRule type="cellIs" dxfId="342" priority="342" operator="greaterThan">
      <formula>0</formula>
    </cfRule>
  </conditionalFormatting>
  <conditionalFormatting sqref="AI45">
    <cfRule type="cellIs" dxfId="341" priority="339" operator="equal">
      <formula>0</formula>
    </cfRule>
    <cfRule type="cellIs" dxfId="340" priority="340" operator="greaterThan">
      <formula>0</formula>
    </cfRule>
  </conditionalFormatting>
  <conditionalFormatting sqref="AJ45">
    <cfRule type="cellIs" dxfId="339" priority="337" operator="equal">
      <formula>0</formula>
    </cfRule>
    <cfRule type="cellIs" dxfId="338" priority="338" operator="greaterThan">
      <formula>0</formula>
    </cfRule>
  </conditionalFormatting>
  <conditionalFormatting sqref="U39:U40">
    <cfRule type="cellIs" dxfId="337" priority="335" operator="equal">
      <formula>0</formula>
    </cfRule>
    <cfRule type="cellIs" dxfId="336" priority="336" operator="notEqual">
      <formula>0</formula>
    </cfRule>
  </conditionalFormatting>
  <conditionalFormatting sqref="V39:V40">
    <cfRule type="cellIs" dxfId="335" priority="333" operator="equal">
      <formula>0</formula>
    </cfRule>
    <cfRule type="cellIs" dxfId="334" priority="334" operator="notEqual">
      <formula>0</formula>
    </cfRule>
  </conditionalFormatting>
  <conditionalFormatting sqref="W39:W40">
    <cfRule type="cellIs" dxfId="333" priority="331" operator="equal">
      <formula>0</formula>
    </cfRule>
    <cfRule type="cellIs" dxfId="332" priority="332" operator="notEqual">
      <formula>0</formula>
    </cfRule>
  </conditionalFormatting>
  <conditionalFormatting sqref="X39:X40">
    <cfRule type="cellIs" dxfId="331" priority="329" operator="equal">
      <formula>0</formula>
    </cfRule>
    <cfRule type="cellIs" dxfId="330" priority="330" operator="notEqual">
      <formula>0</formula>
    </cfRule>
  </conditionalFormatting>
  <conditionalFormatting sqref="Y39:Y40">
    <cfRule type="cellIs" dxfId="329" priority="327" operator="equal">
      <formula>0</formula>
    </cfRule>
    <cfRule type="cellIs" dxfId="328" priority="328" operator="notEqual">
      <formula>0</formula>
    </cfRule>
  </conditionalFormatting>
  <conditionalFormatting sqref="Z39:Z40">
    <cfRule type="cellIs" dxfId="327" priority="325" operator="equal">
      <formula>0</formula>
    </cfRule>
    <cfRule type="cellIs" dxfId="326" priority="326" operator="notEqual">
      <formula>0</formula>
    </cfRule>
  </conditionalFormatting>
  <conditionalFormatting sqref="AA39:AA40">
    <cfRule type="cellIs" dxfId="325" priority="323" operator="equal">
      <formula>0</formula>
    </cfRule>
    <cfRule type="cellIs" dxfId="324" priority="324" operator="notEqual">
      <formula>0</formula>
    </cfRule>
  </conditionalFormatting>
  <conditionalFormatting sqref="AB39:AB40">
    <cfRule type="cellIs" dxfId="323" priority="321" operator="equal">
      <formula>0</formula>
    </cfRule>
    <cfRule type="cellIs" dxfId="322" priority="322" operator="notEqual">
      <formula>0</formula>
    </cfRule>
  </conditionalFormatting>
  <conditionalFormatting sqref="AG38">
    <cfRule type="cellIs" dxfId="321" priority="319" operator="equal">
      <formula>0</formula>
    </cfRule>
    <cfRule type="cellIs" dxfId="320" priority="320" operator="greaterThan">
      <formula>0</formula>
    </cfRule>
  </conditionalFormatting>
  <conditionalFormatting sqref="AH38">
    <cfRule type="cellIs" dxfId="319" priority="317" operator="equal">
      <formula>0</formula>
    </cfRule>
    <cfRule type="cellIs" dxfId="318" priority="318" operator="greaterThan">
      <formula>0</formula>
    </cfRule>
  </conditionalFormatting>
  <conditionalFormatting sqref="AI38">
    <cfRule type="cellIs" dxfId="317" priority="315" operator="equal">
      <formula>0</formula>
    </cfRule>
    <cfRule type="cellIs" dxfId="316" priority="316" operator="greaterThan">
      <formula>0</formula>
    </cfRule>
  </conditionalFormatting>
  <conditionalFormatting sqref="AJ38">
    <cfRule type="cellIs" dxfId="315" priority="313" operator="equal">
      <formula>0</formula>
    </cfRule>
    <cfRule type="cellIs" dxfId="314" priority="314" operator="greaterThan">
      <formula>0</formula>
    </cfRule>
  </conditionalFormatting>
  <conditionalFormatting sqref="U32:U33">
    <cfRule type="cellIs" dxfId="313" priority="311" operator="equal">
      <formula>0</formula>
    </cfRule>
    <cfRule type="cellIs" dxfId="312" priority="312" operator="notEqual">
      <formula>0</formula>
    </cfRule>
  </conditionalFormatting>
  <conditionalFormatting sqref="V32:V33">
    <cfRule type="cellIs" dxfId="311" priority="309" operator="equal">
      <formula>0</formula>
    </cfRule>
    <cfRule type="cellIs" dxfId="310" priority="310" operator="notEqual">
      <formula>0</formula>
    </cfRule>
  </conditionalFormatting>
  <conditionalFormatting sqref="W32:W33">
    <cfRule type="cellIs" dxfId="309" priority="307" operator="equal">
      <formula>0</formula>
    </cfRule>
    <cfRule type="cellIs" dxfId="308" priority="308" operator="notEqual">
      <formula>0</formula>
    </cfRule>
  </conditionalFormatting>
  <conditionalFormatting sqref="X32:X33">
    <cfRule type="cellIs" dxfId="307" priority="305" operator="equal">
      <formula>0</formula>
    </cfRule>
    <cfRule type="cellIs" dxfId="306" priority="306" operator="notEqual">
      <formula>0</formula>
    </cfRule>
  </conditionalFormatting>
  <conditionalFormatting sqref="Y32:Y33">
    <cfRule type="cellIs" dxfId="305" priority="303" operator="equal">
      <formula>0</formula>
    </cfRule>
    <cfRule type="cellIs" dxfId="304" priority="304" operator="notEqual">
      <formula>0</formula>
    </cfRule>
  </conditionalFormatting>
  <conditionalFormatting sqref="Z32:Z33">
    <cfRule type="cellIs" dxfId="303" priority="301" operator="equal">
      <formula>0</formula>
    </cfRule>
    <cfRule type="cellIs" dxfId="302" priority="302" operator="notEqual">
      <formula>0</formula>
    </cfRule>
  </conditionalFormatting>
  <conditionalFormatting sqref="AA32:AA33">
    <cfRule type="cellIs" dxfId="301" priority="299" operator="equal">
      <formula>0</formula>
    </cfRule>
    <cfRule type="cellIs" dxfId="300" priority="300" operator="notEqual">
      <formula>0</formula>
    </cfRule>
  </conditionalFormatting>
  <conditionalFormatting sqref="AB32:AB33">
    <cfRule type="cellIs" dxfId="299" priority="297" operator="equal">
      <formula>0</formula>
    </cfRule>
    <cfRule type="cellIs" dxfId="298" priority="298" operator="notEqual">
      <formula>0</formula>
    </cfRule>
  </conditionalFormatting>
  <conditionalFormatting sqref="AG31">
    <cfRule type="cellIs" dxfId="297" priority="295" operator="equal">
      <formula>0</formula>
    </cfRule>
    <cfRule type="cellIs" dxfId="296" priority="296" operator="greaterThan">
      <formula>0</formula>
    </cfRule>
  </conditionalFormatting>
  <conditionalFormatting sqref="AH31">
    <cfRule type="cellIs" dxfId="295" priority="293" operator="equal">
      <formula>0</formula>
    </cfRule>
    <cfRule type="cellIs" dxfId="294" priority="294" operator="greaterThan">
      <formula>0</formula>
    </cfRule>
  </conditionalFormatting>
  <conditionalFormatting sqref="AI31">
    <cfRule type="cellIs" dxfId="293" priority="291" operator="equal">
      <formula>0</formula>
    </cfRule>
    <cfRule type="cellIs" dxfId="292" priority="292" operator="greaterThan">
      <formula>0</formula>
    </cfRule>
  </conditionalFormatting>
  <conditionalFormatting sqref="AJ31">
    <cfRule type="cellIs" dxfId="291" priority="289" operator="equal">
      <formula>0</formula>
    </cfRule>
    <cfRule type="cellIs" dxfId="290" priority="290" operator="greaterThan">
      <formula>0</formula>
    </cfRule>
  </conditionalFormatting>
  <conditionalFormatting sqref="U25:U26">
    <cfRule type="cellIs" dxfId="289" priority="287" operator="equal">
      <formula>0</formula>
    </cfRule>
    <cfRule type="cellIs" dxfId="288" priority="288" operator="notEqual">
      <formula>0</formula>
    </cfRule>
  </conditionalFormatting>
  <conditionalFormatting sqref="V25:V26">
    <cfRule type="cellIs" dxfId="287" priority="285" operator="equal">
      <formula>0</formula>
    </cfRule>
    <cfRule type="cellIs" dxfId="286" priority="286" operator="notEqual">
      <formula>0</formula>
    </cfRule>
  </conditionalFormatting>
  <conditionalFormatting sqref="W25:W26">
    <cfRule type="cellIs" dxfId="285" priority="283" operator="equal">
      <formula>0</formula>
    </cfRule>
    <cfRule type="cellIs" dxfId="284" priority="284" operator="notEqual">
      <formula>0</formula>
    </cfRule>
  </conditionalFormatting>
  <conditionalFormatting sqref="X25:X26">
    <cfRule type="cellIs" dxfId="283" priority="281" operator="equal">
      <formula>0</formula>
    </cfRule>
    <cfRule type="cellIs" dxfId="282" priority="282" operator="notEqual">
      <formula>0</formula>
    </cfRule>
  </conditionalFormatting>
  <conditionalFormatting sqref="Y25:Y26">
    <cfRule type="cellIs" dxfId="281" priority="279" operator="equal">
      <formula>0</formula>
    </cfRule>
    <cfRule type="cellIs" dxfId="280" priority="280" operator="notEqual">
      <formula>0</formula>
    </cfRule>
  </conditionalFormatting>
  <conditionalFormatting sqref="Z25:Z26">
    <cfRule type="cellIs" dxfId="279" priority="277" operator="equal">
      <formula>0</formula>
    </cfRule>
    <cfRule type="cellIs" dxfId="278" priority="278" operator="notEqual">
      <formula>0</formula>
    </cfRule>
  </conditionalFormatting>
  <conditionalFormatting sqref="AA25:AA26">
    <cfRule type="cellIs" dxfId="277" priority="275" operator="equal">
      <formula>0</formula>
    </cfRule>
    <cfRule type="cellIs" dxfId="276" priority="276" operator="notEqual">
      <formula>0</formula>
    </cfRule>
  </conditionalFormatting>
  <conditionalFormatting sqref="AB25:AB26">
    <cfRule type="cellIs" dxfId="275" priority="273" operator="equal">
      <formula>0</formula>
    </cfRule>
    <cfRule type="cellIs" dxfId="274" priority="274" operator="notEqual">
      <formula>0</formula>
    </cfRule>
  </conditionalFormatting>
  <conditionalFormatting sqref="AG24">
    <cfRule type="cellIs" dxfId="273" priority="271" operator="equal">
      <formula>0</formula>
    </cfRule>
    <cfRule type="cellIs" dxfId="272" priority="272" operator="greaterThan">
      <formula>0</formula>
    </cfRule>
  </conditionalFormatting>
  <conditionalFormatting sqref="AH24">
    <cfRule type="cellIs" dxfId="271" priority="269" operator="equal">
      <formula>0</formula>
    </cfRule>
    <cfRule type="cellIs" dxfId="270" priority="270" operator="greaterThan">
      <formula>0</formula>
    </cfRule>
  </conditionalFormatting>
  <conditionalFormatting sqref="AI24">
    <cfRule type="cellIs" dxfId="269" priority="267" operator="equal">
      <formula>0</formula>
    </cfRule>
    <cfRule type="cellIs" dxfId="268" priority="268" operator="greaterThan">
      <formula>0</formula>
    </cfRule>
  </conditionalFormatting>
  <conditionalFormatting sqref="AJ24">
    <cfRule type="cellIs" dxfId="267" priority="265" operator="equal">
      <formula>0</formula>
    </cfRule>
    <cfRule type="cellIs" dxfId="266" priority="266" operator="greaterThan">
      <formula>0</formula>
    </cfRule>
  </conditionalFormatting>
  <conditionalFormatting sqref="U18:U19">
    <cfRule type="cellIs" dxfId="265" priority="263" operator="equal">
      <formula>0</formula>
    </cfRule>
    <cfRule type="cellIs" dxfId="264" priority="264" operator="notEqual">
      <formula>0</formula>
    </cfRule>
  </conditionalFormatting>
  <conditionalFormatting sqref="V18:V19">
    <cfRule type="cellIs" dxfId="263" priority="261" operator="equal">
      <formula>0</formula>
    </cfRule>
    <cfRule type="cellIs" dxfId="262" priority="262" operator="notEqual">
      <formula>0</formula>
    </cfRule>
  </conditionalFormatting>
  <conditionalFormatting sqref="W18:W19">
    <cfRule type="cellIs" dxfId="261" priority="259" operator="equal">
      <formula>0</formula>
    </cfRule>
    <cfRule type="cellIs" dxfId="260" priority="260" operator="notEqual">
      <formula>0</formula>
    </cfRule>
  </conditionalFormatting>
  <conditionalFormatting sqref="X18:X19">
    <cfRule type="cellIs" dxfId="259" priority="257" operator="equal">
      <formula>0</formula>
    </cfRule>
    <cfRule type="cellIs" dxfId="258" priority="258" operator="notEqual">
      <formula>0</formula>
    </cfRule>
  </conditionalFormatting>
  <conditionalFormatting sqref="Y18:Y19">
    <cfRule type="cellIs" dxfId="257" priority="255" operator="equal">
      <formula>0</formula>
    </cfRule>
    <cfRule type="cellIs" dxfId="256" priority="256" operator="notEqual">
      <formula>0</formula>
    </cfRule>
  </conditionalFormatting>
  <conditionalFormatting sqref="Z18:Z19">
    <cfRule type="cellIs" dxfId="255" priority="253" operator="equal">
      <formula>0</formula>
    </cfRule>
    <cfRule type="cellIs" dxfId="254" priority="254" operator="notEqual">
      <formula>0</formula>
    </cfRule>
  </conditionalFormatting>
  <conditionalFormatting sqref="AA18:AA19">
    <cfRule type="cellIs" dxfId="253" priority="251" operator="equal">
      <formula>0</formula>
    </cfRule>
    <cfRule type="cellIs" dxfId="252" priority="252" operator="notEqual">
      <formula>0</formula>
    </cfRule>
  </conditionalFormatting>
  <conditionalFormatting sqref="AB18:AB19">
    <cfRule type="cellIs" dxfId="251" priority="249" operator="equal">
      <formula>0</formula>
    </cfRule>
    <cfRule type="cellIs" dxfId="250" priority="250" operator="notEqual">
      <formula>0</formula>
    </cfRule>
  </conditionalFormatting>
  <conditionalFormatting sqref="AG17">
    <cfRule type="cellIs" dxfId="249" priority="247" operator="equal">
      <formula>0</formula>
    </cfRule>
    <cfRule type="cellIs" dxfId="248" priority="248" operator="greaterThan">
      <formula>0</formula>
    </cfRule>
  </conditionalFormatting>
  <conditionalFormatting sqref="AH17">
    <cfRule type="cellIs" dxfId="247" priority="245" operator="equal">
      <formula>0</formula>
    </cfRule>
    <cfRule type="cellIs" dxfId="246" priority="246" operator="greaterThan">
      <formula>0</formula>
    </cfRule>
  </conditionalFormatting>
  <conditionalFormatting sqref="AI17">
    <cfRule type="cellIs" dxfId="245" priority="243" operator="equal">
      <formula>0</formula>
    </cfRule>
    <cfRule type="cellIs" dxfId="244" priority="244" operator="greaterThan">
      <formula>0</formula>
    </cfRule>
  </conditionalFormatting>
  <conditionalFormatting sqref="AJ17">
    <cfRule type="cellIs" dxfId="243" priority="241" operator="equal">
      <formula>0</formula>
    </cfRule>
    <cfRule type="cellIs" dxfId="242" priority="242" operator="greaterThan">
      <formula>0</formula>
    </cfRule>
  </conditionalFormatting>
  <conditionalFormatting sqref="U11:U12">
    <cfRule type="cellIs" dxfId="241" priority="239" operator="equal">
      <formula>0</formula>
    </cfRule>
    <cfRule type="cellIs" dxfId="240" priority="240" operator="notEqual">
      <formula>0</formula>
    </cfRule>
  </conditionalFormatting>
  <conditionalFormatting sqref="V11:V12">
    <cfRule type="cellIs" dxfId="239" priority="237" operator="equal">
      <formula>0</formula>
    </cfRule>
    <cfRule type="cellIs" dxfId="238" priority="238" operator="notEqual">
      <formula>0</formula>
    </cfRule>
  </conditionalFormatting>
  <conditionalFormatting sqref="W11:W12">
    <cfRule type="cellIs" dxfId="237" priority="235" operator="equal">
      <formula>0</formula>
    </cfRule>
    <cfRule type="cellIs" dxfId="236" priority="236" operator="notEqual">
      <formula>0</formula>
    </cfRule>
  </conditionalFormatting>
  <conditionalFormatting sqref="X11:X12">
    <cfRule type="cellIs" dxfId="235" priority="233" operator="equal">
      <formula>0</formula>
    </cfRule>
    <cfRule type="cellIs" dxfId="234" priority="234" operator="notEqual">
      <formula>0</formula>
    </cfRule>
  </conditionalFormatting>
  <conditionalFormatting sqref="Y11:Y12">
    <cfRule type="cellIs" dxfId="233" priority="231" operator="equal">
      <formula>0</formula>
    </cfRule>
    <cfRule type="cellIs" dxfId="232" priority="232" operator="notEqual">
      <formula>0</formula>
    </cfRule>
  </conditionalFormatting>
  <conditionalFormatting sqref="Z11:Z12">
    <cfRule type="cellIs" dxfId="231" priority="229" operator="equal">
      <formula>0</formula>
    </cfRule>
    <cfRule type="cellIs" dxfId="230" priority="230" operator="notEqual">
      <formula>0</formula>
    </cfRule>
  </conditionalFormatting>
  <conditionalFormatting sqref="AA11:AA12">
    <cfRule type="cellIs" dxfId="229" priority="227" operator="equal">
      <formula>0</formula>
    </cfRule>
    <cfRule type="cellIs" dxfId="228" priority="228" operator="notEqual">
      <formula>0</formula>
    </cfRule>
  </conditionalFormatting>
  <conditionalFormatting sqref="AB11:AB12">
    <cfRule type="cellIs" dxfId="227" priority="225" operator="equal">
      <formula>0</formula>
    </cfRule>
    <cfRule type="cellIs" dxfId="226" priority="226" operator="notEqual">
      <formula>0</formula>
    </cfRule>
  </conditionalFormatting>
  <conditionalFormatting sqref="AG10">
    <cfRule type="cellIs" dxfId="225" priority="223" operator="equal">
      <formula>0</formula>
    </cfRule>
    <cfRule type="cellIs" dxfId="224" priority="224" operator="greaterThan">
      <formula>0</formula>
    </cfRule>
  </conditionalFormatting>
  <conditionalFormatting sqref="AH10">
    <cfRule type="cellIs" dxfId="223" priority="221" operator="equal">
      <formula>0</formula>
    </cfRule>
    <cfRule type="cellIs" dxfId="222" priority="222" operator="greaterThan">
      <formula>0</formula>
    </cfRule>
  </conditionalFormatting>
  <conditionalFormatting sqref="AI10">
    <cfRule type="cellIs" dxfId="221" priority="219" operator="equal">
      <formula>0</formula>
    </cfRule>
    <cfRule type="cellIs" dxfId="220" priority="220" operator="greaterThan">
      <formula>0</formula>
    </cfRule>
  </conditionalFormatting>
  <conditionalFormatting sqref="AJ10">
    <cfRule type="cellIs" dxfId="219" priority="217" operator="equal">
      <formula>0</formula>
    </cfRule>
    <cfRule type="cellIs" dxfId="218" priority="218" operator="greaterThan">
      <formula>0</formula>
    </cfRule>
  </conditionalFormatting>
  <conditionalFormatting sqref="C81:C82">
    <cfRule type="cellIs" dxfId="217" priority="215" operator="equal">
      <formula>0</formula>
    </cfRule>
    <cfRule type="cellIs" dxfId="216" priority="216" operator="notEqual">
      <formula>0</formula>
    </cfRule>
  </conditionalFormatting>
  <conditionalFormatting sqref="D81:D82">
    <cfRule type="cellIs" dxfId="215" priority="213" operator="equal">
      <formula>0</formula>
    </cfRule>
    <cfRule type="cellIs" dxfId="214" priority="214" operator="notEqual">
      <formula>0</formula>
    </cfRule>
  </conditionalFormatting>
  <conditionalFormatting sqref="E81:E82">
    <cfRule type="cellIs" dxfId="213" priority="211" operator="equal">
      <formula>0</formula>
    </cfRule>
    <cfRule type="cellIs" dxfId="212" priority="212" operator="notEqual">
      <formula>0</formula>
    </cfRule>
  </conditionalFormatting>
  <conditionalFormatting sqref="F81:F82">
    <cfRule type="cellIs" dxfId="211" priority="209" operator="equal">
      <formula>0</formula>
    </cfRule>
    <cfRule type="cellIs" dxfId="210" priority="210" operator="notEqual">
      <formula>0</formula>
    </cfRule>
  </conditionalFormatting>
  <conditionalFormatting sqref="G81:G82">
    <cfRule type="cellIs" dxfId="209" priority="207" operator="equal">
      <formula>0</formula>
    </cfRule>
    <cfRule type="cellIs" dxfId="208" priority="208" operator="notEqual">
      <formula>0</formula>
    </cfRule>
  </conditionalFormatting>
  <conditionalFormatting sqref="H81:H82">
    <cfRule type="cellIs" dxfId="207" priority="205" operator="equal">
      <formula>0</formula>
    </cfRule>
    <cfRule type="cellIs" dxfId="206" priority="206" operator="notEqual">
      <formula>0</formula>
    </cfRule>
  </conditionalFormatting>
  <conditionalFormatting sqref="I81:I82">
    <cfRule type="cellIs" dxfId="205" priority="203" operator="equal">
      <formula>0</formula>
    </cfRule>
    <cfRule type="cellIs" dxfId="204" priority="204" operator="notEqual">
      <formula>0</formula>
    </cfRule>
  </conditionalFormatting>
  <conditionalFormatting sqref="J81:J82">
    <cfRule type="cellIs" dxfId="203" priority="201" operator="equal">
      <formula>0</formula>
    </cfRule>
    <cfRule type="cellIs" dxfId="202" priority="202" operator="notEqual">
      <formula>0</formula>
    </cfRule>
  </conditionalFormatting>
  <conditionalFormatting sqref="O80">
    <cfRule type="cellIs" dxfId="201" priority="199" operator="equal">
      <formula>0</formula>
    </cfRule>
    <cfRule type="cellIs" dxfId="200" priority="200" operator="greaterThan">
      <formula>0</formula>
    </cfRule>
  </conditionalFormatting>
  <conditionalFormatting sqref="P80">
    <cfRule type="cellIs" dxfId="199" priority="197" operator="equal">
      <formula>0</formula>
    </cfRule>
    <cfRule type="cellIs" dxfId="198" priority="198" operator="greaterThan">
      <formula>0</formula>
    </cfRule>
  </conditionalFormatting>
  <conditionalFormatting sqref="Q80">
    <cfRule type="cellIs" dxfId="197" priority="195" operator="equal">
      <formula>0</formula>
    </cfRule>
    <cfRule type="cellIs" dxfId="196" priority="196" operator="greaterThan">
      <formula>0</formula>
    </cfRule>
  </conditionalFormatting>
  <conditionalFormatting sqref="R80">
    <cfRule type="cellIs" dxfId="195" priority="193" operator="equal">
      <formula>0</formula>
    </cfRule>
    <cfRule type="cellIs" dxfId="194" priority="194" operator="greaterThan">
      <formula>0</formula>
    </cfRule>
  </conditionalFormatting>
  <conditionalFormatting sqref="C88:C89">
    <cfRule type="cellIs" dxfId="193" priority="191" operator="equal">
      <formula>0</formula>
    </cfRule>
    <cfRule type="cellIs" dxfId="192" priority="192" operator="notEqual">
      <formula>0</formula>
    </cfRule>
  </conditionalFormatting>
  <conditionalFormatting sqref="D88:D89">
    <cfRule type="cellIs" dxfId="191" priority="189" operator="equal">
      <formula>0</formula>
    </cfRule>
    <cfRule type="cellIs" dxfId="190" priority="190" operator="notEqual">
      <formula>0</formula>
    </cfRule>
  </conditionalFormatting>
  <conditionalFormatting sqref="E88:E89">
    <cfRule type="cellIs" dxfId="189" priority="187" operator="equal">
      <formula>0</formula>
    </cfRule>
    <cfRule type="cellIs" dxfId="188" priority="188" operator="notEqual">
      <formula>0</formula>
    </cfRule>
  </conditionalFormatting>
  <conditionalFormatting sqref="F88:F89">
    <cfRule type="cellIs" dxfId="187" priority="185" operator="equal">
      <formula>0</formula>
    </cfRule>
    <cfRule type="cellIs" dxfId="186" priority="186" operator="notEqual">
      <formula>0</formula>
    </cfRule>
  </conditionalFormatting>
  <conditionalFormatting sqref="G88:G89">
    <cfRule type="cellIs" dxfId="185" priority="183" operator="equal">
      <formula>0</formula>
    </cfRule>
    <cfRule type="cellIs" dxfId="184" priority="184" operator="notEqual">
      <formula>0</formula>
    </cfRule>
  </conditionalFormatting>
  <conditionalFormatting sqref="H88:H89">
    <cfRule type="cellIs" dxfId="183" priority="181" operator="equal">
      <formula>0</formula>
    </cfRule>
    <cfRule type="cellIs" dxfId="182" priority="182" operator="notEqual">
      <formula>0</formula>
    </cfRule>
  </conditionalFormatting>
  <conditionalFormatting sqref="I88:I89">
    <cfRule type="cellIs" dxfId="181" priority="179" operator="equal">
      <formula>0</formula>
    </cfRule>
    <cfRule type="cellIs" dxfId="180" priority="180" operator="notEqual">
      <formula>0</formula>
    </cfRule>
  </conditionalFormatting>
  <conditionalFormatting sqref="J88:J89">
    <cfRule type="cellIs" dxfId="179" priority="177" operator="equal">
      <formula>0</formula>
    </cfRule>
    <cfRule type="cellIs" dxfId="178" priority="178" operator="notEqual">
      <formula>0</formula>
    </cfRule>
  </conditionalFormatting>
  <conditionalFormatting sqref="O87">
    <cfRule type="cellIs" dxfId="177" priority="175" operator="equal">
      <formula>0</formula>
    </cfRule>
    <cfRule type="cellIs" dxfId="176" priority="176" operator="greaterThan">
      <formula>0</formula>
    </cfRule>
  </conditionalFormatting>
  <conditionalFormatting sqref="P87">
    <cfRule type="cellIs" dxfId="175" priority="173" operator="equal">
      <formula>0</formula>
    </cfRule>
    <cfRule type="cellIs" dxfId="174" priority="174" operator="greaterThan">
      <formula>0</formula>
    </cfRule>
  </conditionalFormatting>
  <conditionalFormatting sqref="Q87">
    <cfRule type="cellIs" dxfId="173" priority="171" operator="equal">
      <formula>0</formula>
    </cfRule>
    <cfRule type="cellIs" dxfId="172" priority="172" operator="greaterThan">
      <formula>0</formula>
    </cfRule>
  </conditionalFormatting>
  <conditionalFormatting sqref="R87">
    <cfRule type="cellIs" dxfId="171" priority="169" operator="equal">
      <formula>0</formula>
    </cfRule>
    <cfRule type="cellIs" dxfId="170" priority="170" operator="greaterThan">
      <formula>0</formula>
    </cfRule>
  </conditionalFormatting>
  <conditionalFormatting sqref="C95:C96">
    <cfRule type="cellIs" dxfId="169" priority="167" operator="equal">
      <formula>0</formula>
    </cfRule>
    <cfRule type="cellIs" dxfId="168" priority="168" operator="notEqual">
      <formula>0</formula>
    </cfRule>
  </conditionalFormatting>
  <conditionalFormatting sqref="D95:D96">
    <cfRule type="cellIs" dxfId="167" priority="165" operator="equal">
      <formula>0</formula>
    </cfRule>
    <cfRule type="cellIs" dxfId="166" priority="166" operator="notEqual">
      <formula>0</formula>
    </cfRule>
  </conditionalFormatting>
  <conditionalFormatting sqref="E95:E96">
    <cfRule type="cellIs" dxfId="165" priority="163" operator="equal">
      <formula>0</formula>
    </cfRule>
    <cfRule type="cellIs" dxfId="164" priority="164" operator="notEqual">
      <formula>0</formula>
    </cfRule>
  </conditionalFormatting>
  <conditionalFormatting sqref="F95:F96">
    <cfRule type="cellIs" dxfId="163" priority="161" operator="equal">
      <formula>0</formula>
    </cfRule>
    <cfRule type="cellIs" dxfId="162" priority="162" operator="notEqual">
      <formula>0</formula>
    </cfRule>
  </conditionalFormatting>
  <conditionalFormatting sqref="G95:G96">
    <cfRule type="cellIs" dxfId="161" priority="159" operator="equal">
      <formula>0</formula>
    </cfRule>
    <cfRule type="cellIs" dxfId="160" priority="160" operator="notEqual">
      <formula>0</formula>
    </cfRule>
  </conditionalFormatting>
  <conditionalFormatting sqref="H95:H96">
    <cfRule type="cellIs" dxfId="159" priority="157" operator="equal">
      <formula>0</formula>
    </cfRule>
    <cfRule type="cellIs" dxfId="158" priority="158" operator="notEqual">
      <formula>0</formula>
    </cfRule>
  </conditionalFormatting>
  <conditionalFormatting sqref="I95:I96">
    <cfRule type="cellIs" dxfId="157" priority="155" operator="equal">
      <formula>0</formula>
    </cfRule>
    <cfRule type="cellIs" dxfId="156" priority="156" operator="notEqual">
      <formula>0</formula>
    </cfRule>
  </conditionalFormatting>
  <conditionalFormatting sqref="J95:J96">
    <cfRule type="cellIs" dxfId="155" priority="153" operator="equal">
      <formula>0</formula>
    </cfRule>
    <cfRule type="cellIs" dxfId="154" priority="154" operator="notEqual">
      <formula>0</formula>
    </cfRule>
  </conditionalFormatting>
  <conditionalFormatting sqref="O94">
    <cfRule type="cellIs" dxfId="153" priority="151" operator="equal">
      <formula>0</formula>
    </cfRule>
    <cfRule type="cellIs" dxfId="152" priority="152" operator="greaterThan">
      <formula>0</formula>
    </cfRule>
  </conditionalFormatting>
  <conditionalFormatting sqref="P94">
    <cfRule type="cellIs" dxfId="151" priority="149" operator="equal">
      <formula>0</formula>
    </cfRule>
    <cfRule type="cellIs" dxfId="150" priority="150" operator="greaterThan">
      <formula>0</formula>
    </cfRule>
  </conditionalFormatting>
  <conditionalFormatting sqref="Q94">
    <cfRule type="cellIs" dxfId="149" priority="147" operator="equal">
      <formula>0</formula>
    </cfRule>
    <cfRule type="cellIs" dxfId="148" priority="148" operator="greaterThan">
      <formula>0</formula>
    </cfRule>
  </conditionalFormatting>
  <conditionalFormatting sqref="R94">
    <cfRule type="cellIs" dxfId="147" priority="145" operator="equal">
      <formula>0</formula>
    </cfRule>
    <cfRule type="cellIs" dxfId="146" priority="146" operator="greaterThan">
      <formula>0</formula>
    </cfRule>
  </conditionalFormatting>
  <conditionalFormatting sqref="C102:C103">
    <cfRule type="cellIs" dxfId="145" priority="143" operator="equal">
      <formula>0</formula>
    </cfRule>
    <cfRule type="cellIs" dxfId="144" priority="144" operator="notEqual">
      <formula>0</formula>
    </cfRule>
  </conditionalFormatting>
  <conditionalFormatting sqref="D102:D103">
    <cfRule type="cellIs" dxfId="143" priority="141" operator="equal">
      <formula>0</formula>
    </cfRule>
    <cfRule type="cellIs" dxfId="142" priority="142" operator="notEqual">
      <formula>0</formula>
    </cfRule>
  </conditionalFormatting>
  <conditionalFormatting sqref="E102:E103">
    <cfRule type="cellIs" dxfId="141" priority="139" operator="equal">
      <formula>0</formula>
    </cfRule>
    <cfRule type="cellIs" dxfId="140" priority="140" operator="notEqual">
      <formula>0</formula>
    </cfRule>
  </conditionalFormatting>
  <conditionalFormatting sqref="F102:F103">
    <cfRule type="cellIs" dxfId="139" priority="137" operator="equal">
      <formula>0</formula>
    </cfRule>
    <cfRule type="cellIs" dxfId="138" priority="138" operator="notEqual">
      <formula>0</formula>
    </cfRule>
  </conditionalFormatting>
  <conditionalFormatting sqref="G102:G103">
    <cfRule type="cellIs" dxfId="137" priority="135" operator="equal">
      <formula>0</formula>
    </cfRule>
    <cfRule type="cellIs" dxfId="136" priority="136" operator="notEqual">
      <formula>0</formula>
    </cfRule>
  </conditionalFormatting>
  <conditionalFormatting sqref="H102:H103">
    <cfRule type="cellIs" dxfId="135" priority="133" operator="equal">
      <formula>0</formula>
    </cfRule>
    <cfRule type="cellIs" dxfId="134" priority="134" operator="notEqual">
      <formula>0</formula>
    </cfRule>
  </conditionalFormatting>
  <conditionalFormatting sqref="I102:I103">
    <cfRule type="cellIs" dxfId="133" priority="131" operator="equal">
      <formula>0</formula>
    </cfRule>
    <cfRule type="cellIs" dxfId="132" priority="132" operator="notEqual">
      <formula>0</formula>
    </cfRule>
  </conditionalFormatting>
  <conditionalFormatting sqref="J102:J103">
    <cfRule type="cellIs" dxfId="131" priority="129" operator="equal">
      <formula>0</formula>
    </cfRule>
    <cfRule type="cellIs" dxfId="130" priority="130" operator="notEqual">
      <formula>0</formula>
    </cfRule>
  </conditionalFormatting>
  <conditionalFormatting sqref="O101">
    <cfRule type="cellIs" dxfId="129" priority="127" operator="equal">
      <formula>0</formula>
    </cfRule>
    <cfRule type="cellIs" dxfId="128" priority="128" operator="greaterThan">
      <formula>0</formula>
    </cfRule>
  </conditionalFormatting>
  <conditionalFormatting sqref="P101">
    <cfRule type="cellIs" dxfId="127" priority="125" operator="equal">
      <formula>0</formula>
    </cfRule>
    <cfRule type="cellIs" dxfId="126" priority="126" operator="greaterThan">
      <formula>0</formula>
    </cfRule>
  </conditionalFormatting>
  <conditionalFormatting sqref="Q101">
    <cfRule type="cellIs" dxfId="125" priority="123" operator="equal">
      <formula>0</formula>
    </cfRule>
    <cfRule type="cellIs" dxfId="124" priority="124" operator="greaterThan">
      <formula>0</formula>
    </cfRule>
  </conditionalFormatting>
  <conditionalFormatting sqref="R101">
    <cfRule type="cellIs" dxfId="123" priority="121" operator="equal">
      <formula>0</formula>
    </cfRule>
    <cfRule type="cellIs" dxfId="122" priority="122" operator="greaterThan">
      <formula>0</formula>
    </cfRule>
  </conditionalFormatting>
  <conditionalFormatting sqref="U74:U75">
    <cfRule type="cellIs" dxfId="121" priority="119" operator="equal">
      <formula>0</formula>
    </cfRule>
    <cfRule type="cellIs" dxfId="120" priority="120" operator="notEqual">
      <formula>0</formula>
    </cfRule>
  </conditionalFormatting>
  <conditionalFormatting sqref="V74:V75">
    <cfRule type="cellIs" dxfId="119" priority="117" operator="equal">
      <formula>0</formula>
    </cfRule>
    <cfRule type="cellIs" dxfId="118" priority="118" operator="notEqual">
      <formula>0</formula>
    </cfRule>
  </conditionalFormatting>
  <conditionalFormatting sqref="W74:W75">
    <cfRule type="cellIs" dxfId="117" priority="115" operator="equal">
      <formula>0</formula>
    </cfRule>
    <cfRule type="cellIs" dxfId="116" priority="116" operator="notEqual">
      <formula>0</formula>
    </cfRule>
  </conditionalFormatting>
  <conditionalFormatting sqref="X74:X75">
    <cfRule type="cellIs" dxfId="115" priority="113" operator="equal">
      <formula>0</formula>
    </cfRule>
    <cfRule type="cellIs" dxfId="114" priority="114" operator="notEqual">
      <formula>0</formula>
    </cfRule>
  </conditionalFormatting>
  <conditionalFormatting sqref="Y74:Y75">
    <cfRule type="cellIs" dxfId="113" priority="111" operator="equal">
      <formula>0</formula>
    </cfRule>
    <cfRule type="cellIs" dxfId="112" priority="112" operator="notEqual">
      <formula>0</formula>
    </cfRule>
  </conditionalFormatting>
  <conditionalFormatting sqref="Z74:Z75">
    <cfRule type="cellIs" dxfId="111" priority="109" operator="equal">
      <formula>0</formula>
    </cfRule>
    <cfRule type="cellIs" dxfId="110" priority="110" operator="notEqual">
      <formula>0</formula>
    </cfRule>
  </conditionalFormatting>
  <conditionalFormatting sqref="AA74:AA75">
    <cfRule type="cellIs" dxfId="109" priority="107" operator="equal">
      <formula>0</formula>
    </cfRule>
    <cfRule type="cellIs" dxfId="108" priority="108" operator="notEqual">
      <formula>0</formula>
    </cfRule>
  </conditionalFormatting>
  <conditionalFormatting sqref="AB74:AB75">
    <cfRule type="cellIs" dxfId="107" priority="105" operator="equal">
      <formula>0</formula>
    </cfRule>
    <cfRule type="cellIs" dxfId="106" priority="106" operator="notEqual">
      <formula>0</formula>
    </cfRule>
  </conditionalFormatting>
  <conditionalFormatting sqref="AG73">
    <cfRule type="cellIs" dxfId="105" priority="103" operator="equal">
      <formula>0</formula>
    </cfRule>
    <cfRule type="cellIs" dxfId="104" priority="104" operator="greaterThan">
      <formula>0</formula>
    </cfRule>
  </conditionalFormatting>
  <conditionalFormatting sqref="AH73">
    <cfRule type="cellIs" dxfId="103" priority="101" operator="equal">
      <formula>0</formula>
    </cfRule>
    <cfRule type="cellIs" dxfId="102" priority="102" operator="greaterThan">
      <formula>0</formula>
    </cfRule>
  </conditionalFormatting>
  <conditionalFormatting sqref="AI73">
    <cfRule type="cellIs" dxfId="101" priority="99" operator="equal">
      <formula>0</formula>
    </cfRule>
    <cfRule type="cellIs" dxfId="100" priority="100" operator="greaterThan">
      <formula>0</formula>
    </cfRule>
  </conditionalFormatting>
  <conditionalFormatting sqref="AJ73">
    <cfRule type="cellIs" dxfId="99" priority="97" operator="equal">
      <formula>0</formula>
    </cfRule>
    <cfRule type="cellIs" dxfId="98" priority="98" operator="greaterThan">
      <formula>0</formula>
    </cfRule>
  </conditionalFormatting>
  <conditionalFormatting sqref="U81:U82">
    <cfRule type="cellIs" dxfId="97" priority="95" operator="equal">
      <formula>0</formula>
    </cfRule>
    <cfRule type="cellIs" dxfId="96" priority="96" operator="notEqual">
      <formula>0</formula>
    </cfRule>
  </conditionalFormatting>
  <conditionalFormatting sqref="V81:V82">
    <cfRule type="cellIs" dxfId="95" priority="93" operator="equal">
      <formula>0</formula>
    </cfRule>
    <cfRule type="cellIs" dxfId="94" priority="94" operator="notEqual">
      <formula>0</formula>
    </cfRule>
  </conditionalFormatting>
  <conditionalFormatting sqref="W81:W82">
    <cfRule type="cellIs" dxfId="93" priority="91" operator="equal">
      <formula>0</formula>
    </cfRule>
    <cfRule type="cellIs" dxfId="92" priority="92" operator="notEqual">
      <formula>0</formula>
    </cfRule>
  </conditionalFormatting>
  <conditionalFormatting sqref="X81:X82">
    <cfRule type="cellIs" dxfId="91" priority="89" operator="equal">
      <formula>0</formula>
    </cfRule>
    <cfRule type="cellIs" dxfId="90" priority="90" operator="notEqual">
      <formula>0</formula>
    </cfRule>
  </conditionalFormatting>
  <conditionalFormatting sqref="Y81:Y82">
    <cfRule type="cellIs" dxfId="89" priority="87" operator="equal">
      <formula>0</formula>
    </cfRule>
    <cfRule type="cellIs" dxfId="88" priority="88" operator="notEqual">
      <formula>0</formula>
    </cfRule>
  </conditionalFormatting>
  <conditionalFormatting sqref="Z81:Z82">
    <cfRule type="cellIs" dxfId="87" priority="85" operator="equal">
      <formula>0</formula>
    </cfRule>
    <cfRule type="cellIs" dxfId="86" priority="86" operator="notEqual">
      <formula>0</formula>
    </cfRule>
  </conditionalFormatting>
  <conditionalFormatting sqref="AA81:AA82">
    <cfRule type="cellIs" dxfId="85" priority="83" operator="equal">
      <formula>0</formula>
    </cfRule>
    <cfRule type="cellIs" dxfId="84" priority="84" operator="notEqual">
      <formula>0</formula>
    </cfRule>
  </conditionalFormatting>
  <conditionalFormatting sqref="AB81:AB82">
    <cfRule type="cellIs" dxfId="83" priority="81" operator="equal">
      <formula>0</formula>
    </cfRule>
    <cfRule type="cellIs" dxfId="82" priority="82" operator="notEqual">
      <formula>0</formula>
    </cfRule>
  </conditionalFormatting>
  <conditionalFormatting sqref="AG80">
    <cfRule type="cellIs" dxfId="81" priority="79" operator="equal">
      <formula>0</formula>
    </cfRule>
    <cfRule type="cellIs" dxfId="80" priority="80" operator="greaterThan">
      <formula>0</formula>
    </cfRule>
  </conditionalFormatting>
  <conditionalFormatting sqref="AH80">
    <cfRule type="cellIs" dxfId="79" priority="77" operator="equal">
      <formula>0</formula>
    </cfRule>
    <cfRule type="cellIs" dxfId="78" priority="78" operator="greaterThan">
      <formula>0</formula>
    </cfRule>
  </conditionalFormatting>
  <conditionalFormatting sqref="AI80">
    <cfRule type="cellIs" dxfId="77" priority="75" operator="equal">
      <formula>0</formula>
    </cfRule>
    <cfRule type="cellIs" dxfId="76" priority="76" operator="greaterThan">
      <formula>0</formula>
    </cfRule>
  </conditionalFormatting>
  <conditionalFormatting sqref="AJ80">
    <cfRule type="cellIs" dxfId="75" priority="73" operator="equal">
      <formula>0</formula>
    </cfRule>
    <cfRule type="cellIs" dxfId="74" priority="74" operator="greaterThan">
      <formula>0</formula>
    </cfRule>
  </conditionalFormatting>
  <conditionalFormatting sqref="U88:U89">
    <cfRule type="cellIs" dxfId="73" priority="71" operator="equal">
      <formula>0</formula>
    </cfRule>
    <cfRule type="cellIs" dxfId="72" priority="72" operator="notEqual">
      <formula>0</formula>
    </cfRule>
  </conditionalFormatting>
  <conditionalFormatting sqref="V88:V89">
    <cfRule type="cellIs" dxfId="71" priority="69" operator="equal">
      <formula>0</formula>
    </cfRule>
    <cfRule type="cellIs" dxfId="70" priority="70" operator="notEqual">
      <formula>0</formula>
    </cfRule>
  </conditionalFormatting>
  <conditionalFormatting sqref="W88:W89">
    <cfRule type="cellIs" dxfId="69" priority="67" operator="equal">
      <formula>0</formula>
    </cfRule>
    <cfRule type="cellIs" dxfId="68" priority="68" operator="notEqual">
      <formula>0</formula>
    </cfRule>
  </conditionalFormatting>
  <conditionalFormatting sqref="X88:X89">
    <cfRule type="cellIs" dxfId="67" priority="65" operator="equal">
      <formula>0</formula>
    </cfRule>
    <cfRule type="cellIs" dxfId="66" priority="66" operator="notEqual">
      <formula>0</formula>
    </cfRule>
  </conditionalFormatting>
  <conditionalFormatting sqref="Y88:Y89">
    <cfRule type="cellIs" dxfId="65" priority="63" operator="equal">
      <formula>0</formula>
    </cfRule>
    <cfRule type="cellIs" dxfId="64" priority="64" operator="notEqual">
      <formula>0</formula>
    </cfRule>
  </conditionalFormatting>
  <conditionalFormatting sqref="Z88:Z89">
    <cfRule type="cellIs" dxfId="63" priority="61" operator="equal">
      <formula>0</formula>
    </cfRule>
    <cfRule type="cellIs" dxfId="62" priority="62" operator="notEqual">
      <formula>0</formula>
    </cfRule>
  </conditionalFormatting>
  <conditionalFormatting sqref="AA88:AA89">
    <cfRule type="cellIs" dxfId="61" priority="59" operator="equal">
      <formula>0</formula>
    </cfRule>
    <cfRule type="cellIs" dxfId="60" priority="60" operator="notEqual">
      <formula>0</formula>
    </cfRule>
  </conditionalFormatting>
  <conditionalFormatting sqref="AB88:AB89">
    <cfRule type="cellIs" dxfId="59" priority="57" operator="equal">
      <formula>0</formula>
    </cfRule>
    <cfRule type="cellIs" dxfId="58" priority="58" operator="notEqual">
      <formula>0</formula>
    </cfRule>
  </conditionalFormatting>
  <conditionalFormatting sqref="AG87">
    <cfRule type="cellIs" dxfId="57" priority="55" operator="equal">
      <formula>0</formula>
    </cfRule>
    <cfRule type="cellIs" dxfId="56" priority="56" operator="greaterThan">
      <formula>0</formula>
    </cfRule>
  </conditionalFormatting>
  <conditionalFormatting sqref="AH87">
    <cfRule type="cellIs" dxfId="55" priority="53" operator="equal">
      <formula>0</formula>
    </cfRule>
    <cfRule type="cellIs" dxfId="54" priority="54" operator="greaterThan">
      <formula>0</formula>
    </cfRule>
  </conditionalFormatting>
  <conditionalFormatting sqref="AI87">
    <cfRule type="cellIs" dxfId="53" priority="51" operator="equal">
      <formula>0</formula>
    </cfRule>
    <cfRule type="cellIs" dxfId="52" priority="52" operator="greaterThan">
      <formula>0</formula>
    </cfRule>
  </conditionalFormatting>
  <conditionalFormatting sqref="AJ87">
    <cfRule type="cellIs" dxfId="51" priority="49" operator="equal">
      <formula>0</formula>
    </cfRule>
    <cfRule type="cellIs" dxfId="50" priority="50" operator="greaterThan">
      <formula>0</formula>
    </cfRule>
  </conditionalFormatting>
  <conditionalFormatting sqref="U95:U96">
    <cfRule type="cellIs" dxfId="49" priority="47" operator="equal">
      <formula>0</formula>
    </cfRule>
    <cfRule type="cellIs" dxfId="48" priority="48" operator="notEqual">
      <formula>0</formula>
    </cfRule>
  </conditionalFormatting>
  <conditionalFormatting sqref="V95:V96">
    <cfRule type="cellIs" dxfId="47" priority="45" operator="equal">
      <formula>0</formula>
    </cfRule>
    <cfRule type="cellIs" dxfId="46" priority="46" operator="notEqual">
      <formula>0</formula>
    </cfRule>
  </conditionalFormatting>
  <conditionalFormatting sqref="W95:W96">
    <cfRule type="cellIs" dxfId="45" priority="43" operator="equal">
      <formula>0</formula>
    </cfRule>
    <cfRule type="cellIs" dxfId="44" priority="44" operator="notEqual">
      <formula>0</formula>
    </cfRule>
  </conditionalFormatting>
  <conditionalFormatting sqref="X95:X96">
    <cfRule type="cellIs" dxfId="43" priority="41" operator="equal">
      <formula>0</formula>
    </cfRule>
    <cfRule type="cellIs" dxfId="42" priority="42" operator="notEqual">
      <formula>0</formula>
    </cfRule>
  </conditionalFormatting>
  <conditionalFormatting sqref="Y95:Y96">
    <cfRule type="cellIs" dxfId="41" priority="39" operator="equal">
      <formula>0</formula>
    </cfRule>
    <cfRule type="cellIs" dxfId="40" priority="40" operator="notEqual">
      <formula>0</formula>
    </cfRule>
  </conditionalFormatting>
  <conditionalFormatting sqref="Z95:Z96">
    <cfRule type="cellIs" dxfId="39" priority="37" operator="equal">
      <formula>0</formula>
    </cfRule>
    <cfRule type="cellIs" dxfId="38" priority="38" operator="notEqual">
      <formula>0</formula>
    </cfRule>
  </conditionalFormatting>
  <conditionalFormatting sqref="AA95:AA96">
    <cfRule type="cellIs" dxfId="37" priority="35" operator="equal">
      <formula>0</formula>
    </cfRule>
    <cfRule type="cellIs" dxfId="36" priority="36" operator="notEqual">
      <formula>0</formula>
    </cfRule>
  </conditionalFormatting>
  <conditionalFormatting sqref="AB95:AB96">
    <cfRule type="cellIs" dxfId="35" priority="33" operator="equal">
      <formula>0</formula>
    </cfRule>
    <cfRule type="cellIs" dxfId="34" priority="34" operator="notEqual">
      <formula>0</formula>
    </cfRule>
  </conditionalFormatting>
  <conditionalFormatting sqref="AG94">
    <cfRule type="cellIs" dxfId="33" priority="31" operator="equal">
      <formula>0</formula>
    </cfRule>
    <cfRule type="cellIs" dxfId="32" priority="32" operator="greaterThan">
      <formula>0</formula>
    </cfRule>
  </conditionalFormatting>
  <conditionalFormatting sqref="AH94">
    <cfRule type="cellIs" dxfId="31" priority="29" operator="equal">
      <formula>0</formula>
    </cfRule>
    <cfRule type="cellIs" dxfId="30" priority="30" operator="greaterThan">
      <formula>0</formula>
    </cfRule>
  </conditionalFormatting>
  <conditionalFormatting sqref="AI94">
    <cfRule type="cellIs" dxfId="29" priority="27" operator="equal">
      <formula>0</formula>
    </cfRule>
    <cfRule type="cellIs" dxfId="28" priority="28" operator="greaterThan">
      <formula>0</formula>
    </cfRule>
  </conditionalFormatting>
  <conditionalFormatting sqref="AJ94">
    <cfRule type="cellIs" dxfId="27" priority="25" operator="equal">
      <formula>0</formula>
    </cfRule>
    <cfRule type="cellIs" dxfId="26" priority="26" operator="greaterThan">
      <formula>0</formula>
    </cfRule>
  </conditionalFormatting>
  <conditionalFormatting sqref="U102:U103">
    <cfRule type="cellIs" dxfId="25" priority="23" operator="equal">
      <formula>0</formula>
    </cfRule>
    <cfRule type="cellIs" dxfId="24" priority="24" operator="notEqual">
      <formula>0</formula>
    </cfRule>
  </conditionalFormatting>
  <conditionalFormatting sqref="V102:V103">
    <cfRule type="cellIs" dxfId="23" priority="21" operator="equal">
      <formula>0</formula>
    </cfRule>
    <cfRule type="cellIs" dxfId="22" priority="22" operator="notEqual">
      <formula>0</formula>
    </cfRule>
  </conditionalFormatting>
  <conditionalFormatting sqref="W102:W103">
    <cfRule type="cellIs" dxfId="21" priority="19" operator="equal">
      <formula>0</formula>
    </cfRule>
    <cfRule type="cellIs" dxfId="20" priority="20" operator="notEqual">
      <formula>0</formula>
    </cfRule>
  </conditionalFormatting>
  <conditionalFormatting sqref="X102:X103">
    <cfRule type="cellIs" dxfId="19" priority="17" operator="equal">
      <formula>0</formula>
    </cfRule>
    <cfRule type="cellIs" dxfId="18" priority="18" operator="notEqual">
      <formula>0</formula>
    </cfRule>
  </conditionalFormatting>
  <conditionalFormatting sqref="Y102:Y103">
    <cfRule type="cellIs" dxfId="17" priority="15" operator="equal">
      <formula>0</formula>
    </cfRule>
    <cfRule type="cellIs" dxfId="16" priority="16" operator="notEqual">
      <formula>0</formula>
    </cfRule>
  </conditionalFormatting>
  <conditionalFormatting sqref="Z102:Z103">
    <cfRule type="cellIs" dxfId="15" priority="13" operator="equal">
      <formula>0</formula>
    </cfRule>
    <cfRule type="cellIs" dxfId="14" priority="14" operator="notEqual">
      <formula>0</formula>
    </cfRule>
  </conditionalFormatting>
  <conditionalFormatting sqref="AA102:AA103">
    <cfRule type="cellIs" dxfId="13" priority="11" operator="equal">
      <formula>0</formula>
    </cfRule>
    <cfRule type="cellIs" dxfId="12" priority="12" operator="notEqual">
      <formula>0</formula>
    </cfRule>
  </conditionalFormatting>
  <conditionalFormatting sqref="AB102:AB103">
    <cfRule type="cellIs" dxfId="11" priority="9" operator="equal">
      <formula>0</formula>
    </cfRule>
    <cfRule type="cellIs" dxfId="10" priority="10" operator="notEqual">
      <formula>0</formula>
    </cfRule>
  </conditionalFormatting>
  <conditionalFormatting sqref="AG101">
    <cfRule type="cellIs" dxfId="9" priority="7" operator="equal">
      <formula>0</formula>
    </cfRule>
    <cfRule type="cellIs" dxfId="8" priority="8" operator="greaterThan">
      <formula>0</formula>
    </cfRule>
  </conditionalFormatting>
  <conditionalFormatting sqref="AH101">
    <cfRule type="cellIs" dxfId="7" priority="5" operator="equal">
      <formula>0</formula>
    </cfRule>
    <cfRule type="cellIs" dxfId="6" priority="6" operator="greaterThan">
      <formula>0</formula>
    </cfRule>
  </conditionalFormatting>
  <conditionalFormatting sqref="AI101">
    <cfRule type="cellIs" dxfId="5" priority="3" operator="equal">
      <formula>0</formula>
    </cfRule>
    <cfRule type="cellIs" dxfId="4" priority="4" operator="greaterThan">
      <formula>0</formula>
    </cfRule>
  </conditionalFormatting>
  <conditionalFormatting sqref="AJ101">
    <cfRule type="cellIs" dxfId="3" priority="1" operator="equal">
      <formula>0</formula>
    </cfRule>
    <cfRule type="cellIs" dxfId="2" priority="2" operator="greaterThan">
      <formula>0</formula>
    </cfRule>
  </conditionalFormatting>
  <dataValidations count="1">
    <dataValidation type="list" allowBlank="1" showInputMessage="1" showErrorMessage="1" sqref="B5" xr:uid="{829D0DA9-C009-443E-8D65-0F2737C055E6}">
      <formula1>Regions</formula1>
    </dataValidation>
  </dataValidation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4">
    <pageSetUpPr fitToPage="1"/>
  </sheetPr>
  <dimension ref="A1:Y23"/>
  <sheetViews>
    <sheetView showGridLines="0" zoomScale="85" zoomScaleNormal="85" workbookViewId="0">
      <selection sqref="A1:Y1"/>
    </sheetView>
  </sheetViews>
  <sheetFormatPr baseColWidth="10" defaultColWidth="9.1640625" defaultRowHeight="16" x14ac:dyDescent="0.2"/>
  <cols>
    <col min="1" max="1" width="3.5" style="1" customWidth="1"/>
    <col min="2" max="2" width="31.5" style="1" bestFit="1" customWidth="1"/>
    <col min="3" max="3" width="14.5" style="1" bestFit="1" customWidth="1"/>
    <col min="4" max="4" width="15.5" style="1" customWidth="1"/>
    <col min="5" max="5" width="13" style="1" bestFit="1" customWidth="1"/>
    <col min="6" max="6" width="15.5" style="1" customWidth="1"/>
    <col min="7" max="7" width="9.1640625" style="1"/>
    <col min="8" max="8" width="15.5" style="1" customWidth="1"/>
    <col min="9" max="9" width="15.1640625" style="1" customWidth="1"/>
    <col min="10" max="10" width="12.83203125" style="1" bestFit="1" customWidth="1"/>
    <col min="11" max="11" width="14.5" style="1" customWidth="1"/>
    <col min="12" max="12" width="13.1640625" style="1" customWidth="1"/>
    <col min="13" max="13" width="10.5" style="1" bestFit="1" customWidth="1"/>
    <col min="14" max="16384" width="9.1640625" style="1"/>
  </cols>
  <sheetData>
    <row r="1" spans="1:25" ht="45" customHeight="1" x14ac:dyDescent="0.2">
      <c r="A1" s="396" t="s">
        <v>1171</v>
      </c>
      <c r="B1" s="396"/>
      <c r="C1" s="396"/>
      <c r="D1" s="396"/>
      <c r="E1" s="396"/>
      <c r="F1" s="396"/>
      <c r="G1" s="396"/>
      <c r="H1" s="396"/>
      <c r="I1" s="396"/>
      <c r="J1" s="396"/>
      <c r="K1" s="396"/>
      <c r="L1" s="396"/>
      <c r="M1" s="396"/>
      <c r="N1" s="396"/>
      <c r="O1" s="396"/>
      <c r="P1" s="396"/>
      <c r="Q1" s="396"/>
      <c r="R1" s="396"/>
      <c r="S1" s="396"/>
      <c r="T1" s="396"/>
      <c r="U1" s="396"/>
      <c r="V1" s="396"/>
      <c r="W1" s="396"/>
      <c r="X1" s="396"/>
      <c r="Y1" s="396"/>
    </row>
    <row r="2" spans="1:25" ht="39" customHeight="1" x14ac:dyDescent="0.2">
      <c r="A2" s="395"/>
      <c r="B2" s="395"/>
      <c r="C2" s="395"/>
      <c r="D2" s="395"/>
      <c r="E2" s="395"/>
      <c r="F2" s="395"/>
      <c r="G2" s="395"/>
      <c r="H2" s="395"/>
      <c r="I2" s="395"/>
      <c r="J2" s="395"/>
      <c r="K2" s="395"/>
      <c r="L2" s="395"/>
      <c r="M2" s="395"/>
      <c r="N2" s="395"/>
      <c r="O2" s="395"/>
      <c r="P2" s="395"/>
      <c r="Q2" s="395"/>
      <c r="R2" s="395"/>
      <c r="S2" s="395"/>
      <c r="T2" s="395"/>
      <c r="U2" s="395"/>
      <c r="V2" s="395"/>
      <c r="W2" s="395"/>
      <c r="X2" s="395"/>
      <c r="Y2" s="395"/>
    </row>
    <row r="3" spans="1:25" ht="14.25" customHeight="1" x14ac:dyDescent="0.2"/>
    <row r="4" spans="1:25" ht="56" x14ac:dyDescent="0.2">
      <c r="B4" s="160"/>
      <c r="C4" s="238" t="s">
        <v>1001</v>
      </c>
      <c r="D4" s="72" t="s">
        <v>1002</v>
      </c>
      <c r="E4" s="72" t="s">
        <v>1003</v>
      </c>
      <c r="F4" s="72" t="s">
        <v>1004</v>
      </c>
      <c r="G4" s="101"/>
      <c r="H4" s="238" t="s">
        <v>1005</v>
      </c>
      <c r="I4" s="238" t="s">
        <v>1006</v>
      </c>
      <c r="J4" s="101"/>
      <c r="K4" s="238" t="s">
        <v>1007</v>
      </c>
      <c r="L4" s="238" t="s">
        <v>1008</v>
      </c>
    </row>
    <row r="5" spans="1:25" x14ac:dyDescent="0.2">
      <c r="B5" s="155" t="s">
        <v>20</v>
      </c>
      <c r="C5" s="76" t="e">
        <f>SUM((SUMIFS('capacity data'!G:G,'capacity data'!A:A,B5,'capacity data'!E:E,"PO"))-SUMIFS('capacity data'!H:H,'capacity data'!A:A,B5,'capacity data'!E:E,"PO"))/SUMIFS('capacity data'!G:G,'capacity data'!A:A,B5,'capacity data'!E:E,"PO")</f>
        <v>#DIV/0!</v>
      </c>
      <c r="D5" s="76" t="e">
        <f>SUM((SUMIFS('capacity data'!G:G,'capacity data'!A:A,B5,'capacity data'!E:E,"PSO"))-SUMIFS('capacity data'!H:H,'capacity data'!A:A,B5,'capacity data'!E:E,"PSO"))/SUMIFS('capacity data'!G:G,'capacity data'!A:A,B5,'capacity data'!E:E,"PSO")</f>
        <v>#DIV/0!</v>
      </c>
      <c r="E5" s="76" t="e">
        <f>SUM((SUMIFS('capacity data'!G:G,'capacity data'!A:A,B5,'capacity data'!E:E,"TPO"))-SUMIFS('capacity data'!H:H,'capacity data'!A:A,B5,'capacity data'!E:E,"TPO"))/SUMIFS('capacity data'!G:G,'capacity data'!A:A,B5,'capacity data'!E:E,"TPO")</f>
        <v>#DIV/0!</v>
      </c>
      <c r="F5" s="161" t="e">
        <f>SUM((SUMIFS('capacity data'!G:G,'capacity data'!A:A,B5))-SUMIFS('capacity data'!H:H,'capacity data'!A:A,B5))/SUMIFS('capacity data'!G:G,'capacity data'!A:A,B5)</f>
        <v>#DIV/0!</v>
      </c>
      <c r="G5" s="162"/>
      <c r="H5" s="75" t="e">
        <f>SUMIFS('capacity data'!$L:$L,'capacity data'!$A:$A,B5,'capacity data'!$E:$E,"PSO")/SUM((SUMIFS('capacity data'!$G:$G,'capacity data'!$E:$E,"PSO",'capacity data'!$A:$A,B5))-SUMIFS('capacity data'!$H:$H,'capacity data'!$E:$E,"PSO",'capacity data'!$A:$A,B5))</f>
        <v>#DIV/0!</v>
      </c>
      <c r="I5" s="75" t="e">
        <f>SUMIFS('capacity data'!$L:$L,'capacity data'!$A:$A,B5,'capacity data'!$E:$E,"PSO")/SUMIFS('capacity data'!$G:$G,'capacity data'!$E:$E,"PSO",'capacity data'!$A:$A,B5)</f>
        <v>#DIV/0!</v>
      </c>
      <c r="J5" s="101"/>
      <c r="K5" s="75" t="e">
        <f>SUMIFS('capacity data'!$L:$L,'capacity data'!$A:$A,B5,'capacity data'!$E:$E,"TPO")/SUM((SUMIFS('capacity data'!$G:$G,'capacity data'!$E:$E,"TPO",'capacity data'!$A:$A,B5))-SUMIFS('capacity data'!$H:$H,'capacity data'!$E:$E,"TPO",'capacity data'!$A:$A,B5))</f>
        <v>#DIV/0!</v>
      </c>
      <c r="L5" s="75" t="e">
        <f>SUMIFS('capacity data'!$L:$L,'capacity data'!$A:$A,B5,'capacity data'!$E:$E,"TPO")/SUMIFS('capacity data'!$G:$G,'capacity data'!$E:$E,"TPO",'capacity data'!$A:$A,B5)</f>
        <v>#DIV/0!</v>
      </c>
    </row>
    <row r="6" spans="1:25" x14ac:dyDescent="0.2">
      <c r="B6" s="155" t="s">
        <v>21</v>
      </c>
      <c r="C6" s="76" t="e">
        <f>SUM((SUMIFS('capacity data'!G:G,'capacity data'!A:A,B6,'capacity data'!E:E,"PO"))-SUMIFS('capacity data'!H:H,'capacity data'!A:A,B6,'capacity data'!E:E,"PO"))/SUMIFS('capacity data'!G:G,'capacity data'!A:A,B6,'capacity data'!E:E,"PO")</f>
        <v>#DIV/0!</v>
      </c>
      <c r="D6" s="76" t="e">
        <f>SUM((SUMIFS('capacity data'!G:G,'capacity data'!A:A,B6,'capacity data'!E:E,"PSO"))-SUMIFS('capacity data'!H:H,'capacity data'!A:A,B6,'capacity data'!E:E,"PSO"))/SUMIFS('capacity data'!G:G,'capacity data'!A:A,B6,'capacity data'!E:E,"PSO")</f>
        <v>#DIV/0!</v>
      </c>
      <c r="E6" s="76" t="e">
        <f>SUM((SUMIFS('capacity data'!G:G,'capacity data'!A:A,B6,'capacity data'!E:E,"TPO"))-SUMIFS('capacity data'!H:H,'capacity data'!A:A,B6,'capacity data'!E:E,"TPO"))/SUMIFS('capacity data'!G:G,'capacity data'!A:A,B6,'capacity data'!E:E,"TPO")</f>
        <v>#DIV/0!</v>
      </c>
      <c r="F6" s="161" t="e">
        <f>SUM((SUMIFS('capacity data'!G:G,'capacity data'!A:A,B6))-SUMIFS('capacity data'!H:H,'capacity data'!A:A,B6))/SUMIFS('capacity data'!G:G,'capacity data'!A:A,B6)</f>
        <v>#DIV/0!</v>
      </c>
      <c r="G6" s="162"/>
      <c r="H6" s="75" t="e">
        <f>SUMIFS('capacity data'!$L:$L,'capacity data'!$A:$A,B6,'capacity data'!$E:$E,"PSO")/SUM((SUMIFS('capacity data'!$G:$G,'capacity data'!$E:$E,"PSO",'capacity data'!$A:$A,B6))-SUMIFS('capacity data'!$H:$H,'capacity data'!$E:$E,"PSO",'capacity data'!$A:$A,B6))</f>
        <v>#DIV/0!</v>
      </c>
      <c r="I6" s="75" t="e">
        <f>SUMIFS('capacity data'!$L:$L,'capacity data'!$A:$A,B6,'capacity data'!$E:$E,"PSO")/SUMIFS('capacity data'!$G:$G,'capacity data'!$E:$E,"PSO",'capacity data'!$A:$A,B6)</f>
        <v>#DIV/0!</v>
      </c>
      <c r="J6" s="101"/>
      <c r="K6" s="75" t="e">
        <f>SUMIFS('capacity data'!$L:$L,'capacity data'!$A:$A,B6,'capacity data'!$E:$E,"TPO")/SUM((SUMIFS('capacity data'!$G:$G,'capacity data'!$E:$E,"TPO",'capacity data'!$A:$A,B6))-SUMIFS('capacity data'!$H:$H,'capacity data'!$E:$E,"TPO",'capacity data'!$A:$A,B6))</f>
        <v>#DIV/0!</v>
      </c>
      <c r="L6" s="75" t="e">
        <f>SUMIFS('capacity data'!$L:$L,'capacity data'!$A:$A,B6,'capacity data'!$E:$E,"TPO")/SUMIFS('capacity data'!$G:$G,'capacity data'!$E:$E,"TPO",'capacity data'!$A:$A,B6)</f>
        <v>#DIV/0!</v>
      </c>
    </row>
    <row r="7" spans="1:25" x14ac:dyDescent="0.2">
      <c r="B7" s="155" t="s">
        <v>22</v>
      </c>
      <c r="C7" s="76" t="e">
        <f>SUM((SUMIFS('capacity data'!G:G,'capacity data'!A:A,B7,'capacity data'!E:E,"PO"))-SUMIFS('capacity data'!H:H,'capacity data'!A:A,B7,'capacity data'!E:E,"PO"))/SUMIFS('capacity data'!G:G,'capacity data'!A:A,B7,'capacity data'!E:E,"PO")</f>
        <v>#DIV/0!</v>
      </c>
      <c r="D7" s="76" t="e">
        <f>SUM((SUMIFS('capacity data'!G:G,'capacity data'!A:A,B7,'capacity data'!E:E,"PSO"))-SUMIFS('capacity data'!H:H,'capacity data'!A:A,B7,'capacity data'!E:E,"PSO"))/SUMIFS('capacity data'!G:G,'capacity data'!A:A,B7,'capacity data'!E:E,"PSO")</f>
        <v>#DIV/0!</v>
      </c>
      <c r="E7" s="76" t="e">
        <f>SUM((SUMIFS('capacity data'!G:G,'capacity data'!A:A,B7,'capacity data'!E:E,"TPO"))-SUMIFS('capacity data'!H:H,'capacity data'!A:A,B7,'capacity data'!E:E,"TPO"))/SUMIFS('capacity data'!G:G,'capacity data'!A:A,B7,'capacity data'!E:E,"TPO")</f>
        <v>#DIV/0!</v>
      </c>
      <c r="F7" s="161" t="e">
        <f>SUM((SUMIFS('capacity data'!G:G,'capacity data'!A:A,B7))-SUMIFS('capacity data'!H:H,'capacity data'!A:A,B7))/SUMIFS('capacity data'!G:G,'capacity data'!A:A,B7)</f>
        <v>#DIV/0!</v>
      </c>
      <c r="G7" s="162"/>
      <c r="H7" s="75" t="e">
        <f>SUMIFS('capacity data'!$L:$L,'capacity data'!$A:$A,B7,'capacity data'!$E:$E,"PSO")/SUM((SUMIFS('capacity data'!$G:$G,'capacity data'!$E:$E,"PSO",'capacity data'!$A:$A,B7))-SUMIFS('capacity data'!$H:$H,'capacity data'!$E:$E,"PSO",'capacity data'!$A:$A,B7))</f>
        <v>#DIV/0!</v>
      </c>
      <c r="I7" s="75" t="e">
        <f>SUMIFS('capacity data'!$L:$L,'capacity data'!$A:$A,B7,'capacity data'!$E:$E,"PSO")/SUMIFS('capacity data'!$G:$G,'capacity data'!$E:$E,"PSO",'capacity data'!$A:$A,B7)</f>
        <v>#DIV/0!</v>
      </c>
      <c r="J7" s="101"/>
      <c r="K7" s="75" t="e">
        <f>SUMIFS('capacity data'!$L:$L,'capacity data'!$A:$A,B7,'capacity data'!$E:$E,"TPO")/SUM((SUMIFS('capacity data'!$G:$G,'capacity data'!$E:$E,"TPO",'capacity data'!$A:$A,B7))-SUMIFS('capacity data'!$H:$H,'capacity data'!$E:$E,"TPO",'capacity data'!$A:$A,B7))</f>
        <v>#DIV/0!</v>
      </c>
      <c r="L7" s="75" t="e">
        <f>SUMIFS('capacity data'!$L:$L,'capacity data'!$A:$A,B7,'capacity data'!$E:$E,"TPO")/SUMIFS('capacity data'!$G:$G,'capacity data'!$E:$E,"TPO",'capacity data'!$A:$A,B7)</f>
        <v>#DIV/0!</v>
      </c>
    </row>
    <row r="8" spans="1:25" x14ac:dyDescent="0.2">
      <c r="B8" s="155" t="s">
        <v>23</v>
      </c>
      <c r="C8" s="76" t="e">
        <f>SUM((SUMIFS('capacity data'!G:G,'capacity data'!A:A,B8,'capacity data'!E:E,"PO"))-SUMIFS('capacity data'!H:H,'capacity data'!A:A,B8,'capacity data'!E:E,"PO"))/SUMIFS('capacity data'!G:G,'capacity data'!A:A,B8,'capacity data'!E:E,"PO")</f>
        <v>#DIV/0!</v>
      </c>
      <c r="D8" s="76" t="e">
        <f>SUM((SUMIFS('capacity data'!G:G,'capacity data'!A:A,B8,'capacity data'!E:E,"PSO"))-SUMIFS('capacity data'!H:H,'capacity data'!A:A,B8,'capacity data'!E:E,"PSO"))/SUMIFS('capacity data'!G:G,'capacity data'!A:A,B8,'capacity data'!E:E,"PSO")</f>
        <v>#DIV/0!</v>
      </c>
      <c r="E8" s="76" t="e">
        <f>SUM((SUMIFS('capacity data'!G:G,'capacity data'!A:A,B8,'capacity data'!E:E,"TPO"))-SUMIFS('capacity data'!H:H,'capacity data'!A:A,B8,'capacity data'!E:E,"TPO"))/SUMIFS('capacity data'!G:G,'capacity data'!A:A,B8,'capacity data'!E:E,"TPO")</f>
        <v>#DIV/0!</v>
      </c>
      <c r="F8" s="161" t="e">
        <f>SUM((SUMIFS('capacity data'!G:G,'capacity data'!A:A,B8))-SUMIFS('capacity data'!H:H,'capacity data'!A:A,B8))/SUMIFS('capacity data'!G:G,'capacity data'!A:A,B8)</f>
        <v>#DIV/0!</v>
      </c>
      <c r="G8" s="162"/>
      <c r="H8" s="75" t="e">
        <f>SUMIFS('capacity data'!$L:$L,'capacity data'!$A:$A,B8,'capacity data'!$E:$E,"PSO")/SUM((SUMIFS('capacity data'!$G:$G,'capacity data'!$E:$E,"PSO",'capacity data'!$A:$A,B8))-SUMIFS('capacity data'!$H:$H,'capacity data'!$E:$E,"PSO",'capacity data'!$A:$A,B8))</f>
        <v>#DIV/0!</v>
      </c>
      <c r="I8" s="75" t="e">
        <f>SUMIFS('capacity data'!$L:$L,'capacity data'!$A:$A,B8,'capacity data'!$E:$E,"PSO")/SUMIFS('capacity data'!$G:$G,'capacity data'!$E:$E,"PSO",'capacity data'!$A:$A,B8)</f>
        <v>#DIV/0!</v>
      </c>
      <c r="J8" s="101"/>
      <c r="K8" s="75" t="e">
        <f>SUMIFS('capacity data'!$L:$L,'capacity data'!$A:$A,B8,'capacity data'!$E:$E,"TPO")/SUM((SUMIFS('capacity data'!$G:$G,'capacity data'!$E:$E,"TPO",'capacity data'!$A:$A,B8))-SUMIFS('capacity data'!$H:$H,'capacity data'!$E:$E,"TPO",'capacity data'!$A:$A,B8))</f>
        <v>#DIV/0!</v>
      </c>
      <c r="L8" s="75" t="e">
        <f>SUMIFS('capacity data'!$L:$L,'capacity data'!$A:$A,B8,'capacity data'!$E:$E,"TPO")/SUMIFS('capacity data'!$G:$G,'capacity data'!$E:$E,"TPO",'capacity data'!$A:$A,B8)</f>
        <v>#DIV/0!</v>
      </c>
    </row>
    <row r="9" spans="1:25" x14ac:dyDescent="0.2">
      <c r="B9" s="155" t="s">
        <v>24</v>
      </c>
      <c r="C9" s="76" t="e">
        <f>SUM((SUMIFS('capacity data'!G:G,'capacity data'!A:A,B9,'capacity data'!E:E,"PO"))-SUMIFS('capacity data'!H:H,'capacity data'!A:A,B9,'capacity data'!E:E,"PO"))/SUMIFS('capacity data'!G:G,'capacity data'!A:A,B9,'capacity data'!E:E,"PO")</f>
        <v>#DIV/0!</v>
      </c>
      <c r="D9" s="76" t="e">
        <f>SUM((SUMIFS('capacity data'!G:G,'capacity data'!A:A,B9,'capacity data'!E:E,"PSO"))-SUMIFS('capacity data'!H:H,'capacity data'!A:A,B9,'capacity data'!E:E,"PSO"))/SUMIFS('capacity data'!G:G,'capacity data'!A:A,B9,'capacity data'!E:E,"PSO")</f>
        <v>#DIV/0!</v>
      </c>
      <c r="E9" s="76" t="e">
        <f>SUM((SUMIFS('capacity data'!G:G,'capacity data'!A:A,B9,'capacity data'!E:E,"TPO"))-SUMIFS('capacity data'!H:H,'capacity data'!A:A,B9,'capacity data'!E:E,"TPO"))/SUMIFS('capacity data'!G:G,'capacity data'!A:A,B9,'capacity data'!E:E,"TPO")</f>
        <v>#DIV/0!</v>
      </c>
      <c r="F9" s="161" t="e">
        <f>SUM((SUMIFS('capacity data'!G:G,'capacity data'!A:A,B9))-SUMIFS('capacity data'!H:H,'capacity data'!A:A,B9))/SUMIFS('capacity data'!G:G,'capacity data'!A:A,B9)</f>
        <v>#DIV/0!</v>
      </c>
      <c r="G9" s="162"/>
      <c r="H9" s="75" t="e">
        <f>SUMIFS('capacity data'!$L:$L,'capacity data'!$A:$A,B9,'capacity data'!$E:$E,"PSO")/SUM((SUMIFS('capacity data'!$G:$G,'capacity data'!$E:$E,"PSO",'capacity data'!$A:$A,B9))-SUMIFS('capacity data'!$H:$H,'capacity data'!$E:$E,"PSO",'capacity data'!$A:$A,B9))</f>
        <v>#DIV/0!</v>
      </c>
      <c r="I9" s="75" t="e">
        <f>SUMIFS('capacity data'!$L:$L,'capacity data'!$A:$A,B9,'capacity data'!$E:$E,"PSO")/SUMIFS('capacity data'!$G:$G,'capacity data'!$E:$E,"PSO",'capacity data'!$A:$A,B9)</f>
        <v>#DIV/0!</v>
      </c>
      <c r="J9" s="101"/>
      <c r="K9" s="75" t="e">
        <f>SUMIFS('capacity data'!$L:$L,'capacity data'!$A:$A,B9,'capacity data'!$E:$E,"TPO")/SUM((SUMIFS('capacity data'!$G:$G,'capacity data'!$E:$E,"TPO",'capacity data'!$A:$A,B9))-SUMIFS('capacity data'!$H:$H,'capacity data'!$E:$E,"TPO",'capacity data'!$A:$A,B9))</f>
        <v>#DIV/0!</v>
      </c>
      <c r="L9" s="75" t="e">
        <f>SUMIFS('capacity data'!$L:$L,'capacity data'!$A:$A,B9,'capacity data'!$E:$E,"TPO")/SUMIFS('capacity data'!$G:$G,'capacity data'!$E:$E,"TPO",'capacity data'!$A:$A,B9)</f>
        <v>#DIV/0!</v>
      </c>
    </row>
    <row r="10" spans="1:25" x14ac:dyDescent="0.2">
      <c r="B10" s="155" t="s">
        <v>25</v>
      </c>
      <c r="C10" s="76" t="e">
        <f>SUM((SUMIFS('capacity data'!G:G,'capacity data'!A:A,B10,'capacity data'!E:E,"PO"))-SUMIFS('capacity data'!H:H,'capacity data'!A:A,B10,'capacity data'!E:E,"PO"))/SUMIFS('capacity data'!G:G,'capacity data'!A:A,B10,'capacity data'!E:E,"PO")</f>
        <v>#DIV/0!</v>
      </c>
      <c r="D10" s="76" t="e">
        <f>SUM((SUMIFS('capacity data'!G:G,'capacity data'!A:A,B10,'capacity data'!E:E,"PSO"))-SUMIFS('capacity data'!H:H,'capacity data'!A:A,B10,'capacity data'!E:E,"PSO"))/SUMIFS('capacity data'!G:G,'capacity data'!A:A,B10,'capacity data'!E:E,"PSO")</f>
        <v>#DIV/0!</v>
      </c>
      <c r="E10" s="76" t="e">
        <f>SUM((SUMIFS('capacity data'!G:G,'capacity data'!A:A,B10,'capacity data'!E:E,"TPO"))-SUMIFS('capacity data'!H:H,'capacity data'!A:A,B10,'capacity data'!E:E,"TPO"))/SUMIFS('capacity data'!G:G,'capacity data'!A:A,B10,'capacity data'!E:E,"TPO")</f>
        <v>#DIV/0!</v>
      </c>
      <c r="F10" s="161" t="e">
        <f>SUM((SUMIFS('capacity data'!G:G,'capacity data'!A:A,B10))-SUMIFS('capacity data'!H:H,'capacity data'!A:A,B10))/SUMIFS('capacity data'!G:G,'capacity data'!A:A,B10)</f>
        <v>#DIV/0!</v>
      </c>
      <c r="G10" s="162"/>
      <c r="H10" s="75" t="e">
        <f>SUMIFS('capacity data'!$L:$L,'capacity data'!$A:$A,B10,'capacity data'!$E:$E,"PSO")/SUM((SUMIFS('capacity data'!$G:$G,'capacity data'!$E:$E,"PSO",'capacity data'!$A:$A,B10))-SUMIFS('capacity data'!$H:$H,'capacity data'!$E:$E,"PSO",'capacity data'!$A:$A,B10))</f>
        <v>#DIV/0!</v>
      </c>
      <c r="I10" s="75" t="e">
        <f>SUMIFS('capacity data'!$L:$L,'capacity data'!$A:$A,B10,'capacity data'!$E:$E,"PSO")/SUMIFS('capacity data'!$G:$G,'capacity data'!$E:$E,"PSO",'capacity data'!$A:$A,B10)</f>
        <v>#DIV/0!</v>
      </c>
      <c r="J10" s="101"/>
      <c r="K10" s="75" t="e">
        <f>SUMIFS('capacity data'!$L:$L,'capacity data'!$A:$A,B10,'capacity data'!$E:$E,"TPO")/SUM((SUMIFS('capacity data'!$G:$G,'capacity data'!$E:$E,"TPO",'capacity data'!$A:$A,B10))-SUMIFS('capacity data'!$H:$H,'capacity data'!$E:$E,"TPO",'capacity data'!$A:$A,B10))</f>
        <v>#DIV/0!</v>
      </c>
      <c r="L10" s="75" t="e">
        <f>SUMIFS('capacity data'!$L:$L,'capacity data'!$A:$A,B10,'capacity data'!$E:$E,"TPO")/SUMIFS('capacity data'!$G:$G,'capacity data'!$E:$E,"TPO",'capacity data'!$A:$A,B10)</f>
        <v>#DIV/0!</v>
      </c>
    </row>
    <row r="11" spans="1:25" x14ac:dyDescent="0.2">
      <c r="B11" s="155" t="s">
        <v>26</v>
      </c>
      <c r="C11" s="76" t="e">
        <f>SUM((SUMIFS('capacity data'!G:G,'capacity data'!A:A,B11,'capacity data'!E:E,"PO"))-SUMIFS('capacity data'!H:H,'capacity data'!A:A,B11,'capacity data'!E:E,"PO"))/SUMIFS('capacity data'!G:G,'capacity data'!A:A,B11,'capacity data'!E:E,"PO")</f>
        <v>#DIV/0!</v>
      </c>
      <c r="D11" s="76" t="e">
        <f>SUM((SUMIFS('capacity data'!G:G,'capacity data'!A:A,B11,'capacity data'!E:E,"PSO"))-SUMIFS('capacity data'!H:H,'capacity data'!A:A,B11,'capacity data'!E:E,"PSO"))/SUMIFS('capacity data'!G:G,'capacity data'!A:A,B11,'capacity data'!E:E,"PSO")</f>
        <v>#DIV/0!</v>
      </c>
      <c r="E11" s="76" t="e">
        <f>SUM((SUMIFS('capacity data'!G:G,'capacity data'!A:A,B11,'capacity data'!E:E,"TPO"))-SUMIFS('capacity data'!H:H,'capacity data'!A:A,B11,'capacity data'!E:E,"TPO"))/SUMIFS('capacity data'!G:G,'capacity data'!A:A,B11,'capacity data'!E:E,"TPO")</f>
        <v>#DIV/0!</v>
      </c>
      <c r="F11" s="161" t="e">
        <f>SUM((SUMIFS('capacity data'!G:G,'capacity data'!A:A,B11))-SUMIFS('capacity data'!H:H,'capacity data'!A:A,B11))/SUMIFS('capacity data'!G:G,'capacity data'!A:A,B11)</f>
        <v>#DIV/0!</v>
      </c>
      <c r="G11" s="162"/>
      <c r="H11" s="75" t="e">
        <f>SUMIFS('capacity data'!$L:$L,'capacity data'!$A:$A,B11,'capacity data'!$E:$E,"PSO")/SUM((SUMIFS('capacity data'!$G:$G,'capacity data'!$E:$E,"PSO",'capacity data'!$A:$A,B11))-SUMIFS('capacity data'!$H:$H,'capacity data'!$E:$E,"PSO",'capacity data'!$A:$A,B11))</f>
        <v>#DIV/0!</v>
      </c>
      <c r="I11" s="75" t="e">
        <f>SUMIFS('capacity data'!$L:$L,'capacity data'!$A:$A,B11,'capacity data'!$E:$E,"PSO")/SUMIFS('capacity data'!$G:$G,'capacity data'!$E:$E,"PSO",'capacity data'!$A:$A,B11)</f>
        <v>#DIV/0!</v>
      </c>
      <c r="J11" s="101"/>
      <c r="K11" s="75" t="e">
        <f>SUMIFS('capacity data'!$L:$L,'capacity data'!$A:$A,B11,'capacity data'!$E:$E,"TPO")/SUM((SUMIFS('capacity data'!$G:$G,'capacity data'!$E:$E,"TPO",'capacity data'!$A:$A,B11))-SUMIFS('capacity data'!$H:$H,'capacity data'!$E:$E,"TPO",'capacity data'!$A:$A,B11))</f>
        <v>#DIV/0!</v>
      </c>
      <c r="L11" s="75" t="e">
        <f>SUMIFS('capacity data'!$L:$L,'capacity data'!$A:$A,B11,'capacity data'!$E:$E,"TPO")/SUMIFS('capacity data'!$G:$G,'capacity data'!$E:$E,"TPO",'capacity data'!$A:$A,B11)</f>
        <v>#DIV/0!</v>
      </c>
    </row>
    <row r="12" spans="1:25" x14ac:dyDescent="0.2">
      <c r="B12" s="155" t="s">
        <v>27</v>
      </c>
      <c r="C12" s="76" t="e">
        <f>SUM((SUMIFS('capacity data'!G:G,'capacity data'!A:A,B12,'capacity data'!E:E,"PO"))-SUMIFS('capacity data'!H:H,'capacity data'!A:A,B12,'capacity data'!E:E,"PO"))/SUMIFS('capacity data'!G:G,'capacity data'!A:A,B12,'capacity data'!E:E,"PO")</f>
        <v>#DIV/0!</v>
      </c>
      <c r="D12" s="76" t="e">
        <f>SUM((SUMIFS('capacity data'!G:G,'capacity data'!A:A,B12,'capacity data'!E:E,"PSO"))-SUMIFS('capacity data'!H:H,'capacity data'!A:A,B12,'capacity data'!E:E,"PSO"))/SUMIFS('capacity data'!G:G,'capacity data'!A:A,B12,'capacity data'!E:E,"PSO")</f>
        <v>#DIV/0!</v>
      </c>
      <c r="E12" s="76" t="e">
        <f>SUM((SUMIFS('capacity data'!G:G,'capacity data'!A:A,B12,'capacity data'!E:E,"TPO"))-SUMIFS('capacity data'!H:H,'capacity data'!A:A,B12,'capacity data'!E:E,"TPO"))/SUMIFS('capacity data'!G:G,'capacity data'!A:A,B12,'capacity data'!E:E,"TPO")</f>
        <v>#DIV/0!</v>
      </c>
      <c r="F12" s="161" t="e">
        <f>SUM((SUMIFS('capacity data'!G:G,'capacity data'!A:A,B12))-SUMIFS('capacity data'!H:H,'capacity data'!A:A,B12))/SUMIFS('capacity data'!G:G,'capacity data'!A:A,B12)</f>
        <v>#DIV/0!</v>
      </c>
      <c r="G12" s="162"/>
      <c r="H12" s="75" t="e">
        <f>SUMIFS('capacity data'!$L:$L,'capacity data'!$A:$A,B12,'capacity data'!$E:$E,"PSO")/SUM((SUMIFS('capacity data'!$G:$G,'capacity data'!$E:$E,"PSO",'capacity data'!$A:$A,B12))-SUMIFS('capacity data'!$H:$H,'capacity data'!$E:$E,"PSO",'capacity data'!$A:$A,B12))</f>
        <v>#DIV/0!</v>
      </c>
      <c r="I12" s="75" t="e">
        <f>SUMIFS('capacity data'!$L:$L,'capacity data'!$A:$A,B12,'capacity data'!$E:$E,"PSO")/SUMIFS('capacity data'!$G:$G,'capacity data'!$E:$E,"PSO",'capacity data'!$A:$A,B12)</f>
        <v>#DIV/0!</v>
      </c>
      <c r="J12" s="101"/>
      <c r="K12" s="75" t="e">
        <f>SUMIFS('capacity data'!$L:$L,'capacity data'!$A:$A,B12,'capacity data'!$E:$E,"TPO")/SUM((SUMIFS('capacity data'!$G:$G,'capacity data'!$E:$E,"TPO",'capacity data'!$A:$A,B12))-SUMIFS('capacity data'!$H:$H,'capacity data'!$E:$E,"TPO",'capacity data'!$A:$A,B12))</f>
        <v>#DIV/0!</v>
      </c>
      <c r="L12" s="75" t="e">
        <f>SUMIFS('capacity data'!$L:$L,'capacity data'!$A:$A,B12,'capacity data'!$E:$E,"TPO")/SUMIFS('capacity data'!$G:$G,'capacity data'!$E:$E,"TPO",'capacity data'!$A:$A,B12)</f>
        <v>#DIV/0!</v>
      </c>
    </row>
    <row r="13" spans="1:25" x14ac:dyDescent="0.2">
      <c r="B13" s="155" t="s">
        <v>28</v>
      </c>
      <c r="C13" s="76" t="e">
        <f>SUM((SUMIFS('capacity data'!G:G,'capacity data'!A:A,B13,'capacity data'!E:E,"PO"))-SUMIFS('capacity data'!H:H,'capacity data'!A:A,B13,'capacity data'!E:E,"PO"))/SUMIFS('capacity data'!G:G,'capacity data'!A:A,B13,'capacity data'!E:E,"PO")</f>
        <v>#DIV/0!</v>
      </c>
      <c r="D13" s="76" t="e">
        <f>SUM((SUMIFS('capacity data'!G:G,'capacity data'!A:A,B13,'capacity data'!E:E,"PSO"))-SUMIFS('capacity data'!H:H,'capacity data'!A:A,B13,'capacity data'!E:E,"PSO"))/SUMIFS('capacity data'!G:G,'capacity data'!A:A,B13,'capacity data'!E:E,"PSO")</f>
        <v>#DIV/0!</v>
      </c>
      <c r="E13" s="76" t="e">
        <f>SUM((SUMIFS('capacity data'!G:G,'capacity data'!A:A,B13,'capacity data'!E:E,"TPO"))-SUMIFS('capacity data'!H:H,'capacity data'!A:A,B13,'capacity data'!E:E,"TPO"))/SUMIFS('capacity data'!G:G,'capacity data'!A:A,B13,'capacity data'!E:E,"TPO")</f>
        <v>#DIV/0!</v>
      </c>
      <c r="F13" s="161" t="e">
        <f>SUM((SUMIFS('capacity data'!G:G,'capacity data'!A:A,B13))-SUMIFS('capacity data'!H:H,'capacity data'!A:A,B13))/SUMIFS('capacity data'!G:G,'capacity data'!A:A,B13)</f>
        <v>#DIV/0!</v>
      </c>
      <c r="G13" s="162"/>
      <c r="H13" s="75" t="e">
        <f>SUMIFS('capacity data'!$L:$L,'capacity data'!$A:$A,B13,'capacity data'!$E:$E,"PSO")/SUM((SUMIFS('capacity data'!$G:$G,'capacity data'!$E:$E,"PSO",'capacity data'!$A:$A,B13))-SUMIFS('capacity data'!$H:$H,'capacity data'!$E:$E,"PSO",'capacity data'!$A:$A,B13))</f>
        <v>#DIV/0!</v>
      </c>
      <c r="I13" s="75" t="e">
        <f>SUMIFS('capacity data'!$L:$L,'capacity data'!$A:$A,B13,'capacity data'!$E:$E,"PSO")/SUMIFS('capacity data'!$G:$G,'capacity data'!$E:$E,"PSO",'capacity data'!$A:$A,B13)</f>
        <v>#DIV/0!</v>
      </c>
      <c r="J13" s="101"/>
      <c r="K13" s="75" t="e">
        <f>SUMIFS('capacity data'!$L:$L,'capacity data'!$A:$A,B13,'capacity data'!$E:$E,"TPO")/SUM((SUMIFS('capacity data'!$G:$G,'capacity data'!$E:$E,"TPO",'capacity data'!$A:$A,B13))-SUMIFS('capacity data'!$H:$H,'capacity data'!$E:$E,"TPO",'capacity data'!$A:$A,B13))</f>
        <v>#DIV/0!</v>
      </c>
      <c r="L13" s="75" t="e">
        <f>SUMIFS('capacity data'!$L:$L,'capacity data'!$A:$A,B13,'capacity data'!$E:$E,"TPO")/SUMIFS('capacity data'!$G:$G,'capacity data'!$E:$E,"TPO",'capacity data'!$A:$A,B13)</f>
        <v>#DIV/0!</v>
      </c>
    </row>
    <row r="14" spans="1:25" x14ac:dyDescent="0.2">
      <c r="B14" s="155" t="s">
        <v>29</v>
      </c>
      <c r="C14" s="76" t="e">
        <f>SUM((SUMIFS('capacity data'!G:G,'capacity data'!A:A,B14,'capacity data'!E:E,"PO"))-SUMIFS('capacity data'!H:H,'capacity data'!A:A,B14,'capacity data'!E:E,"PO"))/SUMIFS('capacity data'!G:G,'capacity data'!A:A,B14,'capacity data'!E:E,"PO")</f>
        <v>#DIV/0!</v>
      </c>
      <c r="D14" s="76" t="e">
        <f>SUM((SUMIFS('capacity data'!G:G,'capacity data'!A:A,B14,'capacity data'!E:E,"PSO"))-SUMIFS('capacity data'!H:H,'capacity data'!A:A,B14,'capacity data'!E:E,"PSO"))/SUMIFS('capacity data'!G:G,'capacity data'!A:A,B14,'capacity data'!E:E,"PSO")</f>
        <v>#DIV/0!</v>
      </c>
      <c r="E14" s="76" t="e">
        <f>SUM((SUMIFS('capacity data'!G:G,'capacity data'!A:A,B14,'capacity data'!E:E,"TPO"))-SUMIFS('capacity data'!H:H,'capacity data'!A:A,B14,'capacity data'!E:E,"TPO"))/SUMIFS('capacity data'!G:G,'capacity data'!A:A,B14,'capacity data'!E:E,"TPO")</f>
        <v>#DIV/0!</v>
      </c>
      <c r="F14" s="161" t="e">
        <f>SUM((SUMIFS('capacity data'!G:G,'capacity data'!A:A,B14))-SUMIFS('capacity data'!H:H,'capacity data'!A:A,B14))/SUMIFS('capacity data'!G:G,'capacity data'!A:A,B14)</f>
        <v>#DIV/0!</v>
      </c>
      <c r="G14" s="162"/>
      <c r="H14" s="75" t="e">
        <f>SUMIFS('capacity data'!$L:$L,'capacity data'!$A:$A,B14,'capacity data'!$E:$E,"PSO")/SUM((SUMIFS('capacity data'!$G:$G,'capacity data'!$E:$E,"PSO",'capacity data'!$A:$A,B14))-SUMIFS('capacity data'!$H:$H,'capacity data'!$E:$E,"PSO",'capacity data'!$A:$A,B14))</f>
        <v>#DIV/0!</v>
      </c>
      <c r="I14" s="75" t="e">
        <f>SUMIFS('capacity data'!$L:$L,'capacity data'!$A:$A,B14,'capacity data'!$E:$E,"PSO")/SUMIFS('capacity data'!$G:$G,'capacity data'!$E:$E,"PSO",'capacity data'!$A:$A,B14)</f>
        <v>#DIV/0!</v>
      </c>
      <c r="J14" s="101"/>
      <c r="K14" s="75" t="e">
        <f>SUMIFS('capacity data'!$L:$L,'capacity data'!$A:$A,B14,'capacity data'!$E:$E,"TPO")/SUM((SUMIFS('capacity data'!$G:$G,'capacity data'!$E:$E,"TPO",'capacity data'!$A:$A,B14))-SUMIFS('capacity data'!$H:$H,'capacity data'!$E:$E,"TPO",'capacity data'!$A:$A,B14))</f>
        <v>#DIV/0!</v>
      </c>
      <c r="L14" s="75" t="e">
        <f>SUMIFS('capacity data'!$L:$L,'capacity data'!$A:$A,B14,'capacity data'!$E:$E,"TPO")/SUMIFS('capacity data'!$G:$G,'capacity data'!$E:$E,"TPO",'capacity data'!$A:$A,B14)</f>
        <v>#DIV/0!</v>
      </c>
    </row>
    <row r="15" spans="1:25" x14ac:dyDescent="0.2">
      <c r="B15" s="155" t="s">
        <v>30</v>
      </c>
      <c r="C15" s="76" t="e">
        <f>SUM((SUMIFS('capacity data'!G:G,'capacity data'!A:A,B15,'capacity data'!E:E,"PO"))-SUMIFS('capacity data'!H:H,'capacity data'!A:A,B15,'capacity data'!E:E,"PO"))/SUMIFS('capacity data'!G:G,'capacity data'!A:A,B15,'capacity data'!E:E,"PO")</f>
        <v>#DIV/0!</v>
      </c>
      <c r="D15" s="76" t="e">
        <f>SUM((SUMIFS('capacity data'!G:G,'capacity data'!A:A,B15,'capacity data'!E:E,"PSO"))-SUMIFS('capacity data'!H:H,'capacity data'!A:A,B15,'capacity data'!E:E,"PSO"))/SUMIFS('capacity data'!G:G,'capacity data'!A:A,B15,'capacity data'!E:E,"PSO")</f>
        <v>#DIV/0!</v>
      </c>
      <c r="E15" s="76" t="e">
        <f>SUM((SUMIFS('capacity data'!G:G,'capacity data'!A:A,B15,'capacity data'!E:E,"TPO"))-SUMIFS('capacity data'!H:H,'capacity data'!A:A,B15,'capacity data'!E:E,"TPO"))/SUMIFS('capacity data'!G:G,'capacity data'!A:A,B15,'capacity data'!E:E,"TPO")</f>
        <v>#DIV/0!</v>
      </c>
      <c r="F15" s="161" t="e">
        <f>SUM((SUMIFS('capacity data'!G:G,'capacity data'!A:A,B15))-SUMIFS('capacity data'!H:H,'capacity data'!A:A,B15))/SUMIFS('capacity data'!G:G,'capacity data'!A:A,B15)</f>
        <v>#DIV/0!</v>
      </c>
      <c r="G15" s="162"/>
      <c r="H15" s="75" t="e">
        <f>SUMIFS('capacity data'!$L:$L,'capacity data'!$A:$A,B15,'capacity data'!$E:$E,"PSO")/SUM((SUMIFS('capacity data'!$G:$G,'capacity data'!$E:$E,"PSO",'capacity data'!$A:$A,B15))-SUMIFS('capacity data'!$H:$H,'capacity data'!$E:$E,"PSO",'capacity data'!$A:$A,B15))</f>
        <v>#DIV/0!</v>
      </c>
      <c r="I15" s="75" t="e">
        <f>SUMIFS('capacity data'!$L:$L,'capacity data'!$A:$A,B15,'capacity data'!$E:$E,"PSO")/SUMIFS('capacity data'!$G:$G,'capacity data'!$E:$E,"PSO",'capacity data'!$A:$A,B15)</f>
        <v>#DIV/0!</v>
      </c>
      <c r="J15" s="101"/>
      <c r="K15" s="75" t="e">
        <f>SUMIFS('capacity data'!$L:$L,'capacity data'!$A:$A,B15,'capacity data'!$E:$E,"TPO")/SUM((SUMIFS('capacity data'!$G:$G,'capacity data'!$E:$E,"TPO",'capacity data'!$A:$A,B15))-SUMIFS('capacity data'!$H:$H,'capacity data'!$E:$E,"TPO",'capacity data'!$A:$A,B15))</f>
        <v>#DIV/0!</v>
      </c>
      <c r="L15" s="75" t="e">
        <f>SUMIFS('capacity data'!$L:$L,'capacity data'!$A:$A,B15,'capacity data'!$E:$E,"TPO")/SUMIFS('capacity data'!$G:$G,'capacity data'!$E:$E,"TPO",'capacity data'!$A:$A,B15)</f>
        <v>#DIV/0!</v>
      </c>
    </row>
    <row r="16" spans="1:25" ht="17" thickBot="1" x14ac:dyDescent="0.25">
      <c r="B16" s="155" t="s">
        <v>31</v>
      </c>
      <c r="C16" s="76" t="e">
        <f>SUM((SUMIFS('capacity data'!G:G,'capacity data'!A:A,B16,'capacity data'!E:E,"PO"))-SUMIFS('capacity data'!H:H,'capacity data'!A:A,B16,'capacity data'!E:E,"PO"))/SUMIFS('capacity data'!G:G,'capacity data'!A:A,B16,'capacity data'!E:E,"PO")</f>
        <v>#DIV/0!</v>
      </c>
      <c r="D16" s="76" t="e">
        <f>SUM((SUMIFS('capacity data'!G:G,'capacity data'!A:A,B16,'capacity data'!E:E,"PSO"))-SUMIFS('capacity data'!H:H,'capacity data'!A:A,B16,'capacity data'!E:E,"PSO"))/SUMIFS('capacity data'!G:G,'capacity data'!A:A,B16,'capacity data'!E:E,"PSO")</f>
        <v>#DIV/0!</v>
      </c>
      <c r="E16" s="76" t="e">
        <f>SUM((SUMIFS('capacity data'!G:G,'capacity data'!A:A,B16,'capacity data'!E:E,"TPO"))-SUMIFS('capacity data'!H:H,'capacity data'!A:A,B16,'capacity data'!E:E,"TPO"))/SUMIFS('capacity data'!G:G,'capacity data'!A:A,B16,'capacity data'!E:E,"TPO")</f>
        <v>#DIV/0!</v>
      </c>
      <c r="F16" s="161" t="e">
        <f>SUM((SUMIFS('capacity data'!G:G,'capacity data'!A:A,B16))-SUMIFS('capacity data'!H:H,'capacity data'!A:A,B16))/SUMIFS('capacity data'!G:G,'capacity data'!A:A,B16)</f>
        <v>#DIV/0!</v>
      </c>
      <c r="G16" s="162"/>
      <c r="H16" s="75" t="e">
        <f>SUMIFS('capacity data'!$L:$L,'capacity data'!$A:$A,B16,'capacity data'!$E:$E,"PSO")/SUM((SUMIFS('capacity data'!$G:$G,'capacity data'!$E:$E,"PSO",'capacity data'!$A:$A,B16))-SUMIFS('capacity data'!$H:$H,'capacity data'!$E:$E,"PSO",'capacity data'!$A:$A,B16))</f>
        <v>#DIV/0!</v>
      </c>
      <c r="I16" s="75" t="e">
        <f>SUMIFS('capacity data'!$L:$L,'capacity data'!$A:$A,B16,'capacity data'!$E:$E,"PSO")/SUMIFS('capacity data'!$G:$G,'capacity data'!$E:$E,"PSO",'capacity data'!$A:$A,B16)</f>
        <v>#DIV/0!</v>
      </c>
      <c r="J16" s="101"/>
      <c r="K16" s="75" t="e">
        <f>SUMIFS('capacity data'!$L:$L,'capacity data'!$A:$A,B16,'capacity data'!$E:$E,"TPO")/SUM((SUMIFS('capacity data'!$G:$G,'capacity data'!$E:$E,"TPO",'capacity data'!$A:$A,B16))-SUMIFS('capacity data'!$H:$H,'capacity data'!$E:$E,"TPO",'capacity data'!$A:$A,B16))</f>
        <v>#DIV/0!</v>
      </c>
      <c r="L16" s="75" t="e">
        <f>SUMIFS('capacity data'!$L:$L,'capacity data'!$A:$A,B16,'capacity data'!$E:$E,"TPO")/SUMIFS('capacity data'!$G:$G,'capacity data'!$E:$E,"TPO",'capacity data'!$A:$A,B16)</f>
        <v>#DIV/0!</v>
      </c>
    </row>
    <row r="17" spans="2:12" ht="17" thickBot="1" x14ac:dyDescent="0.25">
      <c r="B17" s="164" t="s">
        <v>1172</v>
      </c>
      <c r="C17" s="165" t="e">
        <f>SUM((SUMIF('capacity data'!E:E,"PO",'capacity data'!G:G))-SUMIF('capacity data'!E:E,"PO",'capacity data'!H:H))/SUMIF('capacity data'!E:E,"PO",'capacity data'!G:G)</f>
        <v>#DIV/0!</v>
      </c>
      <c r="D17" s="165" t="e">
        <f>SUM((SUMIF('capacity data'!E:E,"PSO",'capacity data'!G:G))-SUMIF('capacity data'!E:E,"PSO",'capacity data'!H:H))/SUMIF('capacity data'!E:E,"PSO",'capacity data'!G:G)</f>
        <v>#DIV/0!</v>
      </c>
      <c r="E17" s="165" t="e">
        <f>SUM((SUMIF('capacity data'!E:E,"TPO",'capacity data'!G:G))-SUMIF('capacity data'!E:E,"TPO",'capacity data'!H:H))/SUMIF('capacity data'!E:E,"TPO",'capacity data'!G:G)</f>
        <v>#DIV/0!</v>
      </c>
      <c r="F17" s="165" t="e">
        <f>SUM((SUM('capacity data'!G:G)-SUM('capacity data'!H:H))/SUM('capacity data'!G:G))</f>
        <v>#DIV/0!</v>
      </c>
      <c r="G17" s="101"/>
      <c r="H17" s="166" t="e">
        <f>SUMIF('capacity data'!$E:$E,"PSO",'capacity data'!$L:$L)/SUM(SUMIF('capacity data'!$E:$E,"PSO",'capacity data'!$G:$G)-SUMIF('capacity data'!$E:$E,"PSO",'capacity data'!$H:$H))</f>
        <v>#DIV/0!</v>
      </c>
      <c r="I17" s="166" t="e">
        <f>SUMIF('capacity data'!$E:$E,"PSO",'capacity data'!$L:$L)/SUMIF('capacity data'!$E:$E,"PSO",'capacity data'!$G:$G)</f>
        <v>#DIV/0!</v>
      </c>
      <c r="J17" s="101"/>
      <c r="K17" s="166" t="e">
        <f>SUMIF('capacity data'!$E:$E,"TPO",'capacity data'!$L:$L)/SUM(SUMIF('capacity data'!$E:$E,"TPO",'capacity data'!$G:$G)-SUMIF('capacity data'!$E:$E,"TPO",'capacity data'!$H:$H))</f>
        <v>#DIV/0!</v>
      </c>
      <c r="L17" s="166" t="e">
        <f>SUMIF('capacity data'!$E:$E,"TPO",'capacity data'!$L:$L)/SUMIF('capacity data'!$E:$E,"TPO",'capacity data'!$G:$G)</f>
        <v>#DIV/0!</v>
      </c>
    </row>
    <row r="23" spans="2:12" x14ac:dyDescent="0.2">
      <c r="C23" s="56"/>
    </row>
  </sheetData>
  <mergeCells count="2">
    <mergeCell ref="A2:Y2"/>
    <mergeCell ref="A1:Y1"/>
  </mergeCells>
  <conditionalFormatting sqref="C5:F17">
    <cfRule type="cellIs" dxfId="1" priority="3" operator="lessThan">
      <formula>0.9</formula>
    </cfRule>
    <cfRule type="cellIs" dxfId="0" priority="4" operator="greaterThanOrEqual">
      <formula>1.1</formula>
    </cfRule>
  </conditionalFormatting>
  <printOptions horizontalCentered="1"/>
  <pageMargins left="0.23622047244094491" right="0.23622047244094491" top="0.74803149606299213" bottom="0.74803149606299213" header="0.31496062992125984" footer="0.31496062992125984"/>
  <pageSetup paperSize="9" scale="67"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7"/>
  <dimension ref="A1:R44"/>
  <sheetViews>
    <sheetView showGridLines="0" showRowColHeaders="0" zoomScale="70" zoomScaleNormal="70" workbookViewId="0">
      <selection activeCell="B7" sqref="B7"/>
    </sheetView>
  </sheetViews>
  <sheetFormatPr baseColWidth="10" defaultColWidth="8.83203125" defaultRowHeight="14" x14ac:dyDescent="0.15"/>
  <cols>
    <col min="1" max="1" width="5.5" customWidth="1"/>
    <col min="2" max="2" width="38.5" customWidth="1"/>
    <col min="3" max="3" width="34" customWidth="1"/>
    <col min="4" max="4" width="14.5" customWidth="1"/>
    <col min="5" max="5" width="15.5" customWidth="1"/>
    <col min="6" max="6" width="28.1640625" customWidth="1"/>
    <col min="7" max="7" width="37.5" customWidth="1"/>
    <col min="8" max="8" width="14.5" customWidth="1"/>
    <col min="10" max="10" width="23.5" customWidth="1"/>
    <col min="11" max="11" width="32.5" bestFit="1" customWidth="1"/>
    <col min="12" max="12" width="28" customWidth="1"/>
  </cols>
  <sheetData>
    <row r="1" spans="1:18" ht="46.5" customHeight="1" x14ac:dyDescent="0.15">
      <c r="A1" s="402" t="s">
        <v>1173</v>
      </c>
      <c r="B1" s="402"/>
      <c r="C1" s="402"/>
      <c r="D1" s="402"/>
      <c r="E1" s="402"/>
      <c r="F1" s="402"/>
      <c r="G1" s="402"/>
      <c r="H1" s="402"/>
      <c r="I1" s="402"/>
      <c r="J1" s="402"/>
      <c r="K1" s="402"/>
      <c r="L1" s="402"/>
      <c r="M1" s="402"/>
      <c r="N1" s="402"/>
      <c r="O1" s="402"/>
      <c r="P1" s="402"/>
      <c r="Q1" s="402"/>
      <c r="R1" s="402"/>
    </row>
    <row r="2" spans="1:18" ht="40.5" customHeight="1" x14ac:dyDescent="0.15">
      <c r="A2" s="403"/>
      <c r="B2" s="403"/>
      <c r="C2" s="403"/>
      <c r="D2" s="403"/>
      <c r="E2" s="403"/>
      <c r="F2" s="403"/>
      <c r="G2" s="403"/>
      <c r="H2" s="403"/>
      <c r="I2" s="403"/>
      <c r="J2" s="403"/>
      <c r="K2" s="403"/>
      <c r="L2" s="403"/>
      <c r="M2" s="403"/>
      <c r="N2" s="403"/>
      <c r="O2" s="403"/>
      <c r="P2" s="403"/>
      <c r="Q2" s="403"/>
      <c r="R2" s="403"/>
    </row>
    <row r="4" spans="1:18" ht="16" x14ac:dyDescent="0.2">
      <c r="B4" s="399" t="s">
        <v>1174</v>
      </c>
      <c r="C4" s="400"/>
      <c r="D4" s="400"/>
      <c r="E4" s="6"/>
      <c r="F4" s="323" t="s">
        <v>1175</v>
      </c>
      <c r="G4" s="323"/>
      <c r="H4" s="401"/>
    </row>
    <row r="5" spans="1:18" x14ac:dyDescent="0.15">
      <c r="B5" s="85" t="s">
        <v>1111</v>
      </c>
      <c r="C5" s="85" t="s">
        <v>920</v>
      </c>
      <c r="D5" s="238" t="s">
        <v>906</v>
      </c>
      <c r="E5" s="179"/>
      <c r="F5" s="85" t="s">
        <v>1111</v>
      </c>
      <c r="G5" s="85" t="s">
        <v>920</v>
      </c>
      <c r="H5" s="180" t="s">
        <v>907</v>
      </c>
    </row>
    <row r="6" spans="1:18" x14ac:dyDescent="0.15">
      <c r="B6" s="71" t="e">
        <f>INDEX('capacity data'!O:O,MATCH(C6,'capacity data'!P:P,0))</f>
        <v>#NUM!</v>
      </c>
      <c r="C6" s="71" t="e">
        <f>INDEX('capacity data'!P:P,MATCH(D6,'capacity data'!Q:Q,0))</f>
        <v>#NUM!</v>
      </c>
      <c r="D6" s="181" t="e">
        <f>LARGE('capacity data'!Q:Q,1)</f>
        <v>#NUM!</v>
      </c>
      <c r="E6" s="162"/>
      <c r="F6" s="71" t="e">
        <f>INDEX('capacity data'!O:O,MATCH(G6,'capacity data'!P:P,0))</f>
        <v>#NUM!</v>
      </c>
      <c r="G6" s="71" t="e">
        <f>INDEX('capacity data'!P:P,MATCH(H6,'capacity data'!R:R,0))</f>
        <v>#NUM!</v>
      </c>
      <c r="H6" s="181" t="e">
        <f>SMALL('capacity data'!R:R,1)</f>
        <v>#NUM!</v>
      </c>
    </row>
    <row r="7" spans="1:18" x14ac:dyDescent="0.15">
      <c r="B7" s="71" t="e">
        <f>INDEX('capacity data'!O:O,MATCH(C7,'capacity data'!P:P,0))</f>
        <v>#NUM!</v>
      </c>
      <c r="C7" s="71" t="e">
        <f>INDEX('capacity data'!P:P,MATCH(D7,'capacity data'!Q:Q,0))</f>
        <v>#NUM!</v>
      </c>
      <c r="D7" s="181" t="e">
        <f>LARGE('capacity data'!Q:Q,2)</f>
        <v>#NUM!</v>
      </c>
      <c r="E7" s="162"/>
      <c r="F7" s="71" t="e">
        <f>INDEX('capacity data'!O:O,MATCH(G7,'capacity data'!P:P,0))</f>
        <v>#NUM!</v>
      </c>
      <c r="G7" s="71" t="e">
        <f>INDEX('capacity data'!P:P,MATCH(H7,'capacity data'!R:R,0))</f>
        <v>#NUM!</v>
      </c>
      <c r="H7" s="181" t="e">
        <f>SMALL('capacity data'!R:R,2)</f>
        <v>#NUM!</v>
      </c>
    </row>
    <row r="8" spans="1:18" x14ac:dyDescent="0.15">
      <c r="B8" s="71" t="e">
        <f>INDEX('capacity data'!O:O,MATCH(C8,'capacity data'!P:P,0))</f>
        <v>#NUM!</v>
      </c>
      <c r="C8" s="71" t="e">
        <f>INDEX('capacity data'!P:P,MATCH(D8,'capacity data'!Q:Q,0))</f>
        <v>#NUM!</v>
      </c>
      <c r="D8" s="181" t="e">
        <f>LARGE('capacity data'!Q:Q,3)</f>
        <v>#NUM!</v>
      </c>
      <c r="E8" s="162"/>
      <c r="F8" s="71" t="e">
        <f>INDEX('capacity data'!O:O,MATCH(G8,'capacity data'!P:P,0))</f>
        <v>#NUM!</v>
      </c>
      <c r="G8" s="71" t="e">
        <f>INDEX('capacity data'!P:P,MATCH(H8,'capacity data'!R:R,0))</f>
        <v>#NUM!</v>
      </c>
      <c r="H8" s="181" t="e">
        <f>SMALL('capacity data'!R:R,3)</f>
        <v>#NUM!</v>
      </c>
    </row>
    <row r="9" spans="1:18" x14ac:dyDescent="0.15">
      <c r="B9" s="71" t="e">
        <f>INDEX('capacity data'!O:O,MATCH(C9,'capacity data'!P:P,0))</f>
        <v>#NUM!</v>
      </c>
      <c r="C9" s="71" t="e">
        <f>INDEX('capacity data'!P:P,MATCH(D9,'capacity data'!Q:Q,0))</f>
        <v>#NUM!</v>
      </c>
      <c r="D9" s="181" t="e">
        <f>LARGE('capacity data'!Q:Q,4)</f>
        <v>#NUM!</v>
      </c>
      <c r="E9" s="162"/>
      <c r="F9" s="71" t="e">
        <f>INDEX('capacity data'!O:O,MATCH(G9,'capacity data'!P:P,0))</f>
        <v>#NUM!</v>
      </c>
      <c r="G9" s="71" t="e">
        <f>INDEX('capacity data'!P:P,MATCH(H9,'capacity data'!R:R,0))</f>
        <v>#NUM!</v>
      </c>
      <c r="H9" s="181" t="e">
        <f>SMALL('capacity data'!R:R,4)</f>
        <v>#NUM!</v>
      </c>
    </row>
    <row r="10" spans="1:18" x14ac:dyDescent="0.15">
      <c r="B10" s="71" t="e">
        <f>INDEX('capacity data'!O:O,MATCH(C10,'capacity data'!P:P,0))</f>
        <v>#NUM!</v>
      </c>
      <c r="C10" s="71" t="e">
        <f>INDEX('capacity data'!P:P,MATCH(D10,'capacity data'!Q:Q,0))</f>
        <v>#NUM!</v>
      </c>
      <c r="D10" s="181" t="e">
        <f>LARGE('capacity data'!Q:Q,5)</f>
        <v>#NUM!</v>
      </c>
      <c r="E10" s="162"/>
      <c r="F10" s="71" t="e">
        <f>INDEX('capacity data'!O:O,MATCH(G10,'capacity data'!P:P,0))</f>
        <v>#NUM!</v>
      </c>
      <c r="G10" s="71" t="e">
        <f>INDEX('capacity data'!P:P,MATCH(H10,'capacity data'!R:R,0))</f>
        <v>#NUM!</v>
      </c>
      <c r="H10" s="181" t="e">
        <f>SMALL('capacity data'!R:R,5)</f>
        <v>#NUM!</v>
      </c>
    </row>
    <row r="11" spans="1:18" x14ac:dyDescent="0.15">
      <c r="B11" s="71" t="e">
        <f>INDEX('capacity data'!O:O,MATCH(C11,'capacity data'!P:P,0))</f>
        <v>#NUM!</v>
      </c>
      <c r="C11" s="71" t="e">
        <f>INDEX('capacity data'!P:P,MATCH(D11,'capacity data'!Q:Q,0))</f>
        <v>#NUM!</v>
      </c>
      <c r="D11" s="181" t="e">
        <f>LARGE('capacity data'!Q:Q,6)</f>
        <v>#NUM!</v>
      </c>
      <c r="E11" s="162"/>
      <c r="F11" s="71" t="e">
        <f>INDEX('capacity data'!O:O,MATCH(G11,'capacity data'!P:P,0))</f>
        <v>#NUM!</v>
      </c>
      <c r="G11" s="71" t="e">
        <f>INDEX('capacity data'!P:P,MATCH(H11,'capacity data'!R:R,0))</f>
        <v>#NUM!</v>
      </c>
      <c r="H11" s="181" t="e">
        <f>SMALL('capacity data'!R:R,6)</f>
        <v>#NUM!</v>
      </c>
    </row>
    <row r="12" spans="1:18" x14ac:dyDescent="0.15">
      <c r="B12" s="71" t="e">
        <f>INDEX('capacity data'!O:O,MATCH(C12,'capacity data'!P:P,0))</f>
        <v>#NUM!</v>
      </c>
      <c r="C12" s="71" t="e">
        <f>INDEX('capacity data'!P:P,MATCH(D12,'capacity data'!Q:Q,0))</f>
        <v>#NUM!</v>
      </c>
      <c r="D12" s="181" t="e">
        <f>LARGE('capacity data'!Q:Q,7)</f>
        <v>#NUM!</v>
      </c>
      <c r="E12" s="162"/>
      <c r="F12" s="71" t="e">
        <f>INDEX('capacity data'!O:O,MATCH(G12,'capacity data'!P:P,0))</f>
        <v>#NUM!</v>
      </c>
      <c r="G12" s="71" t="e">
        <f>INDEX('capacity data'!P:P,MATCH(H12,'capacity data'!R:R,0))</f>
        <v>#NUM!</v>
      </c>
      <c r="H12" s="181" t="e">
        <f>SMALL('capacity data'!R:R,7)</f>
        <v>#NUM!</v>
      </c>
    </row>
    <row r="13" spans="1:18" x14ac:dyDescent="0.15">
      <c r="B13" s="71" t="e">
        <f>INDEX('capacity data'!O:O,MATCH(C13,'capacity data'!P:P,0))</f>
        <v>#NUM!</v>
      </c>
      <c r="C13" s="71" t="e">
        <f>INDEX('capacity data'!P:P,MATCH(D13,'capacity data'!Q:Q,0))</f>
        <v>#NUM!</v>
      </c>
      <c r="D13" s="181" t="e">
        <f>LARGE('capacity data'!Q:Q,8)</f>
        <v>#NUM!</v>
      </c>
      <c r="E13" s="162"/>
      <c r="F13" s="71" t="e">
        <f>INDEX('capacity data'!O:O,MATCH(G13,'capacity data'!P:P,0))</f>
        <v>#NUM!</v>
      </c>
      <c r="G13" s="71" t="e">
        <f>INDEX('capacity data'!P:P,MATCH(H13,'capacity data'!R:R,0))</f>
        <v>#NUM!</v>
      </c>
      <c r="H13" s="181" t="e">
        <f>SMALL('capacity data'!R:R,8)</f>
        <v>#NUM!</v>
      </c>
    </row>
    <row r="14" spans="1:18" x14ac:dyDescent="0.15">
      <c r="B14" s="71" t="e">
        <f>INDEX('capacity data'!O:O,MATCH(C14,'capacity data'!P:P,0))</f>
        <v>#NUM!</v>
      </c>
      <c r="C14" s="71" t="e">
        <f>INDEX('capacity data'!P:P,MATCH(D14,'capacity data'!Q:Q,0))</f>
        <v>#NUM!</v>
      </c>
      <c r="D14" s="181" t="e">
        <f>LARGE('capacity data'!Q:Q,9)</f>
        <v>#NUM!</v>
      </c>
      <c r="E14" s="162"/>
      <c r="F14" s="71" t="e">
        <f>INDEX('capacity data'!O:O,MATCH(G14,'capacity data'!P:P,0))</f>
        <v>#NUM!</v>
      </c>
      <c r="G14" s="71" t="e">
        <f>INDEX('capacity data'!P:P,MATCH(H14,'capacity data'!R:R,0))</f>
        <v>#NUM!</v>
      </c>
      <c r="H14" s="181" t="e">
        <f>SMALL('capacity data'!R:R,9)</f>
        <v>#NUM!</v>
      </c>
    </row>
    <row r="15" spans="1:18" x14ac:dyDescent="0.15">
      <c r="B15" s="71" t="e">
        <f>INDEX('capacity data'!O:O,MATCH(C15,'capacity data'!P:P,0))</f>
        <v>#NUM!</v>
      </c>
      <c r="C15" s="71" t="e">
        <f>INDEX('capacity data'!P:P,MATCH(D15,'capacity data'!Q:Q,0))</f>
        <v>#NUM!</v>
      </c>
      <c r="D15" s="181" t="e">
        <f>LARGE('capacity data'!Q:Q,10)</f>
        <v>#NUM!</v>
      </c>
      <c r="E15" s="162"/>
      <c r="F15" s="71" t="e">
        <f>INDEX('capacity data'!O:O,MATCH(G15,'capacity data'!P:P,0))</f>
        <v>#NUM!</v>
      </c>
      <c r="G15" s="71" t="e">
        <f>INDEX('capacity data'!P:P,MATCH(H15,'capacity data'!R:R,0))</f>
        <v>#NUM!</v>
      </c>
      <c r="H15" s="181" t="e">
        <f>SMALL('capacity data'!R:R,10)</f>
        <v>#NUM!</v>
      </c>
    </row>
    <row r="17" spans="2:12" x14ac:dyDescent="0.15">
      <c r="B17" s="404" t="s">
        <v>1176</v>
      </c>
      <c r="C17" s="405"/>
      <c r="D17" s="406"/>
      <c r="F17" s="397" t="s">
        <v>1177</v>
      </c>
      <c r="G17" s="397"/>
      <c r="H17" s="397"/>
      <c r="J17" s="397" t="s">
        <v>1178</v>
      </c>
      <c r="K17" s="397"/>
      <c r="L17" s="397"/>
    </row>
    <row r="18" spans="2:12" ht="30.75" customHeight="1" x14ac:dyDescent="0.15">
      <c r="B18" s="407"/>
      <c r="C18" s="408"/>
      <c r="D18" s="409"/>
      <c r="F18" s="398"/>
      <c r="G18" s="398"/>
      <c r="H18" s="398"/>
      <c r="J18" s="398"/>
      <c r="K18" s="398"/>
      <c r="L18" s="398"/>
    </row>
    <row r="19" spans="2:12" ht="39" customHeight="1" x14ac:dyDescent="0.15">
      <c r="B19" s="85" t="s">
        <v>1111</v>
      </c>
      <c r="C19" s="85" t="s">
        <v>920</v>
      </c>
      <c r="D19" s="238" t="s">
        <v>1179</v>
      </c>
      <c r="F19" s="85" t="s">
        <v>1111</v>
      </c>
      <c r="G19" s="85" t="s">
        <v>920</v>
      </c>
      <c r="H19" s="85" t="s">
        <v>1180</v>
      </c>
      <c r="J19" s="85" t="s">
        <v>1111</v>
      </c>
      <c r="K19" s="85" t="s">
        <v>920</v>
      </c>
      <c r="L19" s="85" t="s">
        <v>1180</v>
      </c>
    </row>
    <row r="20" spans="2:12" x14ac:dyDescent="0.15">
      <c r="B20" s="71" t="e">
        <f>INDEX('capacity data'!O:O,MATCH(C20,'capacity data'!P:P,0))</f>
        <v>#NUM!</v>
      </c>
      <c r="C20" s="71" t="e">
        <f>INDEX('capacity data'!P:P,MATCH(D20,'capacity data'!S:S,0))</f>
        <v>#NUM!</v>
      </c>
      <c r="D20" s="181" t="e">
        <f>LARGE('capacity data'!S:S,1)</f>
        <v>#NUM!</v>
      </c>
      <c r="F20" s="71" t="e">
        <f>INDEX('capacity data'!O:O,MATCH(H20,'capacity data'!T:T,0))</f>
        <v>#NUM!</v>
      </c>
      <c r="G20" s="71" t="e">
        <f>INDEX('capacity data'!P:P,MATCH(H20,'capacity data'!T:T,0))</f>
        <v>#NUM!</v>
      </c>
      <c r="H20" s="75" t="e">
        <f>LARGE('capacity data'!$T:$T,1)</f>
        <v>#NUM!</v>
      </c>
      <c r="J20" s="71" t="e">
        <f>INDEX('capacity data'!O:O,MATCH(L20,'capacity data'!T:T,0))</f>
        <v>#NUM!</v>
      </c>
      <c r="K20" s="71" t="e">
        <f>INDEX('capacity data'!P:P,MATCH(L20,'capacity data'!T:T,0))</f>
        <v>#NUM!</v>
      </c>
      <c r="L20" s="75" t="e">
        <f>SMALL('capacity data'!$T:$T,1)</f>
        <v>#NUM!</v>
      </c>
    </row>
    <row r="21" spans="2:12" x14ac:dyDescent="0.15">
      <c r="B21" s="71" t="e">
        <f>INDEX('capacity data'!O:O,MATCH(C21,'capacity data'!P:P,0))</f>
        <v>#NUM!</v>
      </c>
      <c r="C21" s="71" t="e">
        <f>INDEX('capacity data'!P:P,MATCH(D21,'capacity data'!S:S,0))</f>
        <v>#NUM!</v>
      </c>
      <c r="D21" s="181" t="e">
        <f>LARGE('capacity data'!S:S,2)</f>
        <v>#NUM!</v>
      </c>
      <c r="F21" s="71" t="e">
        <f>INDEX('capacity data'!O:O,MATCH(H21,'capacity data'!T:T,0))</f>
        <v>#NUM!</v>
      </c>
      <c r="G21" s="71" t="e">
        <f>INDEX('capacity data'!P:P,MATCH(H21,'capacity data'!T:T,0))</f>
        <v>#NUM!</v>
      </c>
      <c r="H21" s="75" t="e">
        <f>LARGE('capacity data'!$T:$T,2)</f>
        <v>#NUM!</v>
      </c>
      <c r="J21" s="71" t="e">
        <f>INDEX('capacity data'!O:O,MATCH(L21,'capacity data'!T:T,0))</f>
        <v>#NUM!</v>
      </c>
      <c r="K21" s="71" t="e">
        <f>INDEX('capacity data'!P:P,MATCH(L21,'capacity data'!T:T,0))</f>
        <v>#NUM!</v>
      </c>
      <c r="L21" s="75" t="e">
        <f>SMALL('capacity data'!$T:$T,2)</f>
        <v>#NUM!</v>
      </c>
    </row>
    <row r="22" spans="2:12" x14ac:dyDescent="0.15">
      <c r="B22" s="71" t="e">
        <f>INDEX('capacity data'!O:O,MATCH(C22,'capacity data'!P:P,0))</f>
        <v>#NUM!</v>
      </c>
      <c r="C22" s="71" t="e">
        <f>INDEX('capacity data'!P:P,MATCH(D22,'capacity data'!S:S,0))</f>
        <v>#NUM!</v>
      </c>
      <c r="D22" s="181" t="e">
        <f>LARGE('capacity data'!S:S,3)</f>
        <v>#NUM!</v>
      </c>
      <c r="F22" s="71" t="e">
        <f>INDEX('capacity data'!O:O,MATCH(H22,'capacity data'!T:T,0))</f>
        <v>#NUM!</v>
      </c>
      <c r="G22" s="71" t="e">
        <f>INDEX('capacity data'!P:P,MATCH(H22,'capacity data'!T:T,0))</f>
        <v>#NUM!</v>
      </c>
      <c r="H22" s="75" t="e">
        <f>LARGE('capacity data'!$T:$T,3)</f>
        <v>#NUM!</v>
      </c>
      <c r="J22" s="71" t="e">
        <f>INDEX('capacity data'!O:O,MATCH(L22,'capacity data'!T:T,0))</f>
        <v>#NUM!</v>
      </c>
      <c r="K22" s="71" t="e">
        <f>INDEX('capacity data'!P:P,MATCH(L22,'capacity data'!T:T,0))</f>
        <v>#NUM!</v>
      </c>
      <c r="L22" s="75" t="e">
        <f>SMALL('capacity data'!$T:$T,3)</f>
        <v>#NUM!</v>
      </c>
    </row>
    <row r="23" spans="2:12" x14ac:dyDescent="0.15">
      <c r="B23" s="71" t="e">
        <f>INDEX('capacity data'!O:O,MATCH(C23,'capacity data'!P:P,0))</f>
        <v>#NUM!</v>
      </c>
      <c r="C23" s="71" t="e">
        <f>INDEX('capacity data'!P:P,MATCH(D23,'capacity data'!S:S,0))</f>
        <v>#NUM!</v>
      </c>
      <c r="D23" s="181" t="e">
        <f>LARGE('capacity data'!S:S,4)</f>
        <v>#NUM!</v>
      </c>
      <c r="F23" s="71" t="e">
        <f>INDEX('capacity data'!O:O,MATCH(H23,'capacity data'!T:T,0))</f>
        <v>#NUM!</v>
      </c>
      <c r="G23" s="71" t="e">
        <f>INDEX('capacity data'!P:P,MATCH(H23,'capacity data'!T:T,0))</f>
        <v>#NUM!</v>
      </c>
      <c r="H23" s="75" t="e">
        <f>LARGE('capacity data'!$T:$T,4)</f>
        <v>#NUM!</v>
      </c>
      <c r="J23" s="71" t="e">
        <f>INDEX('capacity data'!O:O,MATCH(L23,'capacity data'!T:T,0))</f>
        <v>#NUM!</v>
      </c>
      <c r="K23" s="71" t="e">
        <f>INDEX('capacity data'!P:P,MATCH(L23,'capacity data'!T:T,0))</f>
        <v>#NUM!</v>
      </c>
      <c r="L23" s="75" t="e">
        <f>SMALL('capacity data'!$T:$T,4)</f>
        <v>#NUM!</v>
      </c>
    </row>
    <row r="24" spans="2:12" x14ac:dyDescent="0.15">
      <c r="B24" s="71" t="e">
        <f>INDEX('capacity data'!O:O,MATCH(C24,'capacity data'!P:P,0))</f>
        <v>#NUM!</v>
      </c>
      <c r="C24" s="71" t="e">
        <f>INDEX('capacity data'!P:P,MATCH(D24,'capacity data'!S:S,0))</f>
        <v>#NUM!</v>
      </c>
      <c r="D24" s="181" t="e">
        <f>LARGE('capacity data'!S:S,5)</f>
        <v>#NUM!</v>
      </c>
      <c r="F24" s="71" t="e">
        <f>INDEX('capacity data'!O:O,MATCH(H24,'capacity data'!T:T,0))</f>
        <v>#NUM!</v>
      </c>
      <c r="G24" s="71" t="e">
        <f>INDEX('capacity data'!P:P,MATCH(H24,'capacity data'!T:T,0))</f>
        <v>#NUM!</v>
      </c>
      <c r="H24" s="75" t="e">
        <f>LARGE('capacity data'!$T:$T,5)</f>
        <v>#NUM!</v>
      </c>
      <c r="J24" s="71" t="e">
        <f>INDEX('capacity data'!O:O,MATCH(L24,'capacity data'!T:T,0))</f>
        <v>#NUM!</v>
      </c>
      <c r="K24" s="71" t="e">
        <f>INDEX('capacity data'!P:P,MATCH(L24,'capacity data'!T:T,0))</f>
        <v>#NUM!</v>
      </c>
      <c r="L24" s="75" t="e">
        <f>SMALL('capacity data'!$T:$T,5)</f>
        <v>#NUM!</v>
      </c>
    </row>
    <row r="25" spans="2:12" x14ac:dyDescent="0.15">
      <c r="B25" s="71" t="e">
        <f>INDEX('capacity data'!O:O,MATCH(C25,'capacity data'!P:P,0))</f>
        <v>#NUM!</v>
      </c>
      <c r="C25" s="71" t="e">
        <f>INDEX('capacity data'!P:P,MATCH(D25,'capacity data'!S:S,0))</f>
        <v>#NUM!</v>
      </c>
      <c r="D25" s="181" t="e">
        <f>LARGE('capacity data'!S:S,6)</f>
        <v>#NUM!</v>
      </c>
      <c r="F25" s="71" t="e">
        <f>INDEX('capacity data'!O:O,MATCH(H25,'capacity data'!T:T,0))</f>
        <v>#NUM!</v>
      </c>
      <c r="G25" s="71" t="e">
        <f>INDEX('capacity data'!P:P,MATCH(H25,'capacity data'!T:T,0))</f>
        <v>#NUM!</v>
      </c>
      <c r="H25" s="75" t="e">
        <f>LARGE('capacity data'!$T:$T,6)</f>
        <v>#NUM!</v>
      </c>
      <c r="J25" s="71" t="e">
        <f>INDEX('capacity data'!O:O,MATCH(L25,'capacity data'!T:T,0))</f>
        <v>#NUM!</v>
      </c>
      <c r="K25" s="71" t="e">
        <f>INDEX('capacity data'!P:P,MATCH(L25,'capacity data'!T:T,0))</f>
        <v>#NUM!</v>
      </c>
      <c r="L25" s="75" t="e">
        <f>SMALL('capacity data'!$T:$T,6)</f>
        <v>#NUM!</v>
      </c>
    </row>
    <row r="26" spans="2:12" x14ac:dyDescent="0.15">
      <c r="B26" s="71" t="e">
        <f>INDEX('capacity data'!O:O,MATCH(C26,'capacity data'!P:P,0))</f>
        <v>#NUM!</v>
      </c>
      <c r="C26" s="71" t="e">
        <f>INDEX('capacity data'!P:P,MATCH(D26,'capacity data'!S:S,0))</f>
        <v>#NUM!</v>
      </c>
      <c r="D26" s="181" t="e">
        <f>LARGE('capacity data'!S:S,7)</f>
        <v>#NUM!</v>
      </c>
      <c r="F26" s="71" t="e">
        <f>INDEX('capacity data'!O:O,MATCH(H26,'capacity data'!T:T,0))</f>
        <v>#NUM!</v>
      </c>
      <c r="G26" s="71" t="e">
        <f>INDEX('capacity data'!P:P,MATCH(H26,'capacity data'!T:T,0))</f>
        <v>#NUM!</v>
      </c>
      <c r="H26" s="75" t="e">
        <f>LARGE('capacity data'!$T:$T,7)</f>
        <v>#NUM!</v>
      </c>
      <c r="J26" s="71" t="e">
        <f>INDEX('capacity data'!O:O,MATCH(L26,'capacity data'!T:T,0))</f>
        <v>#NUM!</v>
      </c>
      <c r="K26" s="71" t="e">
        <f>INDEX('capacity data'!P:P,MATCH(L26,'capacity data'!T:T,0))</f>
        <v>#NUM!</v>
      </c>
      <c r="L26" s="75" t="e">
        <f>SMALL('capacity data'!$T:$T,7)</f>
        <v>#NUM!</v>
      </c>
    </row>
    <row r="27" spans="2:12" x14ac:dyDescent="0.15">
      <c r="B27" s="71" t="e">
        <f>INDEX('capacity data'!O:O,MATCH(C27,'capacity data'!P:P,0))</f>
        <v>#NUM!</v>
      </c>
      <c r="C27" s="71" t="e">
        <f>INDEX('capacity data'!P:P,MATCH(D27,'capacity data'!S:S,0))</f>
        <v>#NUM!</v>
      </c>
      <c r="D27" s="181" t="e">
        <f>LARGE('capacity data'!S:S,8)</f>
        <v>#NUM!</v>
      </c>
      <c r="F27" s="71" t="e">
        <f>INDEX('capacity data'!O:O,MATCH(H27,'capacity data'!T:T,0))</f>
        <v>#NUM!</v>
      </c>
      <c r="G27" s="71" t="e">
        <f>INDEX('capacity data'!P:P,MATCH(H27,'capacity data'!T:T,0))</f>
        <v>#NUM!</v>
      </c>
      <c r="H27" s="75" t="e">
        <f>LARGE('capacity data'!$T:$T,8)</f>
        <v>#NUM!</v>
      </c>
      <c r="J27" s="71" t="e">
        <f>INDEX('capacity data'!O:O,MATCH(L27,'capacity data'!T:T,0))</f>
        <v>#NUM!</v>
      </c>
      <c r="K27" s="71" t="e">
        <f>INDEX('capacity data'!P:P,MATCH(L27,'capacity data'!T:T,0))</f>
        <v>#NUM!</v>
      </c>
      <c r="L27" s="75" t="e">
        <f>SMALL('capacity data'!$T:$T,8)</f>
        <v>#NUM!</v>
      </c>
    </row>
    <row r="28" spans="2:12" x14ac:dyDescent="0.15">
      <c r="B28" s="71" t="e">
        <f>INDEX('capacity data'!O:O,MATCH(C28,'capacity data'!P:P,0))</f>
        <v>#NUM!</v>
      </c>
      <c r="C28" s="71" t="e">
        <f>INDEX('capacity data'!P:P,MATCH(D28,'capacity data'!S:S,0))</f>
        <v>#NUM!</v>
      </c>
      <c r="D28" s="181" t="e">
        <f>LARGE('capacity data'!S:S,9)</f>
        <v>#NUM!</v>
      </c>
      <c r="F28" s="71" t="e">
        <f>INDEX('capacity data'!O:O,MATCH(H28,'capacity data'!T:T,0))</f>
        <v>#NUM!</v>
      </c>
      <c r="G28" s="71" t="e">
        <f>INDEX('capacity data'!P:P,MATCH(H28,'capacity data'!T:T,0))</f>
        <v>#NUM!</v>
      </c>
      <c r="H28" s="75" t="e">
        <f>LARGE('capacity data'!$T:$T,9)</f>
        <v>#NUM!</v>
      </c>
      <c r="J28" s="71" t="e">
        <f>INDEX('capacity data'!O:O,MATCH(L28,'capacity data'!T:T,0))</f>
        <v>#NUM!</v>
      </c>
      <c r="K28" s="71" t="e">
        <f>INDEX('capacity data'!P:P,MATCH(L28,'capacity data'!T:T,0))</f>
        <v>#NUM!</v>
      </c>
      <c r="L28" s="75" t="e">
        <f>SMALL('capacity data'!$T:$T,9)</f>
        <v>#NUM!</v>
      </c>
    </row>
    <row r="29" spans="2:12" x14ac:dyDescent="0.15">
      <c r="B29" s="71" t="e">
        <f>INDEX('capacity data'!O:O,MATCH(C29,'capacity data'!P:P,0))</f>
        <v>#NUM!</v>
      </c>
      <c r="C29" s="71" t="e">
        <f>INDEX('capacity data'!P:P,MATCH(D29,'capacity data'!S:S,0))</f>
        <v>#NUM!</v>
      </c>
      <c r="D29" s="181" t="e">
        <f>LARGE('capacity data'!S:S,10)</f>
        <v>#NUM!</v>
      </c>
      <c r="F29" s="71" t="e">
        <f>INDEX('capacity data'!O:O,MATCH(H29,'capacity data'!T:T,0))</f>
        <v>#NUM!</v>
      </c>
      <c r="G29" s="71" t="e">
        <f>INDEX('capacity data'!P:P,MATCH(H29,'capacity data'!T:T,0))</f>
        <v>#NUM!</v>
      </c>
      <c r="H29" s="75" t="e">
        <f>LARGE('capacity data'!$T:$T,10)</f>
        <v>#NUM!</v>
      </c>
      <c r="J29" s="71" t="e">
        <f>INDEX('capacity data'!O:O,MATCH(L29,'capacity data'!T:T,0))</f>
        <v>#NUM!</v>
      </c>
      <c r="K29" s="71" t="e">
        <f>INDEX('capacity data'!P:P,MATCH(L29,'capacity data'!T:T,0))</f>
        <v>#NUM!</v>
      </c>
      <c r="L29" s="75" t="e">
        <f>SMALL('capacity data'!$T:$T,10)</f>
        <v>#NUM!</v>
      </c>
    </row>
    <row r="32" spans="2:12" x14ac:dyDescent="0.15">
      <c r="B32" s="397" t="s">
        <v>1181</v>
      </c>
      <c r="C32" s="397"/>
      <c r="D32" s="397"/>
      <c r="F32" s="397" t="s">
        <v>1182</v>
      </c>
      <c r="G32" s="397"/>
      <c r="H32" s="397"/>
    </row>
    <row r="33" spans="2:8" ht="30" customHeight="1" x14ac:dyDescent="0.15">
      <c r="B33" s="398"/>
      <c r="C33" s="398"/>
      <c r="D33" s="398"/>
      <c r="F33" s="398"/>
      <c r="G33" s="398"/>
      <c r="H33" s="398"/>
    </row>
    <row r="34" spans="2:8" x14ac:dyDescent="0.15">
      <c r="B34" s="85" t="s">
        <v>1111</v>
      </c>
      <c r="C34" s="85" t="s">
        <v>920</v>
      </c>
      <c r="D34" s="85" t="s">
        <v>1180</v>
      </c>
      <c r="F34" s="85" t="s">
        <v>1111</v>
      </c>
      <c r="G34" s="85" t="s">
        <v>920</v>
      </c>
      <c r="H34" s="85" t="s">
        <v>1180</v>
      </c>
    </row>
    <row r="35" spans="2:8" x14ac:dyDescent="0.15">
      <c r="B35" s="71" t="e">
        <f>INDEX('capacity data'!O:O,MATCH(D35,'capacity data'!U:U,0))</f>
        <v>#NUM!</v>
      </c>
      <c r="C35" s="71" t="e">
        <f>INDEX('capacity data'!$P:$P,MATCH(D35,'capacity data'!U:U,0))</f>
        <v>#NUM!</v>
      </c>
      <c r="D35" s="75" t="e">
        <f>LARGE('capacity data'!$U:$U,1)</f>
        <v>#NUM!</v>
      </c>
      <c r="F35" s="71" t="e">
        <f>INDEX('capacity data'!$O:$O,MATCH(H35,'capacity data'!$U:$U,0))</f>
        <v>#NUM!</v>
      </c>
      <c r="G35" s="71" t="e">
        <f>INDEX('capacity data'!$P:$P,MATCH(H35,'capacity data'!$U:$U,0))</f>
        <v>#NUM!</v>
      </c>
      <c r="H35" s="75" t="e">
        <f>SMALL('capacity data'!$U:$U,1)</f>
        <v>#NUM!</v>
      </c>
    </row>
    <row r="36" spans="2:8" x14ac:dyDescent="0.15">
      <c r="B36" s="71" t="e">
        <f>INDEX('capacity data'!O:O,MATCH(D36,'capacity data'!U:U,0))</f>
        <v>#NUM!</v>
      </c>
      <c r="C36" s="71" t="e">
        <f>INDEX('capacity data'!$P:$P,MATCH(D36,'capacity data'!U:U,0))</f>
        <v>#NUM!</v>
      </c>
      <c r="D36" s="75" t="e">
        <f>LARGE('capacity data'!$U:$U,2)</f>
        <v>#NUM!</v>
      </c>
      <c r="F36" s="71" t="e">
        <f>INDEX('capacity data'!$O:$O,MATCH(H36,'capacity data'!$U:$U,0))</f>
        <v>#NUM!</v>
      </c>
      <c r="G36" s="71" t="e">
        <f>INDEX('capacity data'!$P:$P,MATCH(H36,'capacity data'!$U:$U,0))</f>
        <v>#NUM!</v>
      </c>
      <c r="H36" s="75" t="e">
        <f>SMALL('capacity data'!$U:$U,2)</f>
        <v>#NUM!</v>
      </c>
    </row>
    <row r="37" spans="2:8" x14ac:dyDescent="0.15">
      <c r="B37" s="71" t="e">
        <f>INDEX('capacity data'!O:O,MATCH(D37,'capacity data'!U:U,0))</f>
        <v>#NUM!</v>
      </c>
      <c r="C37" s="71" t="e">
        <f>INDEX('capacity data'!$P:$P,MATCH(D37,'capacity data'!U:U,0))</f>
        <v>#NUM!</v>
      </c>
      <c r="D37" s="75" t="e">
        <f>LARGE('capacity data'!$U:$U,3)</f>
        <v>#NUM!</v>
      </c>
      <c r="F37" s="71" t="e">
        <f>INDEX('capacity data'!$O:$O,MATCH(H37,'capacity data'!$U:$U,0))</f>
        <v>#NUM!</v>
      </c>
      <c r="G37" s="71" t="e">
        <f>INDEX('capacity data'!$P:$P,MATCH(H37,'capacity data'!$U:$U,0))</f>
        <v>#NUM!</v>
      </c>
      <c r="H37" s="75" t="e">
        <f>SMALL('capacity data'!$U:$U,3)</f>
        <v>#NUM!</v>
      </c>
    </row>
    <row r="38" spans="2:8" x14ac:dyDescent="0.15">
      <c r="B38" s="71" t="e">
        <f>INDEX('capacity data'!O:O,MATCH(D38,'capacity data'!U:U,0))</f>
        <v>#NUM!</v>
      </c>
      <c r="C38" s="71" t="e">
        <f>INDEX('capacity data'!$P:$P,MATCH(D38,'capacity data'!U:U,0))</f>
        <v>#NUM!</v>
      </c>
      <c r="D38" s="75" t="e">
        <f>LARGE('capacity data'!$U:$U,4)</f>
        <v>#NUM!</v>
      </c>
      <c r="F38" s="71" t="e">
        <f>INDEX('capacity data'!$O:$O,MATCH(H38,'capacity data'!$U:$U,0))</f>
        <v>#NUM!</v>
      </c>
      <c r="G38" s="71" t="e">
        <f>INDEX('capacity data'!$P:$P,MATCH(H38,'capacity data'!$U:$U,0))</f>
        <v>#NUM!</v>
      </c>
      <c r="H38" s="75" t="e">
        <f>SMALL('capacity data'!$U:$U,4)</f>
        <v>#NUM!</v>
      </c>
    </row>
    <row r="39" spans="2:8" x14ac:dyDescent="0.15">
      <c r="B39" s="71" t="e">
        <f>INDEX('capacity data'!O:O,MATCH(D39,'capacity data'!U:U,0))</f>
        <v>#NUM!</v>
      </c>
      <c r="C39" s="71" t="e">
        <f>INDEX('capacity data'!$P:$P,MATCH(D39,'capacity data'!U:U,0))</f>
        <v>#NUM!</v>
      </c>
      <c r="D39" s="75" t="e">
        <f>LARGE('capacity data'!$U:$U,5)</f>
        <v>#NUM!</v>
      </c>
      <c r="F39" s="71" t="e">
        <f>INDEX('capacity data'!$O:$O,MATCH(H39,'capacity data'!$U:$U,0))</f>
        <v>#NUM!</v>
      </c>
      <c r="G39" s="71" t="e">
        <f>INDEX('capacity data'!$P:$P,MATCH(H39,'capacity data'!$U:$U,0))</f>
        <v>#NUM!</v>
      </c>
      <c r="H39" s="75" t="e">
        <f>SMALL('capacity data'!$U:$U,5)</f>
        <v>#NUM!</v>
      </c>
    </row>
    <row r="40" spans="2:8" x14ac:dyDescent="0.15">
      <c r="B40" s="71" t="e">
        <f>INDEX('capacity data'!O:O,MATCH(D40,'capacity data'!U:U,0))</f>
        <v>#NUM!</v>
      </c>
      <c r="C40" s="71" t="e">
        <f>INDEX('capacity data'!$P:$P,MATCH(D40,'capacity data'!U:U,0))</f>
        <v>#NUM!</v>
      </c>
      <c r="D40" s="75" t="e">
        <f>LARGE('capacity data'!$U:$U,6)</f>
        <v>#NUM!</v>
      </c>
      <c r="F40" s="71" t="e">
        <f>INDEX('capacity data'!$O:$O,MATCH(H40,'capacity data'!$U:$U,0))</f>
        <v>#NUM!</v>
      </c>
      <c r="G40" s="71" t="e">
        <f>INDEX('capacity data'!$P:$P,MATCH(H40,'capacity data'!$U:$U,0))</f>
        <v>#NUM!</v>
      </c>
      <c r="H40" s="75" t="e">
        <f>SMALL('capacity data'!$U:$U,6)</f>
        <v>#NUM!</v>
      </c>
    </row>
    <row r="41" spans="2:8" x14ac:dyDescent="0.15">
      <c r="B41" s="71" t="e">
        <f>INDEX('capacity data'!O:O,MATCH(D41,'capacity data'!U:U,0))</f>
        <v>#NUM!</v>
      </c>
      <c r="C41" s="71" t="e">
        <f>INDEX('capacity data'!$P:$P,MATCH(D41,'capacity data'!U:U,0))</f>
        <v>#NUM!</v>
      </c>
      <c r="D41" s="75" t="e">
        <f>LARGE('capacity data'!$U:$U,7)</f>
        <v>#NUM!</v>
      </c>
      <c r="F41" s="71" t="e">
        <f>INDEX('capacity data'!$O:$O,MATCH(H41,'capacity data'!$U:$U,0))</f>
        <v>#NUM!</v>
      </c>
      <c r="G41" s="71" t="e">
        <f>INDEX('capacity data'!$P:$P,MATCH(H41,'capacity data'!$U:$U,0))</f>
        <v>#NUM!</v>
      </c>
      <c r="H41" s="75" t="e">
        <f>SMALL('capacity data'!$U:$U,7)</f>
        <v>#NUM!</v>
      </c>
    </row>
    <row r="42" spans="2:8" x14ac:dyDescent="0.15">
      <c r="B42" s="71" t="e">
        <f>INDEX('capacity data'!O:O,MATCH(D42,'capacity data'!U:U,0))</f>
        <v>#NUM!</v>
      </c>
      <c r="C42" s="71" t="e">
        <f>INDEX('capacity data'!$P:$P,MATCH(D42,'capacity data'!U:U,0))</f>
        <v>#NUM!</v>
      </c>
      <c r="D42" s="75" t="e">
        <f>LARGE('capacity data'!$U:$U,8)</f>
        <v>#NUM!</v>
      </c>
      <c r="F42" s="71" t="e">
        <f>INDEX('capacity data'!$O:$O,MATCH(H42,'capacity data'!$U:$U,0))</f>
        <v>#NUM!</v>
      </c>
      <c r="G42" s="71" t="e">
        <f>INDEX('capacity data'!$P:$P,MATCH(H42,'capacity data'!$U:$U,0))</f>
        <v>#NUM!</v>
      </c>
      <c r="H42" s="75" t="e">
        <f>SMALL('capacity data'!$U:$U,8)</f>
        <v>#NUM!</v>
      </c>
    </row>
    <row r="43" spans="2:8" x14ac:dyDescent="0.15">
      <c r="B43" s="71" t="e">
        <f>INDEX('capacity data'!O:O,MATCH(D43,'capacity data'!U:U,0))</f>
        <v>#NUM!</v>
      </c>
      <c r="C43" s="71" t="e">
        <f>INDEX('capacity data'!$P:$P,MATCH(D43,'capacity data'!U:U,0))</f>
        <v>#NUM!</v>
      </c>
      <c r="D43" s="75" t="e">
        <f>LARGE('capacity data'!$U:$U,9)</f>
        <v>#NUM!</v>
      </c>
      <c r="F43" s="71" t="e">
        <f>INDEX('capacity data'!$O:$O,MATCH(H43,'capacity data'!$U:$U,0))</f>
        <v>#NUM!</v>
      </c>
      <c r="G43" s="71" t="e">
        <f>INDEX('capacity data'!$P:$P,MATCH(H43,'capacity data'!$U:$U,0))</f>
        <v>#NUM!</v>
      </c>
      <c r="H43" s="75" t="e">
        <f>SMALL('capacity data'!$U:$U,9)</f>
        <v>#NUM!</v>
      </c>
    </row>
    <row r="44" spans="2:8" x14ac:dyDescent="0.15">
      <c r="B44" s="71" t="e">
        <f>INDEX('capacity data'!O:O,MATCH(D44,'capacity data'!U:U,0))</f>
        <v>#NUM!</v>
      </c>
      <c r="C44" s="71" t="e">
        <f>INDEX('capacity data'!$P:$P,MATCH(D44,'capacity data'!U:U,0))</f>
        <v>#NUM!</v>
      </c>
      <c r="D44" s="75" t="e">
        <f>LARGE('capacity data'!$U:$U,10)</f>
        <v>#NUM!</v>
      </c>
      <c r="F44" s="71" t="e">
        <f>INDEX('capacity data'!$O:$O,MATCH(H44,'capacity data'!$U:$U,0))</f>
        <v>#NUM!</v>
      </c>
      <c r="G44" s="71" t="e">
        <f>INDEX('capacity data'!$P:$P,MATCH(H44,'capacity data'!$U:$U,0))</f>
        <v>#NUM!</v>
      </c>
      <c r="H44" s="75" t="e">
        <f>SMALL('capacity data'!$U:$U,10)</f>
        <v>#NUM!</v>
      </c>
    </row>
  </sheetData>
  <mergeCells count="9">
    <mergeCell ref="B32:D33"/>
    <mergeCell ref="F32:H33"/>
    <mergeCell ref="B4:D4"/>
    <mergeCell ref="F4:H4"/>
    <mergeCell ref="A1:R1"/>
    <mergeCell ref="A2:R2"/>
    <mergeCell ref="B17:D18"/>
    <mergeCell ref="F17:H18"/>
    <mergeCell ref="J17:L18"/>
  </mergeCells>
  <pageMargins left="0.7" right="0.7" top="0.75" bottom="0.75" header="0.3" footer="0.3"/>
  <pageSetup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5"/>
  <dimension ref="A1:Q35"/>
  <sheetViews>
    <sheetView showGridLines="0" zoomScale="85" zoomScaleNormal="85" workbookViewId="0">
      <selection sqref="A1:Q1"/>
    </sheetView>
  </sheetViews>
  <sheetFormatPr baseColWidth="10" defaultColWidth="8.83203125" defaultRowHeight="14" x14ac:dyDescent="0.15"/>
  <cols>
    <col min="1" max="1" width="1.5" customWidth="1"/>
    <col min="2" max="2" width="29.5" bestFit="1" customWidth="1"/>
    <col min="3" max="3" width="11" customWidth="1"/>
    <col min="4" max="4" width="13" customWidth="1"/>
    <col min="5" max="5" width="15.1640625" customWidth="1"/>
    <col min="6" max="6" width="13.5" customWidth="1"/>
    <col min="7" max="7" width="13.83203125" customWidth="1"/>
    <col min="8" max="8" width="35.1640625" customWidth="1"/>
    <col min="9" max="9" width="11.1640625" customWidth="1"/>
    <col min="10" max="10" width="16.5" customWidth="1"/>
    <col min="11" max="11" width="15.5" customWidth="1"/>
    <col min="12" max="12" width="12.5" customWidth="1"/>
    <col min="13" max="13" width="14" customWidth="1"/>
    <col min="14" max="14" width="11.83203125" customWidth="1"/>
    <col min="15" max="15" width="35.1640625" bestFit="1" customWidth="1"/>
  </cols>
  <sheetData>
    <row r="1" spans="1:17" ht="71.25" customHeight="1" x14ac:dyDescent="0.15">
      <c r="A1" s="410" t="s">
        <v>1183</v>
      </c>
      <c r="B1" s="410"/>
      <c r="C1" s="410"/>
      <c r="D1" s="410"/>
      <c r="E1" s="410"/>
      <c r="F1" s="410"/>
      <c r="G1" s="410"/>
      <c r="H1" s="410"/>
      <c r="I1" s="410"/>
      <c r="J1" s="410"/>
      <c r="K1" s="410"/>
      <c r="L1" s="410"/>
      <c r="M1" s="410"/>
      <c r="N1" s="410"/>
      <c r="O1" s="410"/>
      <c r="P1" s="410"/>
      <c r="Q1" s="410"/>
    </row>
    <row r="2" spans="1:17" ht="41.25" customHeight="1" x14ac:dyDescent="0.15">
      <c r="A2" s="403"/>
      <c r="B2" s="403"/>
      <c r="C2" s="403"/>
      <c r="D2" s="403"/>
      <c r="E2" s="403"/>
      <c r="F2" s="403"/>
      <c r="G2" s="403"/>
      <c r="H2" s="403"/>
      <c r="I2" s="403"/>
      <c r="J2" s="403"/>
      <c r="K2" s="403"/>
      <c r="L2" s="403"/>
      <c r="M2" s="403"/>
      <c r="N2" s="403"/>
      <c r="O2" s="403"/>
      <c r="P2" s="403"/>
      <c r="Q2" s="403"/>
    </row>
    <row r="3" spans="1:17" ht="30" customHeight="1" x14ac:dyDescent="0.15">
      <c r="B3" s="21"/>
      <c r="C3" s="21"/>
      <c r="D3" s="21"/>
      <c r="E3" s="21"/>
      <c r="F3" s="21"/>
      <c r="G3" s="21"/>
      <c r="H3" s="21"/>
      <c r="I3" s="21"/>
      <c r="J3" s="21"/>
      <c r="K3" s="21"/>
      <c r="L3" s="21"/>
      <c r="M3" s="21"/>
      <c r="N3" s="21"/>
      <c r="O3" s="21"/>
    </row>
    <row r="4" spans="1:17" ht="17" thickBot="1" x14ac:dyDescent="0.25">
      <c r="B4" s="411" t="s">
        <v>1184</v>
      </c>
      <c r="C4" s="412"/>
      <c r="D4" s="412"/>
      <c r="E4" s="412"/>
      <c r="F4" s="412"/>
      <c r="G4" s="36"/>
      <c r="H4" s="415" t="s">
        <v>1185</v>
      </c>
      <c r="I4" s="416"/>
      <c r="J4" s="416"/>
      <c r="K4" s="416"/>
      <c r="L4" s="416"/>
      <c r="O4" s="36"/>
    </row>
    <row r="5" spans="1:17" ht="70" x14ac:dyDescent="0.15">
      <c r="B5" s="182"/>
      <c r="C5" s="207" t="s">
        <v>1186</v>
      </c>
      <c r="D5" s="207" t="s">
        <v>1013</v>
      </c>
      <c r="E5" s="208" t="s">
        <v>1187</v>
      </c>
      <c r="F5" s="171" t="s">
        <v>1188</v>
      </c>
      <c r="G5" s="167"/>
      <c r="H5" s="182"/>
      <c r="I5" s="171" t="s">
        <v>1189</v>
      </c>
      <c r="J5" s="171" t="s">
        <v>1190</v>
      </c>
      <c r="K5" s="171" t="s">
        <v>1191</v>
      </c>
      <c r="L5" s="171" t="s">
        <v>1192</v>
      </c>
      <c r="O5" s="37"/>
    </row>
    <row r="6" spans="1:17" ht="16" x14ac:dyDescent="0.2">
      <c r="B6" s="155" t="s">
        <v>20</v>
      </c>
      <c r="C6" s="84">
        <f>COUNTIFS('capacity data'!A:A,B6,'capacity data'!E:E,"PO")</f>
        <v>0</v>
      </c>
      <c r="D6" s="84">
        <f>COUNTIFS('capacity data'!A:A,B6,'capacity data'!E:E,"PO",'capacity data'!F:F,"&gt;110%")</f>
        <v>0</v>
      </c>
      <c r="E6" s="76" t="e">
        <f>D6/C6</f>
        <v>#DIV/0!</v>
      </c>
      <c r="F6" s="76" t="e">
        <f t="array" ref="F6">LARGE(IF('capacity data'!A:A=B6,IF('capacity data'!E:E="PO",'capacity data'!F:F)),1)</f>
        <v>#NUM!</v>
      </c>
      <c r="G6" s="183"/>
      <c r="H6" s="155" t="s">
        <v>20</v>
      </c>
      <c r="I6" s="84">
        <f>COUNTIFS('capacity data'!A:A,H6,'capacity data'!E:E,"PSO")</f>
        <v>0</v>
      </c>
      <c r="J6" s="84">
        <f>COUNTIFS('capacity data'!A:A,H6,'capacity data'!E:E,"PSO",'capacity data'!F:F,"&gt;110%")</f>
        <v>0</v>
      </c>
      <c r="K6" s="76" t="e">
        <f>J6/I6</f>
        <v>#DIV/0!</v>
      </c>
      <c r="L6" s="76" t="e">
        <f t="array" ref="L6">LARGE(IF('capacity data'!A:A=H6,IF('capacity data'!E:E="PSO",'capacity data'!F:F)),1)</f>
        <v>#NUM!</v>
      </c>
      <c r="O6" s="2"/>
    </row>
    <row r="7" spans="1:17" ht="16" x14ac:dyDescent="0.2">
      <c r="B7" s="155" t="s">
        <v>21</v>
      </c>
      <c r="C7" s="84">
        <f>COUNTIFS('capacity data'!A:A,B7,'capacity data'!E:E,"PO")</f>
        <v>0</v>
      </c>
      <c r="D7" s="84">
        <f>COUNTIFS('capacity data'!A:A,B7,'capacity data'!E:E,"PO",'capacity data'!F:F,"&gt;110%")</f>
        <v>0</v>
      </c>
      <c r="E7" s="76" t="e">
        <f t="shared" ref="E7:E17" si="0">D7/C7</f>
        <v>#DIV/0!</v>
      </c>
      <c r="F7" s="76" t="e">
        <f t="array" ref="F7">LARGE(IF('capacity data'!A:A=B7,IF('capacity data'!E:E="PO",'capacity data'!F:F)),1)</f>
        <v>#NUM!</v>
      </c>
      <c r="G7" s="183"/>
      <c r="H7" s="155" t="s">
        <v>21</v>
      </c>
      <c r="I7" s="84">
        <f>COUNTIFS('capacity data'!A:A,H7,'capacity data'!E:E,"PSO")</f>
        <v>0</v>
      </c>
      <c r="J7" s="84">
        <f>COUNTIFS('capacity data'!A:A,H7,'capacity data'!E:E,"PSO",'capacity data'!F:F,"&gt;110%")</f>
        <v>0</v>
      </c>
      <c r="K7" s="76" t="e">
        <f t="shared" ref="K7:K17" si="1">J7/I7</f>
        <v>#DIV/0!</v>
      </c>
      <c r="L7" s="76" t="e">
        <f t="array" ref="L7">LARGE(IF('capacity data'!A:A=H7,IF('capacity data'!E:E="PSO",'capacity data'!F:F)),1)</f>
        <v>#NUM!</v>
      </c>
      <c r="O7" s="2"/>
    </row>
    <row r="8" spans="1:17" ht="16" x14ac:dyDescent="0.2">
      <c r="B8" s="155" t="s">
        <v>22</v>
      </c>
      <c r="C8" s="84">
        <f>COUNTIFS('capacity data'!A:A,B8,'capacity data'!E:E,"PO")</f>
        <v>0</v>
      </c>
      <c r="D8" s="84">
        <f>COUNTIFS('capacity data'!A:A,B8,'capacity data'!E:E,"PO",'capacity data'!F:F,"&gt;110%")</f>
        <v>0</v>
      </c>
      <c r="E8" s="76" t="e">
        <f t="shared" si="0"/>
        <v>#DIV/0!</v>
      </c>
      <c r="F8" s="76" t="e">
        <f t="array" ref="F8">LARGE(IF('capacity data'!A:A=B8,IF('capacity data'!E:E="PO",'capacity data'!F:F)),1)</f>
        <v>#NUM!</v>
      </c>
      <c r="G8" s="183"/>
      <c r="H8" s="155" t="s">
        <v>22</v>
      </c>
      <c r="I8" s="84">
        <f>COUNTIFS('capacity data'!A:A,H8,'capacity data'!E:E,"PSO")</f>
        <v>0</v>
      </c>
      <c r="J8" s="84">
        <f>COUNTIFS('capacity data'!A:A,H8,'capacity data'!E:E,"PSO",'capacity data'!F:F,"&gt;110%")</f>
        <v>0</v>
      </c>
      <c r="K8" s="76" t="e">
        <f t="shared" si="1"/>
        <v>#DIV/0!</v>
      </c>
      <c r="L8" s="76" t="e">
        <f t="array" ref="L8">LARGE(IF('capacity data'!A:A=H8,IF('capacity data'!E:E="PSO",'capacity data'!F:F)),1)</f>
        <v>#NUM!</v>
      </c>
      <c r="O8" s="2"/>
    </row>
    <row r="9" spans="1:17" ht="16" x14ac:dyDescent="0.2">
      <c r="B9" s="155" t="s">
        <v>23</v>
      </c>
      <c r="C9" s="84">
        <f>COUNTIFS('capacity data'!A:A,B9,'capacity data'!E:E,"PO")</f>
        <v>0</v>
      </c>
      <c r="D9" s="84">
        <f>COUNTIFS('capacity data'!A:A,B9,'capacity data'!E:E,"PO",'capacity data'!F:F,"&gt;110%")</f>
        <v>0</v>
      </c>
      <c r="E9" s="76" t="e">
        <f t="shared" si="0"/>
        <v>#DIV/0!</v>
      </c>
      <c r="F9" s="76" t="e">
        <f t="array" ref="F9">LARGE(IF('capacity data'!A:A=B9,IF('capacity data'!E:E="PO",'capacity data'!F:F)),1)</f>
        <v>#NUM!</v>
      </c>
      <c r="G9" s="183"/>
      <c r="H9" s="155" t="s">
        <v>23</v>
      </c>
      <c r="I9" s="84">
        <f>COUNTIFS('capacity data'!A:A,H9,'capacity data'!E:E,"PSO")</f>
        <v>0</v>
      </c>
      <c r="J9" s="84">
        <f>COUNTIFS('capacity data'!A:A,H9,'capacity data'!E:E,"PSO",'capacity data'!F:F,"&gt;110%")</f>
        <v>0</v>
      </c>
      <c r="K9" s="76" t="e">
        <f t="shared" si="1"/>
        <v>#DIV/0!</v>
      </c>
      <c r="L9" s="76" t="e">
        <f t="array" ref="L9">LARGE(IF('capacity data'!A:A=H9,IF('capacity data'!E:E="PSO",'capacity data'!F:F)),1)</f>
        <v>#NUM!</v>
      </c>
      <c r="O9" s="2"/>
    </row>
    <row r="10" spans="1:17" ht="16" x14ac:dyDescent="0.2">
      <c r="B10" s="155" t="s">
        <v>24</v>
      </c>
      <c r="C10" s="84">
        <f>COUNTIFS('capacity data'!A:A,B10,'capacity data'!E:E,"PO")</f>
        <v>0</v>
      </c>
      <c r="D10" s="84">
        <f>COUNTIFS('capacity data'!A:A,B10,'capacity data'!E:E,"PO",'capacity data'!F:F,"&gt;110%")</f>
        <v>0</v>
      </c>
      <c r="E10" s="76" t="e">
        <f t="shared" si="0"/>
        <v>#DIV/0!</v>
      </c>
      <c r="F10" s="76" t="e">
        <f t="array" ref="F10">LARGE(IF('capacity data'!A:A=B10,IF('capacity data'!E:E="PO",'capacity data'!F:F)),1)</f>
        <v>#NUM!</v>
      </c>
      <c r="G10" s="183"/>
      <c r="H10" s="155" t="s">
        <v>24</v>
      </c>
      <c r="I10" s="84">
        <f>COUNTIFS('capacity data'!A:A,H10,'capacity data'!E:E,"PSO")</f>
        <v>0</v>
      </c>
      <c r="J10" s="84">
        <f>COUNTIFS('capacity data'!A:A,H10,'capacity data'!E:E,"PSO",'capacity data'!F:F,"&gt;110%")</f>
        <v>0</v>
      </c>
      <c r="K10" s="76" t="e">
        <f t="shared" si="1"/>
        <v>#DIV/0!</v>
      </c>
      <c r="L10" s="76" t="e">
        <f t="array" ref="L10">LARGE(IF('capacity data'!A:A=H10,IF('capacity data'!E:E="PSO",'capacity data'!F:F)),1)</f>
        <v>#NUM!</v>
      </c>
      <c r="O10" s="2"/>
    </row>
    <row r="11" spans="1:17" ht="16" x14ac:dyDescent="0.2">
      <c r="B11" s="155" t="s">
        <v>25</v>
      </c>
      <c r="C11" s="84">
        <f>COUNTIFS('capacity data'!A:A,B11,'capacity data'!E:E,"PO")</f>
        <v>0</v>
      </c>
      <c r="D11" s="84">
        <f>COUNTIFS('capacity data'!A:A,B11,'capacity data'!E:E,"PO",'capacity data'!F:F,"&gt;110%")</f>
        <v>0</v>
      </c>
      <c r="E11" s="76" t="e">
        <f t="shared" si="0"/>
        <v>#DIV/0!</v>
      </c>
      <c r="F11" s="76" t="e">
        <f t="array" ref="F11">LARGE(IF('capacity data'!A:A=B11,IF('capacity data'!E:E="PO",'capacity data'!F:F)),1)</f>
        <v>#NUM!</v>
      </c>
      <c r="G11" s="73"/>
      <c r="H11" s="155" t="s">
        <v>25</v>
      </c>
      <c r="I11" s="84">
        <f>COUNTIFS('capacity data'!A:A,H11,'capacity data'!E:E,"PSO")</f>
        <v>0</v>
      </c>
      <c r="J11" s="84">
        <f>COUNTIFS('capacity data'!A:A,H11,'capacity data'!E:E,"PSO",'capacity data'!F:F,"&gt;110%")</f>
        <v>0</v>
      </c>
      <c r="K11" s="76" t="e">
        <f t="shared" si="1"/>
        <v>#DIV/0!</v>
      </c>
      <c r="L11" s="76" t="e">
        <f t="array" ref="L11">LARGE(IF('capacity data'!A:A=H11,IF('capacity data'!E:E="PSO",'capacity data'!F:F)),1)</f>
        <v>#NUM!</v>
      </c>
      <c r="O11" s="2"/>
    </row>
    <row r="12" spans="1:17" ht="16" x14ac:dyDescent="0.2">
      <c r="B12" s="155" t="s">
        <v>26</v>
      </c>
      <c r="C12" s="84">
        <f>COUNTIFS('capacity data'!A:A,B12,'capacity data'!E:E,"PO")</f>
        <v>0</v>
      </c>
      <c r="D12" s="84">
        <f>COUNTIFS('capacity data'!A:A,B12,'capacity data'!E:E,"PO",'capacity data'!F:F,"&gt;110%")</f>
        <v>0</v>
      </c>
      <c r="E12" s="76" t="e">
        <f t="shared" si="0"/>
        <v>#DIV/0!</v>
      </c>
      <c r="F12" s="76" t="e">
        <f t="array" ref="F12">LARGE(IF('capacity data'!A:A=B12,IF('capacity data'!E:E="PO",'capacity data'!F:F)),1)</f>
        <v>#NUM!</v>
      </c>
      <c r="G12" s="73"/>
      <c r="H12" s="155" t="s">
        <v>26</v>
      </c>
      <c r="I12" s="84">
        <f>COUNTIFS('capacity data'!A:A,H12,'capacity data'!E:E,"PSO")</f>
        <v>0</v>
      </c>
      <c r="J12" s="84">
        <f>COUNTIFS('capacity data'!A:A,H12,'capacity data'!E:E,"PSO",'capacity data'!F:F,"&gt;110%")</f>
        <v>0</v>
      </c>
      <c r="K12" s="76" t="e">
        <f t="shared" si="1"/>
        <v>#DIV/0!</v>
      </c>
      <c r="L12" s="76" t="e">
        <f t="array" ref="L12">LARGE(IF('capacity data'!A:A=H12,IF('capacity data'!E:E="PSO",'capacity data'!F:F)),1)</f>
        <v>#NUM!</v>
      </c>
      <c r="O12" s="2"/>
    </row>
    <row r="13" spans="1:17" ht="16" x14ac:dyDescent="0.2">
      <c r="B13" s="155" t="s">
        <v>27</v>
      </c>
      <c r="C13" s="84">
        <f>COUNTIFS('capacity data'!A:A,B13,'capacity data'!E:E,"PO")</f>
        <v>0</v>
      </c>
      <c r="D13" s="84">
        <f>COUNTIFS('capacity data'!A:A,B13,'capacity data'!E:E,"PO",'capacity data'!F:F,"&gt;110%")</f>
        <v>0</v>
      </c>
      <c r="E13" s="76" t="e">
        <f t="shared" ref="E13" si="2">D13/C13</f>
        <v>#DIV/0!</v>
      </c>
      <c r="F13" s="76" t="e">
        <f t="array" ref="F13">LARGE(IF('capacity data'!A:A=B13,IF('capacity data'!E:E="PO",'capacity data'!F:F)),1)</f>
        <v>#NUM!</v>
      </c>
      <c r="G13" s="73"/>
      <c r="H13" s="155" t="s">
        <v>27</v>
      </c>
      <c r="I13" s="84">
        <f>COUNTIFS('capacity data'!A:A,H13,'capacity data'!E:E,"PSO")</f>
        <v>0</v>
      </c>
      <c r="J13" s="84">
        <f>COUNTIFS('capacity data'!A:A,H13,'capacity data'!E:E,"PSO",'capacity data'!F:F,"&gt;110%")</f>
        <v>0</v>
      </c>
      <c r="K13" s="76" t="e">
        <f t="shared" ref="K13" si="3">J13/I13</f>
        <v>#DIV/0!</v>
      </c>
      <c r="L13" s="76" t="e">
        <f t="array" ref="L13">LARGE(IF('capacity data'!A:A=H13,IF('capacity data'!E:E="PSO",'capacity data'!F:F)),1)</f>
        <v>#NUM!</v>
      </c>
      <c r="O13" s="2"/>
    </row>
    <row r="14" spans="1:17" ht="16" x14ac:dyDescent="0.2">
      <c r="B14" s="155" t="s">
        <v>28</v>
      </c>
      <c r="C14" s="84">
        <f>COUNTIFS('capacity data'!A:A,B14,'capacity data'!E:E,"PO")</f>
        <v>0</v>
      </c>
      <c r="D14" s="84">
        <f>COUNTIFS('capacity data'!A:A,B14,'capacity data'!E:E,"PO",'capacity data'!F:F,"&gt;110%")</f>
        <v>0</v>
      </c>
      <c r="E14" s="76" t="e">
        <f t="shared" si="0"/>
        <v>#DIV/0!</v>
      </c>
      <c r="F14" s="76" t="e">
        <f t="array" ref="F14">LARGE(IF('capacity data'!A:A=B14,IF('capacity data'!E:E="PO",'capacity data'!F:F)),1)</f>
        <v>#NUM!</v>
      </c>
      <c r="G14" s="73"/>
      <c r="H14" s="155" t="s">
        <v>28</v>
      </c>
      <c r="I14" s="84">
        <f>COUNTIFS('capacity data'!A:A,H14,'capacity data'!E:E,"PSO")</f>
        <v>0</v>
      </c>
      <c r="J14" s="84">
        <f>COUNTIFS('capacity data'!A:A,H14,'capacity data'!E:E,"PSO",'capacity data'!F:F,"&gt;110%")</f>
        <v>0</v>
      </c>
      <c r="K14" s="76" t="e">
        <f t="shared" si="1"/>
        <v>#DIV/0!</v>
      </c>
      <c r="L14" s="76" t="e">
        <f t="array" ref="L14">LARGE(IF('capacity data'!A:A=H14,IF('capacity data'!E:E="PSO",'capacity data'!F:F)),1)</f>
        <v>#NUM!</v>
      </c>
      <c r="O14" s="2"/>
    </row>
    <row r="15" spans="1:17" ht="16" x14ac:dyDescent="0.2">
      <c r="B15" s="155" t="s">
        <v>29</v>
      </c>
      <c r="C15" s="84">
        <f>COUNTIFS('capacity data'!A:A,B15,'capacity data'!E:E,"PO")</f>
        <v>0</v>
      </c>
      <c r="D15" s="84">
        <f>COUNTIFS('capacity data'!A:A,B15,'capacity data'!E:E,"PO",'capacity data'!F:F,"&gt;110%")</f>
        <v>0</v>
      </c>
      <c r="E15" s="76" t="e">
        <f t="shared" si="0"/>
        <v>#DIV/0!</v>
      </c>
      <c r="F15" s="76" t="e">
        <f t="array" ref="F15">LARGE(IF('capacity data'!A:A=B15,IF('capacity data'!E:E="PO",'capacity data'!F:F)),1)</f>
        <v>#NUM!</v>
      </c>
      <c r="G15" s="73"/>
      <c r="H15" s="155" t="s">
        <v>29</v>
      </c>
      <c r="I15" s="84">
        <f>COUNTIFS('capacity data'!A:A,H15,'capacity data'!E:E,"PSO")</f>
        <v>0</v>
      </c>
      <c r="J15" s="84">
        <f>COUNTIFS('capacity data'!A:A,H15,'capacity data'!E:E,"PSO",'capacity data'!F:F,"&gt;110%")</f>
        <v>0</v>
      </c>
      <c r="K15" s="76" t="e">
        <f t="shared" si="1"/>
        <v>#DIV/0!</v>
      </c>
      <c r="L15" s="76" t="e">
        <f t="array" ref="L15">LARGE(IF('capacity data'!A:A=H15,IF('capacity data'!E:E="PSO",'capacity data'!F:F)),1)</f>
        <v>#NUM!</v>
      </c>
      <c r="O15" s="2"/>
    </row>
    <row r="16" spans="1:17" ht="16" x14ac:dyDescent="0.2">
      <c r="B16" s="155" t="s">
        <v>30</v>
      </c>
      <c r="C16" s="84">
        <f>COUNTIFS('capacity data'!A:A,B16,'capacity data'!E:E,"PO")</f>
        <v>0</v>
      </c>
      <c r="D16" s="84">
        <f>COUNTIFS('capacity data'!A:A,B16,'capacity data'!E:E,"PO",'capacity data'!F:F,"&gt;110%")</f>
        <v>0</v>
      </c>
      <c r="E16" s="76" t="e">
        <f t="shared" si="0"/>
        <v>#DIV/0!</v>
      </c>
      <c r="F16" s="76" t="e">
        <f t="array" ref="F16">LARGE(IF('capacity data'!A:A=B16,IF('capacity data'!E:E="PO",'capacity data'!F:F)),1)</f>
        <v>#NUM!</v>
      </c>
      <c r="G16" s="73"/>
      <c r="H16" s="155" t="s">
        <v>30</v>
      </c>
      <c r="I16" s="84">
        <f>COUNTIFS('capacity data'!A:A,H16,'capacity data'!E:E,"PSO")</f>
        <v>0</v>
      </c>
      <c r="J16" s="84">
        <f>COUNTIFS('capacity data'!A:A,H16,'capacity data'!E:E,"PSO",'capacity data'!F:F,"&gt;110%")</f>
        <v>0</v>
      </c>
      <c r="K16" s="76" t="e">
        <f t="shared" si="1"/>
        <v>#DIV/0!</v>
      </c>
      <c r="L16" s="76" t="e">
        <f t="array" ref="L16">LARGE(IF('capacity data'!A:A=H16,IF('capacity data'!E:E="PSO",'capacity data'!F:F)),1)</f>
        <v>#NUM!</v>
      </c>
      <c r="O16" s="2"/>
    </row>
    <row r="17" spans="2:15" ht="16" x14ac:dyDescent="0.2">
      <c r="B17" s="155" t="s">
        <v>31</v>
      </c>
      <c r="C17" s="84">
        <f>COUNTIFS('capacity data'!A:A,B17,'capacity data'!E:E,"PO")</f>
        <v>0</v>
      </c>
      <c r="D17" s="84">
        <f>COUNTIFS('capacity data'!A:A,B17,'capacity data'!E:E,"PO",'capacity data'!F:F,"&gt;110%")</f>
        <v>0</v>
      </c>
      <c r="E17" s="76" t="e">
        <f t="shared" si="0"/>
        <v>#DIV/0!</v>
      </c>
      <c r="F17" s="76" t="e">
        <f t="array" ref="F17">LARGE(IF('capacity data'!A:A=B17,IF('capacity data'!E:E="PO",'capacity data'!F:F)),1)</f>
        <v>#NUM!</v>
      </c>
      <c r="G17" s="73"/>
      <c r="H17" s="155" t="s">
        <v>31</v>
      </c>
      <c r="I17" s="84">
        <f>COUNTIFS('capacity data'!A:A,H17,'capacity data'!E:E,"PSO")</f>
        <v>0</v>
      </c>
      <c r="J17" s="84">
        <f>COUNTIFS('capacity data'!A:A,H17,'capacity data'!E:E,"PSO",'capacity data'!F:F,"&gt;110%")</f>
        <v>0</v>
      </c>
      <c r="K17" s="76" t="e">
        <f t="shared" si="1"/>
        <v>#DIV/0!</v>
      </c>
      <c r="L17" s="76" t="e">
        <f t="array" ref="L17">LARGE(IF('capacity data'!A:A=H17,IF('capacity data'!E:E="PSO",'capacity data'!F:F)),1)</f>
        <v>#NUM!</v>
      </c>
      <c r="O17" s="2"/>
    </row>
    <row r="18" spans="2:15" ht="16" x14ac:dyDescent="0.2">
      <c r="B18" s="187" t="s">
        <v>1113</v>
      </c>
      <c r="C18" s="120">
        <f>COUNTIF('capacity data'!E:E,"PO")</f>
        <v>0</v>
      </c>
      <c r="D18" s="120">
        <f>COUNTIFS('capacity data'!E:E,"PO",'capacity data'!F:F,"&gt;110%")</f>
        <v>0</v>
      </c>
      <c r="E18" s="224" t="e">
        <f t="shared" ref="E18" si="4">D18/C18</f>
        <v>#DIV/0!</v>
      </c>
      <c r="F18" s="120" t="s">
        <v>1024</v>
      </c>
      <c r="G18" s="73"/>
      <c r="H18" s="187" t="s">
        <v>1113</v>
      </c>
      <c r="I18" s="120">
        <f>COUNTIF('capacity data'!E:E,"PSO")</f>
        <v>0</v>
      </c>
      <c r="J18" s="120">
        <f>COUNTIFS('capacity data'!E:E,"PSO",'capacity data'!F:F,"&gt;110%")</f>
        <v>0</v>
      </c>
      <c r="K18" s="224" t="e">
        <f t="shared" ref="K18" si="5">J18/I18</f>
        <v>#DIV/0!</v>
      </c>
      <c r="L18" s="163" t="s">
        <v>1024</v>
      </c>
      <c r="O18" s="2"/>
    </row>
    <row r="21" spans="2:15" ht="16" x14ac:dyDescent="0.2">
      <c r="B21" s="413" t="s">
        <v>1193</v>
      </c>
      <c r="C21" s="414"/>
      <c r="D21" s="414"/>
      <c r="E21" s="414"/>
      <c r="F21" s="414"/>
      <c r="G21" s="36"/>
      <c r="H21" s="415" t="s">
        <v>1194</v>
      </c>
      <c r="I21" s="416"/>
      <c r="J21" s="416"/>
      <c r="K21" s="416"/>
    </row>
    <row r="22" spans="2:15" ht="56" x14ac:dyDescent="0.15">
      <c r="B22" s="182"/>
      <c r="C22" s="171" t="s">
        <v>1195</v>
      </c>
      <c r="D22" s="171" t="s">
        <v>1196</v>
      </c>
      <c r="E22" s="171" t="s">
        <v>1197</v>
      </c>
      <c r="F22" s="171" t="s">
        <v>1198</v>
      </c>
      <c r="G22" s="184"/>
      <c r="H22" s="182"/>
      <c r="I22" s="171" t="s">
        <v>1189</v>
      </c>
      <c r="J22" s="171" t="s">
        <v>1199</v>
      </c>
      <c r="K22" s="171" t="s">
        <v>1200</v>
      </c>
      <c r="L22" s="37"/>
    </row>
    <row r="23" spans="2:15" x14ac:dyDescent="0.15">
      <c r="B23" s="155" t="s">
        <v>20</v>
      </c>
      <c r="C23" s="84">
        <f>COUNTIFS('capacity data'!A:A,B23,'capacity data'!E:E,"TPO")</f>
        <v>0</v>
      </c>
      <c r="D23" s="84">
        <f>COUNTIFS('capacity data'!A:A,B23,'capacity data'!E:E,"TPO",'capacity data'!F:F,"&gt;110%")</f>
        <v>0</v>
      </c>
      <c r="E23" s="76" t="e">
        <f>D23/C23</f>
        <v>#DIV/0!</v>
      </c>
      <c r="F23" s="76" t="e">
        <f t="array" ref="F23">LARGE(IF('capacity data'!A:A=B23,IF('capacity data'!E:E="TPO",'capacity data'!F:F)),1)</f>
        <v>#NUM!</v>
      </c>
      <c r="G23" s="185"/>
      <c r="H23" s="155" t="s">
        <v>20</v>
      </c>
      <c r="I23" s="84">
        <f>COUNTIFS('capacity data'!A:A,H23,'capacity data'!E:E,"PSO")</f>
        <v>0</v>
      </c>
      <c r="J23" s="84">
        <f>COUNTIFS('capacity data'!A:A,H23,'capacity data'!E:E,"PSO",'capacity data'!F:F,"&lt;90%")</f>
        <v>0</v>
      </c>
      <c r="K23" s="186" t="e">
        <f>J23/I23</f>
        <v>#DIV/0!</v>
      </c>
    </row>
    <row r="24" spans="2:15" x14ac:dyDescent="0.15">
      <c r="B24" s="155" t="s">
        <v>21</v>
      </c>
      <c r="C24" s="84">
        <f>COUNTIFS('capacity data'!A:A,B24,'capacity data'!E:E,"TPO")</f>
        <v>0</v>
      </c>
      <c r="D24" s="84">
        <f>COUNTIFS('capacity data'!A:A,B24,'capacity data'!E:E,"TPO",'capacity data'!F:F,"&gt;110%")</f>
        <v>0</v>
      </c>
      <c r="E24" s="76" t="e">
        <f t="shared" ref="E24:E34" si="6">D24/C24</f>
        <v>#DIV/0!</v>
      </c>
      <c r="F24" s="76" t="e">
        <f t="array" ref="F24">LARGE(IF('capacity data'!A:A=B24,IF('capacity data'!E:E="TPO",'capacity data'!F:F)),1)</f>
        <v>#NUM!</v>
      </c>
      <c r="G24" s="185"/>
      <c r="H24" s="155" t="s">
        <v>21</v>
      </c>
      <c r="I24" s="84">
        <f>COUNTIFS('capacity data'!A:A,H24,'capacity data'!E:E,"PSO")</f>
        <v>0</v>
      </c>
      <c r="J24" s="84">
        <f>COUNTIFS('capacity data'!A:A,H24,'capacity data'!E:E,"PSO",'capacity data'!F:F,"&lt;90%")</f>
        <v>0</v>
      </c>
      <c r="K24" s="186" t="e">
        <f t="shared" ref="K24:K34" si="7">J24/I24</f>
        <v>#DIV/0!</v>
      </c>
    </row>
    <row r="25" spans="2:15" x14ac:dyDescent="0.15">
      <c r="B25" s="155" t="s">
        <v>22</v>
      </c>
      <c r="C25" s="84">
        <f>COUNTIFS('capacity data'!A:A,B25,'capacity data'!E:E,"TPO")</f>
        <v>0</v>
      </c>
      <c r="D25" s="84">
        <f>COUNTIFS('capacity data'!A:A,B25,'capacity data'!E:E,"TPO",'capacity data'!F:F,"&gt;110%")</f>
        <v>0</v>
      </c>
      <c r="E25" s="76" t="e">
        <f t="shared" si="6"/>
        <v>#DIV/0!</v>
      </c>
      <c r="F25" s="76" t="e">
        <f t="array" ref="F25">LARGE(IF('capacity data'!A:A=B25,IF('capacity data'!E:E="TPO",'capacity data'!F:F)),1)</f>
        <v>#NUM!</v>
      </c>
      <c r="G25" s="185"/>
      <c r="H25" s="155" t="s">
        <v>22</v>
      </c>
      <c r="I25" s="84">
        <f>COUNTIFS('capacity data'!A:A,H25,'capacity data'!E:E,"PSO")</f>
        <v>0</v>
      </c>
      <c r="J25" s="84">
        <f>COUNTIFS('capacity data'!A:A,H25,'capacity data'!E:E,"PSO",'capacity data'!F:F,"&lt;90%")</f>
        <v>0</v>
      </c>
      <c r="K25" s="186" t="e">
        <f t="shared" si="7"/>
        <v>#DIV/0!</v>
      </c>
    </row>
    <row r="26" spans="2:15" x14ac:dyDescent="0.15">
      <c r="B26" s="155" t="s">
        <v>23</v>
      </c>
      <c r="C26" s="84">
        <f>COUNTIFS('capacity data'!A:A,B26,'capacity data'!E:E,"TPO")</f>
        <v>0</v>
      </c>
      <c r="D26" s="84">
        <f>COUNTIFS('capacity data'!A:A,B26,'capacity data'!E:E,"TPO",'capacity data'!F:F,"&gt;110%")</f>
        <v>0</v>
      </c>
      <c r="E26" s="76" t="e">
        <f t="shared" si="6"/>
        <v>#DIV/0!</v>
      </c>
      <c r="F26" s="76" t="e">
        <f t="array" ref="F26">LARGE(IF('capacity data'!A:A=B26,IF('capacity data'!E:E="TPO",'capacity data'!F:F)),1)</f>
        <v>#NUM!</v>
      </c>
      <c r="G26" s="185"/>
      <c r="H26" s="155" t="s">
        <v>23</v>
      </c>
      <c r="I26" s="84">
        <f>COUNTIFS('capacity data'!A:A,H26,'capacity data'!E:E,"PSO")</f>
        <v>0</v>
      </c>
      <c r="J26" s="84">
        <f>COUNTIFS('capacity data'!A:A,H26,'capacity data'!E:E,"PSO",'capacity data'!F:F,"&lt;90%")</f>
        <v>0</v>
      </c>
      <c r="K26" s="186" t="e">
        <f t="shared" si="7"/>
        <v>#DIV/0!</v>
      </c>
    </row>
    <row r="27" spans="2:15" x14ac:dyDescent="0.15">
      <c r="B27" s="155" t="s">
        <v>24</v>
      </c>
      <c r="C27" s="84">
        <f>COUNTIFS('capacity data'!A:A,B27,'capacity data'!E:E,"TPO")</f>
        <v>0</v>
      </c>
      <c r="D27" s="84">
        <f>COUNTIFS('capacity data'!A:A,B27,'capacity data'!E:E,"TPO",'capacity data'!F:F,"&gt;110%")</f>
        <v>0</v>
      </c>
      <c r="E27" s="76" t="e">
        <f t="shared" si="6"/>
        <v>#DIV/0!</v>
      </c>
      <c r="F27" s="76" t="e">
        <f t="array" ref="F27">LARGE(IF('capacity data'!A:A=B27,IF('capacity data'!E:E="TPO",'capacity data'!F:F)),1)</f>
        <v>#NUM!</v>
      </c>
      <c r="G27" s="185"/>
      <c r="H27" s="155" t="s">
        <v>24</v>
      </c>
      <c r="I27" s="84">
        <f>COUNTIFS('capacity data'!A:A,H27,'capacity data'!E:E,"PSO")</f>
        <v>0</v>
      </c>
      <c r="J27" s="84">
        <f>COUNTIFS('capacity data'!A:A,H27,'capacity data'!E:E,"PSO",'capacity data'!F:F,"&lt;90%")</f>
        <v>0</v>
      </c>
      <c r="K27" s="186" t="e">
        <f t="shared" si="7"/>
        <v>#DIV/0!</v>
      </c>
    </row>
    <row r="28" spans="2:15" x14ac:dyDescent="0.15">
      <c r="B28" s="155" t="s">
        <v>25</v>
      </c>
      <c r="C28" s="84">
        <f>COUNTIFS('capacity data'!A:A,B28,'capacity data'!E:E,"TPO")</f>
        <v>0</v>
      </c>
      <c r="D28" s="84">
        <f>COUNTIFS('capacity data'!A:A,B28,'capacity data'!E:E,"TPO",'capacity data'!F:F,"&gt;110%")</f>
        <v>0</v>
      </c>
      <c r="E28" s="76" t="e">
        <f t="shared" si="6"/>
        <v>#DIV/0!</v>
      </c>
      <c r="F28" s="76" t="e">
        <f t="array" ref="F28">LARGE(IF('capacity data'!A:A=B28,IF('capacity data'!E:E="TPO",'capacity data'!F:F)),1)</f>
        <v>#NUM!</v>
      </c>
      <c r="G28" s="185"/>
      <c r="H28" s="155" t="s">
        <v>25</v>
      </c>
      <c r="I28" s="84">
        <f>COUNTIFS('capacity data'!A:A,H28,'capacity data'!E:E,"PSO")</f>
        <v>0</v>
      </c>
      <c r="J28" s="84">
        <f>COUNTIFS('capacity data'!A:A,H28,'capacity data'!E:E,"PSO",'capacity data'!F:F,"&lt;90%")</f>
        <v>0</v>
      </c>
      <c r="K28" s="186" t="e">
        <f t="shared" si="7"/>
        <v>#DIV/0!</v>
      </c>
    </row>
    <row r="29" spans="2:15" x14ac:dyDescent="0.15">
      <c r="B29" s="155" t="s">
        <v>26</v>
      </c>
      <c r="C29" s="84">
        <f>COUNTIFS('capacity data'!A:A,B29,'capacity data'!E:E,"TPO")</f>
        <v>0</v>
      </c>
      <c r="D29" s="84">
        <f>COUNTIFS('capacity data'!A:A,B29,'capacity data'!E:E,"TPO",'capacity data'!F:F,"&gt;110%")</f>
        <v>0</v>
      </c>
      <c r="E29" s="76" t="e">
        <f t="shared" si="6"/>
        <v>#DIV/0!</v>
      </c>
      <c r="F29" s="76" t="e">
        <f t="array" ref="F29">LARGE(IF('capacity data'!A:A=B29,IF('capacity data'!E:E="TPO",'capacity data'!F:F)),1)</f>
        <v>#NUM!</v>
      </c>
      <c r="G29" s="185"/>
      <c r="H29" s="155" t="s">
        <v>26</v>
      </c>
      <c r="I29" s="84">
        <f>COUNTIFS('capacity data'!A:A,H29,'capacity data'!E:E,"PSO")</f>
        <v>0</v>
      </c>
      <c r="J29" s="84">
        <f>COUNTIFS('capacity data'!A:A,H29,'capacity data'!E:E,"PSO",'capacity data'!F:F,"&lt;90%")</f>
        <v>0</v>
      </c>
      <c r="K29" s="186" t="e">
        <f t="shared" si="7"/>
        <v>#DIV/0!</v>
      </c>
    </row>
    <row r="30" spans="2:15" x14ac:dyDescent="0.15">
      <c r="B30" s="155" t="s">
        <v>27</v>
      </c>
      <c r="C30" s="84">
        <f>COUNTIFS('capacity data'!A:A,B30,'capacity data'!E:E,"TPO")</f>
        <v>0</v>
      </c>
      <c r="D30" s="84">
        <f>COUNTIFS('capacity data'!A:A,B30,'capacity data'!E:E,"TPO",'capacity data'!F:F,"&gt;110%")</f>
        <v>0</v>
      </c>
      <c r="E30" s="76" t="e">
        <f t="shared" ref="E30" si="8">D30/C30</f>
        <v>#DIV/0!</v>
      </c>
      <c r="F30" s="76" t="e">
        <f t="array" ref="F30">LARGE(IF('capacity data'!A:A=B30,IF('capacity data'!E:E="TPO",'capacity data'!F:F)),1)</f>
        <v>#NUM!</v>
      </c>
      <c r="G30" s="185"/>
      <c r="H30" s="155" t="s">
        <v>27</v>
      </c>
      <c r="I30" s="84">
        <f>COUNTIFS('capacity data'!A:A,H30,'capacity data'!E:E,"PSO")</f>
        <v>0</v>
      </c>
      <c r="J30" s="84">
        <f>COUNTIFS('capacity data'!A:A,H30,'capacity data'!E:E,"PSO",'capacity data'!F:F,"&lt;90%")</f>
        <v>0</v>
      </c>
      <c r="K30" s="186" t="e">
        <f t="shared" ref="K30" si="9">J30/I30</f>
        <v>#DIV/0!</v>
      </c>
    </row>
    <row r="31" spans="2:15" x14ac:dyDescent="0.15">
      <c r="B31" s="155" t="s">
        <v>28</v>
      </c>
      <c r="C31" s="84">
        <f>COUNTIFS('capacity data'!A:A,B31,'capacity data'!E:E,"TPO")</f>
        <v>0</v>
      </c>
      <c r="D31" s="84">
        <f>COUNTIFS('capacity data'!A:A,B31,'capacity data'!E:E,"TPO",'capacity data'!F:F,"&gt;110%")</f>
        <v>0</v>
      </c>
      <c r="E31" s="76" t="e">
        <f t="shared" si="6"/>
        <v>#DIV/0!</v>
      </c>
      <c r="F31" s="76" t="e">
        <f t="array" ref="F31">LARGE(IF('capacity data'!A:A=B31,IF('capacity data'!E:E="TPO",'capacity data'!F:F)),1)</f>
        <v>#NUM!</v>
      </c>
      <c r="G31" s="185"/>
      <c r="H31" s="155" t="s">
        <v>28</v>
      </c>
      <c r="I31" s="84">
        <f>COUNTIFS('capacity data'!A:A,H31,'capacity data'!E:E,"PSO")</f>
        <v>0</v>
      </c>
      <c r="J31" s="84">
        <f>COUNTIFS('capacity data'!A:A,H31,'capacity data'!E:E,"PSO",'capacity data'!F:F,"&lt;90%")</f>
        <v>0</v>
      </c>
      <c r="K31" s="186" t="e">
        <f t="shared" si="7"/>
        <v>#DIV/0!</v>
      </c>
    </row>
    <row r="32" spans="2:15" x14ac:dyDescent="0.15">
      <c r="B32" s="155" t="s">
        <v>29</v>
      </c>
      <c r="C32" s="84">
        <f>COUNTIFS('capacity data'!A:A,B32,'capacity data'!E:E,"TPO")</f>
        <v>0</v>
      </c>
      <c r="D32" s="84">
        <f>COUNTIFS('capacity data'!A:A,B32,'capacity data'!E:E,"TPO",'capacity data'!F:F,"&gt;110%")</f>
        <v>0</v>
      </c>
      <c r="E32" s="76" t="e">
        <f t="shared" si="6"/>
        <v>#DIV/0!</v>
      </c>
      <c r="F32" s="76" t="e">
        <f t="array" ref="F32">LARGE(IF('capacity data'!A:A=B32,IF('capacity data'!E:E="TPO",'capacity data'!F:F)),1)</f>
        <v>#NUM!</v>
      </c>
      <c r="G32" s="185"/>
      <c r="H32" s="155" t="s">
        <v>29</v>
      </c>
      <c r="I32" s="84">
        <f>COUNTIFS('capacity data'!A:A,H32,'capacity data'!E:E,"PSO")</f>
        <v>0</v>
      </c>
      <c r="J32" s="84">
        <f>COUNTIFS('capacity data'!A:A,H32,'capacity data'!E:E,"PSO",'capacity data'!F:F,"&lt;90%")</f>
        <v>0</v>
      </c>
      <c r="K32" s="186" t="e">
        <f t="shared" si="7"/>
        <v>#DIV/0!</v>
      </c>
    </row>
    <row r="33" spans="2:11" x14ac:dyDescent="0.15">
      <c r="B33" s="155" t="s">
        <v>30</v>
      </c>
      <c r="C33" s="84">
        <f>COUNTIFS('capacity data'!A:A,B33,'capacity data'!E:E,"TPO")</f>
        <v>0</v>
      </c>
      <c r="D33" s="84">
        <f>COUNTIFS('capacity data'!A:A,B33,'capacity data'!E:E,"TPO",'capacity data'!F:F,"&gt;110%")</f>
        <v>0</v>
      </c>
      <c r="E33" s="76" t="e">
        <f t="shared" si="6"/>
        <v>#DIV/0!</v>
      </c>
      <c r="F33" s="76" t="e">
        <f t="array" ref="F33">LARGE(IF('capacity data'!A:A=B33,IF('capacity data'!E:E="TPO",'capacity data'!F:F)),1)</f>
        <v>#NUM!</v>
      </c>
      <c r="G33" s="185"/>
      <c r="H33" s="155" t="s">
        <v>30</v>
      </c>
      <c r="I33" s="84">
        <f>COUNTIFS('capacity data'!A:A,H33,'capacity data'!E:E,"PSO")</f>
        <v>0</v>
      </c>
      <c r="J33" s="84">
        <f>COUNTIFS('capacity data'!A:A,H33,'capacity data'!E:E,"PSO",'capacity data'!F:F,"&lt;90%")</f>
        <v>0</v>
      </c>
      <c r="K33" s="186" t="e">
        <f t="shared" si="7"/>
        <v>#DIV/0!</v>
      </c>
    </row>
    <row r="34" spans="2:11" x14ac:dyDescent="0.15">
      <c r="B34" s="155" t="s">
        <v>31</v>
      </c>
      <c r="C34" s="84">
        <f>COUNTIFS('capacity data'!A:A,B34,'capacity data'!E:E,"TPO")</f>
        <v>0</v>
      </c>
      <c r="D34" s="84">
        <f>COUNTIFS('capacity data'!A:A,B34,'capacity data'!E:E,"TPO",'capacity data'!F:F,"&gt;110%")</f>
        <v>0</v>
      </c>
      <c r="E34" s="76" t="e">
        <f t="shared" si="6"/>
        <v>#DIV/0!</v>
      </c>
      <c r="F34" s="76" t="e">
        <f t="array" ref="F34">LARGE(IF('capacity data'!A:A=B34,IF('capacity data'!E:E="TPO",'capacity data'!F:F)),1)</f>
        <v>#NUM!</v>
      </c>
      <c r="G34" s="185"/>
      <c r="H34" s="155" t="s">
        <v>31</v>
      </c>
      <c r="I34" s="84">
        <f>COUNTIFS('capacity data'!A:A,H34,'capacity data'!E:E,"PSO")</f>
        <v>0</v>
      </c>
      <c r="J34" s="84">
        <f>COUNTIFS('capacity data'!A:A,H34,'capacity data'!E:E,"PSO",'capacity data'!F:F,"&lt;90%")</f>
        <v>0</v>
      </c>
      <c r="K34" s="186" t="e">
        <f t="shared" si="7"/>
        <v>#DIV/0!</v>
      </c>
    </row>
    <row r="35" spans="2:11" x14ac:dyDescent="0.15">
      <c r="B35" s="187" t="s">
        <v>1113</v>
      </c>
      <c r="C35" s="120">
        <f>COUNTIF('capacity data'!E:E,"TPO")</f>
        <v>0</v>
      </c>
      <c r="D35" s="120">
        <f>COUNTIFS('capacity data'!E:E,"TPO",'capacity data'!F:F,"&gt;110%")</f>
        <v>0</v>
      </c>
      <c r="E35" s="224" t="e">
        <f t="shared" ref="E35" si="10">D35/C35</f>
        <v>#DIV/0!</v>
      </c>
      <c r="F35" s="120" t="s">
        <v>1024</v>
      </c>
      <c r="G35" s="185"/>
      <c r="H35" s="187" t="s">
        <v>1113</v>
      </c>
      <c r="I35" s="120">
        <f>COUNTIF('capacity data'!E:E,"PSO")</f>
        <v>0</v>
      </c>
      <c r="J35" s="120">
        <f>COUNTIFS('capacity data'!E:E,"PSO",'capacity data'!F:F,"&lt;90%")</f>
        <v>0</v>
      </c>
      <c r="K35" s="225" t="s">
        <v>1024</v>
      </c>
    </row>
  </sheetData>
  <mergeCells count="6">
    <mergeCell ref="A1:Q1"/>
    <mergeCell ref="A2:Q2"/>
    <mergeCell ref="B4:F4"/>
    <mergeCell ref="B21:F21"/>
    <mergeCell ref="H4:L4"/>
    <mergeCell ref="H21:K21"/>
  </mergeCells>
  <pageMargins left="0.7" right="0.7" top="0.75" bottom="0.75" header="0.3" footer="0.3"/>
  <pageSetup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81"/>
  <dimension ref="A1:O26"/>
  <sheetViews>
    <sheetView showGridLines="0" zoomScale="70" zoomScaleNormal="70" workbookViewId="0">
      <selection activeCell="Y41" sqref="Y41"/>
    </sheetView>
  </sheetViews>
  <sheetFormatPr baseColWidth="10" defaultColWidth="8.83203125" defaultRowHeight="14" x14ac:dyDescent="0.15"/>
  <cols>
    <col min="1" max="1" width="4" customWidth="1"/>
    <col min="2" max="2" width="31.5" customWidth="1"/>
    <col min="3" max="3" width="13.5" style="6" customWidth="1"/>
    <col min="4" max="4" width="20" style="6" customWidth="1"/>
    <col min="5" max="5" width="12.5" style="6" customWidth="1"/>
    <col min="6" max="6" width="11.83203125" style="6" customWidth="1"/>
    <col min="7" max="7" width="13.1640625" style="6" customWidth="1"/>
  </cols>
  <sheetData>
    <row r="1" spans="1:15" ht="28" x14ac:dyDescent="0.15">
      <c r="A1" s="417" t="s">
        <v>1201</v>
      </c>
      <c r="B1" s="417"/>
      <c r="C1" s="417"/>
      <c r="D1" s="417"/>
      <c r="E1" s="417"/>
      <c r="F1" s="417"/>
      <c r="G1" s="417"/>
      <c r="H1" s="417"/>
      <c r="I1" s="417"/>
      <c r="J1" s="417"/>
      <c r="K1" s="417"/>
      <c r="L1" s="417"/>
      <c r="M1" s="417"/>
      <c r="N1" s="417"/>
      <c r="O1" s="417"/>
    </row>
    <row r="2" spans="1:15" ht="33.75" customHeight="1" x14ac:dyDescent="0.15">
      <c r="A2" s="418"/>
      <c r="B2" s="418"/>
      <c r="C2" s="418"/>
      <c r="D2" s="418"/>
      <c r="E2" s="418"/>
      <c r="F2" s="418"/>
      <c r="G2" s="418"/>
      <c r="H2" s="418"/>
      <c r="I2" s="418"/>
      <c r="J2" s="418"/>
      <c r="K2" s="418"/>
      <c r="L2" s="418"/>
      <c r="M2" s="418"/>
      <c r="N2" s="418"/>
      <c r="O2" s="418"/>
    </row>
    <row r="3" spans="1:15" s="6" customFormat="1" ht="20.25" customHeight="1" thickBot="1" x14ac:dyDescent="0.2"/>
    <row r="4" spans="1:15" ht="15" thickBot="1" x14ac:dyDescent="0.2">
      <c r="B4" s="425" t="s">
        <v>891</v>
      </c>
      <c r="C4" s="421" t="s">
        <v>1026</v>
      </c>
      <c r="D4" s="423" t="s">
        <v>1202</v>
      </c>
      <c r="E4" s="419" t="s">
        <v>1203</v>
      </c>
      <c r="F4" s="420"/>
      <c r="G4" s="426" t="s">
        <v>901</v>
      </c>
    </row>
    <row r="5" spans="1:15" ht="33.75" customHeight="1" thickBot="1" x14ac:dyDescent="0.2">
      <c r="B5" s="422"/>
      <c r="C5" s="422"/>
      <c r="D5" s="424"/>
      <c r="E5" s="188" t="s">
        <v>1204</v>
      </c>
      <c r="F5" s="189" t="s">
        <v>1205</v>
      </c>
      <c r="G5" s="427"/>
    </row>
    <row r="6" spans="1:15" x14ac:dyDescent="0.15">
      <c r="B6" s="155" t="s">
        <v>20</v>
      </c>
      <c r="C6" s="84">
        <f>SUMIFS('capacity data'!K:K,'capacity data'!A:A,B6,'capacity data'!E:E,"SPO")</f>
        <v>0</v>
      </c>
      <c r="D6" s="84">
        <f>SUMIFS('capacity data'!K:K,'capacity data'!E:E,"DMY",'capacity data'!A:A,B6)</f>
        <v>0</v>
      </c>
      <c r="E6" s="190">
        <f>SUM(C6:D6)</f>
        <v>0</v>
      </c>
      <c r="F6" s="191" t="e">
        <f>E6/G6</f>
        <v>#DIV/0!</v>
      </c>
      <c r="G6" s="158">
        <f>SUMIF('capacity data'!A:A,B6,'capacity data'!K:K)</f>
        <v>0</v>
      </c>
    </row>
    <row r="7" spans="1:15" x14ac:dyDescent="0.15">
      <c r="B7" s="155" t="s">
        <v>21</v>
      </c>
      <c r="C7" s="84">
        <f>SUMIFS('capacity data'!K:K,'capacity data'!A:A,B7,'capacity data'!E:E,"SPO")</f>
        <v>0</v>
      </c>
      <c r="D7" s="84">
        <f>SUMIFS('capacity data'!K:K,'capacity data'!E:E,"DMY",'capacity data'!A:A,B7)</f>
        <v>0</v>
      </c>
      <c r="E7" s="190">
        <f t="shared" ref="E7:E17" si="0">SUM(C7:D7)</f>
        <v>0</v>
      </c>
      <c r="F7" s="191" t="e">
        <f t="shared" ref="F7:F17" si="1">E7/G7</f>
        <v>#DIV/0!</v>
      </c>
      <c r="G7" s="158">
        <f>SUMIF('capacity data'!A:A,B7,'capacity data'!K:K)</f>
        <v>0</v>
      </c>
    </row>
    <row r="8" spans="1:15" x14ac:dyDescent="0.15">
      <c r="B8" s="155" t="s">
        <v>22</v>
      </c>
      <c r="C8" s="84">
        <f>SUMIFS('capacity data'!K:K,'capacity data'!A:A,B8,'capacity data'!E:E,"SPO")</f>
        <v>0</v>
      </c>
      <c r="D8" s="84">
        <f>SUMIFS('capacity data'!K:K,'capacity data'!E:E,"DMY",'capacity data'!A:A,B8)</f>
        <v>0</v>
      </c>
      <c r="E8" s="190">
        <f t="shared" si="0"/>
        <v>0</v>
      </c>
      <c r="F8" s="191" t="e">
        <f t="shared" si="1"/>
        <v>#DIV/0!</v>
      </c>
      <c r="G8" s="158">
        <f>SUMIF('capacity data'!A:A,B8,'capacity data'!K:K)</f>
        <v>0</v>
      </c>
    </row>
    <row r="9" spans="1:15" x14ac:dyDescent="0.15">
      <c r="B9" s="155" t="s">
        <v>23</v>
      </c>
      <c r="C9" s="84">
        <f>SUMIFS('capacity data'!K:K,'capacity data'!A:A,B9,'capacity data'!E:E,"SPO")</f>
        <v>0</v>
      </c>
      <c r="D9" s="84">
        <f>SUMIFS('capacity data'!K:K,'capacity data'!E:E,"DMY",'capacity data'!A:A,B9)</f>
        <v>0</v>
      </c>
      <c r="E9" s="190">
        <f t="shared" si="0"/>
        <v>0</v>
      </c>
      <c r="F9" s="191" t="e">
        <f t="shared" si="1"/>
        <v>#DIV/0!</v>
      </c>
      <c r="G9" s="158">
        <f>SUMIF('capacity data'!A:A,B9,'capacity data'!K:K)</f>
        <v>0</v>
      </c>
    </row>
    <row r="10" spans="1:15" x14ac:dyDescent="0.15">
      <c r="B10" s="155" t="s">
        <v>24</v>
      </c>
      <c r="C10" s="84">
        <f>SUMIFS('capacity data'!K:K,'capacity data'!A:A,B10,'capacity data'!E:E,"SPO")</f>
        <v>0</v>
      </c>
      <c r="D10" s="84">
        <f>SUMIFS('capacity data'!K:K,'capacity data'!E:E,"DMY",'capacity data'!A:A,B10)</f>
        <v>0</v>
      </c>
      <c r="E10" s="190">
        <f t="shared" si="0"/>
        <v>0</v>
      </c>
      <c r="F10" s="191" t="e">
        <f t="shared" si="1"/>
        <v>#DIV/0!</v>
      </c>
      <c r="G10" s="158">
        <f>SUMIF('capacity data'!A:A,B10,'capacity data'!K:K)</f>
        <v>0</v>
      </c>
    </row>
    <row r="11" spans="1:15" x14ac:dyDescent="0.15">
      <c r="B11" s="155" t="s">
        <v>25</v>
      </c>
      <c r="C11" s="84">
        <f>SUMIFS('capacity data'!K:K,'capacity data'!A:A,B11,'capacity data'!E:E,"SPO")</f>
        <v>0</v>
      </c>
      <c r="D11" s="84">
        <f>SUMIFS('capacity data'!K:K,'capacity data'!E:E,"DMY",'capacity data'!A:A,B11)</f>
        <v>0</v>
      </c>
      <c r="E11" s="190">
        <f t="shared" si="0"/>
        <v>0</v>
      </c>
      <c r="F11" s="191" t="e">
        <f t="shared" si="1"/>
        <v>#DIV/0!</v>
      </c>
      <c r="G11" s="158">
        <f>SUMIF('capacity data'!A:A,B11,'capacity data'!K:K)</f>
        <v>0</v>
      </c>
    </row>
    <row r="12" spans="1:15" x14ac:dyDescent="0.15">
      <c r="B12" s="155" t="s">
        <v>26</v>
      </c>
      <c r="C12" s="84">
        <f>SUMIFS('capacity data'!K:K,'capacity data'!A:A,B12,'capacity data'!E:E,"SPO")</f>
        <v>0</v>
      </c>
      <c r="D12" s="84">
        <f>SUMIFS('capacity data'!K:K,'capacity data'!E:E,"DMY",'capacity data'!A:A,B12)</f>
        <v>0</v>
      </c>
      <c r="E12" s="190">
        <f t="shared" si="0"/>
        <v>0</v>
      </c>
      <c r="F12" s="191" t="e">
        <f t="shared" si="1"/>
        <v>#DIV/0!</v>
      </c>
      <c r="G12" s="158">
        <f>SUMIF('capacity data'!A:A,B12,'capacity data'!K:K)</f>
        <v>0</v>
      </c>
    </row>
    <row r="13" spans="1:15" x14ac:dyDescent="0.15">
      <c r="B13" s="155" t="s">
        <v>27</v>
      </c>
      <c r="C13" s="84">
        <f>SUMIFS('capacity data'!K:K,'capacity data'!A:A,B13,'capacity data'!E:E,"SPO")</f>
        <v>0</v>
      </c>
      <c r="D13" s="84">
        <f>SUMIFS('capacity data'!K:K,'capacity data'!E:E,"DMY",'capacity data'!A:A,B13)</f>
        <v>0</v>
      </c>
      <c r="E13" s="190">
        <f t="shared" ref="E13" si="2">SUM(C13:D13)</f>
        <v>0</v>
      </c>
      <c r="F13" s="191" t="e">
        <f t="shared" ref="F13" si="3">E13/G13</f>
        <v>#DIV/0!</v>
      </c>
      <c r="G13" s="158">
        <f>SUMIF('capacity data'!A:A,B13,'capacity data'!K:K)</f>
        <v>0</v>
      </c>
    </row>
    <row r="14" spans="1:15" x14ac:dyDescent="0.15">
      <c r="B14" s="155" t="s">
        <v>28</v>
      </c>
      <c r="C14" s="84">
        <f>SUMIFS('capacity data'!K:K,'capacity data'!A:A,B14,'capacity data'!E:E,"SPO")</f>
        <v>0</v>
      </c>
      <c r="D14" s="84">
        <f>SUMIFS('capacity data'!K:K,'capacity data'!E:E,"DMY",'capacity data'!A:A,B14)</f>
        <v>0</v>
      </c>
      <c r="E14" s="190">
        <f t="shared" si="0"/>
        <v>0</v>
      </c>
      <c r="F14" s="191" t="e">
        <f t="shared" si="1"/>
        <v>#DIV/0!</v>
      </c>
      <c r="G14" s="158">
        <f>SUMIF('capacity data'!A:A,B14,'capacity data'!K:K)</f>
        <v>0</v>
      </c>
    </row>
    <row r="15" spans="1:15" x14ac:dyDescent="0.15">
      <c r="B15" s="155" t="s">
        <v>29</v>
      </c>
      <c r="C15" s="84">
        <f>SUMIFS('capacity data'!K:K,'capacity data'!A:A,B15,'capacity data'!E:E,"SPO")</f>
        <v>0</v>
      </c>
      <c r="D15" s="84">
        <f>SUMIFS('capacity data'!K:K,'capacity data'!E:E,"DMY",'capacity data'!A:A,B15)</f>
        <v>0</v>
      </c>
      <c r="E15" s="190">
        <f t="shared" si="0"/>
        <v>0</v>
      </c>
      <c r="F15" s="191" t="e">
        <f t="shared" si="1"/>
        <v>#DIV/0!</v>
      </c>
      <c r="G15" s="158">
        <f>SUMIF('capacity data'!A:A,B15,'capacity data'!K:K)</f>
        <v>0</v>
      </c>
    </row>
    <row r="16" spans="1:15" x14ac:dyDescent="0.15">
      <c r="B16" s="155" t="s">
        <v>30</v>
      </c>
      <c r="C16" s="84">
        <f>SUMIFS('capacity data'!K:K,'capacity data'!A:A,B16,'capacity data'!E:E,"SPO")</f>
        <v>0</v>
      </c>
      <c r="D16" s="84">
        <f>SUMIFS('capacity data'!K:K,'capacity data'!E:E,"DMY",'capacity data'!A:A,B16)</f>
        <v>0</v>
      </c>
      <c r="E16" s="190">
        <f t="shared" si="0"/>
        <v>0</v>
      </c>
      <c r="F16" s="191" t="e">
        <f t="shared" si="1"/>
        <v>#DIV/0!</v>
      </c>
      <c r="G16" s="158">
        <f>SUMIF('capacity data'!A:A,B16,'capacity data'!K:K)</f>
        <v>0</v>
      </c>
    </row>
    <row r="17" spans="1:7" x14ac:dyDescent="0.15">
      <c r="B17" s="155" t="s">
        <v>31</v>
      </c>
      <c r="C17" s="84">
        <f>SUMIFS('capacity data'!K:K,'capacity data'!A:A,B17,'capacity data'!E:E,"SPO")</f>
        <v>0</v>
      </c>
      <c r="D17" s="84">
        <f>SUMIFS('capacity data'!K:K,'capacity data'!E:E,"DMY",'capacity data'!A:A,B17)</f>
        <v>0</v>
      </c>
      <c r="E17" s="190">
        <f t="shared" si="0"/>
        <v>0</v>
      </c>
      <c r="F17" s="191" t="e">
        <f t="shared" si="1"/>
        <v>#DIV/0!</v>
      </c>
      <c r="G17" s="158">
        <f>SUMIF('capacity data'!A:A,B17,'capacity data'!K:K)</f>
        <v>0</v>
      </c>
    </row>
    <row r="18" spans="1:7" ht="15" thickBot="1" x14ac:dyDescent="0.2">
      <c r="B18" s="192" t="s">
        <v>901</v>
      </c>
      <c r="C18" s="120">
        <f>SUMIF('capacity data'!E:E,"SPO",'capacity data'!K:K)</f>
        <v>0</v>
      </c>
      <c r="D18" s="120">
        <f>SUMIF('capacity data'!E:E,"DMY",'capacity data'!K:K)</f>
        <v>0</v>
      </c>
      <c r="E18" s="193">
        <f t="shared" ref="E18" si="4">SUM(C18:D18)</f>
        <v>0</v>
      </c>
      <c r="F18" s="194" t="e">
        <f t="shared" ref="F18" si="5">E18/G18</f>
        <v>#DIV/0!</v>
      </c>
      <c r="G18" s="120">
        <f>SUM('capacity data'!K:K)</f>
        <v>0</v>
      </c>
    </row>
    <row r="19" spans="1:7" x14ac:dyDescent="0.15">
      <c r="C19"/>
      <c r="E19"/>
      <c r="F19"/>
      <c r="G19"/>
    </row>
    <row r="20" spans="1:7" x14ac:dyDescent="0.15">
      <c r="A20" s="33"/>
    </row>
    <row r="21" spans="1:7" x14ac:dyDescent="0.15">
      <c r="A21" s="33"/>
      <c r="C21" s="19"/>
      <c r="D21" s="19"/>
    </row>
    <row r="22" spans="1:7" x14ac:dyDescent="0.15">
      <c r="A22" s="33"/>
    </row>
    <row r="23" spans="1:7" x14ac:dyDescent="0.15">
      <c r="A23" s="33"/>
    </row>
    <row r="24" spans="1:7" x14ac:dyDescent="0.15">
      <c r="A24" s="33"/>
    </row>
    <row r="25" spans="1:7" x14ac:dyDescent="0.15">
      <c r="A25" s="33"/>
    </row>
    <row r="26" spans="1:7" x14ac:dyDescent="0.15">
      <c r="A26" s="33"/>
    </row>
  </sheetData>
  <sheetProtection selectLockedCells="1" selectUnlockedCells="1"/>
  <mergeCells count="7">
    <mergeCell ref="A1:O1"/>
    <mergeCell ref="A2:O2"/>
    <mergeCell ref="E4:F4"/>
    <mergeCell ref="C4:C5"/>
    <mergeCell ref="D4:D5"/>
    <mergeCell ref="B4:B5"/>
    <mergeCell ref="G4:G5"/>
  </mergeCells>
  <pageMargins left="0.7" right="0.7" top="0.75" bottom="0.75" header="0.3" footer="0.3"/>
  <pageSetup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1"/>
  <dimension ref="A1:O117"/>
  <sheetViews>
    <sheetView showGridLines="0" topLeftCell="B1" zoomScale="70" zoomScaleNormal="50" workbookViewId="0">
      <selection activeCell="D28" sqref="D28"/>
    </sheetView>
  </sheetViews>
  <sheetFormatPr baseColWidth="10" defaultColWidth="8.83203125" defaultRowHeight="14" x14ac:dyDescent="0.15"/>
  <cols>
    <col min="1" max="1" width="3.5" customWidth="1"/>
    <col min="2" max="2" width="42.83203125" customWidth="1"/>
    <col min="3" max="3" width="23.83203125" bestFit="1" customWidth="1"/>
    <col min="4" max="4" width="18.83203125" bestFit="1" customWidth="1"/>
    <col min="5" max="5" width="22.5" bestFit="1" customWidth="1"/>
    <col min="6" max="6" width="29" bestFit="1" customWidth="1"/>
    <col min="7" max="7" width="19.5" customWidth="1"/>
    <col min="8" max="10" width="21.5" customWidth="1"/>
    <col min="11" max="11" width="31.5" bestFit="1" customWidth="1"/>
    <col min="12" max="12" width="21.5" customWidth="1"/>
    <col min="13" max="13" width="24.5" bestFit="1" customWidth="1"/>
    <col min="14" max="14" width="28.5" bestFit="1" customWidth="1"/>
    <col min="15" max="15" width="10.83203125" bestFit="1" customWidth="1"/>
    <col min="17" max="17" width="9.5" bestFit="1" customWidth="1"/>
  </cols>
  <sheetData>
    <row r="1" spans="1:15" ht="51.75" customHeight="1" x14ac:dyDescent="0.15">
      <c r="A1" s="433" t="s">
        <v>1206</v>
      </c>
      <c r="B1" s="434"/>
      <c r="C1" s="434"/>
      <c r="D1" s="434"/>
      <c r="E1" s="434"/>
      <c r="F1" s="434"/>
      <c r="G1" s="434"/>
      <c r="H1" s="434"/>
      <c r="I1" s="434"/>
      <c r="J1" s="434"/>
      <c r="K1" s="434"/>
      <c r="L1" s="434"/>
      <c r="M1" s="434"/>
      <c r="N1" s="434"/>
      <c r="O1" s="434"/>
    </row>
    <row r="2" spans="1:15" ht="24.75" customHeight="1" x14ac:dyDescent="0.15">
      <c r="A2" s="403"/>
      <c r="B2" s="403"/>
      <c r="C2" s="403"/>
      <c r="D2" s="403"/>
      <c r="E2" s="403"/>
      <c r="F2" s="403"/>
      <c r="G2" s="403"/>
      <c r="H2" s="403"/>
      <c r="I2" s="403"/>
      <c r="J2" s="403"/>
      <c r="K2" s="403"/>
      <c r="L2" s="403"/>
      <c r="M2" s="403"/>
      <c r="N2" s="403"/>
      <c r="O2" s="403"/>
    </row>
    <row r="3" spans="1:15" ht="9" customHeight="1" x14ac:dyDescent="0.15">
      <c r="B3" s="20"/>
      <c r="C3" s="20"/>
      <c r="D3" s="21"/>
      <c r="E3" s="21"/>
      <c r="F3" s="21"/>
      <c r="G3" s="21"/>
      <c r="H3" s="21"/>
      <c r="I3" s="21"/>
      <c r="J3" s="21"/>
      <c r="K3" s="21"/>
      <c r="L3" s="21"/>
      <c r="M3" s="21"/>
    </row>
    <row r="4" spans="1:15" x14ac:dyDescent="0.15">
      <c r="B4" s="436" t="s">
        <v>1207</v>
      </c>
      <c r="C4" s="437"/>
      <c r="E4" s="431" t="s">
        <v>1208</v>
      </c>
      <c r="F4" s="432"/>
      <c r="G4" s="432"/>
      <c r="H4" s="442" t="s">
        <v>1209</v>
      </c>
      <c r="I4" s="226"/>
      <c r="J4" s="226"/>
      <c r="K4" s="226"/>
      <c r="L4" s="226"/>
      <c r="M4" s="226"/>
    </row>
    <row r="5" spans="1:15" ht="29.25" customHeight="1" x14ac:dyDescent="0.15">
      <c r="B5" s="438"/>
      <c r="C5" s="439"/>
      <c r="E5" s="407"/>
      <c r="F5" s="408"/>
      <c r="G5" s="408"/>
      <c r="H5" s="442"/>
      <c r="I5" s="226"/>
      <c r="J5" s="226"/>
      <c r="K5" s="226"/>
      <c r="L5" s="226"/>
      <c r="M5" s="226"/>
    </row>
    <row r="6" spans="1:15" x14ac:dyDescent="0.15">
      <c r="B6" s="71" t="str">
        <f>INDEX('reductions workings'!C:C,MATCH(C6,'reductions workings'!E:E,0))</f>
        <v>Long Term Sickness Absence</v>
      </c>
      <c r="C6" s="104">
        <f>LARGE('reductions workings'!E:E,1)</f>
        <v>8.9999999999999998E-4</v>
      </c>
      <c r="E6" s="428" t="str">
        <f>INDEX('reductions workings'!$G:$G,MATCH(G6,'reductions workings'!$H:$H,0))</f>
        <v>Adoption Leave</v>
      </c>
      <c r="F6" s="429"/>
      <c r="G6" s="206">
        <f>LARGE('reductions workings'!H:H,2)</f>
        <v>0</v>
      </c>
      <c r="H6" s="75" t="e">
        <f>G6/'reductions workings'!H49:$I$49</f>
        <v>#DIV/0!</v>
      </c>
      <c r="I6" s="121"/>
      <c r="J6" s="121"/>
      <c r="K6" s="121"/>
      <c r="L6" s="121"/>
      <c r="M6" s="121"/>
    </row>
    <row r="7" spans="1:15" x14ac:dyDescent="0.15">
      <c r="B7" s="71" t="str">
        <f>INDEX('reductions workings'!C:C,MATCH(C7,'reductions workings'!E:E,0))</f>
        <v>Long Term Sickness Absence</v>
      </c>
      <c r="C7" s="104">
        <f>LARGE('reductions workings'!E:E,2)</f>
        <v>8.9999999999999998E-4</v>
      </c>
      <c r="E7" s="428" t="str">
        <f>INDEX('reductions workings'!$G:$G,MATCH(G7,'reductions workings'!$H:$H,0))</f>
        <v>Adoption Leave</v>
      </c>
      <c r="F7" s="429"/>
      <c r="G7" s="206">
        <f>LARGE('reductions workings'!H:H,3)</f>
        <v>0</v>
      </c>
      <c r="H7" s="75" t="e">
        <f>G7/'reductions workings'!H$49:$I49</f>
        <v>#DIV/0!</v>
      </c>
      <c r="I7" s="121"/>
      <c r="J7" s="121"/>
      <c r="K7" s="121"/>
      <c r="L7" s="121"/>
      <c r="M7" s="121"/>
    </row>
    <row r="8" spans="1:15" x14ac:dyDescent="0.15">
      <c r="B8" s="71" t="str">
        <f>INDEX('reductions workings'!C:C,MATCH(C8,'reductions workings'!E:E,0))</f>
        <v>Level 4 and Level 5 Access</v>
      </c>
      <c r="C8" s="104">
        <f>LARGE('reductions workings'!E:E,3)</f>
        <v>8.0000000000000004E-4</v>
      </c>
      <c r="E8" s="428" t="str">
        <f>INDEX('reductions workings'!$G:$G,MATCH(G8,'reductions workings'!$H:$H,0))</f>
        <v>Adoption Leave</v>
      </c>
      <c r="F8" s="429"/>
      <c r="G8" s="206">
        <f>LARGE('reductions workings'!H:H,4)</f>
        <v>0</v>
      </c>
      <c r="H8" s="75" t="e">
        <f>G8/'reductions workings'!H$49:$I49</f>
        <v>#DIV/0!</v>
      </c>
      <c r="I8" s="121"/>
      <c r="J8" s="121"/>
      <c r="K8" s="121"/>
      <c r="L8" s="121"/>
      <c r="M8" s="121"/>
    </row>
    <row r="9" spans="1:15" x14ac:dyDescent="0.15">
      <c r="B9" s="71" t="str">
        <f>INDEX('reductions workings'!C:C,MATCH(C9,'reductions workings'!E:E,0))</f>
        <v>Groups (Induction)</v>
      </c>
      <c r="C9" s="104">
        <f>LARGE('reductions workings'!E:E,4)</f>
        <v>5.9999999999999995E-4</v>
      </c>
      <c r="E9" s="428" t="str">
        <f>INDEX('reductions workings'!$G:$G,MATCH(G9,'reductions workings'!$H:$H,0))</f>
        <v>Adoption Leave</v>
      </c>
      <c r="F9" s="429"/>
      <c r="G9" s="206">
        <f>LARGE('reductions workings'!H:H,5)</f>
        <v>0</v>
      </c>
      <c r="H9" s="75" t="e">
        <f>G9/'reductions workings'!H$49:$I49</f>
        <v>#DIV/0!</v>
      </c>
      <c r="I9" s="121"/>
      <c r="J9" s="121"/>
      <c r="K9" s="121"/>
      <c r="L9" s="121"/>
      <c r="M9" s="121"/>
    </row>
    <row r="10" spans="1:15" x14ac:dyDescent="0.15">
      <c r="B10" s="71" t="str">
        <f>INDEX('reductions workings'!C:C,MATCH(C10,'reductions workings'!E:E,0))</f>
        <v>Groups (Induction)</v>
      </c>
      <c r="C10" s="104">
        <f>LARGE('reductions workings'!E:E,5)</f>
        <v>5.9999999999999995E-4</v>
      </c>
      <c r="E10" s="428" t="str">
        <f>INDEX('reductions workings'!$G:$G,MATCH(G10,'reductions workings'!$H:$H,0))</f>
        <v>Adoption Leave</v>
      </c>
      <c r="F10" s="429"/>
      <c r="G10" s="206">
        <f>LARGE('reductions workings'!H:H,6)</f>
        <v>0</v>
      </c>
      <c r="H10" s="75" t="e">
        <f>G10/'reductions workings'!H$49:$I49</f>
        <v>#DIV/0!</v>
      </c>
      <c r="I10" s="121"/>
      <c r="J10" s="121"/>
      <c r="K10" s="121"/>
      <c r="L10" s="121"/>
      <c r="M10" s="121"/>
    </row>
    <row r="11" spans="1:15" x14ac:dyDescent="0.15">
      <c r="B11" s="71" t="str">
        <f>INDEX('reductions workings'!C:C,MATCH(C11,'reductions workings'!E:E,0))</f>
        <v>Groups (Group supervision)</v>
      </c>
      <c r="C11" s="104">
        <f>LARGE('reductions workings'!E:E,6)</f>
        <v>5.0000000000000001E-4</v>
      </c>
      <c r="E11" s="428" t="str">
        <f>INDEX('reductions workings'!$G:$G,MATCH(G11,'reductions workings'!$H:$H,0))</f>
        <v>Adoption Leave</v>
      </c>
      <c r="F11" s="429"/>
      <c r="G11" s="206">
        <f>LARGE('reductions workings'!H:H,7)</f>
        <v>0</v>
      </c>
      <c r="H11" s="75" t="e">
        <f>G11/'reductions workings'!H$49:$I49</f>
        <v>#DIV/0!</v>
      </c>
      <c r="I11" s="121"/>
      <c r="J11" s="121"/>
      <c r="K11" s="121"/>
      <c r="L11" s="121"/>
      <c r="M11" s="121"/>
    </row>
    <row r="12" spans="1:15" x14ac:dyDescent="0.15">
      <c r="B12" s="71" t="str">
        <f>INDEX('reductions workings'!C:C,MATCH(C12,'reductions workings'!E:E,0))</f>
        <v>Wellbeing/Work-life balance</v>
      </c>
      <c r="C12" s="104">
        <f>LARGE('reductions workings'!E:E,7)</f>
        <v>4.0999999999999999E-4</v>
      </c>
      <c r="E12" s="428" t="str">
        <f>INDEX('reductions workings'!$G:$G,MATCH(G12,'reductions workings'!$H:$H,0))</f>
        <v>Adoption Leave</v>
      </c>
      <c r="F12" s="429"/>
      <c r="G12" s="206">
        <f>LARGE('reductions workings'!H:H,8)</f>
        <v>0</v>
      </c>
      <c r="H12" s="75" t="e">
        <f>G12/'reductions workings'!H$49:$I49</f>
        <v>#DIV/0!</v>
      </c>
      <c r="I12" s="121"/>
      <c r="J12" s="121"/>
      <c r="K12" s="121"/>
      <c r="L12" s="121"/>
      <c r="M12" s="121"/>
    </row>
    <row r="13" spans="1:15" x14ac:dyDescent="0.15">
      <c r="B13" s="71" t="str">
        <f>INDEX('reductions workings'!C:C,MATCH(C13,'reductions workings'!E:E,0))</f>
        <v>Disability</v>
      </c>
      <c r="C13" s="104">
        <f>LARGE('reductions workings'!E:E,8)</f>
        <v>4.0000000000000002E-4</v>
      </c>
      <c r="E13" s="428" t="str">
        <f>INDEX('reductions workings'!$G:$G,MATCH(G13,'reductions workings'!$H:$H,0))</f>
        <v>Adoption Leave</v>
      </c>
      <c r="F13" s="429"/>
      <c r="G13" s="206">
        <f>LARGE('reductions workings'!H:H,9)</f>
        <v>0</v>
      </c>
      <c r="H13" s="75" t="e">
        <f>G13/'reductions workings'!H$49:$I49</f>
        <v>#DIV/0!</v>
      </c>
      <c r="I13" s="121"/>
      <c r="J13" s="121"/>
      <c r="K13" s="121"/>
      <c r="L13" s="121"/>
      <c r="M13" s="121"/>
    </row>
    <row r="14" spans="1:15" x14ac:dyDescent="0.15">
      <c r="B14" s="71" t="str">
        <f>INDEX('reductions workings'!C:C,MATCH(C14,'reductions workings'!E:E,0))</f>
        <v>VQ3</v>
      </c>
      <c r="C14" s="104">
        <f>LARGE('reductions workings'!E:E,9)</f>
        <v>3.8999999999999999E-4</v>
      </c>
      <c r="E14" s="428" t="str">
        <f>INDEX('reductions workings'!$G:$G,MATCH(G14,'reductions workings'!$H:$H,0))</f>
        <v>Adoption Leave</v>
      </c>
      <c r="F14" s="429"/>
      <c r="G14" s="206">
        <f>LARGE('reductions workings'!H:H,10)</f>
        <v>0</v>
      </c>
      <c r="H14" s="75" t="e">
        <f>G14/'reductions workings'!H$49:$I49</f>
        <v>#DIV/0!</v>
      </c>
      <c r="I14" s="121"/>
      <c r="J14" s="121"/>
      <c r="K14" s="121"/>
      <c r="L14" s="121"/>
      <c r="M14" s="121"/>
    </row>
    <row r="15" spans="1:15" x14ac:dyDescent="0.15">
      <c r="B15" s="71" t="str">
        <f>INDEX('reductions workings'!C:C,MATCH(C15,'reductions workings'!E:E,0))</f>
        <v>VQ3</v>
      </c>
      <c r="C15" s="104">
        <f>LARGE('reductions workings'!E:E,10)</f>
        <v>3.8999999999999999E-4</v>
      </c>
      <c r="E15" s="428" t="str">
        <f>INDEX('reductions workings'!$G:$G,MATCH(G15,'reductions workings'!$H:$H,0))</f>
        <v>Adoption Leave</v>
      </c>
      <c r="F15" s="429"/>
      <c r="G15" s="206">
        <f>LARGE('reductions workings'!H:H,11)</f>
        <v>0</v>
      </c>
      <c r="H15" s="75" t="e">
        <f>G15/'reductions workings'!H$49:$I49</f>
        <v>#DIV/0!</v>
      </c>
      <c r="I15" s="121"/>
      <c r="J15" s="121"/>
      <c r="K15" s="121"/>
      <c r="L15" s="121"/>
      <c r="M15" s="121"/>
    </row>
    <row r="16" spans="1:15" x14ac:dyDescent="0.15">
      <c r="B16" s="71" t="str">
        <f>INDEX('reductions workings'!C:C,MATCH(C16,'reductions workings'!E:E,0))</f>
        <v>Trade Union Facility Time</v>
      </c>
      <c r="C16" s="104">
        <f>LARGE('reductions workings'!E:E,11)</f>
        <v>3.8000000000000002E-4</v>
      </c>
      <c r="E16" s="428" t="str">
        <f>INDEX('reductions workings'!$G:$G,MATCH(G16,'reductions workings'!$H:$H,0))</f>
        <v>Adoption Leave</v>
      </c>
      <c r="F16" s="429"/>
      <c r="G16" s="206">
        <f>LARGE('reductions workings'!H:H,12)</f>
        <v>0</v>
      </c>
      <c r="H16" s="75" t="e">
        <f>G16/'reductions workings'!H$49:$I49</f>
        <v>#DIV/0!</v>
      </c>
      <c r="I16" s="121"/>
      <c r="J16" s="121"/>
      <c r="K16" s="121"/>
      <c r="L16" s="121"/>
      <c r="M16" s="121"/>
    </row>
    <row r="17" spans="2:15" x14ac:dyDescent="0.15">
      <c r="B17" s="71" t="str">
        <f>INDEX('reductions workings'!C:C,MATCH(C17,'reductions workings'!E:E,0))</f>
        <v>SPOC Lead</v>
      </c>
      <c r="C17" s="104">
        <f>LARGE('reductions workings'!E:E,12)</f>
        <v>3.6999999999999999E-4</v>
      </c>
      <c r="E17" s="428" t="str">
        <f>INDEX('reductions workings'!$G:$G,MATCH(G17,'reductions workings'!$H:$H,0))</f>
        <v>Adoption Leave</v>
      </c>
      <c r="F17" s="429"/>
      <c r="G17" s="206">
        <f>LARGE('reductions workings'!H:H,13)</f>
        <v>0</v>
      </c>
      <c r="H17" s="75" t="e">
        <f>G17/'reductions workings'!H$49:$I49</f>
        <v>#DIV/0!</v>
      </c>
      <c r="I17" s="121"/>
      <c r="J17" s="121"/>
      <c r="K17" s="121"/>
      <c r="L17" s="121"/>
      <c r="M17" s="121"/>
    </row>
    <row r="18" spans="2:15" x14ac:dyDescent="0.15">
      <c r="B18" s="71" t="str">
        <f>INDEX('reductions workings'!C:C,MATCH(C18,'reductions workings'!E:E,0))</f>
        <v>Split Role</v>
      </c>
      <c r="C18" s="104">
        <f>LARGE('reductions workings'!E:E,13)</f>
        <v>3.6000000000000002E-4</v>
      </c>
      <c r="E18" s="428" t="str">
        <f>INDEX('reductions workings'!$G:$G,MATCH(G18,'reductions workings'!$H:$H,0))</f>
        <v>Adoption Leave</v>
      </c>
      <c r="F18" s="429"/>
      <c r="G18" s="206">
        <f>LARGE('reductions workings'!H:H,14)</f>
        <v>0</v>
      </c>
      <c r="H18" s="75" t="e">
        <f>G18/'reductions workings'!H$49:$I49</f>
        <v>#DIV/0!</v>
      </c>
      <c r="I18" s="121"/>
      <c r="J18" s="121"/>
      <c r="K18" s="121"/>
      <c r="L18" s="121"/>
      <c r="M18" s="121"/>
    </row>
    <row r="19" spans="2:15" x14ac:dyDescent="0.15">
      <c r="B19" s="71" t="str">
        <f>INDEX('reductions workings'!C:C,MATCH(C19,'reductions workings'!E:E,0))</f>
        <v>Special Leave</v>
      </c>
      <c r="C19" s="104">
        <f>LARGE('reductions workings'!E:E,14)</f>
        <v>3.5E-4</v>
      </c>
      <c r="E19" s="428" t="str">
        <f>INDEX('reductions workings'!$G:$G,MATCH(G19,'reductions workings'!$H:$H,0))</f>
        <v>Adoption Leave</v>
      </c>
      <c r="F19" s="429"/>
      <c r="G19" s="206">
        <f>LARGE('reductions workings'!H:H,15)</f>
        <v>0</v>
      </c>
      <c r="H19" s="75" t="e">
        <f>G19/'reductions workings'!H$49:$I49</f>
        <v>#DIV/0!</v>
      </c>
      <c r="I19" s="121"/>
      <c r="J19" s="121"/>
      <c r="K19" s="121"/>
      <c r="L19" s="121"/>
      <c r="M19" s="121"/>
    </row>
    <row r="20" spans="2:15" x14ac:dyDescent="0.15">
      <c r="B20" s="71" t="str">
        <f>INDEX('reductions workings'!C:C,MATCH(C20,'reductions workings'!E:E,0))</f>
        <v>PSO Learning &amp; Development</v>
      </c>
      <c r="C20" s="104">
        <f>LARGE('reductions workings'!E:E,15)</f>
        <v>3.4000000000000002E-4</v>
      </c>
      <c r="E20" s="428" t="str">
        <f>INDEX('reductions workings'!$G:$G,MATCH(G20,'reductions workings'!$H:$H,0))</f>
        <v>Adoption Leave</v>
      </c>
      <c r="F20" s="429"/>
      <c r="G20" s="206">
        <f>LARGE('reductions workings'!H:H,16)</f>
        <v>0</v>
      </c>
      <c r="H20" s="75" t="e">
        <f>G20/'reductions workings'!H$49:$I49</f>
        <v>#DIV/0!</v>
      </c>
      <c r="I20" s="121"/>
      <c r="J20" s="121"/>
      <c r="K20" s="121"/>
      <c r="L20" s="121"/>
      <c r="M20" s="121"/>
    </row>
    <row r="21" spans="2:15" ht="28" x14ac:dyDescent="0.15">
      <c r="B21" s="236" t="s">
        <v>1210</v>
      </c>
      <c r="C21" s="205">
        <f>SUM(C6:C20)</f>
        <v>7.6899999999999989E-3</v>
      </c>
      <c r="E21" s="430" t="s">
        <v>1211</v>
      </c>
      <c r="F21" s="429"/>
      <c r="G21" s="443">
        <f>SUM(G6:G20)</f>
        <v>0</v>
      </c>
      <c r="H21" s="444"/>
      <c r="I21" s="6"/>
      <c r="J21" s="6"/>
      <c r="K21" s="6"/>
      <c r="L21" s="6"/>
      <c r="M21" s="6"/>
    </row>
    <row r="22" spans="2:15" ht="28" x14ac:dyDescent="0.15">
      <c r="B22" s="237" t="s">
        <v>1212</v>
      </c>
      <c r="C22" s="120">
        <f>COUNTIF('reductions data'!K:K,"ACTIVE")</f>
        <v>0</v>
      </c>
      <c r="E22" s="440" t="s">
        <v>1213</v>
      </c>
      <c r="F22" s="441"/>
      <c r="G22" s="443">
        <f>LARGE('reductions workings'!H:H,1)</f>
        <v>0</v>
      </c>
      <c r="H22" s="444"/>
      <c r="I22" s="6"/>
      <c r="J22" s="6"/>
      <c r="K22" s="6"/>
      <c r="L22" s="6"/>
      <c r="M22" s="6"/>
    </row>
    <row r="23" spans="2:15" ht="16" x14ac:dyDescent="0.2">
      <c r="B23" s="1"/>
      <c r="C23" s="1"/>
    </row>
    <row r="24" spans="2:15" ht="16" x14ac:dyDescent="0.2">
      <c r="C24" s="400" t="s">
        <v>1214</v>
      </c>
      <c r="D24" s="435"/>
      <c r="E24" s="435"/>
      <c r="F24" s="435"/>
      <c r="G24" s="435"/>
      <c r="H24" s="435"/>
      <c r="I24" s="435"/>
      <c r="J24" s="435"/>
      <c r="K24" s="435"/>
      <c r="L24" s="435"/>
      <c r="M24" s="435"/>
      <c r="N24" s="435"/>
      <c r="O24" s="435"/>
    </row>
    <row r="25" spans="2:15" ht="40.5" customHeight="1" x14ac:dyDescent="0.15">
      <c r="B25" s="85" t="s">
        <v>980</v>
      </c>
      <c r="C25" s="85" t="s">
        <v>20</v>
      </c>
      <c r="D25" s="85" t="s">
        <v>21</v>
      </c>
      <c r="E25" s="85" t="s">
        <v>22</v>
      </c>
      <c r="F25" s="85" t="s">
        <v>23</v>
      </c>
      <c r="G25" s="85" t="s">
        <v>24</v>
      </c>
      <c r="H25" s="85" t="s">
        <v>25</v>
      </c>
      <c r="I25" s="85" t="s">
        <v>26</v>
      </c>
      <c r="J25" s="85" t="s">
        <v>27</v>
      </c>
      <c r="K25" s="85" t="s">
        <v>28</v>
      </c>
      <c r="L25" s="85" t="s">
        <v>29</v>
      </c>
      <c r="M25" s="85" t="s">
        <v>30</v>
      </c>
      <c r="N25" s="85" t="s">
        <v>31</v>
      </c>
      <c r="O25" s="85" t="s">
        <v>1113</v>
      </c>
    </row>
    <row r="26" spans="2:15" x14ac:dyDescent="0.15">
      <c r="B26" s="122" t="s">
        <v>983</v>
      </c>
      <c r="C26" s="71">
        <f>COUNTIFS('reductions data'!G:G,'reasons for reduction division'!B26,'reductions data'!A:A,$C$25)</f>
        <v>0</v>
      </c>
      <c r="D26" s="71">
        <f>COUNTIFS('reductions data'!G:G,'reasons for reduction division'!B26,'reductions data'!A:A,$D$25)</f>
        <v>0</v>
      </c>
      <c r="E26" s="71">
        <f>COUNTIFS('reductions data'!G:G,'reasons for reduction division'!B26,'reductions data'!A:A,$E$25)</f>
        <v>0</v>
      </c>
      <c r="F26" s="71">
        <f>COUNTIFS('reductions data'!G:G,'reasons for reduction division'!B26,'reductions data'!A:A,$F$25)</f>
        <v>0</v>
      </c>
      <c r="G26" s="71">
        <f>COUNTIFS('reductions data'!G:G,'reasons for reduction division'!B26,'reductions data'!A:A,$G$25)</f>
        <v>0</v>
      </c>
      <c r="H26" s="71">
        <f>COUNTIFS('reductions data'!G:G,'reasons for reduction division'!B26,'reductions data'!A:A,$H$25)</f>
        <v>0</v>
      </c>
      <c r="I26" s="71">
        <f>COUNTIFS('reductions data'!G:G,'reasons for reduction division'!B26,'reductions data'!A:A,$I$25)</f>
        <v>0</v>
      </c>
      <c r="J26" s="71">
        <f>COUNTIFS('reductions data'!G:G,'reasons for reduction division'!B26,'reductions data'!A:A,$J$25)</f>
        <v>0</v>
      </c>
      <c r="K26" s="71">
        <f>COUNTIFS('reductions data'!G:G,'reasons for reduction division'!B26,'reductions data'!A:A,$K$25)</f>
        <v>0</v>
      </c>
      <c r="L26" s="71">
        <f>COUNTIFS('reductions data'!G:G,'reasons for reduction division'!B26,'reductions data'!A:A,$L$25)</f>
        <v>0</v>
      </c>
      <c r="M26" s="71">
        <f>COUNTIFS('reductions data'!G:G,'reasons for reduction division'!B26,'reductions data'!A:A,$M$25)</f>
        <v>0</v>
      </c>
      <c r="N26" s="71">
        <f>COUNTIFS('reductions data'!G:G,'reasons for reduction division'!B26,'reductions data'!A:A,$N$25)</f>
        <v>0</v>
      </c>
      <c r="O26" s="115">
        <f>COUNTIF('reductions data'!G:G,'reasons for reduction division'!B26)</f>
        <v>0</v>
      </c>
    </row>
    <row r="27" spans="2:15" x14ac:dyDescent="0.15">
      <c r="B27" s="123" t="s">
        <v>964</v>
      </c>
      <c r="C27" s="71">
        <f>COUNTIFS('reductions data'!G:G,'reasons for reduction division'!B27,'reductions data'!A:A,$C$25)</f>
        <v>0</v>
      </c>
      <c r="D27" s="71">
        <f>COUNTIFS('reductions data'!G:G,'reasons for reduction division'!B27,'reductions data'!A:A,$D$25)</f>
        <v>0</v>
      </c>
      <c r="E27" s="71">
        <f>COUNTIFS('reductions data'!G:G,'reasons for reduction division'!B27,'reductions data'!A:A,$E$25)</f>
        <v>0</v>
      </c>
      <c r="F27" s="71">
        <f>COUNTIFS('reductions data'!G:G,'reasons for reduction division'!B27,'reductions data'!A:A,$F$25)</f>
        <v>0</v>
      </c>
      <c r="G27" s="71">
        <f>COUNTIFS('reductions data'!G:G,'reasons for reduction division'!B27,'reductions data'!A:A,$G$25)</f>
        <v>0</v>
      </c>
      <c r="H27" s="71">
        <f>COUNTIFS('reductions data'!G:G,'reasons for reduction division'!B27,'reductions data'!A:A,$H$25)</f>
        <v>0</v>
      </c>
      <c r="I27" s="71">
        <f>COUNTIFS('reductions data'!G:G,'reasons for reduction division'!B27,'reductions data'!A:A,$I$25)</f>
        <v>0</v>
      </c>
      <c r="J27" s="71">
        <f>COUNTIFS('reductions data'!G:G,'reasons for reduction division'!B27,'reductions data'!A:A,$J$25)</f>
        <v>0</v>
      </c>
      <c r="K27" s="71">
        <f>COUNTIFS('reductions data'!G:G,'reasons for reduction division'!B27,'reductions data'!A:A,$K$25)</f>
        <v>0</v>
      </c>
      <c r="L27" s="71">
        <f>COUNTIFS('reductions data'!G:G,'reasons for reduction division'!B27,'reductions data'!A:A,$L$25)</f>
        <v>0</v>
      </c>
      <c r="M27" s="71">
        <f>COUNTIFS('reductions data'!G:G,'reasons for reduction division'!B27,'reductions data'!A:A,$M$25)</f>
        <v>0</v>
      </c>
      <c r="N27" s="71">
        <f>COUNTIFS('reductions data'!G:G,'reasons for reduction division'!B27,'reductions data'!A:A,$N$25)</f>
        <v>0</v>
      </c>
      <c r="O27" s="115">
        <f>COUNTIF('reductions data'!G:G,'reasons for reduction division'!B27)</f>
        <v>0</v>
      </c>
    </row>
    <row r="28" spans="2:15" x14ac:dyDescent="0.15">
      <c r="B28" s="123" t="s">
        <v>962</v>
      </c>
      <c r="C28" s="71">
        <f>COUNTIFS('reductions data'!G:G,'reasons for reduction division'!B28,'reductions data'!A:A,$C$25)</f>
        <v>0</v>
      </c>
      <c r="D28" s="71">
        <f>COUNTIFS('reductions data'!G:G,'reasons for reduction division'!B28,'reductions data'!A:A,$D$25)</f>
        <v>0</v>
      </c>
      <c r="E28" s="71">
        <f>COUNTIFS('reductions data'!G:G,'reasons for reduction division'!B28,'reductions data'!A:A,$E$25)</f>
        <v>0</v>
      </c>
      <c r="F28" s="71">
        <f>COUNTIFS('reductions data'!G:G,'reasons for reduction division'!B28,'reductions data'!A:A,$F$25)</f>
        <v>0</v>
      </c>
      <c r="G28" s="71">
        <f>COUNTIFS('reductions data'!G:G,'reasons for reduction division'!B28,'reductions data'!A:A,$G$25)</f>
        <v>0</v>
      </c>
      <c r="H28" s="71">
        <f>COUNTIFS('reductions data'!G:G,'reasons for reduction division'!B28,'reductions data'!A:A,$H$25)</f>
        <v>0</v>
      </c>
      <c r="I28" s="71">
        <f>COUNTIFS('reductions data'!G:G,'reasons for reduction division'!B28,'reductions data'!A:A,$I$25)</f>
        <v>0</v>
      </c>
      <c r="J28" s="71">
        <f>COUNTIFS('reductions data'!G:G,'reasons for reduction division'!B28,'reductions data'!A:A,$J$25)</f>
        <v>0</v>
      </c>
      <c r="K28" s="71">
        <f>COUNTIFS('reductions data'!G:G,'reasons for reduction division'!B28,'reductions data'!A:A,$K$25)</f>
        <v>0</v>
      </c>
      <c r="L28" s="71">
        <f>COUNTIFS('reductions data'!G:G,'reasons for reduction division'!B28,'reductions data'!A:A,$L$25)</f>
        <v>0</v>
      </c>
      <c r="M28" s="71">
        <f>COUNTIFS('reductions data'!G:G,'reasons for reduction division'!B28,'reductions data'!A:A,$M$25)</f>
        <v>0</v>
      </c>
      <c r="N28" s="71">
        <f>COUNTIFS('reductions data'!G:G,'reasons for reduction division'!B28,'reductions data'!A:A,$N$25)</f>
        <v>0</v>
      </c>
      <c r="O28" s="115">
        <f>COUNTIF('reductions data'!G:G,'reasons for reduction division'!B28)</f>
        <v>0</v>
      </c>
    </row>
    <row r="29" spans="2:15" x14ac:dyDescent="0.15">
      <c r="B29" s="123" t="s">
        <v>957</v>
      </c>
      <c r="C29" s="71">
        <f>COUNTIFS('reductions data'!G:G,'reasons for reduction division'!B29,'reductions data'!A:A,$C$25)</f>
        <v>0</v>
      </c>
      <c r="D29" s="71">
        <f>COUNTIFS('reductions data'!G:G,'reasons for reduction division'!B29,'reductions data'!A:A,$D$25)</f>
        <v>0</v>
      </c>
      <c r="E29" s="71">
        <f>COUNTIFS('reductions data'!G:G,'reasons for reduction division'!B29,'reductions data'!A:A,$E$25)</f>
        <v>0</v>
      </c>
      <c r="F29" s="71">
        <f>COUNTIFS('reductions data'!G:G,'reasons for reduction division'!B29,'reductions data'!A:A,$F$25)</f>
        <v>0</v>
      </c>
      <c r="G29" s="71">
        <f>COUNTIFS('reductions data'!G:G,'reasons for reduction division'!B29,'reductions data'!A:A,$G$25)</f>
        <v>0</v>
      </c>
      <c r="H29" s="71">
        <f>COUNTIFS('reductions data'!G:G,'reasons for reduction division'!B29,'reductions data'!A:A,$H$25)</f>
        <v>0</v>
      </c>
      <c r="I29" s="71">
        <f>COUNTIFS('reductions data'!G:G,'reasons for reduction division'!B29,'reductions data'!A:A,$I$25)</f>
        <v>0</v>
      </c>
      <c r="J29" s="71">
        <f>COUNTIFS('reductions data'!G:G,'reasons for reduction division'!B29,'reductions data'!A:A,$J$25)</f>
        <v>0</v>
      </c>
      <c r="K29" s="71">
        <f>COUNTIFS('reductions data'!G:G,'reasons for reduction division'!B29,'reductions data'!A:A,$K$25)</f>
        <v>0</v>
      </c>
      <c r="L29" s="71">
        <f>COUNTIFS('reductions data'!G:G,'reasons for reduction division'!B29,'reductions data'!A:A,$L$25)</f>
        <v>0</v>
      </c>
      <c r="M29" s="71">
        <f>COUNTIFS('reductions data'!G:G,'reasons for reduction division'!B29,'reductions data'!A:A,$M$25)</f>
        <v>0</v>
      </c>
      <c r="N29" s="71">
        <f>COUNTIFS('reductions data'!G:G,'reasons for reduction division'!B29,'reductions data'!A:A,$N$25)</f>
        <v>0</v>
      </c>
      <c r="O29" s="115">
        <f>COUNTIF('reductions data'!G:G,'reasons for reduction division'!B29)</f>
        <v>0</v>
      </c>
    </row>
    <row r="30" spans="2:15" x14ac:dyDescent="0.15">
      <c r="B30" s="123" t="s">
        <v>984</v>
      </c>
      <c r="C30" s="71">
        <f>COUNTIFS('reductions data'!G:G,'reasons for reduction division'!B30,'reductions data'!A:A,$C$25)</f>
        <v>0</v>
      </c>
      <c r="D30" s="71">
        <f>COUNTIFS('reductions data'!G:G,'reasons for reduction division'!B30,'reductions data'!A:A,$D$25)</f>
        <v>0</v>
      </c>
      <c r="E30" s="71">
        <f>COUNTIFS('reductions data'!G:G,'reasons for reduction division'!B30,'reductions data'!A:A,$E$25)</f>
        <v>0</v>
      </c>
      <c r="F30" s="71">
        <f>COUNTIFS('reductions data'!G:G,'reasons for reduction division'!B30,'reductions data'!A:A,$F$25)</f>
        <v>0</v>
      </c>
      <c r="G30" s="71">
        <f>COUNTIFS('reductions data'!G:G,'reasons for reduction division'!B30,'reductions data'!A:A,$G$25)</f>
        <v>0</v>
      </c>
      <c r="H30" s="71">
        <f>COUNTIFS('reductions data'!G:G,'reasons for reduction division'!B30,'reductions data'!A:A,$H$25)</f>
        <v>0</v>
      </c>
      <c r="I30" s="71">
        <f>COUNTIFS('reductions data'!G:G,'reasons for reduction division'!B30,'reductions data'!A:A,$I$25)</f>
        <v>0</v>
      </c>
      <c r="J30" s="71">
        <f>COUNTIFS('reductions data'!G:G,'reasons for reduction division'!B30,'reductions data'!A:A,$J$25)</f>
        <v>0</v>
      </c>
      <c r="K30" s="71">
        <f>COUNTIFS('reductions data'!G:G,'reasons for reduction division'!B30,'reductions data'!A:A,$K$25)</f>
        <v>0</v>
      </c>
      <c r="L30" s="71">
        <f>COUNTIFS('reductions data'!G:G,'reasons for reduction division'!B30,'reductions data'!A:A,$L$25)</f>
        <v>0</v>
      </c>
      <c r="M30" s="71">
        <f>COUNTIFS('reductions data'!G:G,'reasons for reduction division'!B30,'reductions data'!A:A,$M$25)</f>
        <v>0</v>
      </c>
      <c r="N30" s="71">
        <f>COUNTIFS('reductions data'!G:G,'reasons for reduction division'!B30,'reductions data'!A:A,$N$25)</f>
        <v>0</v>
      </c>
      <c r="O30" s="115">
        <f>COUNTIF('reductions data'!G:G,'reasons for reduction division'!B30)</f>
        <v>0</v>
      </c>
    </row>
    <row r="31" spans="2:15" ht="15" customHeight="1" x14ac:dyDescent="0.15">
      <c r="B31" s="123" t="s">
        <v>968</v>
      </c>
      <c r="C31" s="71">
        <f>COUNTIFS('reductions data'!G:G,'reasons for reduction division'!B31,'reductions data'!A:A,$C$25)</f>
        <v>0</v>
      </c>
      <c r="D31" s="71">
        <f>COUNTIFS('reductions data'!G:G,'reasons for reduction division'!B31,'reductions data'!A:A,$D$25)</f>
        <v>0</v>
      </c>
      <c r="E31" s="71">
        <f>COUNTIFS('reductions data'!G:G,'reasons for reduction division'!B31,'reductions data'!A:A,$E$25)</f>
        <v>0</v>
      </c>
      <c r="F31" s="71">
        <f>COUNTIFS('reductions data'!G:G,'reasons for reduction division'!B31,'reductions data'!A:A,$F$25)</f>
        <v>0</v>
      </c>
      <c r="G31" s="71">
        <f>COUNTIFS('reductions data'!G:G,'reasons for reduction division'!B31,'reductions data'!A:A,$G$25)</f>
        <v>0</v>
      </c>
      <c r="H31" s="71">
        <f>COUNTIFS('reductions data'!G:G,'reasons for reduction division'!B31,'reductions data'!A:A,$H$25)</f>
        <v>0</v>
      </c>
      <c r="I31" s="71">
        <f>COUNTIFS('reductions data'!G:G,'reasons for reduction division'!B31,'reductions data'!A:A,$I$25)</f>
        <v>0</v>
      </c>
      <c r="J31" s="71">
        <f>COUNTIFS('reductions data'!G:G,'reasons for reduction division'!B31,'reductions data'!A:A,$J$25)</f>
        <v>0</v>
      </c>
      <c r="K31" s="71">
        <f>COUNTIFS('reductions data'!G:G,'reasons for reduction division'!B31,'reductions data'!A:A,$K$25)</f>
        <v>0</v>
      </c>
      <c r="L31" s="71">
        <f>COUNTIFS('reductions data'!G:G,'reasons for reduction division'!B31,'reductions data'!A:A,$L$25)</f>
        <v>0</v>
      </c>
      <c r="M31" s="71">
        <f>COUNTIFS('reductions data'!G:G,'reasons for reduction division'!B31,'reductions data'!A:A,$M$25)</f>
        <v>0</v>
      </c>
      <c r="N31" s="71">
        <f>COUNTIFS('reductions data'!G:G,'reasons for reduction division'!B31,'reductions data'!A:A,$N$25)</f>
        <v>0</v>
      </c>
      <c r="O31" s="115">
        <f>COUNTIF('reductions data'!G:G,'reasons for reduction division'!B31)</f>
        <v>0</v>
      </c>
    </row>
    <row r="32" spans="2:15" ht="15" customHeight="1" x14ac:dyDescent="0.15">
      <c r="B32" s="123" t="s">
        <v>970</v>
      </c>
      <c r="C32" s="71">
        <f>COUNTIFS('reductions data'!G:G,'reasons for reduction division'!B32,'reductions data'!A:A,$C$25)</f>
        <v>0</v>
      </c>
      <c r="D32" s="71">
        <f>COUNTIFS('reductions data'!G:G,'reasons for reduction division'!B32,'reductions data'!A:A,$D$25)</f>
        <v>0</v>
      </c>
      <c r="E32" s="71">
        <f>COUNTIFS('reductions data'!G:G,'reasons for reduction division'!B32,'reductions data'!A:A,$E$25)</f>
        <v>0</v>
      </c>
      <c r="F32" s="71">
        <f>COUNTIFS('reductions data'!G:G,'reasons for reduction division'!B32,'reductions data'!A:A,$F$25)</f>
        <v>0</v>
      </c>
      <c r="G32" s="71">
        <f>COUNTIFS('reductions data'!G:G,'reasons for reduction division'!B32,'reductions data'!A:A,$G$25)</f>
        <v>0</v>
      </c>
      <c r="H32" s="71">
        <f>COUNTIFS('reductions data'!G:G,'reasons for reduction division'!B32,'reductions data'!A:A,$H$25)</f>
        <v>0</v>
      </c>
      <c r="I32" s="71">
        <f>COUNTIFS('reductions data'!G:G,'reasons for reduction division'!B32,'reductions data'!A:A,$I$25)</f>
        <v>0</v>
      </c>
      <c r="J32" s="71">
        <f>COUNTIFS('reductions data'!G:G,'reasons for reduction division'!B32,'reductions data'!A:A,$J$25)</f>
        <v>0</v>
      </c>
      <c r="K32" s="71">
        <f>COUNTIFS('reductions data'!G:G,'reasons for reduction division'!B32,'reductions data'!A:A,$K$25)</f>
        <v>0</v>
      </c>
      <c r="L32" s="71">
        <f>COUNTIFS('reductions data'!G:G,'reasons for reduction division'!B32,'reductions data'!A:A,$L$25)</f>
        <v>0</v>
      </c>
      <c r="M32" s="71">
        <f>COUNTIFS('reductions data'!G:G,'reasons for reduction division'!B32,'reductions data'!A:A,$M$25)</f>
        <v>0</v>
      </c>
      <c r="N32" s="71">
        <f>COUNTIFS('reductions data'!G:G,'reasons for reduction division'!B32,'reductions data'!A:A,$N$25)</f>
        <v>0</v>
      </c>
      <c r="O32" s="115">
        <f>COUNTIF('reductions data'!G:G,'reasons for reduction division'!B32)</f>
        <v>0</v>
      </c>
    </row>
    <row r="33" spans="2:15" x14ac:dyDescent="0.15">
      <c r="B33" s="123" t="s">
        <v>985</v>
      </c>
      <c r="C33" s="71">
        <f>COUNTIFS('reductions data'!G:G,'reasons for reduction division'!B33,'reductions data'!A:A,$C$25)</f>
        <v>0</v>
      </c>
      <c r="D33" s="71">
        <f>COUNTIFS('reductions data'!G:G,'reasons for reduction division'!B33,'reductions data'!A:A,$D$25)</f>
        <v>0</v>
      </c>
      <c r="E33" s="71">
        <f>COUNTIFS('reductions data'!G:G,'reasons for reduction division'!B33,'reductions data'!A:A,$E$25)</f>
        <v>0</v>
      </c>
      <c r="F33" s="71">
        <f>COUNTIFS('reductions data'!G:G,'reasons for reduction division'!B33,'reductions data'!A:A,$F$25)</f>
        <v>0</v>
      </c>
      <c r="G33" s="71">
        <f>COUNTIFS('reductions data'!G:G,'reasons for reduction division'!B33,'reductions data'!A:A,$G$25)</f>
        <v>0</v>
      </c>
      <c r="H33" s="71">
        <f>COUNTIFS('reductions data'!G:G,'reasons for reduction division'!B33,'reductions data'!A:A,$H$25)</f>
        <v>0</v>
      </c>
      <c r="I33" s="71">
        <f>COUNTIFS('reductions data'!G:G,'reasons for reduction division'!B33,'reductions data'!A:A,$I$25)</f>
        <v>0</v>
      </c>
      <c r="J33" s="71">
        <f>COUNTIFS('reductions data'!G:G,'reasons for reduction division'!B33,'reductions data'!A:A,$J$25)</f>
        <v>0</v>
      </c>
      <c r="K33" s="71">
        <f>COUNTIFS('reductions data'!G:G,'reasons for reduction division'!B33,'reductions data'!A:A,$K$25)</f>
        <v>0</v>
      </c>
      <c r="L33" s="71">
        <f>COUNTIFS('reductions data'!G:G,'reasons for reduction division'!B33,'reductions data'!A:A,$L$25)</f>
        <v>0</v>
      </c>
      <c r="M33" s="71">
        <f>COUNTIFS('reductions data'!G:G,'reasons for reduction division'!B33,'reductions data'!A:A,$M$25)</f>
        <v>0</v>
      </c>
      <c r="N33" s="71">
        <f>COUNTIFS('reductions data'!G:G,'reasons for reduction division'!B33,'reductions data'!A:A,$N$25)</f>
        <v>0</v>
      </c>
      <c r="O33" s="115">
        <f>COUNTIF('reductions data'!G:G,'reasons for reduction division'!B33)</f>
        <v>0</v>
      </c>
    </row>
    <row r="34" spans="2:15" x14ac:dyDescent="0.15">
      <c r="B34" s="123" t="s">
        <v>958</v>
      </c>
      <c r="C34" s="71">
        <f>COUNTIFS('reductions data'!G:G,'reasons for reduction division'!B34,'reductions data'!A:A,$C$25)</f>
        <v>0</v>
      </c>
      <c r="D34" s="71">
        <f>COUNTIFS('reductions data'!G:G,'reasons for reduction division'!B34,'reductions data'!A:A,$D$25)</f>
        <v>0</v>
      </c>
      <c r="E34" s="71">
        <f>COUNTIFS('reductions data'!G:G,'reasons for reduction division'!B34,'reductions data'!A:A,$E$25)</f>
        <v>0</v>
      </c>
      <c r="F34" s="71">
        <f>COUNTIFS('reductions data'!G:G,'reasons for reduction division'!B34,'reductions data'!A:A,$F$25)</f>
        <v>0</v>
      </c>
      <c r="G34" s="71">
        <f>COUNTIFS('reductions data'!G:G,'reasons for reduction division'!B34,'reductions data'!A:A,$G$25)</f>
        <v>0</v>
      </c>
      <c r="H34" s="71">
        <f>COUNTIFS('reductions data'!G:G,'reasons for reduction division'!B34,'reductions data'!A:A,$H$25)</f>
        <v>0</v>
      </c>
      <c r="I34" s="71">
        <f>COUNTIFS('reductions data'!G:G,'reasons for reduction division'!B34,'reductions data'!A:A,$I$25)</f>
        <v>0</v>
      </c>
      <c r="J34" s="71">
        <f>COUNTIFS('reductions data'!G:G,'reasons for reduction division'!B34,'reductions data'!A:A,$J$25)</f>
        <v>0</v>
      </c>
      <c r="K34" s="71">
        <f>COUNTIFS('reductions data'!G:G,'reasons for reduction division'!B34,'reductions data'!A:A,$K$25)</f>
        <v>0</v>
      </c>
      <c r="L34" s="71">
        <f>COUNTIFS('reductions data'!G:G,'reasons for reduction division'!B34,'reductions data'!A:A,$L$25)</f>
        <v>0</v>
      </c>
      <c r="M34" s="71">
        <f>COUNTIFS('reductions data'!G:G,'reasons for reduction division'!B34,'reductions data'!A:A,$M$25)</f>
        <v>0</v>
      </c>
      <c r="N34" s="71">
        <f>COUNTIFS('reductions data'!G:G,'reasons for reduction division'!B34,'reductions data'!A:A,$N$25)</f>
        <v>0</v>
      </c>
      <c r="O34" s="115">
        <f>COUNTIF('reductions data'!G:G,'reasons for reduction division'!B34)</f>
        <v>0</v>
      </c>
    </row>
    <row r="35" spans="2:15" x14ac:dyDescent="0.15">
      <c r="B35" s="123" t="s">
        <v>949</v>
      </c>
      <c r="C35" s="71">
        <f>COUNTIFS('reductions data'!G:G,'reasons for reduction division'!B35,'reductions data'!A:A,$C$25)</f>
        <v>0</v>
      </c>
      <c r="D35" s="71">
        <f>COUNTIFS('reductions data'!G:G,'reasons for reduction division'!B35,'reductions data'!A:A,$D$25)</f>
        <v>0</v>
      </c>
      <c r="E35" s="71">
        <f>COUNTIFS('reductions data'!G:G,'reasons for reduction division'!B35,'reductions data'!A:A,$E$25)</f>
        <v>0</v>
      </c>
      <c r="F35" s="71">
        <f>COUNTIFS('reductions data'!G:G,'reasons for reduction division'!B35,'reductions data'!A:A,$F$25)</f>
        <v>0</v>
      </c>
      <c r="G35" s="71">
        <f>COUNTIFS('reductions data'!G:G,'reasons for reduction division'!B35,'reductions data'!A:A,$G$25)</f>
        <v>0</v>
      </c>
      <c r="H35" s="71">
        <f>COUNTIFS('reductions data'!G:G,'reasons for reduction division'!B35,'reductions data'!A:A,$H$25)</f>
        <v>0</v>
      </c>
      <c r="I35" s="71">
        <f>COUNTIFS('reductions data'!G:G,'reasons for reduction division'!B35,'reductions data'!A:A,$I$25)</f>
        <v>0</v>
      </c>
      <c r="J35" s="71">
        <f>COUNTIFS('reductions data'!G:G,'reasons for reduction division'!B35,'reductions data'!A:A,$J$25)</f>
        <v>0</v>
      </c>
      <c r="K35" s="71">
        <f>COUNTIFS('reductions data'!G:G,'reasons for reduction division'!B35,'reductions data'!A:A,$K$25)</f>
        <v>0</v>
      </c>
      <c r="L35" s="71">
        <f>COUNTIFS('reductions data'!G:G,'reasons for reduction division'!B35,'reductions data'!A:A,$L$25)</f>
        <v>0</v>
      </c>
      <c r="M35" s="71">
        <f>COUNTIFS('reductions data'!G:G,'reasons for reduction division'!B35,'reductions data'!A:A,$M$25)</f>
        <v>0</v>
      </c>
      <c r="N35" s="71">
        <f>COUNTIFS('reductions data'!G:G,'reasons for reduction division'!B35,'reductions data'!A:A,$N$25)</f>
        <v>0</v>
      </c>
      <c r="O35" s="115">
        <f>COUNTIF('reductions data'!G:G,'reasons for reduction division'!B35)</f>
        <v>0</v>
      </c>
    </row>
    <row r="36" spans="2:15" x14ac:dyDescent="0.15">
      <c r="B36" s="123" t="s">
        <v>974</v>
      </c>
      <c r="C36" s="71">
        <f>COUNTIFS('reductions data'!G:G,'reasons for reduction division'!B36,'reductions data'!A:A,$C$25)</f>
        <v>0</v>
      </c>
      <c r="D36" s="71">
        <f>COUNTIFS('reductions data'!G:G,'reasons for reduction division'!B36,'reductions data'!A:A,$D$25)</f>
        <v>0</v>
      </c>
      <c r="E36" s="71">
        <f>COUNTIFS('reductions data'!G:G,'reasons for reduction division'!B36,'reductions data'!A:A,$E$25)</f>
        <v>0</v>
      </c>
      <c r="F36" s="71">
        <f>COUNTIFS('reductions data'!G:G,'reasons for reduction division'!B36,'reductions data'!A:A,$F$25)</f>
        <v>0</v>
      </c>
      <c r="G36" s="71">
        <f>COUNTIFS('reductions data'!G:G,'reasons for reduction division'!B36,'reductions data'!A:A,$G$25)</f>
        <v>0</v>
      </c>
      <c r="H36" s="71">
        <f>COUNTIFS('reductions data'!G:G,'reasons for reduction division'!B36,'reductions data'!A:A,$H$25)</f>
        <v>0</v>
      </c>
      <c r="I36" s="71">
        <f>COUNTIFS('reductions data'!G:G,'reasons for reduction division'!B36,'reductions data'!A:A,$I$25)</f>
        <v>0</v>
      </c>
      <c r="J36" s="71">
        <f>COUNTIFS('reductions data'!G:G,'reasons for reduction division'!B36,'reductions data'!A:A,$J$25)</f>
        <v>0</v>
      </c>
      <c r="K36" s="71">
        <f>COUNTIFS('reductions data'!G:G,'reasons for reduction division'!B36,'reductions data'!A:A,$K$25)</f>
        <v>0</v>
      </c>
      <c r="L36" s="71">
        <f>COUNTIFS('reductions data'!G:G,'reasons for reduction division'!B36,'reductions data'!A:A,$L$25)</f>
        <v>0</v>
      </c>
      <c r="M36" s="71">
        <f>COUNTIFS('reductions data'!G:G,'reasons for reduction division'!B36,'reductions data'!A:A,$M$25)</f>
        <v>0</v>
      </c>
      <c r="N36" s="71">
        <f>COUNTIFS('reductions data'!G:G,'reasons for reduction division'!B36,'reductions data'!A:A,$N$25)</f>
        <v>0</v>
      </c>
      <c r="O36" s="115">
        <f>COUNTIF('reductions data'!G:G,'reasons for reduction division'!B36)</f>
        <v>0</v>
      </c>
    </row>
    <row r="37" spans="2:15" x14ac:dyDescent="0.15">
      <c r="B37" s="123" t="s">
        <v>950</v>
      </c>
      <c r="C37" s="71">
        <f>COUNTIFS('reductions data'!G:G,'reasons for reduction division'!B37,'reductions data'!A:A,$C$25)</f>
        <v>0</v>
      </c>
      <c r="D37" s="71">
        <f>COUNTIFS('reductions data'!G:G,'reasons for reduction division'!B37,'reductions data'!A:A,$D$25)</f>
        <v>0</v>
      </c>
      <c r="E37" s="71">
        <f>COUNTIFS('reductions data'!G:G,'reasons for reduction division'!B37,'reductions data'!A:A,$E$25)</f>
        <v>0</v>
      </c>
      <c r="F37" s="71">
        <f>COUNTIFS('reductions data'!G:G,'reasons for reduction division'!B37,'reductions data'!A:A,$F$25)</f>
        <v>0</v>
      </c>
      <c r="G37" s="71">
        <f>COUNTIFS('reductions data'!G:G,'reasons for reduction division'!B37,'reductions data'!A:A,$G$25)</f>
        <v>0</v>
      </c>
      <c r="H37" s="71">
        <f>COUNTIFS('reductions data'!G:G,'reasons for reduction division'!B37,'reductions data'!A:A,$H$25)</f>
        <v>0</v>
      </c>
      <c r="I37" s="71">
        <f>COUNTIFS('reductions data'!G:G,'reasons for reduction division'!B37,'reductions data'!A:A,$I$25)</f>
        <v>0</v>
      </c>
      <c r="J37" s="71">
        <f>COUNTIFS('reductions data'!G:G,'reasons for reduction division'!B37,'reductions data'!A:A,$J$25)</f>
        <v>0</v>
      </c>
      <c r="K37" s="71">
        <f>COUNTIFS('reductions data'!G:G,'reasons for reduction division'!B37,'reductions data'!A:A,$K$25)</f>
        <v>0</v>
      </c>
      <c r="L37" s="71">
        <f>COUNTIFS('reductions data'!G:G,'reasons for reduction division'!B37,'reductions data'!A:A,$L$25)</f>
        <v>0</v>
      </c>
      <c r="M37" s="71">
        <f>COUNTIFS('reductions data'!G:G,'reasons for reduction division'!B37,'reductions data'!A:A,$M$25)</f>
        <v>0</v>
      </c>
      <c r="N37" s="71">
        <f>COUNTIFS('reductions data'!G:G,'reasons for reduction division'!B37,'reductions data'!A:A,$N$25)</f>
        <v>0</v>
      </c>
      <c r="O37" s="115">
        <f>COUNTIF('reductions data'!G:G,'reasons for reduction division'!B37)</f>
        <v>0</v>
      </c>
    </row>
    <row r="38" spans="2:15" x14ac:dyDescent="0.15">
      <c r="B38" s="123" t="s">
        <v>960</v>
      </c>
      <c r="C38" s="71">
        <f>COUNTIFS('reductions data'!G:G,'reasons for reduction division'!B38,'reductions data'!A:A,$C$25)</f>
        <v>0</v>
      </c>
      <c r="D38" s="71">
        <f>COUNTIFS('reductions data'!G:G,'reasons for reduction division'!B38,'reductions data'!A:A,$D$25)</f>
        <v>0</v>
      </c>
      <c r="E38" s="71">
        <f>COUNTIFS('reductions data'!G:G,'reasons for reduction division'!B38,'reductions data'!A:A,$E$25)</f>
        <v>0</v>
      </c>
      <c r="F38" s="71">
        <f>COUNTIFS('reductions data'!G:G,'reasons for reduction division'!B38,'reductions data'!A:A,$F$25)</f>
        <v>0</v>
      </c>
      <c r="G38" s="71">
        <f>COUNTIFS('reductions data'!G:G,'reasons for reduction division'!B38,'reductions data'!A:A,$G$25)</f>
        <v>0</v>
      </c>
      <c r="H38" s="71">
        <f>COUNTIFS('reductions data'!G:G,'reasons for reduction division'!B38,'reductions data'!A:A,$H$25)</f>
        <v>0</v>
      </c>
      <c r="I38" s="71">
        <f>COUNTIFS('reductions data'!G:G,'reasons for reduction division'!B38,'reductions data'!A:A,$I$25)</f>
        <v>0</v>
      </c>
      <c r="J38" s="71">
        <f>COUNTIFS('reductions data'!G:G,'reasons for reduction division'!B38,'reductions data'!A:A,$J$25)</f>
        <v>0</v>
      </c>
      <c r="K38" s="71">
        <f>COUNTIFS('reductions data'!G:G,'reasons for reduction division'!B38,'reductions data'!A:A,$K$25)</f>
        <v>0</v>
      </c>
      <c r="L38" s="71">
        <f>COUNTIFS('reductions data'!G:G,'reasons for reduction division'!B38,'reductions data'!A:A,$L$25)</f>
        <v>0</v>
      </c>
      <c r="M38" s="71">
        <f>COUNTIFS('reductions data'!G:G,'reasons for reduction division'!B38,'reductions data'!A:A,$M$25)</f>
        <v>0</v>
      </c>
      <c r="N38" s="71">
        <f>COUNTIFS('reductions data'!G:G,'reasons for reduction division'!B38,'reductions data'!A:A,$N$25)</f>
        <v>0</v>
      </c>
      <c r="O38" s="115">
        <f>COUNTIF('reductions data'!G:G,'reasons for reduction division'!B38)</f>
        <v>0</v>
      </c>
    </row>
    <row r="39" spans="2:15" x14ac:dyDescent="0.15">
      <c r="B39" s="123" t="s">
        <v>986</v>
      </c>
      <c r="C39" s="71">
        <f>COUNTIFS('reductions data'!G:G,'reasons for reduction division'!B39,'reductions data'!A:A,$C$25)</f>
        <v>0</v>
      </c>
      <c r="D39" s="71">
        <f>COUNTIFS('reductions data'!G:G,'reasons for reduction division'!B39,'reductions data'!A:A,$D$25)</f>
        <v>0</v>
      </c>
      <c r="E39" s="71">
        <f>COUNTIFS('reductions data'!G:G,'reasons for reduction division'!B39,'reductions data'!A:A,$E$25)</f>
        <v>0</v>
      </c>
      <c r="F39" s="71">
        <f>COUNTIFS('reductions data'!G:G,'reasons for reduction division'!B39,'reductions data'!A:A,$F$25)</f>
        <v>0</v>
      </c>
      <c r="G39" s="71">
        <f>COUNTIFS('reductions data'!G:G,'reasons for reduction division'!B39,'reductions data'!A:A,$G$25)</f>
        <v>0</v>
      </c>
      <c r="H39" s="71">
        <f>COUNTIFS('reductions data'!G:G,'reasons for reduction division'!B39,'reductions data'!A:A,$H$25)</f>
        <v>0</v>
      </c>
      <c r="I39" s="71">
        <f>COUNTIFS('reductions data'!G:G,'reasons for reduction division'!B39,'reductions data'!A:A,$I$25)</f>
        <v>0</v>
      </c>
      <c r="J39" s="71">
        <f>COUNTIFS('reductions data'!G:G,'reasons for reduction division'!B39,'reductions data'!A:A,$J$25)</f>
        <v>0</v>
      </c>
      <c r="K39" s="71">
        <f>COUNTIFS('reductions data'!G:G,'reasons for reduction division'!B39,'reductions data'!A:A,$K$25)</f>
        <v>0</v>
      </c>
      <c r="L39" s="71">
        <f>COUNTIFS('reductions data'!G:G,'reasons for reduction division'!B39,'reductions data'!A:A,$L$25)</f>
        <v>0</v>
      </c>
      <c r="M39" s="71">
        <f>COUNTIFS('reductions data'!G:G,'reasons for reduction division'!B39,'reductions data'!A:A,$M$25)</f>
        <v>0</v>
      </c>
      <c r="N39" s="71">
        <f>COUNTIFS('reductions data'!G:G,'reasons for reduction division'!B39,'reductions data'!A:A,$N$25)</f>
        <v>0</v>
      </c>
      <c r="O39" s="115">
        <f>COUNTIF('reductions data'!G:G,'reasons for reduction division'!B39)</f>
        <v>0</v>
      </c>
    </row>
    <row r="40" spans="2:15" x14ac:dyDescent="0.15">
      <c r="B40" s="123" t="s">
        <v>1053</v>
      </c>
      <c r="C40" s="71">
        <f>COUNTIFS('reductions data'!G:G,'reasons for reduction division'!B40,'reductions data'!A:A,$C$25)</f>
        <v>0</v>
      </c>
      <c r="D40" s="71">
        <f>COUNTIFS('reductions data'!G:G,'reasons for reduction division'!B40,'reductions data'!A:A,$D$25)</f>
        <v>0</v>
      </c>
      <c r="E40" s="71">
        <f>COUNTIFS('reductions data'!G:G,'reasons for reduction division'!B40,'reductions data'!A:A,$E$25)</f>
        <v>0</v>
      </c>
      <c r="F40" s="71">
        <f>COUNTIFS('reductions data'!G:G,'reasons for reduction division'!B40,'reductions data'!A:A,$F$25)</f>
        <v>0</v>
      </c>
      <c r="G40" s="71">
        <f>COUNTIFS('reductions data'!G:G,'reasons for reduction division'!B40,'reductions data'!A:A,$G$25)</f>
        <v>0</v>
      </c>
      <c r="H40" s="71">
        <f>COUNTIFS('reductions data'!G:G,'reasons for reduction division'!B40,'reductions data'!A:A,$H$25)</f>
        <v>0</v>
      </c>
      <c r="I40" s="71">
        <f>COUNTIFS('reductions data'!G:G,'reasons for reduction division'!B40,'reductions data'!A:A,$I$25)</f>
        <v>0</v>
      </c>
      <c r="J40" s="71">
        <f>COUNTIFS('reductions data'!G:G,'reasons for reduction division'!B40,'reductions data'!A:A,$J$25)</f>
        <v>0</v>
      </c>
      <c r="K40" s="71">
        <f>COUNTIFS('reductions data'!G:G,'reasons for reduction division'!B40,'reductions data'!A:A,$K$25)</f>
        <v>0</v>
      </c>
      <c r="L40" s="71">
        <f>COUNTIFS('reductions data'!G:G,'reasons for reduction division'!B40,'reductions data'!A:A,$L$25)</f>
        <v>0</v>
      </c>
      <c r="M40" s="71">
        <f>COUNTIFS('reductions data'!G:G,'reasons for reduction division'!B40,'reductions data'!A:A,$M$25)</f>
        <v>0</v>
      </c>
      <c r="N40" s="71">
        <f>COUNTIFS('reductions data'!G:G,'reasons for reduction division'!B40,'reductions data'!A:A,$N$25)</f>
        <v>0</v>
      </c>
      <c r="O40" s="115">
        <f>COUNTIF('reductions data'!G:G,'reasons for reduction division'!B40)</f>
        <v>0</v>
      </c>
    </row>
    <row r="41" spans="2:15" x14ac:dyDescent="0.15">
      <c r="B41" s="123" t="s">
        <v>988</v>
      </c>
      <c r="C41" s="71">
        <f>COUNTIFS('reductions data'!G:G,'reasons for reduction division'!B41,'reductions data'!A:A,$C$25)</f>
        <v>0</v>
      </c>
      <c r="D41" s="71">
        <f>COUNTIFS('reductions data'!G:G,'reasons for reduction division'!B41,'reductions data'!A:A,$D$25)</f>
        <v>0</v>
      </c>
      <c r="E41" s="71">
        <f>COUNTIFS('reductions data'!G:G,'reasons for reduction division'!B41,'reductions data'!A:A,$E$25)</f>
        <v>0</v>
      </c>
      <c r="F41" s="71">
        <f>COUNTIFS('reductions data'!G:G,'reasons for reduction division'!B41,'reductions data'!A:A,$F$25)</f>
        <v>0</v>
      </c>
      <c r="G41" s="71">
        <f>COUNTIFS('reductions data'!G:G,'reasons for reduction division'!B41,'reductions data'!A:A,$G$25)</f>
        <v>0</v>
      </c>
      <c r="H41" s="71">
        <f>COUNTIFS('reductions data'!G:G,'reasons for reduction division'!B41,'reductions data'!A:A,$H$25)</f>
        <v>0</v>
      </c>
      <c r="I41" s="71">
        <f>COUNTIFS('reductions data'!G:G,'reasons for reduction division'!B41,'reductions data'!A:A,$I$25)</f>
        <v>0</v>
      </c>
      <c r="J41" s="71">
        <f>COUNTIFS('reductions data'!G:G,'reasons for reduction division'!B41,'reductions data'!A:A,$J$25)</f>
        <v>0</v>
      </c>
      <c r="K41" s="71">
        <f>COUNTIFS('reductions data'!G:G,'reasons for reduction division'!B41,'reductions data'!A:A,$K$25)</f>
        <v>0</v>
      </c>
      <c r="L41" s="71">
        <f>COUNTIFS('reductions data'!G:G,'reasons for reduction division'!B41,'reductions data'!A:A,$L$25)</f>
        <v>0</v>
      </c>
      <c r="M41" s="71">
        <f>COUNTIFS('reductions data'!G:G,'reasons for reduction division'!B41,'reductions data'!A:A,$M$25)</f>
        <v>0</v>
      </c>
      <c r="N41" s="71">
        <f>COUNTIFS('reductions data'!G:G,'reasons for reduction division'!B41,'reductions data'!A:A,$N$25)</f>
        <v>0</v>
      </c>
      <c r="O41" s="115">
        <f>COUNTIF('reductions data'!G:G,'reasons for reduction division'!B41)</f>
        <v>0</v>
      </c>
    </row>
    <row r="42" spans="2:15" x14ac:dyDescent="0.15">
      <c r="B42" s="123" t="s">
        <v>989</v>
      </c>
      <c r="C42" s="71">
        <f>COUNTIFS('reductions data'!G:G,'reasons for reduction division'!B42,'reductions data'!A:A,$C$25)</f>
        <v>0</v>
      </c>
      <c r="D42" s="71">
        <f>COUNTIFS('reductions data'!G:G,'reasons for reduction division'!B42,'reductions data'!A:A,$D$25)</f>
        <v>0</v>
      </c>
      <c r="E42" s="71">
        <f>COUNTIFS('reductions data'!G:G,'reasons for reduction division'!B42,'reductions data'!A:A,$E$25)</f>
        <v>0</v>
      </c>
      <c r="F42" s="71">
        <f>COUNTIFS('reductions data'!G:G,'reasons for reduction division'!B42,'reductions data'!A:A,$F$25)</f>
        <v>0</v>
      </c>
      <c r="G42" s="71">
        <f>COUNTIFS('reductions data'!G:G,'reasons for reduction division'!B42,'reductions data'!A:A,$G$25)</f>
        <v>0</v>
      </c>
      <c r="H42" s="71">
        <f>COUNTIFS('reductions data'!G:G,'reasons for reduction division'!B42,'reductions data'!A:A,$H$25)</f>
        <v>0</v>
      </c>
      <c r="I42" s="71">
        <f>COUNTIFS('reductions data'!G:G,'reasons for reduction division'!B42,'reductions data'!A:A,$I$25)</f>
        <v>0</v>
      </c>
      <c r="J42" s="71">
        <f>COUNTIFS('reductions data'!G:G,'reasons for reduction division'!B42,'reductions data'!A:A,$J$25)</f>
        <v>0</v>
      </c>
      <c r="K42" s="71">
        <f>COUNTIFS('reductions data'!G:G,'reasons for reduction division'!B42,'reductions data'!A:A,$K$25)</f>
        <v>0</v>
      </c>
      <c r="L42" s="71">
        <f>COUNTIFS('reductions data'!G:G,'reasons for reduction division'!B42,'reductions data'!A:A,$L$25)</f>
        <v>0</v>
      </c>
      <c r="M42" s="71">
        <f>COUNTIFS('reductions data'!G:G,'reasons for reduction division'!B42,'reductions data'!A:A,$M$25)</f>
        <v>0</v>
      </c>
      <c r="N42" s="71">
        <f>COUNTIFS('reductions data'!G:G,'reasons for reduction division'!B42,'reductions data'!A:A,$N$25)</f>
        <v>0</v>
      </c>
      <c r="O42" s="115">
        <f>COUNTIF('reductions data'!G:G,'reasons for reduction division'!B42)</f>
        <v>0</v>
      </c>
    </row>
    <row r="43" spans="2:15" x14ac:dyDescent="0.15">
      <c r="B43" s="123" t="s">
        <v>947</v>
      </c>
      <c r="C43" s="71">
        <f>COUNTIFS('reductions data'!G:G,'reasons for reduction division'!B43,'reductions data'!A:A,$C$25)</f>
        <v>0</v>
      </c>
      <c r="D43" s="71">
        <f>COUNTIFS('reductions data'!G:G,'reasons for reduction division'!B43,'reductions data'!A:A,$D$25)</f>
        <v>0</v>
      </c>
      <c r="E43" s="71">
        <f>COUNTIFS('reductions data'!G:G,'reasons for reduction division'!B43,'reductions data'!A:A,$E$25)</f>
        <v>0</v>
      </c>
      <c r="F43" s="71">
        <f>COUNTIFS('reductions data'!G:G,'reasons for reduction division'!B43,'reductions data'!A:A,$F$25)</f>
        <v>0</v>
      </c>
      <c r="G43" s="71">
        <f>COUNTIFS('reductions data'!G:G,'reasons for reduction division'!B43,'reductions data'!A:A,$G$25)</f>
        <v>0</v>
      </c>
      <c r="H43" s="71">
        <f>COUNTIFS('reductions data'!G:G,'reasons for reduction division'!B43,'reductions data'!A:A,$H$25)</f>
        <v>0</v>
      </c>
      <c r="I43" s="71">
        <f>COUNTIFS('reductions data'!G:G,'reasons for reduction division'!B43,'reductions data'!A:A,$I$25)</f>
        <v>0</v>
      </c>
      <c r="J43" s="71">
        <f>COUNTIFS('reductions data'!G:G,'reasons for reduction division'!B43,'reductions data'!A:A,$J$25)</f>
        <v>0</v>
      </c>
      <c r="K43" s="71">
        <f>COUNTIFS('reductions data'!G:G,'reasons for reduction division'!B43,'reductions data'!A:A,$K$25)</f>
        <v>0</v>
      </c>
      <c r="L43" s="71">
        <f>COUNTIFS('reductions data'!G:G,'reasons for reduction division'!B43,'reductions data'!A:A,$L$25)</f>
        <v>0</v>
      </c>
      <c r="M43" s="71">
        <f>COUNTIFS('reductions data'!G:G,'reasons for reduction division'!B43,'reductions data'!A:A,$M$25)</f>
        <v>0</v>
      </c>
      <c r="N43" s="71">
        <f>COUNTIFS('reductions data'!G:G,'reasons for reduction division'!B43,'reductions data'!A:A,$N$25)</f>
        <v>0</v>
      </c>
      <c r="O43" s="115">
        <f>COUNTIF('reductions data'!G:G,'reasons for reduction division'!B43)</f>
        <v>0</v>
      </c>
    </row>
    <row r="44" spans="2:15" x14ac:dyDescent="0.15">
      <c r="B44" s="123" t="s">
        <v>978</v>
      </c>
      <c r="C44" s="71">
        <f>COUNTIFS('reductions data'!G:G,'reasons for reduction division'!B44,'reductions data'!A:A,$C$25)</f>
        <v>0</v>
      </c>
      <c r="D44" s="71">
        <f>COUNTIFS('reductions data'!G:G,'reasons for reduction division'!B44,'reductions data'!A:A,$D$25)</f>
        <v>0</v>
      </c>
      <c r="E44" s="71">
        <f>COUNTIFS('reductions data'!G:G,'reasons for reduction division'!B44,'reductions data'!A:A,$E$25)</f>
        <v>0</v>
      </c>
      <c r="F44" s="71">
        <f>COUNTIFS('reductions data'!G:G,'reasons for reduction division'!B44,'reductions data'!A:A,$F$25)</f>
        <v>0</v>
      </c>
      <c r="G44" s="71">
        <f>COUNTIFS('reductions data'!G:G,'reasons for reduction division'!B44,'reductions data'!A:A,$G$25)</f>
        <v>0</v>
      </c>
      <c r="H44" s="71">
        <f>COUNTIFS('reductions data'!G:G,'reasons for reduction division'!B44,'reductions data'!A:A,$H$25)</f>
        <v>0</v>
      </c>
      <c r="I44" s="71">
        <f>COUNTIFS('reductions data'!G:G,'reasons for reduction division'!B44,'reductions data'!A:A,$I$25)</f>
        <v>0</v>
      </c>
      <c r="J44" s="71">
        <f>COUNTIFS('reductions data'!G:G,'reasons for reduction division'!B44,'reductions data'!A:A,$J$25)</f>
        <v>0</v>
      </c>
      <c r="K44" s="71">
        <f>COUNTIFS('reductions data'!G:G,'reasons for reduction division'!B44,'reductions data'!A:A,$K$25)</f>
        <v>0</v>
      </c>
      <c r="L44" s="71">
        <f>COUNTIFS('reductions data'!G:G,'reasons for reduction division'!B44,'reductions data'!A:A,$L$25)</f>
        <v>0</v>
      </c>
      <c r="M44" s="71">
        <f>COUNTIFS('reductions data'!G:G,'reasons for reduction division'!B44,'reductions data'!A:A,$M$25)</f>
        <v>0</v>
      </c>
      <c r="N44" s="71">
        <f>COUNTIFS('reductions data'!G:G,'reasons for reduction division'!B44,'reductions data'!A:A,$N$25)</f>
        <v>0</v>
      </c>
      <c r="O44" s="115">
        <f>COUNTIF('reductions data'!G:G,'reasons for reduction division'!B44)</f>
        <v>0</v>
      </c>
    </row>
    <row r="45" spans="2:15" x14ac:dyDescent="0.15">
      <c r="B45" s="123" t="s">
        <v>963</v>
      </c>
      <c r="C45" s="71">
        <f>COUNTIFS('reductions data'!G:G,'reasons for reduction division'!B45,'reductions data'!A:A,$C$25)</f>
        <v>0</v>
      </c>
      <c r="D45" s="71">
        <f>COUNTIFS('reductions data'!G:G,'reasons for reduction division'!B45,'reductions data'!A:A,$D$25)</f>
        <v>0</v>
      </c>
      <c r="E45" s="71">
        <f>COUNTIFS('reductions data'!G:G,'reasons for reduction division'!B45,'reductions data'!A:A,$E$25)</f>
        <v>0</v>
      </c>
      <c r="F45" s="71">
        <f>COUNTIFS('reductions data'!G:G,'reasons for reduction division'!B45,'reductions data'!A:A,$F$25)</f>
        <v>0</v>
      </c>
      <c r="G45" s="71">
        <f>COUNTIFS('reductions data'!G:G,'reasons for reduction division'!B45,'reductions data'!A:A,$G$25)</f>
        <v>0</v>
      </c>
      <c r="H45" s="71">
        <f>COUNTIFS('reductions data'!G:G,'reasons for reduction division'!B45,'reductions data'!A:A,$H$25)</f>
        <v>0</v>
      </c>
      <c r="I45" s="71">
        <f>COUNTIFS('reductions data'!G:G,'reasons for reduction division'!B45,'reductions data'!A:A,$I$25)</f>
        <v>0</v>
      </c>
      <c r="J45" s="71">
        <f>COUNTIFS('reductions data'!G:G,'reasons for reduction division'!B45,'reductions data'!A:A,$J$25)</f>
        <v>0</v>
      </c>
      <c r="K45" s="71">
        <f>COUNTIFS('reductions data'!G:G,'reasons for reduction division'!B45,'reductions data'!A:A,$K$25)</f>
        <v>0</v>
      </c>
      <c r="L45" s="71">
        <f>COUNTIFS('reductions data'!G:G,'reasons for reduction division'!B45,'reductions data'!A:A,$L$25)</f>
        <v>0</v>
      </c>
      <c r="M45" s="71">
        <f>COUNTIFS('reductions data'!G:G,'reasons for reduction division'!B45,'reductions data'!A:A,$M$25)</f>
        <v>0</v>
      </c>
      <c r="N45" s="71">
        <f>COUNTIFS('reductions data'!G:G,'reasons for reduction division'!B45,'reductions data'!A:A,$N$25)</f>
        <v>0</v>
      </c>
      <c r="O45" s="115">
        <f>COUNTIF('reductions data'!G:G,'reasons for reduction division'!B45)</f>
        <v>0</v>
      </c>
    </row>
    <row r="46" spans="2:15" x14ac:dyDescent="0.15">
      <c r="B46" s="123" t="s">
        <v>990</v>
      </c>
      <c r="C46" s="71">
        <f>COUNTIFS('reductions data'!G:G,'reasons for reduction division'!B46,'reductions data'!A:A,$C$25)</f>
        <v>0</v>
      </c>
      <c r="D46" s="71">
        <f>COUNTIFS('reductions data'!G:G,'reasons for reduction division'!B46,'reductions data'!A:A,$D$25)</f>
        <v>0</v>
      </c>
      <c r="E46" s="71">
        <f>COUNTIFS('reductions data'!G:G,'reasons for reduction division'!B46,'reductions data'!A:A,$E$25)</f>
        <v>0</v>
      </c>
      <c r="F46" s="71">
        <f>COUNTIFS('reductions data'!G:G,'reasons for reduction division'!B46,'reductions data'!A:A,$F$25)</f>
        <v>0</v>
      </c>
      <c r="G46" s="71">
        <f>COUNTIFS('reductions data'!G:G,'reasons for reduction division'!B46,'reductions data'!A:A,$G$25)</f>
        <v>0</v>
      </c>
      <c r="H46" s="71">
        <f>COUNTIFS('reductions data'!G:G,'reasons for reduction division'!B46,'reductions data'!A:A,$H$25)</f>
        <v>0</v>
      </c>
      <c r="I46" s="71">
        <f>COUNTIFS('reductions data'!G:G,'reasons for reduction division'!B46,'reductions data'!A:A,$I$25)</f>
        <v>0</v>
      </c>
      <c r="J46" s="71">
        <f>COUNTIFS('reductions data'!G:G,'reasons for reduction division'!B46,'reductions data'!A:A,$J$25)</f>
        <v>0</v>
      </c>
      <c r="K46" s="71">
        <f>COUNTIFS('reductions data'!G:G,'reasons for reduction division'!B46,'reductions data'!A:A,$K$25)</f>
        <v>0</v>
      </c>
      <c r="L46" s="71">
        <f>COUNTIFS('reductions data'!G:G,'reasons for reduction division'!B46,'reductions data'!A:A,$L$25)</f>
        <v>0</v>
      </c>
      <c r="M46" s="71">
        <f>COUNTIFS('reductions data'!G:G,'reasons for reduction division'!B46,'reductions data'!A:A,$M$25)</f>
        <v>0</v>
      </c>
      <c r="N46" s="71">
        <f>COUNTIFS('reductions data'!G:G,'reasons for reduction division'!B46,'reductions data'!A:A,$N$25)</f>
        <v>0</v>
      </c>
      <c r="O46" s="115">
        <f>COUNTIF('reductions data'!G:G,'reasons for reduction division'!B46)</f>
        <v>0</v>
      </c>
    </row>
    <row r="47" spans="2:15" x14ac:dyDescent="0.15">
      <c r="B47" s="123" t="s">
        <v>991</v>
      </c>
      <c r="C47" s="71">
        <f>COUNTIFS('reductions data'!G:G,'reasons for reduction division'!B47,'reductions data'!A:A,$C$25)</f>
        <v>0</v>
      </c>
      <c r="D47" s="71">
        <f>COUNTIFS('reductions data'!G:G,'reasons for reduction division'!B47,'reductions data'!A:A,$D$25)</f>
        <v>0</v>
      </c>
      <c r="E47" s="71">
        <f>COUNTIFS('reductions data'!G:G,'reasons for reduction division'!B47,'reductions data'!A:A,$E$25)</f>
        <v>0</v>
      </c>
      <c r="F47" s="71">
        <f>COUNTIFS('reductions data'!G:G,'reasons for reduction division'!B47,'reductions data'!A:A,$F$25)</f>
        <v>0</v>
      </c>
      <c r="G47" s="71">
        <f>COUNTIFS('reductions data'!G:G,'reasons for reduction division'!B47,'reductions data'!A:A,$G$25)</f>
        <v>0</v>
      </c>
      <c r="H47" s="71">
        <f>COUNTIFS('reductions data'!G:G,'reasons for reduction division'!B47,'reductions data'!A:A,$H$25)</f>
        <v>0</v>
      </c>
      <c r="I47" s="71">
        <f>COUNTIFS('reductions data'!G:G,'reasons for reduction division'!B47,'reductions data'!A:A,$I$25)</f>
        <v>0</v>
      </c>
      <c r="J47" s="71">
        <f>COUNTIFS('reductions data'!G:G,'reasons for reduction division'!B47,'reductions data'!A:A,$J$25)</f>
        <v>0</v>
      </c>
      <c r="K47" s="71">
        <f>COUNTIFS('reductions data'!G:G,'reasons for reduction division'!B47,'reductions data'!A:A,$K$25)</f>
        <v>0</v>
      </c>
      <c r="L47" s="71">
        <f>COUNTIFS('reductions data'!G:G,'reasons for reduction division'!B47,'reductions data'!A:A,$L$25)</f>
        <v>0</v>
      </c>
      <c r="M47" s="71">
        <f>COUNTIFS('reductions data'!G:G,'reasons for reduction division'!B47,'reductions data'!A:A,$M$25)</f>
        <v>0</v>
      </c>
      <c r="N47" s="71">
        <f>COUNTIFS('reductions data'!G:G,'reasons for reduction division'!B47,'reductions data'!A:A,$N$25)</f>
        <v>0</v>
      </c>
      <c r="O47" s="115">
        <f>COUNTIF('reductions data'!G:G,'reasons for reduction division'!B47)</f>
        <v>0</v>
      </c>
    </row>
    <row r="48" spans="2:15" x14ac:dyDescent="0.15">
      <c r="B48" s="123" t="s">
        <v>966</v>
      </c>
      <c r="C48" s="71">
        <f>COUNTIFS('reductions data'!G:G,'reasons for reduction division'!B48,'reductions data'!A:A,$C$25)</f>
        <v>0</v>
      </c>
      <c r="D48" s="71">
        <f>COUNTIFS('reductions data'!G:G,'reasons for reduction division'!B48,'reductions data'!A:A,$D$25)</f>
        <v>0</v>
      </c>
      <c r="E48" s="71">
        <f>COUNTIFS('reductions data'!G:G,'reasons for reduction division'!B48,'reductions data'!A:A,$E$25)</f>
        <v>0</v>
      </c>
      <c r="F48" s="71">
        <f>COUNTIFS('reductions data'!G:G,'reasons for reduction division'!B48,'reductions data'!A:A,$F$25)</f>
        <v>0</v>
      </c>
      <c r="G48" s="71">
        <f>COUNTIFS('reductions data'!G:G,'reasons for reduction division'!B48,'reductions data'!A:A,$G$25)</f>
        <v>0</v>
      </c>
      <c r="H48" s="71">
        <f>COUNTIFS('reductions data'!G:G,'reasons for reduction division'!B48,'reductions data'!A:A,$H$25)</f>
        <v>0</v>
      </c>
      <c r="I48" s="71">
        <f>COUNTIFS('reductions data'!G:G,'reasons for reduction division'!B48,'reductions data'!A:A,$I$25)</f>
        <v>0</v>
      </c>
      <c r="J48" s="71">
        <f>COUNTIFS('reductions data'!G:G,'reasons for reduction division'!B48,'reductions data'!A:A,$J$25)</f>
        <v>0</v>
      </c>
      <c r="K48" s="71">
        <f>COUNTIFS('reductions data'!G:G,'reasons for reduction division'!B48,'reductions data'!A:A,$K$25)</f>
        <v>0</v>
      </c>
      <c r="L48" s="71">
        <f>COUNTIFS('reductions data'!G:G,'reasons for reduction division'!B48,'reductions data'!A:A,$L$25)</f>
        <v>0</v>
      </c>
      <c r="M48" s="71">
        <f>COUNTIFS('reductions data'!G:G,'reasons for reduction division'!B48,'reductions data'!A:A,$M$25)</f>
        <v>0</v>
      </c>
      <c r="N48" s="71">
        <f>COUNTIFS('reductions data'!G:G,'reasons for reduction division'!B48,'reductions data'!A:A,$N$25)</f>
        <v>0</v>
      </c>
      <c r="O48" s="115">
        <f>COUNTIF('reductions data'!G:G,'reasons for reduction division'!B48)</f>
        <v>0</v>
      </c>
    </row>
    <row r="49" spans="2:15" x14ac:dyDescent="0.15">
      <c r="B49" s="210" t="s">
        <v>1054</v>
      </c>
      <c r="C49" s="71">
        <f>COUNTIFS('reductions data'!G:G,'reasons for reduction division'!B49,'reductions data'!A:A,$C$25)</f>
        <v>0</v>
      </c>
      <c r="D49" s="71">
        <f>COUNTIFS('reductions data'!G:G,'reasons for reduction division'!B49,'reductions data'!A:A,$D$25)</f>
        <v>0</v>
      </c>
      <c r="E49" s="71">
        <f>COUNTIFS('reductions data'!G:G,'reasons for reduction division'!B49,'reductions data'!A:A,$E$25)</f>
        <v>0</v>
      </c>
      <c r="F49" s="71">
        <f>COUNTIFS('reductions data'!G:G,'reasons for reduction division'!B49,'reductions data'!A:A,$F$25)</f>
        <v>0</v>
      </c>
      <c r="G49" s="71">
        <f>COUNTIFS('reductions data'!G:G,'reasons for reduction division'!B49,'reductions data'!A:A,$G$25)</f>
        <v>0</v>
      </c>
      <c r="H49" s="71">
        <f>COUNTIFS('reductions data'!G:G,'reasons for reduction division'!B49,'reductions data'!A:A,$H$25)</f>
        <v>0</v>
      </c>
      <c r="I49" s="71">
        <f>COUNTIFS('reductions data'!G:G,'reasons for reduction division'!B49,'reductions data'!A:A,$I$25)</f>
        <v>0</v>
      </c>
      <c r="J49" s="71">
        <f>COUNTIFS('reductions data'!G:G,'reasons for reduction division'!B49,'reductions data'!A:A,$J$25)</f>
        <v>0</v>
      </c>
      <c r="K49" s="71">
        <f>COUNTIFS('reductions data'!G:G,'reasons for reduction division'!B49,'reductions data'!A:A,$K$25)</f>
        <v>0</v>
      </c>
      <c r="L49" s="71">
        <f>COUNTIFS('reductions data'!G:G,'reasons for reduction division'!B49,'reductions data'!A:A,$L$25)</f>
        <v>0</v>
      </c>
      <c r="M49" s="71">
        <f>COUNTIFS('reductions data'!G:G,'reasons for reduction division'!B49,'reductions data'!A:A,$M$25)</f>
        <v>0</v>
      </c>
      <c r="N49" s="71">
        <f>COUNTIFS('reductions data'!G:G,'reasons for reduction division'!B49,'reductions data'!A:A,$N$25)</f>
        <v>0</v>
      </c>
      <c r="O49" s="115">
        <f>COUNTIF('reductions data'!G:G,'reasons for reduction division'!B49)</f>
        <v>0</v>
      </c>
    </row>
    <row r="50" spans="2:15" x14ac:dyDescent="0.15">
      <c r="B50" s="123" t="s">
        <v>972</v>
      </c>
      <c r="C50" s="71">
        <f>COUNTIFS('reductions data'!G:G,'reasons for reduction division'!B50,'reductions data'!A:A,$C$25)</f>
        <v>0</v>
      </c>
      <c r="D50" s="71">
        <f>COUNTIFS('reductions data'!G:G,'reasons for reduction division'!B50,'reductions data'!A:A,$D$25)</f>
        <v>0</v>
      </c>
      <c r="E50" s="71">
        <f>COUNTIFS('reductions data'!G:G,'reasons for reduction division'!B50,'reductions data'!A:A,$E$25)</f>
        <v>0</v>
      </c>
      <c r="F50" s="71">
        <f>COUNTIFS('reductions data'!G:G,'reasons for reduction division'!B50,'reductions data'!A:A,$F$25)</f>
        <v>0</v>
      </c>
      <c r="G50" s="71">
        <f>COUNTIFS('reductions data'!G:G,'reasons for reduction division'!B50,'reductions data'!A:A,$G$25)</f>
        <v>0</v>
      </c>
      <c r="H50" s="71">
        <f>COUNTIFS('reductions data'!G:G,'reasons for reduction division'!B50,'reductions data'!A:A,$H$25)</f>
        <v>0</v>
      </c>
      <c r="I50" s="71">
        <f>COUNTIFS('reductions data'!G:G,'reasons for reduction division'!B50,'reductions data'!A:A,$I$25)</f>
        <v>0</v>
      </c>
      <c r="J50" s="71">
        <f>COUNTIFS('reductions data'!G:G,'reasons for reduction division'!B50,'reductions data'!A:A,$J$25)</f>
        <v>0</v>
      </c>
      <c r="K50" s="71">
        <f>COUNTIFS('reductions data'!G:G,'reasons for reduction division'!B50,'reductions data'!A:A,$K$25)</f>
        <v>0</v>
      </c>
      <c r="L50" s="71">
        <f>COUNTIFS('reductions data'!G:G,'reasons for reduction division'!B50,'reductions data'!A:A,$L$25)</f>
        <v>0</v>
      </c>
      <c r="M50" s="71">
        <f>COUNTIFS('reductions data'!G:G,'reasons for reduction division'!B50,'reductions data'!A:A,$M$25)</f>
        <v>0</v>
      </c>
      <c r="N50" s="71">
        <f>COUNTIFS('reductions data'!G:G,'reasons for reduction division'!B50,'reductions data'!A:A,$N$25)</f>
        <v>0</v>
      </c>
      <c r="O50" s="115">
        <f>COUNTIF('reductions data'!G:G,'reasons for reduction division'!B50)</f>
        <v>0</v>
      </c>
    </row>
    <row r="51" spans="2:15" x14ac:dyDescent="0.15">
      <c r="B51" s="123" t="s">
        <v>952</v>
      </c>
      <c r="C51" s="71">
        <f>COUNTIFS('reductions data'!G:G,'reasons for reduction division'!B51,'reductions data'!A:A,$C$25)</f>
        <v>0</v>
      </c>
      <c r="D51" s="71">
        <f>COUNTIFS('reductions data'!G:G,'reasons for reduction division'!B51,'reductions data'!A:A,$D$25)</f>
        <v>0</v>
      </c>
      <c r="E51" s="71">
        <f>COUNTIFS('reductions data'!G:G,'reasons for reduction division'!B51,'reductions data'!A:A,$E$25)</f>
        <v>0</v>
      </c>
      <c r="F51" s="71">
        <f>COUNTIFS('reductions data'!G:G,'reasons for reduction division'!B51,'reductions data'!A:A,$F$25)</f>
        <v>0</v>
      </c>
      <c r="G51" s="71">
        <f>COUNTIFS('reductions data'!G:G,'reasons for reduction division'!B51,'reductions data'!A:A,$G$25)</f>
        <v>0</v>
      </c>
      <c r="H51" s="71">
        <f>COUNTIFS('reductions data'!G:G,'reasons for reduction division'!B51,'reductions data'!A:A,$H$25)</f>
        <v>0</v>
      </c>
      <c r="I51" s="71">
        <f>COUNTIFS('reductions data'!G:G,'reasons for reduction division'!B51,'reductions data'!A:A,$I$25)</f>
        <v>0</v>
      </c>
      <c r="J51" s="71">
        <f>COUNTIFS('reductions data'!G:G,'reasons for reduction division'!B51,'reductions data'!A:A,$J$25)</f>
        <v>0</v>
      </c>
      <c r="K51" s="71">
        <f>COUNTIFS('reductions data'!G:G,'reasons for reduction division'!B51,'reductions data'!A:A,$K$25)</f>
        <v>0</v>
      </c>
      <c r="L51" s="71">
        <f>COUNTIFS('reductions data'!G:G,'reasons for reduction division'!B51,'reductions data'!A:A,$L$25)</f>
        <v>0</v>
      </c>
      <c r="M51" s="71">
        <f>COUNTIFS('reductions data'!G:G,'reasons for reduction division'!B51,'reductions data'!A:A,$M$25)</f>
        <v>0</v>
      </c>
      <c r="N51" s="71">
        <f>COUNTIFS('reductions data'!G:G,'reasons for reduction division'!B51,'reductions data'!A:A,$N$25)</f>
        <v>0</v>
      </c>
      <c r="O51" s="115">
        <f>COUNTIF('reductions data'!G:G,'reasons for reduction division'!B51)</f>
        <v>0</v>
      </c>
    </row>
    <row r="52" spans="2:15" x14ac:dyDescent="0.15">
      <c r="B52" s="123" t="s">
        <v>953</v>
      </c>
      <c r="C52" s="71">
        <f>COUNTIFS('reductions data'!G:G,'reasons for reduction division'!B52,'reductions data'!A:A,$C$25)</f>
        <v>0</v>
      </c>
      <c r="D52" s="71">
        <f>COUNTIFS('reductions data'!G:G,'reasons for reduction division'!B52,'reductions data'!A:A,$D$25)</f>
        <v>0</v>
      </c>
      <c r="E52" s="71">
        <f>COUNTIFS('reductions data'!G:G,'reasons for reduction division'!B52,'reductions data'!A:A,$E$25)</f>
        <v>0</v>
      </c>
      <c r="F52" s="71">
        <f>COUNTIFS('reductions data'!G:G,'reasons for reduction division'!B52,'reductions data'!A:A,$F$25)</f>
        <v>0</v>
      </c>
      <c r="G52" s="71">
        <f>COUNTIFS('reductions data'!G:G,'reasons for reduction division'!B52,'reductions data'!A:A,$G$25)</f>
        <v>0</v>
      </c>
      <c r="H52" s="71">
        <f>COUNTIFS('reductions data'!G:G,'reasons for reduction division'!B52,'reductions data'!A:A,$H$25)</f>
        <v>0</v>
      </c>
      <c r="I52" s="71">
        <f>COUNTIFS('reductions data'!G:G,'reasons for reduction division'!B52,'reductions data'!A:A,$I$25)</f>
        <v>0</v>
      </c>
      <c r="J52" s="71">
        <f>COUNTIFS('reductions data'!G:G,'reasons for reduction division'!B52,'reductions data'!A:A,$J$25)</f>
        <v>0</v>
      </c>
      <c r="K52" s="71">
        <f>COUNTIFS('reductions data'!G:G,'reasons for reduction division'!B52,'reductions data'!A:A,$K$25)</f>
        <v>0</v>
      </c>
      <c r="L52" s="71">
        <f>COUNTIFS('reductions data'!G:G,'reasons for reduction division'!B52,'reductions data'!A:A,$L$25)</f>
        <v>0</v>
      </c>
      <c r="M52" s="71">
        <f>COUNTIFS('reductions data'!G:G,'reasons for reduction division'!B52,'reductions data'!A:A,$M$25)</f>
        <v>0</v>
      </c>
      <c r="N52" s="71">
        <f>COUNTIFS('reductions data'!G:G,'reasons for reduction division'!B52,'reductions data'!A:A,$N$25)</f>
        <v>0</v>
      </c>
      <c r="O52" s="115">
        <f>COUNTIF('reductions data'!G:G,'reasons for reduction division'!B52)</f>
        <v>0</v>
      </c>
    </row>
    <row r="53" spans="2:15" x14ac:dyDescent="0.15">
      <c r="B53" s="123" t="s">
        <v>959</v>
      </c>
      <c r="C53" s="71">
        <f>COUNTIFS('reductions data'!G:G,'reasons for reduction division'!B53,'reductions data'!A:A,$C$25)</f>
        <v>0</v>
      </c>
      <c r="D53" s="71">
        <f>COUNTIFS('reductions data'!G:G,'reasons for reduction division'!B53,'reductions data'!A:A,$D$25)</f>
        <v>0</v>
      </c>
      <c r="E53" s="71">
        <f>COUNTIFS('reductions data'!G:G,'reasons for reduction division'!B53,'reductions data'!A:A,$E$25)</f>
        <v>0</v>
      </c>
      <c r="F53" s="71">
        <f>COUNTIFS('reductions data'!G:G,'reasons for reduction division'!B53,'reductions data'!A:A,$F$25)</f>
        <v>0</v>
      </c>
      <c r="G53" s="71">
        <f>COUNTIFS('reductions data'!G:G,'reasons for reduction division'!B53,'reductions data'!A:A,$G$25)</f>
        <v>0</v>
      </c>
      <c r="H53" s="71">
        <f>COUNTIFS('reductions data'!G:G,'reasons for reduction division'!B53,'reductions data'!A:A,$H$25)</f>
        <v>0</v>
      </c>
      <c r="I53" s="71">
        <f>COUNTIFS('reductions data'!G:G,'reasons for reduction division'!B53,'reductions data'!A:A,$I$25)</f>
        <v>0</v>
      </c>
      <c r="J53" s="71">
        <f>COUNTIFS('reductions data'!G:G,'reasons for reduction division'!B53,'reductions data'!A:A,$J$25)</f>
        <v>0</v>
      </c>
      <c r="K53" s="71">
        <f>COUNTIFS('reductions data'!G:G,'reasons for reduction division'!B53,'reductions data'!A:A,$K$25)</f>
        <v>0</v>
      </c>
      <c r="L53" s="71">
        <f>COUNTIFS('reductions data'!G:G,'reasons for reduction division'!B53,'reductions data'!A:A,$L$25)</f>
        <v>0</v>
      </c>
      <c r="M53" s="71">
        <f>COUNTIFS('reductions data'!G:G,'reasons for reduction division'!B53,'reductions data'!A:A,$M$25)</f>
        <v>0</v>
      </c>
      <c r="N53" s="71">
        <f>COUNTIFS('reductions data'!G:G,'reasons for reduction division'!B53,'reductions data'!A:A,$N$25)</f>
        <v>0</v>
      </c>
      <c r="O53" s="115">
        <f>COUNTIF('reductions data'!G:G,'reasons for reduction division'!B53)</f>
        <v>0</v>
      </c>
    </row>
    <row r="54" spans="2:15" x14ac:dyDescent="0.15">
      <c r="B54" s="123" t="s">
        <v>955</v>
      </c>
      <c r="C54" s="71">
        <f>COUNTIFS('reductions data'!G:G,'reasons for reduction division'!B54,'reductions data'!A:A,$C$25)</f>
        <v>0</v>
      </c>
      <c r="D54" s="71">
        <f>COUNTIFS('reductions data'!G:G,'reasons for reduction division'!B54,'reductions data'!A:A,$D$25)</f>
        <v>0</v>
      </c>
      <c r="E54" s="71">
        <f>COUNTIFS('reductions data'!G:G,'reasons for reduction division'!B54,'reductions data'!A:A,$E$25)</f>
        <v>0</v>
      </c>
      <c r="F54" s="71">
        <f>COUNTIFS('reductions data'!G:G,'reasons for reduction division'!B54,'reductions data'!A:A,$F$25)</f>
        <v>0</v>
      </c>
      <c r="G54" s="71">
        <f>COUNTIFS('reductions data'!G:G,'reasons for reduction division'!B54,'reductions data'!A:A,$G$25)</f>
        <v>0</v>
      </c>
      <c r="H54" s="71">
        <f>COUNTIFS('reductions data'!G:G,'reasons for reduction division'!B54,'reductions data'!A:A,$H$25)</f>
        <v>0</v>
      </c>
      <c r="I54" s="71">
        <f>COUNTIFS('reductions data'!G:G,'reasons for reduction division'!B54,'reductions data'!A:A,$I$25)</f>
        <v>0</v>
      </c>
      <c r="J54" s="71">
        <f>COUNTIFS('reductions data'!G:G,'reasons for reduction division'!B54,'reductions data'!A:A,$J$25)</f>
        <v>0</v>
      </c>
      <c r="K54" s="71">
        <f>COUNTIFS('reductions data'!G:G,'reasons for reduction division'!B54,'reductions data'!A:A,$K$25)</f>
        <v>0</v>
      </c>
      <c r="L54" s="71">
        <f>COUNTIFS('reductions data'!G:G,'reasons for reduction division'!B54,'reductions data'!A:A,$L$25)</f>
        <v>0</v>
      </c>
      <c r="M54" s="71">
        <f>COUNTIFS('reductions data'!G:G,'reasons for reduction division'!B54,'reductions data'!A:A,$M$25)</f>
        <v>0</v>
      </c>
      <c r="N54" s="71">
        <f>COUNTIFS('reductions data'!G:G,'reasons for reduction division'!B54,'reductions data'!A:A,$N$25)</f>
        <v>0</v>
      </c>
      <c r="O54" s="115">
        <f>COUNTIF('reductions data'!G:G,'reasons for reduction division'!B54)</f>
        <v>0</v>
      </c>
    </row>
    <row r="55" spans="2:15" x14ac:dyDescent="0.15">
      <c r="B55" s="123" t="s">
        <v>956</v>
      </c>
      <c r="C55" s="71">
        <f>COUNTIFS('reductions data'!G:G,'reasons for reduction division'!B55,'reductions data'!A:A,$C$25)</f>
        <v>0</v>
      </c>
      <c r="D55" s="71">
        <f>COUNTIFS('reductions data'!G:G,'reasons for reduction division'!B55,'reductions data'!A:A,$D$25)</f>
        <v>0</v>
      </c>
      <c r="E55" s="71">
        <f>COUNTIFS('reductions data'!G:G,'reasons for reduction division'!B55,'reductions data'!A:A,$E$25)</f>
        <v>0</v>
      </c>
      <c r="F55" s="71">
        <f>COUNTIFS('reductions data'!G:G,'reasons for reduction division'!B55,'reductions data'!A:A,$F$25)</f>
        <v>0</v>
      </c>
      <c r="G55" s="71">
        <f>COUNTIFS('reductions data'!G:G,'reasons for reduction division'!B55,'reductions data'!A:A,$G$25)</f>
        <v>0</v>
      </c>
      <c r="H55" s="71">
        <f>COUNTIFS('reductions data'!G:G,'reasons for reduction division'!B55,'reductions data'!A:A,$H$25)</f>
        <v>0</v>
      </c>
      <c r="I55" s="71">
        <f>COUNTIFS('reductions data'!G:G,'reasons for reduction division'!B55,'reductions data'!A:A,$I$25)</f>
        <v>0</v>
      </c>
      <c r="J55" s="71">
        <f>COUNTIFS('reductions data'!G:G,'reasons for reduction division'!B55,'reductions data'!A:A,$J$25)</f>
        <v>0</v>
      </c>
      <c r="K55" s="71">
        <f>COUNTIFS('reductions data'!G:G,'reasons for reduction division'!B55,'reductions data'!A:A,$K$25)</f>
        <v>0</v>
      </c>
      <c r="L55" s="71">
        <f>COUNTIFS('reductions data'!G:G,'reasons for reduction division'!B55,'reductions data'!A:A,$L$25)</f>
        <v>0</v>
      </c>
      <c r="M55" s="71">
        <f>COUNTIFS('reductions data'!G:G,'reasons for reduction division'!B55,'reductions data'!A:A,$M$25)</f>
        <v>0</v>
      </c>
      <c r="N55" s="71">
        <f>COUNTIFS('reductions data'!G:G,'reasons for reduction division'!B55,'reductions data'!A:A,$N$25)</f>
        <v>0</v>
      </c>
      <c r="O55" s="115">
        <f>COUNTIF('reductions data'!G:G,'reasons for reduction division'!B55)</f>
        <v>0</v>
      </c>
    </row>
    <row r="56" spans="2:15" x14ac:dyDescent="0.15">
      <c r="B56" s="123" t="s">
        <v>948</v>
      </c>
      <c r="C56" s="71">
        <f>COUNTIFS('reductions data'!G:G,'reasons for reduction division'!B56,'reductions data'!A:A,$C$25)</f>
        <v>0</v>
      </c>
      <c r="D56" s="71">
        <f>COUNTIFS('reductions data'!G:G,'reasons for reduction division'!B56,'reductions data'!A:A,$D$25)</f>
        <v>0</v>
      </c>
      <c r="E56" s="71">
        <f>COUNTIFS('reductions data'!G:G,'reasons for reduction division'!B56,'reductions data'!A:A,$E$25)</f>
        <v>0</v>
      </c>
      <c r="F56" s="71">
        <f>COUNTIFS('reductions data'!G:G,'reasons for reduction division'!B56,'reductions data'!A:A,$F$25)</f>
        <v>0</v>
      </c>
      <c r="G56" s="71">
        <f>COUNTIFS('reductions data'!G:G,'reasons for reduction division'!B56,'reductions data'!A:A,$G$25)</f>
        <v>0</v>
      </c>
      <c r="H56" s="71">
        <f>COUNTIFS('reductions data'!G:G,'reasons for reduction division'!B56,'reductions data'!A:A,$H$25)</f>
        <v>0</v>
      </c>
      <c r="I56" s="71">
        <f>COUNTIFS('reductions data'!G:G,'reasons for reduction division'!B56,'reductions data'!A:A,$I$25)</f>
        <v>0</v>
      </c>
      <c r="J56" s="71">
        <f>COUNTIFS('reductions data'!G:G,'reasons for reduction division'!B56,'reductions data'!A:A,$J$25)</f>
        <v>0</v>
      </c>
      <c r="K56" s="71">
        <f>COUNTIFS('reductions data'!G:G,'reasons for reduction division'!B56,'reductions data'!A:A,$K$25)</f>
        <v>0</v>
      </c>
      <c r="L56" s="71">
        <f>COUNTIFS('reductions data'!G:G,'reasons for reduction division'!B56,'reductions data'!A:A,$L$25)</f>
        <v>0</v>
      </c>
      <c r="M56" s="71">
        <f>COUNTIFS('reductions data'!G:G,'reasons for reduction division'!B56,'reductions data'!A:A,$M$25)</f>
        <v>0</v>
      </c>
      <c r="N56" s="71">
        <f>COUNTIFS('reductions data'!G:G,'reasons for reduction division'!B56,'reductions data'!A:A,$N$25)</f>
        <v>0</v>
      </c>
      <c r="O56" s="115">
        <f>COUNTIF('reductions data'!G:G,'reasons for reduction division'!B56)</f>
        <v>0</v>
      </c>
    </row>
    <row r="57" spans="2:15" x14ac:dyDescent="0.15">
      <c r="B57" s="123" t="s">
        <v>954</v>
      </c>
      <c r="C57" s="71">
        <f>COUNTIFS('reductions data'!G:G,'reasons for reduction division'!B57,'reductions data'!A:A,$C$25)</f>
        <v>0</v>
      </c>
      <c r="D57" s="71">
        <f>COUNTIFS('reductions data'!G:G,'reasons for reduction division'!B57,'reductions data'!A:A,$D$25)</f>
        <v>0</v>
      </c>
      <c r="E57" s="71">
        <f>COUNTIFS('reductions data'!G:G,'reasons for reduction division'!B57,'reductions data'!A:A,$E$25)</f>
        <v>0</v>
      </c>
      <c r="F57" s="71">
        <f>COUNTIFS('reductions data'!G:G,'reasons for reduction division'!B57,'reductions data'!A:A,$F$25)</f>
        <v>0</v>
      </c>
      <c r="G57" s="71">
        <f>COUNTIFS('reductions data'!G:G,'reasons for reduction division'!B57,'reductions data'!A:A,$G$25)</f>
        <v>0</v>
      </c>
      <c r="H57" s="71">
        <f>COUNTIFS('reductions data'!G:G,'reasons for reduction division'!B57,'reductions data'!A:A,$H$25)</f>
        <v>0</v>
      </c>
      <c r="I57" s="71">
        <f>COUNTIFS('reductions data'!G:G,'reasons for reduction division'!B57,'reductions data'!A:A,$I$25)</f>
        <v>0</v>
      </c>
      <c r="J57" s="71">
        <f>COUNTIFS('reductions data'!G:G,'reasons for reduction division'!B57,'reductions data'!A:A,$J$25)</f>
        <v>0</v>
      </c>
      <c r="K57" s="71">
        <f>COUNTIFS('reductions data'!G:G,'reasons for reduction division'!B57,'reductions data'!A:A,$K$25)</f>
        <v>0</v>
      </c>
      <c r="L57" s="71">
        <f>COUNTIFS('reductions data'!G:G,'reasons for reduction division'!B57,'reductions data'!A:A,$L$25)</f>
        <v>0</v>
      </c>
      <c r="M57" s="71">
        <f>COUNTIFS('reductions data'!G:G,'reasons for reduction division'!B57,'reductions data'!A:A,$M$25)</f>
        <v>0</v>
      </c>
      <c r="N57" s="71">
        <f>COUNTIFS('reductions data'!G:G,'reasons for reduction division'!B57,'reductions data'!A:A,$N$25)</f>
        <v>0</v>
      </c>
      <c r="O57" s="115">
        <f>COUNTIF('reductions data'!G:G,'reasons for reduction division'!B57)</f>
        <v>0</v>
      </c>
    </row>
    <row r="58" spans="2:15" x14ac:dyDescent="0.15">
      <c r="B58" s="123" t="s">
        <v>973</v>
      </c>
      <c r="C58" s="71">
        <f>COUNTIFS('reductions data'!G:G,'reasons for reduction division'!B58,'reductions data'!A:A,$C$25)</f>
        <v>0</v>
      </c>
      <c r="D58" s="71">
        <f>COUNTIFS('reductions data'!G:G,'reasons for reduction division'!B58,'reductions data'!A:A,$D$25)</f>
        <v>0</v>
      </c>
      <c r="E58" s="71">
        <f>COUNTIFS('reductions data'!G:G,'reasons for reduction division'!B58,'reductions data'!A:A,$E$25)</f>
        <v>0</v>
      </c>
      <c r="F58" s="71">
        <f>COUNTIFS('reductions data'!G:G,'reasons for reduction division'!B58,'reductions data'!A:A,$F$25)</f>
        <v>0</v>
      </c>
      <c r="G58" s="71">
        <f>COUNTIFS('reductions data'!G:G,'reasons for reduction division'!B58,'reductions data'!A:A,$G$25)</f>
        <v>0</v>
      </c>
      <c r="H58" s="71">
        <f>COUNTIFS('reductions data'!G:G,'reasons for reduction division'!B58,'reductions data'!A:A,$H$25)</f>
        <v>0</v>
      </c>
      <c r="I58" s="71">
        <f>COUNTIFS('reductions data'!G:G,'reasons for reduction division'!B58,'reductions data'!A:A,$I$25)</f>
        <v>0</v>
      </c>
      <c r="J58" s="71">
        <f>COUNTIFS('reductions data'!G:G,'reasons for reduction division'!B58,'reductions data'!A:A,$J$25)</f>
        <v>0</v>
      </c>
      <c r="K58" s="71">
        <f>COUNTIFS('reductions data'!G:G,'reasons for reduction division'!B58,'reductions data'!A:A,$K$25)</f>
        <v>0</v>
      </c>
      <c r="L58" s="71">
        <f>COUNTIFS('reductions data'!G:G,'reasons for reduction division'!B58,'reductions data'!A:A,$L$25)</f>
        <v>0</v>
      </c>
      <c r="M58" s="71">
        <f>COUNTIFS('reductions data'!G:G,'reasons for reduction division'!B58,'reductions data'!A:A,$M$25)</f>
        <v>0</v>
      </c>
      <c r="N58" s="71">
        <f>COUNTIFS('reductions data'!G:G,'reasons for reduction division'!B58,'reductions data'!A:A,$N$25)</f>
        <v>0</v>
      </c>
      <c r="O58" s="115">
        <f>COUNTIF('reductions data'!G:G,'reasons for reduction division'!B58)</f>
        <v>0</v>
      </c>
    </row>
    <row r="59" spans="2:15" x14ac:dyDescent="0.15">
      <c r="B59" s="123" t="s">
        <v>965</v>
      </c>
      <c r="C59" s="71">
        <f>COUNTIFS('reductions data'!G:G,'reasons for reduction division'!B59,'reductions data'!A:A,$C$25)</f>
        <v>0</v>
      </c>
      <c r="D59" s="71">
        <f>COUNTIFS('reductions data'!G:G,'reasons for reduction division'!B59,'reductions data'!A:A,$D$25)</f>
        <v>0</v>
      </c>
      <c r="E59" s="71">
        <f>COUNTIFS('reductions data'!G:G,'reasons for reduction division'!B59,'reductions data'!A:A,$E$25)</f>
        <v>0</v>
      </c>
      <c r="F59" s="71">
        <f>COUNTIFS('reductions data'!G:G,'reasons for reduction division'!B59,'reductions data'!A:A,$F$25)</f>
        <v>0</v>
      </c>
      <c r="G59" s="71">
        <f>COUNTIFS('reductions data'!G:G,'reasons for reduction division'!B59,'reductions data'!A:A,$G$25)</f>
        <v>0</v>
      </c>
      <c r="H59" s="71">
        <f>COUNTIFS('reductions data'!G:G,'reasons for reduction division'!B59,'reductions data'!A:A,$H$25)</f>
        <v>0</v>
      </c>
      <c r="I59" s="71">
        <f>COUNTIFS('reductions data'!G:G,'reasons for reduction division'!B59,'reductions data'!A:A,$I$25)</f>
        <v>0</v>
      </c>
      <c r="J59" s="71">
        <f>COUNTIFS('reductions data'!G:G,'reasons for reduction division'!B59,'reductions data'!A:A,$J$25)</f>
        <v>0</v>
      </c>
      <c r="K59" s="71">
        <f>COUNTIFS('reductions data'!G:G,'reasons for reduction division'!B59,'reductions data'!A:A,$K$25)</f>
        <v>0</v>
      </c>
      <c r="L59" s="71">
        <f>COUNTIFS('reductions data'!G:G,'reasons for reduction division'!B59,'reductions data'!A:A,$L$25)</f>
        <v>0</v>
      </c>
      <c r="M59" s="71">
        <f>COUNTIFS('reductions data'!G:G,'reasons for reduction division'!B59,'reductions data'!A:A,$M$25)</f>
        <v>0</v>
      </c>
      <c r="N59" s="71">
        <f>COUNTIFS('reductions data'!G:G,'reasons for reduction division'!B59,'reductions data'!A:A,$N$25)</f>
        <v>0</v>
      </c>
      <c r="O59" s="115">
        <f>COUNTIF('reductions data'!G:G,'reasons for reduction division'!B59)</f>
        <v>0</v>
      </c>
    </row>
    <row r="60" spans="2:15" x14ac:dyDescent="0.15">
      <c r="B60" s="123" t="s">
        <v>976</v>
      </c>
      <c r="C60" s="71">
        <f>COUNTIFS('reductions data'!G:G,'reasons for reduction division'!B60,'reductions data'!A:A,$C$25)</f>
        <v>0</v>
      </c>
      <c r="D60" s="71">
        <f>COUNTIFS('reductions data'!G:G,'reasons for reduction division'!B60,'reductions data'!A:A,$D$25)</f>
        <v>0</v>
      </c>
      <c r="E60" s="71">
        <f>COUNTIFS('reductions data'!G:G,'reasons for reduction division'!B60,'reductions data'!A:A,$E$25)</f>
        <v>0</v>
      </c>
      <c r="F60" s="71">
        <f>COUNTIFS('reductions data'!G:G,'reasons for reduction division'!B60,'reductions data'!A:A,$F$25)</f>
        <v>0</v>
      </c>
      <c r="G60" s="71">
        <f>COUNTIFS('reductions data'!G:G,'reasons for reduction division'!B60,'reductions data'!A:A,$G$25)</f>
        <v>0</v>
      </c>
      <c r="H60" s="71">
        <f>COUNTIFS('reductions data'!G:G,'reasons for reduction division'!B60,'reductions data'!A:A,$H$25)</f>
        <v>0</v>
      </c>
      <c r="I60" s="71">
        <f>COUNTIFS('reductions data'!G:G,'reasons for reduction division'!B60,'reductions data'!A:A,$I$25)</f>
        <v>0</v>
      </c>
      <c r="J60" s="71">
        <f>COUNTIFS('reductions data'!G:G,'reasons for reduction division'!B60,'reductions data'!A:A,$J$25)</f>
        <v>0</v>
      </c>
      <c r="K60" s="71">
        <f>COUNTIFS('reductions data'!G:G,'reasons for reduction division'!B60,'reductions data'!A:A,$K$25)</f>
        <v>0</v>
      </c>
      <c r="L60" s="71">
        <f>COUNTIFS('reductions data'!G:G,'reasons for reduction division'!B60,'reductions data'!A:A,$L$25)</f>
        <v>0</v>
      </c>
      <c r="M60" s="71">
        <f>COUNTIFS('reductions data'!G:G,'reasons for reduction division'!B60,'reductions data'!A:A,$M$25)</f>
        <v>0</v>
      </c>
      <c r="N60" s="71">
        <f>COUNTIFS('reductions data'!G:G,'reasons for reduction division'!B60,'reductions data'!A:A,$N$25)</f>
        <v>0</v>
      </c>
      <c r="O60" s="115">
        <f>COUNTIF('reductions data'!G:G,'reasons for reduction division'!B60)</f>
        <v>0</v>
      </c>
    </row>
    <row r="61" spans="2:15" x14ac:dyDescent="0.15">
      <c r="B61" s="123" t="s">
        <v>977</v>
      </c>
      <c r="C61" s="71">
        <f>COUNTIFS('reductions data'!G:G,'reasons for reduction division'!B61,'reductions data'!A:A,$C$25)</f>
        <v>0</v>
      </c>
      <c r="D61" s="71">
        <f>COUNTIFS('reductions data'!G:G,'reasons for reduction division'!B61,'reductions data'!A:A,$D$25)</f>
        <v>0</v>
      </c>
      <c r="E61" s="71">
        <f>COUNTIFS('reductions data'!G:G,'reasons for reduction division'!B61,'reductions data'!A:A,$E$25)</f>
        <v>0</v>
      </c>
      <c r="F61" s="71">
        <f>COUNTIFS('reductions data'!G:G,'reasons for reduction division'!B61,'reductions data'!A:A,$F$25)</f>
        <v>0</v>
      </c>
      <c r="G61" s="71">
        <f>COUNTIFS('reductions data'!G:G,'reasons for reduction division'!B61,'reductions data'!A:A,$G$25)</f>
        <v>0</v>
      </c>
      <c r="H61" s="71">
        <f>COUNTIFS('reductions data'!G:G,'reasons for reduction division'!B61,'reductions data'!A:A,$H$25)</f>
        <v>0</v>
      </c>
      <c r="I61" s="71">
        <f>COUNTIFS('reductions data'!G:G,'reasons for reduction division'!B61,'reductions data'!A:A,$I$25)</f>
        <v>0</v>
      </c>
      <c r="J61" s="71">
        <f>COUNTIFS('reductions data'!G:G,'reasons for reduction division'!B61,'reductions data'!A:A,$J$25)</f>
        <v>0</v>
      </c>
      <c r="K61" s="71">
        <f>COUNTIFS('reductions data'!G:G,'reasons for reduction division'!B61,'reductions data'!A:A,$K$25)</f>
        <v>0</v>
      </c>
      <c r="L61" s="71">
        <f>COUNTIFS('reductions data'!G:G,'reasons for reduction division'!B61,'reductions data'!A:A,$L$25)</f>
        <v>0</v>
      </c>
      <c r="M61" s="71">
        <f>COUNTIFS('reductions data'!G:G,'reasons for reduction division'!B61,'reductions data'!A:A,$M$25)</f>
        <v>0</v>
      </c>
      <c r="N61" s="71">
        <f>COUNTIFS('reductions data'!G:G,'reasons for reduction division'!B61,'reductions data'!A:A,$N$25)</f>
        <v>0</v>
      </c>
      <c r="O61" s="115">
        <f>COUNTIF('reductions data'!G:G,'reasons for reduction division'!B61)</f>
        <v>0</v>
      </c>
    </row>
    <row r="62" spans="2:15" x14ac:dyDescent="0.15">
      <c r="B62" s="123" t="s">
        <v>961</v>
      </c>
      <c r="C62" s="71">
        <f>COUNTIFS('reductions data'!G:G,'reasons for reduction division'!B62,'reductions data'!A:A,$C$25)</f>
        <v>0</v>
      </c>
      <c r="D62" s="71">
        <f>COUNTIFS('reductions data'!G:G,'reasons for reduction division'!B62,'reductions data'!A:A,$D$25)</f>
        <v>0</v>
      </c>
      <c r="E62" s="71">
        <f>COUNTIFS('reductions data'!G:G,'reasons for reduction division'!B62,'reductions data'!A:A,$E$25)</f>
        <v>0</v>
      </c>
      <c r="F62" s="71">
        <f>COUNTIFS('reductions data'!G:G,'reasons for reduction division'!B62,'reductions data'!A:A,$F$25)</f>
        <v>0</v>
      </c>
      <c r="G62" s="71">
        <f>COUNTIFS('reductions data'!G:G,'reasons for reduction division'!B62,'reductions data'!A:A,$G$25)</f>
        <v>0</v>
      </c>
      <c r="H62" s="71">
        <f>COUNTIFS('reductions data'!G:G,'reasons for reduction division'!B62,'reductions data'!A:A,$H$25)</f>
        <v>0</v>
      </c>
      <c r="I62" s="71">
        <f>COUNTIFS('reductions data'!G:G,'reasons for reduction division'!B62,'reductions data'!A:A,$I$25)</f>
        <v>0</v>
      </c>
      <c r="J62" s="71">
        <f>COUNTIFS('reductions data'!G:G,'reasons for reduction division'!B62,'reductions data'!A:A,$J$25)</f>
        <v>0</v>
      </c>
      <c r="K62" s="71">
        <f>COUNTIFS('reductions data'!G:G,'reasons for reduction division'!B62,'reductions data'!A:A,$K$25)</f>
        <v>0</v>
      </c>
      <c r="L62" s="71">
        <f>COUNTIFS('reductions data'!G:G,'reasons for reduction division'!B62,'reductions data'!A:A,$L$25)</f>
        <v>0</v>
      </c>
      <c r="M62" s="71">
        <f>COUNTIFS('reductions data'!G:G,'reasons for reduction division'!B62,'reductions data'!A:A,$M$25)</f>
        <v>0</v>
      </c>
      <c r="N62" s="71">
        <f>COUNTIFS('reductions data'!G:G,'reasons for reduction division'!B62,'reductions data'!A:A,$N$25)</f>
        <v>0</v>
      </c>
      <c r="O62" s="115">
        <f>COUNTIF('reductions data'!G:G,'reasons for reduction division'!B62)</f>
        <v>0</v>
      </c>
    </row>
    <row r="63" spans="2:15" x14ac:dyDescent="0.15">
      <c r="B63" s="123" t="s">
        <v>994</v>
      </c>
      <c r="C63" s="71">
        <f>COUNTIFS('reductions data'!G:G,'reasons for reduction division'!B63,'reductions data'!A:A,$C$25)</f>
        <v>0</v>
      </c>
      <c r="D63" s="71">
        <f>COUNTIFS('reductions data'!G:G,'reasons for reduction division'!B63,'reductions data'!A:A,$D$25)</f>
        <v>0</v>
      </c>
      <c r="E63" s="71">
        <f>COUNTIFS('reductions data'!G:G,'reasons for reduction division'!B63,'reductions data'!A:A,$E$25)</f>
        <v>0</v>
      </c>
      <c r="F63" s="71">
        <f>COUNTIFS('reductions data'!G:G,'reasons for reduction division'!B63,'reductions data'!A:A,$F$25)</f>
        <v>0</v>
      </c>
      <c r="G63" s="71">
        <f>COUNTIFS('reductions data'!G:G,'reasons for reduction division'!B63,'reductions data'!A:A,$G$25)</f>
        <v>0</v>
      </c>
      <c r="H63" s="71">
        <f>COUNTIFS('reductions data'!G:G,'reasons for reduction division'!B63,'reductions data'!A:A,$H$25)</f>
        <v>0</v>
      </c>
      <c r="I63" s="71">
        <f>COUNTIFS('reductions data'!G:G,'reasons for reduction division'!B63,'reductions data'!A:A,$I$25)</f>
        <v>0</v>
      </c>
      <c r="J63" s="71">
        <f>COUNTIFS('reductions data'!G:G,'reasons for reduction division'!B63,'reductions data'!A:A,$J$25)</f>
        <v>0</v>
      </c>
      <c r="K63" s="71">
        <f>COUNTIFS('reductions data'!G:G,'reasons for reduction division'!B63,'reductions data'!A:A,$K$25)</f>
        <v>0</v>
      </c>
      <c r="L63" s="71">
        <f>COUNTIFS('reductions data'!G:G,'reasons for reduction division'!B63,'reductions data'!A:A,$L$25)</f>
        <v>0</v>
      </c>
      <c r="M63" s="71">
        <f>COUNTIFS('reductions data'!G:G,'reasons for reduction division'!B63,'reductions data'!A:A,$M$25)</f>
        <v>0</v>
      </c>
      <c r="N63" s="71">
        <f>COUNTIFS('reductions data'!G:G,'reasons for reduction division'!B63,'reductions data'!A:A,$N$25)</f>
        <v>0</v>
      </c>
      <c r="O63" s="115">
        <f>COUNTIF('reductions data'!G:G,'reasons for reduction division'!B63)</f>
        <v>0</v>
      </c>
    </row>
    <row r="64" spans="2:15" x14ac:dyDescent="0.15">
      <c r="B64" s="123" t="s">
        <v>946</v>
      </c>
      <c r="C64" s="71">
        <f>COUNTIFS('reductions data'!G:G,'reasons for reduction division'!B64,'reductions data'!A:A,$C$25)</f>
        <v>0</v>
      </c>
      <c r="D64" s="71">
        <f>COUNTIFS('reductions data'!G:G,'reasons for reduction division'!B64,'reductions data'!A:A,$D$25)</f>
        <v>0</v>
      </c>
      <c r="E64" s="71">
        <f>COUNTIFS('reductions data'!G:G,'reasons for reduction division'!B64,'reductions data'!A:A,$E$25)</f>
        <v>0</v>
      </c>
      <c r="F64" s="71">
        <f>COUNTIFS('reductions data'!G:G,'reasons for reduction division'!B64,'reductions data'!A:A,$F$25)</f>
        <v>0</v>
      </c>
      <c r="G64" s="71">
        <f>COUNTIFS('reductions data'!G:G,'reasons for reduction division'!B64,'reductions data'!A:A,$G$25)</f>
        <v>0</v>
      </c>
      <c r="H64" s="71">
        <f>COUNTIFS('reductions data'!G:G,'reasons for reduction division'!B64,'reductions data'!A:A,$H$25)</f>
        <v>0</v>
      </c>
      <c r="I64" s="71">
        <f>COUNTIFS('reductions data'!G:G,'reasons for reduction division'!B64,'reductions data'!A:A,$I$25)</f>
        <v>0</v>
      </c>
      <c r="J64" s="71">
        <f>COUNTIFS('reductions data'!G:G,'reasons for reduction division'!B64,'reductions data'!A:A,$J$25)</f>
        <v>0</v>
      </c>
      <c r="K64" s="71">
        <f>COUNTIFS('reductions data'!G:G,'reasons for reduction division'!B64,'reductions data'!A:A,$K$25)</f>
        <v>0</v>
      </c>
      <c r="L64" s="71">
        <f>COUNTIFS('reductions data'!G:G,'reasons for reduction division'!B64,'reductions data'!A:A,$L$25)</f>
        <v>0</v>
      </c>
      <c r="M64" s="71">
        <f>COUNTIFS('reductions data'!G:G,'reasons for reduction division'!B64,'reductions data'!A:A,$M$25)</f>
        <v>0</v>
      </c>
      <c r="N64" s="71">
        <f>COUNTIFS('reductions data'!G:G,'reasons for reduction division'!B64,'reductions data'!A:A,$N$25)</f>
        <v>0</v>
      </c>
      <c r="O64" s="115">
        <f>COUNTIF('reductions data'!G:G,'reasons for reduction division'!B64)</f>
        <v>0</v>
      </c>
    </row>
    <row r="65" spans="2:15" x14ac:dyDescent="0.15">
      <c r="B65" s="123" t="s">
        <v>969</v>
      </c>
      <c r="C65" s="71">
        <f>COUNTIFS('reductions data'!G:G,'reasons for reduction division'!B65,'reductions data'!A:A,$C$25)</f>
        <v>0</v>
      </c>
      <c r="D65" s="71">
        <f>COUNTIFS('reductions data'!G:G,'reasons for reduction division'!B65,'reductions data'!A:A,$D$25)</f>
        <v>0</v>
      </c>
      <c r="E65" s="71">
        <f>COUNTIFS('reductions data'!G:G,'reasons for reduction division'!B65,'reductions data'!A:A,$E$25)</f>
        <v>0</v>
      </c>
      <c r="F65" s="71">
        <f>COUNTIFS('reductions data'!G:G,'reasons for reduction division'!B65,'reductions data'!A:A,$F$25)</f>
        <v>0</v>
      </c>
      <c r="G65" s="71">
        <f>COUNTIFS('reductions data'!G:G,'reasons for reduction division'!B65,'reductions data'!A:A,$G$25)</f>
        <v>0</v>
      </c>
      <c r="H65" s="71">
        <f>COUNTIFS('reductions data'!G:G,'reasons for reduction division'!B65,'reductions data'!A:A,$H$25)</f>
        <v>0</v>
      </c>
      <c r="I65" s="71">
        <f>COUNTIFS('reductions data'!G:G,'reasons for reduction division'!B65,'reductions data'!A:A,$I$25)</f>
        <v>0</v>
      </c>
      <c r="J65" s="71">
        <f>COUNTIFS('reductions data'!G:G,'reasons for reduction division'!B65,'reductions data'!A:A,$J$25)</f>
        <v>0</v>
      </c>
      <c r="K65" s="71">
        <f>COUNTIFS('reductions data'!G:G,'reasons for reduction division'!B65,'reductions data'!A:A,$K$25)</f>
        <v>0</v>
      </c>
      <c r="L65" s="71">
        <f>COUNTIFS('reductions data'!G:G,'reasons for reduction division'!B65,'reductions data'!A:A,$L$25)</f>
        <v>0</v>
      </c>
      <c r="M65" s="71">
        <f>COUNTIFS('reductions data'!G:G,'reasons for reduction division'!B65,'reductions data'!A:A,$M$25)</f>
        <v>0</v>
      </c>
      <c r="N65" s="71">
        <f>COUNTIFS('reductions data'!G:G,'reasons for reduction division'!B65,'reductions data'!A:A,$N$25)</f>
        <v>0</v>
      </c>
      <c r="O65" s="115">
        <f>COUNTIF('reductions data'!G:G,'reasons for reduction division'!B65)</f>
        <v>0</v>
      </c>
    </row>
    <row r="66" spans="2:15" x14ac:dyDescent="0.15">
      <c r="B66" s="252" t="s">
        <v>967</v>
      </c>
      <c r="C66" s="71">
        <f>COUNTIFS('reductions data'!G:G,'reasons for reduction division'!B66,'reductions data'!A:A,$C$25)</f>
        <v>0</v>
      </c>
      <c r="D66" s="71">
        <f>COUNTIFS('reductions data'!G:G,'reasons for reduction division'!B66,'reductions data'!A:A,$D$25)</f>
        <v>0</v>
      </c>
      <c r="E66" s="71">
        <f>COUNTIFS('reductions data'!G:G,'reasons for reduction division'!B66,'reductions data'!A:A,$E$25)</f>
        <v>0</v>
      </c>
      <c r="F66" s="71">
        <f>COUNTIFS('reductions data'!G:G,'reasons for reduction division'!B66,'reductions data'!A:A,$F$25)</f>
        <v>0</v>
      </c>
      <c r="G66" s="71">
        <f>COUNTIFS('reductions data'!G:G,'reasons for reduction division'!B66,'reductions data'!A:A,$G$25)</f>
        <v>0</v>
      </c>
      <c r="H66" s="71">
        <f>COUNTIFS('reductions data'!G:G,'reasons for reduction division'!B66,'reductions data'!A:A,$H$25)</f>
        <v>0</v>
      </c>
      <c r="I66" s="71">
        <f>COUNTIFS('reductions data'!G:G,'reasons for reduction division'!B66,'reductions data'!A:A,$I$25)</f>
        <v>0</v>
      </c>
      <c r="J66" s="71">
        <f>COUNTIFS('reductions data'!G:G,'reasons for reduction division'!B66,'reductions data'!A:A,$J$25)</f>
        <v>0</v>
      </c>
      <c r="K66" s="71">
        <f>COUNTIFS('reductions data'!G:G,'reasons for reduction division'!B66,'reductions data'!A:A,$K$25)</f>
        <v>0</v>
      </c>
      <c r="L66" s="71">
        <f>COUNTIFS('reductions data'!G:G,'reasons for reduction division'!B66,'reductions data'!A:A,$L$25)</f>
        <v>0</v>
      </c>
      <c r="M66" s="71">
        <f>COUNTIFS('reductions data'!G:G,'reasons for reduction division'!B66,'reductions data'!A:A,$M$25)</f>
        <v>0</v>
      </c>
      <c r="N66" s="71">
        <f>COUNTIFS('reductions data'!G:G,'reasons for reduction division'!B66,'reductions data'!A:A,$N$25)</f>
        <v>0</v>
      </c>
      <c r="O66" s="115">
        <f>COUNTIF('reductions data'!G:G,'reasons for reduction division'!B66)</f>
        <v>0</v>
      </c>
    </row>
    <row r="67" spans="2:15" x14ac:dyDescent="0.15">
      <c r="B67" s="123" t="s">
        <v>971</v>
      </c>
      <c r="C67" s="71">
        <f>COUNTIFS('reductions data'!G:G,'reasons for reduction division'!B67,'reductions data'!A:A,$C$25)</f>
        <v>0</v>
      </c>
      <c r="D67" s="71">
        <f>COUNTIFS('reductions data'!G:G,'reasons for reduction division'!B67,'reductions data'!A:A,$D$25)</f>
        <v>0</v>
      </c>
      <c r="E67" s="71">
        <f>COUNTIFS('reductions data'!G:G,'reasons for reduction division'!B67,'reductions data'!A:A,$E$25)</f>
        <v>0</v>
      </c>
      <c r="F67" s="71">
        <f>COUNTIFS('reductions data'!G:G,'reasons for reduction division'!B67,'reductions data'!A:A,$F$25)</f>
        <v>0</v>
      </c>
      <c r="G67" s="71">
        <f>COUNTIFS('reductions data'!G:G,'reasons for reduction division'!B67,'reductions data'!A:A,$G$25)</f>
        <v>0</v>
      </c>
      <c r="H67" s="71">
        <f>COUNTIFS('reductions data'!G:G,'reasons for reduction division'!B67,'reductions data'!A:A,$H$25)</f>
        <v>0</v>
      </c>
      <c r="I67" s="71">
        <f>COUNTIFS('reductions data'!G:G,'reasons for reduction division'!B67,'reductions data'!A:A,$I$25)</f>
        <v>0</v>
      </c>
      <c r="J67" s="71">
        <f>COUNTIFS('reductions data'!G:G,'reasons for reduction division'!B67,'reductions data'!A:A,$J$25)</f>
        <v>0</v>
      </c>
      <c r="K67" s="71">
        <f>COUNTIFS('reductions data'!G:G,'reasons for reduction division'!B67,'reductions data'!A:A,$K$25)</f>
        <v>0</v>
      </c>
      <c r="L67" s="71">
        <f>COUNTIFS('reductions data'!G:G,'reasons for reduction division'!B67,'reductions data'!A:A,$L$25)</f>
        <v>0</v>
      </c>
      <c r="M67" s="71">
        <f>COUNTIFS('reductions data'!G:G,'reasons for reduction division'!B67,'reductions data'!A:A,$M$25)</f>
        <v>0</v>
      </c>
      <c r="N67" s="71">
        <f>COUNTIFS('reductions data'!G:G,'reasons for reduction division'!B67,'reductions data'!A:A,$N$25)</f>
        <v>0</v>
      </c>
      <c r="O67" s="115">
        <f>COUNTIF('reductions data'!G:G,'reasons for reduction division'!B67)</f>
        <v>0</v>
      </c>
    </row>
    <row r="68" spans="2:15" x14ac:dyDescent="0.15">
      <c r="B68" s="195" t="s">
        <v>1113</v>
      </c>
      <c r="C68" s="196">
        <f>COUNTIF('reductions data'!A:A,$C$25)</f>
        <v>0</v>
      </c>
      <c r="D68" s="196">
        <f>COUNTIF('reductions data'!A:A,$D$25)</f>
        <v>0</v>
      </c>
      <c r="E68" s="196">
        <f>COUNTIF('reductions data'!A:A,$E$25)</f>
        <v>0</v>
      </c>
      <c r="F68" s="196">
        <f>COUNTIF('reductions data'!A:A,$F$25)</f>
        <v>0</v>
      </c>
      <c r="G68" s="196">
        <f>COUNTIF('reductions data'!A:A,$G$25)</f>
        <v>0</v>
      </c>
      <c r="H68" s="196">
        <f>COUNTIF('reductions data'!A:A,$H$25)</f>
        <v>0</v>
      </c>
      <c r="I68" s="196">
        <f>COUNTIF('reductions data'!A:A,$I$25)</f>
        <v>0</v>
      </c>
      <c r="J68" s="196">
        <f>COUNTIF('reductions data'!A:A,$J$25)</f>
        <v>0</v>
      </c>
      <c r="K68" s="196">
        <f>COUNTIF('reductions data'!A:A,$K$25)</f>
        <v>0</v>
      </c>
      <c r="L68" s="196">
        <f>COUNTIF('reductions data'!A:A,$L$25)</f>
        <v>0</v>
      </c>
      <c r="M68" s="196">
        <f>COUNTIF('reductions data'!A:A,$M$25)</f>
        <v>0</v>
      </c>
      <c r="N68" s="196">
        <f>COUNTIF('reductions data'!$A:$A,N$25)</f>
        <v>0</v>
      </c>
      <c r="O68" s="115">
        <f>COUNTIF('reductions data'!K:K,"ACTIVE")</f>
        <v>0</v>
      </c>
    </row>
    <row r="71" spans="2:15" ht="16" x14ac:dyDescent="0.2">
      <c r="C71" s="400" t="s">
        <v>1215</v>
      </c>
      <c r="D71" s="400"/>
      <c r="E71" s="400"/>
      <c r="F71" s="400"/>
      <c r="G71" s="400"/>
      <c r="H71" s="400"/>
      <c r="I71" s="400"/>
      <c r="J71" s="400"/>
      <c r="K71" s="400"/>
      <c r="L71" s="400"/>
      <c r="M71" s="400"/>
      <c r="N71" s="400"/>
      <c r="O71" s="400"/>
    </row>
    <row r="72" spans="2:15" ht="34.5" customHeight="1" x14ac:dyDescent="0.15">
      <c r="B72" s="85" t="s">
        <v>980</v>
      </c>
      <c r="C72" s="85" t="s">
        <v>20</v>
      </c>
      <c r="D72" s="85" t="s">
        <v>21</v>
      </c>
      <c r="E72" s="85" t="s">
        <v>22</v>
      </c>
      <c r="F72" s="85" t="s">
        <v>23</v>
      </c>
      <c r="G72" s="85" t="s">
        <v>24</v>
      </c>
      <c r="H72" s="85" t="s">
        <v>25</v>
      </c>
      <c r="I72" s="85" t="s">
        <v>26</v>
      </c>
      <c r="J72" s="85" t="s">
        <v>27</v>
      </c>
      <c r="K72" s="85" t="s">
        <v>28</v>
      </c>
      <c r="L72" s="85" t="s">
        <v>29</v>
      </c>
      <c r="M72" s="85" t="s">
        <v>30</v>
      </c>
      <c r="N72" s="85" t="s">
        <v>31</v>
      </c>
      <c r="O72" s="85" t="s">
        <v>1113</v>
      </c>
    </row>
    <row r="73" spans="2:15" x14ac:dyDescent="0.15">
      <c r="B73" s="122" t="s">
        <v>983</v>
      </c>
      <c r="C73" s="71">
        <f>SUMIFS('reductions data'!H:H,'reductions data'!G:G,'reasons for reduction division'!B73,'reductions data'!A:A,$C$72)</f>
        <v>0</v>
      </c>
      <c r="D73" s="71">
        <f>SUMIFS('reductions data'!H:H,'reductions data'!G:G,'reasons for reduction division'!B73,'reductions data'!A:A,$D$72)</f>
        <v>0</v>
      </c>
      <c r="E73" s="71">
        <f>SUMIFS('reductions data'!H:H,'reductions data'!G:G,'reasons for reduction division'!B73,'reductions data'!A:A,$E$72)</f>
        <v>0</v>
      </c>
      <c r="F73" s="71">
        <f>SUMIFS('reductions data'!H:H,'reductions data'!G:G,'reasons for reduction division'!B73,'reductions data'!A:A,$F$72)</f>
        <v>0</v>
      </c>
      <c r="G73" s="71">
        <f>SUMIFS('reductions data'!H:H,'reductions data'!G:G,'reasons for reduction division'!B73,'reductions data'!A:A,$G$72)</f>
        <v>0</v>
      </c>
      <c r="H73" s="71">
        <f>SUMIFS('reductions data'!H:H,'reductions data'!G:G,'reasons for reduction division'!B73,'reductions data'!A:A,$H$72)</f>
        <v>0</v>
      </c>
      <c r="I73" s="71">
        <f>SUMIFS('reductions data'!H:H,'reductions data'!G:G,'reasons for reduction division'!B73,'reductions data'!A:A,$I$72)</f>
        <v>0</v>
      </c>
      <c r="J73" s="71">
        <f>SUMIFS('reductions data'!H:H,'reductions data'!G:G,'reasons for reduction division'!B73,'reductions data'!A:A,$J$72)</f>
        <v>0</v>
      </c>
      <c r="K73" s="71">
        <f>SUMIFS('reductions data'!H:H,'reductions data'!G:G,'reasons for reduction division'!B73,'reductions data'!A:A,$K$72)</f>
        <v>0</v>
      </c>
      <c r="L73" s="71">
        <f>SUMIFS('reductions data'!H:H,'reductions data'!G:G,'reasons for reduction division'!B73,'reductions data'!A:A,$L$72)</f>
        <v>0</v>
      </c>
      <c r="M73" s="71">
        <f>SUMIFS('reductions data'!H:H,'reductions data'!G:G,'reasons for reduction division'!B73,'reductions data'!A:A,$M$72)</f>
        <v>0</v>
      </c>
      <c r="N73" s="71">
        <f>SUMIFS('reductions data'!H:H,'reductions data'!G:G,'reasons for reduction division'!B73,'reductions data'!A:A,$N$72)</f>
        <v>0</v>
      </c>
      <c r="O73" s="115">
        <f>SUMIF('reductions data'!G:G,'reasons for reduction division'!B73,'reductions data'!H:H)</f>
        <v>0</v>
      </c>
    </row>
    <row r="74" spans="2:15" x14ac:dyDescent="0.15">
      <c r="B74" s="123" t="s">
        <v>964</v>
      </c>
      <c r="C74" s="71">
        <f>SUMIFS('reductions data'!H:H,'reductions data'!G:G,'reasons for reduction division'!B74,'reductions data'!A:A,$C$72)</f>
        <v>0</v>
      </c>
      <c r="D74" s="71">
        <f>SUMIFS('reductions data'!H:H,'reductions data'!G:G,'reasons for reduction division'!B74,'reductions data'!A:A,$D$72)</f>
        <v>0</v>
      </c>
      <c r="E74" s="71">
        <f>SUMIFS('reductions data'!H:H,'reductions data'!G:G,'reasons for reduction division'!B74,'reductions data'!A:A,$E$72)</f>
        <v>0</v>
      </c>
      <c r="F74" s="71">
        <f>SUMIFS('reductions data'!H:H,'reductions data'!G:G,'reasons for reduction division'!B74,'reductions data'!A:A,$F$72)</f>
        <v>0</v>
      </c>
      <c r="G74" s="71">
        <f>SUMIFS('reductions data'!H:H,'reductions data'!G:G,'reasons for reduction division'!B74,'reductions data'!A:A,$G$72)</f>
        <v>0</v>
      </c>
      <c r="H74" s="71">
        <f>SUMIFS('reductions data'!H:H,'reductions data'!G:G,'reasons for reduction division'!B74,'reductions data'!A:A,$H$72)</f>
        <v>0</v>
      </c>
      <c r="I74" s="71">
        <f>SUMIFS('reductions data'!H:H,'reductions data'!G:G,'reasons for reduction division'!B74,'reductions data'!A:A,$I$72)</f>
        <v>0</v>
      </c>
      <c r="J74" s="71">
        <f>SUMIFS('reductions data'!H:H,'reductions data'!G:G,'reasons for reduction division'!B74,'reductions data'!A:A,$J$72)</f>
        <v>0</v>
      </c>
      <c r="K74" s="71">
        <f>SUMIFS('reductions data'!H:H,'reductions data'!G:G,'reasons for reduction division'!B74,'reductions data'!A:A,$K$72)</f>
        <v>0</v>
      </c>
      <c r="L74" s="71">
        <f>SUMIFS('reductions data'!H:H,'reductions data'!G:G,'reasons for reduction division'!B74,'reductions data'!A:A,$L$72)</f>
        <v>0</v>
      </c>
      <c r="M74" s="71">
        <f>SUMIFS('reductions data'!H:H,'reductions data'!G:G,'reasons for reduction division'!B74,'reductions data'!A:A,$M$72)</f>
        <v>0</v>
      </c>
      <c r="N74" s="71">
        <f>SUMIFS('reductions data'!H:H,'reductions data'!G:G,'reasons for reduction division'!B74,'reductions data'!A:A,$N$72)</f>
        <v>0</v>
      </c>
      <c r="O74" s="115">
        <f>SUMIF('reductions data'!G:G,'reasons for reduction division'!B74,'reductions data'!H:H)</f>
        <v>0</v>
      </c>
    </row>
    <row r="75" spans="2:15" x14ac:dyDescent="0.15">
      <c r="B75" s="123" t="s">
        <v>962</v>
      </c>
      <c r="C75" s="71">
        <f>SUMIFS('reductions data'!H:H,'reductions data'!G:G,'reasons for reduction division'!B75,'reductions data'!A:A,$C$72)</f>
        <v>0</v>
      </c>
      <c r="D75" s="71">
        <f>SUMIFS('reductions data'!H:H,'reductions data'!G:G,'reasons for reduction division'!B75,'reductions data'!A:A,$D$72)</f>
        <v>0</v>
      </c>
      <c r="E75" s="71">
        <f>SUMIFS('reductions data'!H:H,'reductions data'!G:G,'reasons for reduction division'!B75,'reductions data'!A:A,$E$72)</f>
        <v>0</v>
      </c>
      <c r="F75" s="71">
        <f>SUMIFS('reductions data'!H:H,'reductions data'!G:G,'reasons for reduction division'!B75,'reductions data'!A:A,$F$72)</f>
        <v>0</v>
      </c>
      <c r="G75" s="71">
        <f>SUMIFS('reductions data'!H:H,'reductions data'!G:G,'reasons for reduction division'!B75,'reductions data'!A:A,$G$72)</f>
        <v>0</v>
      </c>
      <c r="H75" s="71">
        <f>SUMIFS('reductions data'!H:H,'reductions data'!G:G,'reasons for reduction division'!B75,'reductions data'!A:A,$H$72)</f>
        <v>0</v>
      </c>
      <c r="I75" s="71">
        <f>SUMIFS('reductions data'!H:H,'reductions data'!G:G,'reasons for reduction division'!B75,'reductions data'!A:A,$I$72)</f>
        <v>0</v>
      </c>
      <c r="J75" s="71">
        <f>SUMIFS('reductions data'!H:H,'reductions data'!G:G,'reasons for reduction division'!B75,'reductions data'!A:A,$J$72)</f>
        <v>0</v>
      </c>
      <c r="K75" s="71">
        <f>SUMIFS('reductions data'!H:H,'reductions data'!G:G,'reasons for reduction division'!B75,'reductions data'!A:A,$K$72)</f>
        <v>0</v>
      </c>
      <c r="L75" s="71">
        <f>SUMIFS('reductions data'!H:H,'reductions data'!G:G,'reasons for reduction division'!B75,'reductions data'!A:A,$L$72)</f>
        <v>0</v>
      </c>
      <c r="M75" s="71">
        <f>SUMIFS('reductions data'!H:H,'reductions data'!G:G,'reasons for reduction division'!B75,'reductions data'!A:A,$M$72)</f>
        <v>0</v>
      </c>
      <c r="N75" s="71">
        <f>SUMIFS('reductions data'!H:H,'reductions data'!G:G,'reasons for reduction division'!B75,'reductions data'!A:A,$N$72)</f>
        <v>0</v>
      </c>
      <c r="O75" s="115">
        <f>SUMIF('reductions data'!G:G,'reasons for reduction division'!B75,'reductions data'!H:H)</f>
        <v>0</v>
      </c>
    </row>
    <row r="76" spans="2:15" x14ac:dyDescent="0.15">
      <c r="B76" s="123" t="s">
        <v>957</v>
      </c>
      <c r="C76" s="71">
        <f>SUMIFS('reductions data'!H:H,'reductions data'!G:G,'reasons for reduction division'!B76,'reductions data'!A:A,$C$72)</f>
        <v>0</v>
      </c>
      <c r="D76" s="71">
        <f>SUMIFS('reductions data'!H:H,'reductions data'!G:G,'reasons for reduction division'!B76,'reductions data'!A:A,$D$72)</f>
        <v>0</v>
      </c>
      <c r="E76" s="71">
        <f>SUMIFS('reductions data'!H:H,'reductions data'!G:G,'reasons for reduction division'!B76,'reductions data'!A:A,$E$72)</f>
        <v>0</v>
      </c>
      <c r="F76" s="71">
        <f>SUMIFS('reductions data'!H:H,'reductions data'!G:G,'reasons for reduction division'!B76,'reductions data'!A:A,$F$72)</f>
        <v>0</v>
      </c>
      <c r="G76" s="71">
        <f>SUMIFS('reductions data'!H:H,'reductions data'!G:G,'reasons for reduction division'!B76,'reductions data'!A:A,$G$72)</f>
        <v>0</v>
      </c>
      <c r="H76" s="71">
        <f>SUMIFS('reductions data'!H:H,'reductions data'!G:G,'reasons for reduction division'!B76,'reductions data'!A:A,$H$72)</f>
        <v>0</v>
      </c>
      <c r="I76" s="71">
        <f>SUMIFS('reductions data'!H:H,'reductions data'!G:G,'reasons for reduction division'!B76,'reductions data'!A:A,$I$72)</f>
        <v>0</v>
      </c>
      <c r="J76" s="71">
        <f>SUMIFS('reductions data'!H:H,'reductions data'!G:G,'reasons for reduction division'!B76,'reductions data'!A:A,$J$72)</f>
        <v>0</v>
      </c>
      <c r="K76" s="71">
        <f>SUMIFS('reductions data'!H:H,'reductions data'!G:G,'reasons for reduction division'!B76,'reductions data'!A:A,$K$72)</f>
        <v>0</v>
      </c>
      <c r="L76" s="71">
        <f>SUMIFS('reductions data'!H:H,'reductions data'!G:G,'reasons for reduction division'!B76,'reductions data'!A:A,$L$72)</f>
        <v>0</v>
      </c>
      <c r="M76" s="71">
        <f>SUMIFS('reductions data'!H:H,'reductions data'!G:G,'reasons for reduction division'!B76,'reductions data'!A:A,$M$72)</f>
        <v>0</v>
      </c>
      <c r="N76" s="71">
        <f>SUMIFS('reductions data'!H:H,'reductions data'!G:G,'reasons for reduction division'!B76,'reductions data'!A:A,$N$72)</f>
        <v>0</v>
      </c>
      <c r="O76" s="115">
        <f>SUMIF('reductions data'!G:G,'reasons for reduction division'!B76,'reductions data'!H:H)</f>
        <v>0</v>
      </c>
    </row>
    <row r="77" spans="2:15" x14ac:dyDescent="0.15">
      <c r="B77" s="123" t="s">
        <v>984</v>
      </c>
      <c r="C77" s="71">
        <f>SUMIFS('reductions data'!H:H,'reductions data'!G:G,'reasons for reduction division'!B77,'reductions data'!A:A,$C$72)</f>
        <v>0</v>
      </c>
      <c r="D77" s="71">
        <f>SUMIFS('reductions data'!H:H,'reductions data'!G:G,'reasons for reduction division'!B77,'reductions data'!A:A,$D$72)</f>
        <v>0</v>
      </c>
      <c r="E77" s="71">
        <f>SUMIFS('reductions data'!H:H,'reductions data'!G:G,'reasons for reduction division'!B77,'reductions data'!A:A,$E$72)</f>
        <v>0</v>
      </c>
      <c r="F77" s="71">
        <f>SUMIFS('reductions data'!H:H,'reductions data'!G:G,'reasons for reduction division'!B77,'reductions data'!A:A,$F$72)</f>
        <v>0</v>
      </c>
      <c r="G77" s="71">
        <f>SUMIFS('reductions data'!H:H,'reductions data'!G:G,'reasons for reduction division'!B77,'reductions data'!A:A,$G$72)</f>
        <v>0</v>
      </c>
      <c r="H77" s="71">
        <f>SUMIFS('reductions data'!H:H,'reductions data'!G:G,'reasons for reduction division'!B77,'reductions data'!A:A,$H$72)</f>
        <v>0</v>
      </c>
      <c r="I77" s="71">
        <f>SUMIFS('reductions data'!H:H,'reductions data'!G:G,'reasons for reduction division'!B77,'reductions data'!A:A,$I$72)</f>
        <v>0</v>
      </c>
      <c r="J77" s="71">
        <f>SUMIFS('reductions data'!H:H,'reductions data'!G:G,'reasons for reduction division'!B77,'reductions data'!A:A,$J$72)</f>
        <v>0</v>
      </c>
      <c r="K77" s="71">
        <f>SUMIFS('reductions data'!H:H,'reductions data'!G:G,'reasons for reduction division'!B77,'reductions data'!A:A,$K$72)</f>
        <v>0</v>
      </c>
      <c r="L77" s="71">
        <f>SUMIFS('reductions data'!H:H,'reductions data'!G:G,'reasons for reduction division'!B77,'reductions data'!A:A,$L$72)</f>
        <v>0</v>
      </c>
      <c r="M77" s="71">
        <f>SUMIFS('reductions data'!H:H,'reductions data'!G:G,'reasons for reduction division'!B77,'reductions data'!A:A,$M$72)</f>
        <v>0</v>
      </c>
      <c r="N77" s="71">
        <f>SUMIFS('reductions data'!H:H,'reductions data'!G:G,'reasons for reduction division'!B77,'reductions data'!A:A,$N$72)</f>
        <v>0</v>
      </c>
      <c r="O77" s="115">
        <f>SUMIF('reductions data'!G:G,'reasons for reduction division'!B77,'reductions data'!H:H)</f>
        <v>0</v>
      </c>
    </row>
    <row r="78" spans="2:15" x14ac:dyDescent="0.15">
      <c r="B78" s="123" t="s">
        <v>968</v>
      </c>
      <c r="C78" s="71">
        <f>SUMIFS('reductions data'!H:H,'reductions data'!G:G,'reasons for reduction division'!B78,'reductions data'!A:A,$C$72)</f>
        <v>0</v>
      </c>
      <c r="D78" s="71">
        <f>SUMIFS('reductions data'!H:H,'reductions data'!G:G,'reasons for reduction division'!B78,'reductions data'!A:A,$D$72)</f>
        <v>0</v>
      </c>
      <c r="E78" s="71">
        <f>SUMIFS('reductions data'!H:H,'reductions data'!G:G,'reasons for reduction division'!B78,'reductions data'!A:A,$E$72)</f>
        <v>0</v>
      </c>
      <c r="F78" s="71">
        <f>SUMIFS('reductions data'!H:H,'reductions data'!G:G,'reasons for reduction division'!B78,'reductions data'!A:A,$F$72)</f>
        <v>0</v>
      </c>
      <c r="G78" s="71">
        <f>SUMIFS('reductions data'!H:H,'reductions data'!G:G,'reasons for reduction division'!B78,'reductions data'!A:A,$G$72)</f>
        <v>0</v>
      </c>
      <c r="H78" s="71">
        <f>SUMIFS('reductions data'!H:H,'reductions data'!G:G,'reasons for reduction division'!B78,'reductions data'!A:A,$H$72)</f>
        <v>0</v>
      </c>
      <c r="I78" s="71">
        <f>SUMIFS('reductions data'!H:H,'reductions data'!G:G,'reasons for reduction division'!B78,'reductions data'!A:A,$I$72)</f>
        <v>0</v>
      </c>
      <c r="J78" s="71">
        <f>SUMIFS('reductions data'!H:H,'reductions data'!G:G,'reasons for reduction division'!B78,'reductions data'!A:A,$J$72)</f>
        <v>0</v>
      </c>
      <c r="K78" s="71">
        <f>SUMIFS('reductions data'!H:H,'reductions data'!G:G,'reasons for reduction division'!B78,'reductions data'!A:A,$K$72)</f>
        <v>0</v>
      </c>
      <c r="L78" s="71">
        <f>SUMIFS('reductions data'!H:H,'reductions data'!G:G,'reasons for reduction division'!B78,'reductions data'!A:A,$L$72)</f>
        <v>0</v>
      </c>
      <c r="M78" s="71">
        <f>SUMIFS('reductions data'!H:H,'reductions data'!G:G,'reasons for reduction division'!B78,'reductions data'!A:A,$M$72)</f>
        <v>0</v>
      </c>
      <c r="N78" s="71">
        <f>SUMIFS('reductions data'!H:H,'reductions data'!G:G,'reasons for reduction division'!B78,'reductions data'!A:A,$N$72)</f>
        <v>0</v>
      </c>
      <c r="O78" s="115">
        <f>SUMIF('reductions data'!G:G,'reasons for reduction division'!B78,'reductions data'!H:H)</f>
        <v>0</v>
      </c>
    </row>
    <row r="79" spans="2:15" x14ac:dyDescent="0.15">
      <c r="B79" s="123" t="s">
        <v>970</v>
      </c>
      <c r="C79" s="71">
        <f>SUMIFS('reductions data'!H:H,'reductions data'!G:G,'reasons for reduction division'!B79,'reductions data'!A:A,$C$72)</f>
        <v>0</v>
      </c>
      <c r="D79" s="71">
        <f>SUMIFS('reductions data'!H:H,'reductions data'!G:G,'reasons for reduction division'!B79,'reductions data'!A:A,$D$72)</f>
        <v>0</v>
      </c>
      <c r="E79" s="71">
        <f>SUMIFS('reductions data'!H:H,'reductions data'!G:G,'reasons for reduction division'!B79,'reductions data'!A:A,$E$72)</f>
        <v>0</v>
      </c>
      <c r="F79" s="71">
        <f>SUMIFS('reductions data'!H:H,'reductions data'!G:G,'reasons for reduction division'!B79,'reductions data'!A:A,$F$72)</f>
        <v>0</v>
      </c>
      <c r="G79" s="71">
        <f>SUMIFS('reductions data'!H:H,'reductions data'!G:G,'reasons for reduction division'!B79,'reductions data'!A:A,$G$72)</f>
        <v>0</v>
      </c>
      <c r="H79" s="71">
        <f>SUMIFS('reductions data'!H:H,'reductions data'!G:G,'reasons for reduction division'!B79,'reductions data'!A:A,$H$72)</f>
        <v>0</v>
      </c>
      <c r="I79" s="71">
        <f>SUMIFS('reductions data'!H:H,'reductions data'!G:G,'reasons for reduction division'!B79,'reductions data'!A:A,$I$72)</f>
        <v>0</v>
      </c>
      <c r="J79" s="71">
        <f>SUMIFS('reductions data'!H:H,'reductions data'!G:G,'reasons for reduction division'!B79,'reductions data'!A:A,$J$72)</f>
        <v>0</v>
      </c>
      <c r="K79" s="71">
        <f>SUMIFS('reductions data'!H:H,'reductions data'!G:G,'reasons for reduction division'!B79,'reductions data'!A:A,$K$72)</f>
        <v>0</v>
      </c>
      <c r="L79" s="71">
        <f>SUMIFS('reductions data'!H:H,'reductions data'!G:G,'reasons for reduction division'!B79,'reductions data'!A:A,$L$72)</f>
        <v>0</v>
      </c>
      <c r="M79" s="71">
        <f>SUMIFS('reductions data'!H:H,'reductions data'!G:G,'reasons for reduction division'!B79,'reductions data'!A:A,$M$72)</f>
        <v>0</v>
      </c>
      <c r="N79" s="71">
        <f>SUMIFS('reductions data'!H:H,'reductions data'!G:G,'reasons for reduction division'!B79,'reductions data'!A:A,$N$72)</f>
        <v>0</v>
      </c>
      <c r="O79" s="115">
        <f>SUMIF('reductions data'!G:G,'reasons for reduction division'!B79,'reductions data'!H:H)</f>
        <v>0</v>
      </c>
    </row>
    <row r="80" spans="2:15" x14ac:dyDescent="0.15">
      <c r="B80" s="123" t="s">
        <v>985</v>
      </c>
      <c r="C80" s="71">
        <f>SUMIFS('reductions data'!H:H,'reductions data'!G:G,'reasons for reduction division'!B80,'reductions data'!A:A,$C$72)</f>
        <v>0</v>
      </c>
      <c r="D80" s="71">
        <f>SUMIFS('reductions data'!H:H,'reductions data'!G:G,'reasons for reduction division'!B80,'reductions data'!A:A,$D$72)</f>
        <v>0</v>
      </c>
      <c r="E80" s="71">
        <f>SUMIFS('reductions data'!H:H,'reductions data'!G:G,'reasons for reduction division'!B80,'reductions data'!A:A,$E$72)</f>
        <v>0</v>
      </c>
      <c r="F80" s="71">
        <f>SUMIFS('reductions data'!H:H,'reductions data'!G:G,'reasons for reduction division'!B80,'reductions data'!A:A,$F$72)</f>
        <v>0</v>
      </c>
      <c r="G80" s="71">
        <f>SUMIFS('reductions data'!H:H,'reductions data'!G:G,'reasons for reduction division'!B80,'reductions data'!A:A,$G$72)</f>
        <v>0</v>
      </c>
      <c r="H80" s="71">
        <f>SUMIFS('reductions data'!H:H,'reductions data'!G:G,'reasons for reduction division'!B80,'reductions data'!A:A,$H$72)</f>
        <v>0</v>
      </c>
      <c r="I80" s="71">
        <f>SUMIFS('reductions data'!H:H,'reductions data'!G:G,'reasons for reduction division'!B80,'reductions data'!A:A,$I$72)</f>
        <v>0</v>
      </c>
      <c r="J80" s="71">
        <f>SUMIFS('reductions data'!H:H,'reductions data'!G:G,'reasons for reduction division'!B80,'reductions data'!A:A,$J$72)</f>
        <v>0</v>
      </c>
      <c r="K80" s="71">
        <f>SUMIFS('reductions data'!H:H,'reductions data'!G:G,'reasons for reduction division'!B80,'reductions data'!A:A,$K$72)</f>
        <v>0</v>
      </c>
      <c r="L80" s="71">
        <f>SUMIFS('reductions data'!H:H,'reductions data'!G:G,'reasons for reduction division'!B80,'reductions data'!A:A,$L$72)</f>
        <v>0</v>
      </c>
      <c r="M80" s="71">
        <f>SUMIFS('reductions data'!H:H,'reductions data'!G:G,'reasons for reduction division'!B80,'reductions data'!A:A,$M$72)</f>
        <v>0</v>
      </c>
      <c r="N80" s="71">
        <f>SUMIFS('reductions data'!H:H,'reductions data'!G:G,'reasons for reduction division'!B80,'reductions data'!A:A,$N$72)</f>
        <v>0</v>
      </c>
      <c r="O80" s="115">
        <f>SUMIF('reductions data'!G:G,'reasons for reduction division'!B80,'reductions data'!H:H)</f>
        <v>0</v>
      </c>
    </row>
    <row r="81" spans="2:15" x14ac:dyDescent="0.15">
      <c r="B81" s="123" t="s">
        <v>958</v>
      </c>
      <c r="C81" s="71">
        <f>SUMIFS('reductions data'!H:H,'reductions data'!G:G,'reasons for reduction division'!B81,'reductions data'!A:A,$C$72)</f>
        <v>0</v>
      </c>
      <c r="D81" s="71">
        <f>SUMIFS('reductions data'!H:H,'reductions data'!G:G,'reasons for reduction division'!B81,'reductions data'!A:A,$D$72)</f>
        <v>0</v>
      </c>
      <c r="E81" s="71">
        <f>SUMIFS('reductions data'!H:H,'reductions data'!G:G,'reasons for reduction division'!B81,'reductions data'!A:A,$E$72)</f>
        <v>0</v>
      </c>
      <c r="F81" s="71">
        <f>SUMIFS('reductions data'!H:H,'reductions data'!G:G,'reasons for reduction division'!B81,'reductions data'!A:A,$F$72)</f>
        <v>0</v>
      </c>
      <c r="G81" s="71">
        <f>SUMIFS('reductions data'!H:H,'reductions data'!G:G,'reasons for reduction division'!B81,'reductions data'!A:A,$G$72)</f>
        <v>0</v>
      </c>
      <c r="H81" s="71">
        <f>SUMIFS('reductions data'!H:H,'reductions data'!G:G,'reasons for reduction division'!B81,'reductions data'!A:A,$H$72)</f>
        <v>0</v>
      </c>
      <c r="I81" s="71">
        <f>SUMIFS('reductions data'!H:H,'reductions data'!G:G,'reasons for reduction division'!B81,'reductions data'!A:A,$I$72)</f>
        <v>0</v>
      </c>
      <c r="J81" s="71">
        <f>SUMIFS('reductions data'!H:H,'reductions data'!G:G,'reasons for reduction division'!B81,'reductions data'!A:A,$J$72)</f>
        <v>0</v>
      </c>
      <c r="K81" s="71">
        <f>SUMIFS('reductions data'!H:H,'reductions data'!G:G,'reasons for reduction division'!B81,'reductions data'!A:A,$K$72)</f>
        <v>0</v>
      </c>
      <c r="L81" s="71">
        <f>SUMIFS('reductions data'!H:H,'reductions data'!G:G,'reasons for reduction division'!B81,'reductions data'!A:A,$L$72)</f>
        <v>0</v>
      </c>
      <c r="M81" s="71">
        <f>SUMIFS('reductions data'!H:H,'reductions data'!G:G,'reasons for reduction division'!B81,'reductions data'!A:A,$M$72)</f>
        <v>0</v>
      </c>
      <c r="N81" s="71">
        <f>SUMIFS('reductions data'!H:H,'reductions data'!G:G,'reasons for reduction division'!B81,'reductions data'!A:A,$N$72)</f>
        <v>0</v>
      </c>
      <c r="O81" s="115">
        <f>SUMIF('reductions data'!G:G,'reasons for reduction division'!B81,'reductions data'!H:H)</f>
        <v>0</v>
      </c>
    </row>
    <row r="82" spans="2:15" x14ac:dyDescent="0.15">
      <c r="B82" s="123" t="s">
        <v>949</v>
      </c>
      <c r="C82" s="71">
        <f>SUMIFS('reductions data'!H:H,'reductions data'!G:G,'reasons for reduction division'!B82,'reductions data'!A:A,$C$72)</f>
        <v>0</v>
      </c>
      <c r="D82" s="71">
        <f>SUMIFS('reductions data'!H:H,'reductions data'!G:G,'reasons for reduction division'!B82,'reductions data'!A:A,$D$72)</f>
        <v>0</v>
      </c>
      <c r="E82" s="71">
        <f>SUMIFS('reductions data'!H:H,'reductions data'!G:G,'reasons for reduction division'!B82,'reductions data'!A:A,$E$72)</f>
        <v>0</v>
      </c>
      <c r="F82" s="71">
        <f>SUMIFS('reductions data'!H:H,'reductions data'!G:G,'reasons for reduction division'!B82,'reductions data'!A:A,$F$72)</f>
        <v>0</v>
      </c>
      <c r="G82" s="71">
        <f>SUMIFS('reductions data'!H:H,'reductions data'!G:G,'reasons for reduction division'!B82,'reductions data'!A:A,$G$72)</f>
        <v>0</v>
      </c>
      <c r="H82" s="71">
        <f>SUMIFS('reductions data'!H:H,'reductions data'!G:G,'reasons for reduction division'!B82,'reductions data'!A:A,$H$72)</f>
        <v>0</v>
      </c>
      <c r="I82" s="71">
        <f>SUMIFS('reductions data'!H:H,'reductions data'!G:G,'reasons for reduction division'!B82,'reductions data'!A:A,$I$72)</f>
        <v>0</v>
      </c>
      <c r="J82" s="71">
        <f>SUMIFS('reductions data'!H:H,'reductions data'!G:G,'reasons for reduction division'!B82,'reductions data'!A:A,$J$72)</f>
        <v>0</v>
      </c>
      <c r="K82" s="71">
        <f>SUMIFS('reductions data'!H:H,'reductions data'!G:G,'reasons for reduction division'!B82,'reductions data'!A:A,$K$72)</f>
        <v>0</v>
      </c>
      <c r="L82" s="71">
        <f>SUMIFS('reductions data'!H:H,'reductions data'!G:G,'reasons for reduction division'!B82,'reductions data'!A:A,$L$72)</f>
        <v>0</v>
      </c>
      <c r="M82" s="71">
        <f>SUMIFS('reductions data'!H:H,'reductions data'!G:G,'reasons for reduction division'!B82,'reductions data'!A:A,$M$72)</f>
        <v>0</v>
      </c>
      <c r="N82" s="71">
        <f>SUMIFS('reductions data'!H:H,'reductions data'!G:G,'reasons for reduction division'!B82,'reductions data'!A:A,$N$72)</f>
        <v>0</v>
      </c>
      <c r="O82" s="115">
        <f>SUMIF('reductions data'!G:G,'reasons for reduction division'!B82,'reductions data'!H:H)</f>
        <v>0</v>
      </c>
    </row>
    <row r="83" spans="2:15" x14ac:dyDescent="0.15">
      <c r="B83" s="123" t="s">
        <v>974</v>
      </c>
      <c r="C83" s="71">
        <f>SUMIFS('reductions data'!H:H,'reductions data'!G:G,'reasons for reduction division'!B83,'reductions data'!A:A,$C$72)</f>
        <v>0</v>
      </c>
      <c r="D83" s="71">
        <f>SUMIFS('reductions data'!H:H,'reductions data'!G:G,'reasons for reduction division'!B83,'reductions data'!A:A,$D$72)</f>
        <v>0</v>
      </c>
      <c r="E83" s="71">
        <f>SUMIFS('reductions data'!H:H,'reductions data'!G:G,'reasons for reduction division'!B83,'reductions data'!A:A,$E$72)</f>
        <v>0</v>
      </c>
      <c r="F83" s="71">
        <f>SUMIFS('reductions data'!H:H,'reductions data'!G:G,'reasons for reduction division'!B83,'reductions data'!A:A,$F$72)</f>
        <v>0</v>
      </c>
      <c r="G83" s="71">
        <f>SUMIFS('reductions data'!H:H,'reductions data'!G:G,'reasons for reduction division'!B83,'reductions data'!A:A,$G$72)</f>
        <v>0</v>
      </c>
      <c r="H83" s="71">
        <f>SUMIFS('reductions data'!H:H,'reductions data'!G:G,'reasons for reduction division'!B83,'reductions data'!A:A,$H$72)</f>
        <v>0</v>
      </c>
      <c r="I83" s="71">
        <f>SUMIFS('reductions data'!H:H,'reductions data'!G:G,'reasons for reduction division'!B83,'reductions data'!A:A,$I$72)</f>
        <v>0</v>
      </c>
      <c r="J83" s="71">
        <f>SUMIFS('reductions data'!H:H,'reductions data'!G:G,'reasons for reduction division'!B83,'reductions data'!A:A,$J$72)</f>
        <v>0</v>
      </c>
      <c r="K83" s="71">
        <f>SUMIFS('reductions data'!H:H,'reductions data'!G:G,'reasons for reduction division'!B83,'reductions data'!A:A,$K$72)</f>
        <v>0</v>
      </c>
      <c r="L83" s="71">
        <f>SUMIFS('reductions data'!H:H,'reductions data'!G:G,'reasons for reduction division'!B83,'reductions data'!A:A,$L$72)</f>
        <v>0</v>
      </c>
      <c r="M83" s="71">
        <f>SUMIFS('reductions data'!H:H,'reductions data'!G:G,'reasons for reduction division'!B83,'reductions data'!A:A,$M$72)</f>
        <v>0</v>
      </c>
      <c r="N83" s="71">
        <f>SUMIFS('reductions data'!H:H,'reductions data'!G:G,'reasons for reduction division'!B83,'reductions data'!A:A,$N$72)</f>
        <v>0</v>
      </c>
      <c r="O83" s="115">
        <f>SUMIF('reductions data'!G:G,'reasons for reduction division'!B83,'reductions data'!H:H)</f>
        <v>0</v>
      </c>
    </row>
    <row r="84" spans="2:15" x14ac:dyDescent="0.15">
      <c r="B84" s="123" t="s">
        <v>950</v>
      </c>
      <c r="C84" s="71">
        <f>SUMIFS('reductions data'!H:H,'reductions data'!G:G,'reasons for reduction division'!B84,'reductions data'!A:A,$C$72)</f>
        <v>0</v>
      </c>
      <c r="D84" s="71">
        <f>SUMIFS('reductions data'!H:H,'reductions data'!G:G,'reasons for reduction division'!B84,'reductions data'!A:A,$D$72)</f>
        <v>0</v>
      </c>
      <c r="E84" s="71">
        <f>SUMIFS('reductions data'!H:H,'reductions data'!G:G,'reasons for reduction division'!B84,'reductions data'!A:A,$E$72)</f>
        <v>0</v>
      </c>
      <c r="F84" s="71">
        <f>SUMIFS('reductions data'!H:H,'reductions data'!G:G,'reasons for reduction division'!B84,'reductions data'!A:A,$F$72)</f>
        <v>0</v>
      </c>
      <c r="G84" s="71">
        <f>SUMIFS('reductions data'!H:H,'reductions data'!G:G,'reasons for reduction division'!B84,'reductions data'!A:A,$G$72)</f>
        <v>0</v>
      </c>
      <c r="H84" s="71">
        <f>SUMIFS('reductions data'!H:H,'reductions data'!G:G,'reasons for reduction division'!B84,'reductions data'!A:A,$H$72)</f>
        <v>0</v>
      </c>
      <c r="I84" s="71">
        <f>SUMIFS('reductions data'!H:H,'reductions data'!G:G,'reasons for reduction division'!B84,'reductions data'!A:A,$I$72)</f>
        <v>0</v>
      </c>
      <c r="J84" s="71">
        <f>SUMIFS('reductions data'!H:H,'reductions data'!G:G,'reasons for reduction division'!B84,'reductions data'!A:A,$J$72)</f>
        <v>0</v>
      </c>
      <c r="K84" s="71">
        <f>SUMIFS('reductions data'!H:H,'reductions data'!G:G,'reasons for reduction division'!B84,'reductions data'!A:A,$K$72)</f>
        <v>0</v>
      </c>
      <c r="L84" s="71">
        <f>SUMIFS('reductions data'!H:H,'reductions data'!G:G,'reasons for reduction division'!B84,'reductions data'!A:A,$L$72)</f>
        <v>0</v>
      </c>
      <c r="M84" s="71">
        <f>SUMIFS('reductions data'!H:H,'reductions data'!G:G,'reasons for reduction division'!B84,'reductions data'!A:A,$M$72)</f>
        <v>0</v>
      </c>
      <c r="N84" s="71">
        <f>SUMIFS('reductions data'!H:H,'reductions data'!G:G,'reasons for reduction division'!B84,'reductions data'!A:A,$N$72)</f>
        <v>0</v>
      </c>
      <c r="O84" s="115">
        <f>SUMIF('reductions data'!G:G,'reasons for reduction division'!B84,'reductions data'!H:H)</f>
        <v>0</v>
      </c>
    </row>
    <row r="85" spans="2:15" x14ac:dyDescent="0.15">
      <c r="B85" s="123" t="s">
        <v>960</v>
      </c>
      <c r="C85" s="71">
        <f>SUMIFS('reductions data'!H:H,'reductions data'!G:G,'reasons for reduction division'!B85,'reductions data'!A:A,$C$72)</f>
        <v>0</v>
      </c>
      <c r="D85" s="71">
        <f>SUMIFS('reductions data'!H:H,'reductions data'!G:G,'reasons for reduction division'!B85,'reductions data'!A:A,$D$72)</f>
        <v>0</v>
      </c>
      <c r="E85" s="71">
        <f>SUMIFS('reductions data'!H:H,'reductions data'!G:G,'reasons for reduction division'!B85,'reductions data'!A:A,$E$72)</f>
        <v>0</v>
      </c>
      <c r="F85" s="71">
        <f>SUMIFS('reductions data'!H:H,'reductions data'!G:G,'reasons for reduction division'!B85,'reductions data'!A:A,$F$72)</f>
        <v>0</v>
      </c>
      <c r="G85" s="71">
        <f>SUMIFS('reductions data'!H:H,'reductions data'!G:G,'reasons for reduction division'!B85,'reductions data'!A:A,$G$72)</f>
        <v>0</v>
      </c>
      <c r="H85" s="71">
        <f>SUMIFS('reductions data'!H:H,'reductions data'!G:G,'reasons for reduction division'!B85,'reductions data'!A:A,$H$72)</f>
        <v>0</v>
      </c>
      <c r="I85" s="71">
        <f>SUMIFS('reductions data'!H:H,'reductions data'!G:G,'reasons for reduction division'!B85,'reductions data'!A:A,$I$72)</f>
        <v>0</v>
      </c>
      <c r="J85" s="71">
        <f>SUMIFS('reductions data'!H:H,'reductions data'!G:G,'reasons for reduction division'!B85,'reductions data'!A:A,$J$72)</f>
        <v>0</v>
      </c>
      <c r="K85" s="71">
        <f>SUMIFS('reductions data'!H:H,'reductions data'!G:G,'reasons for reduction division'!B85,'reductions data'!A:A,$K$72)</f>
        <v>0</v>
      </c>
      <c r="L85" s="71">
        <f>SUMIFS('reductions data'!H:H,'reductions data'!G:G,'reasons for reduction division'!B85,'reductions data'!A:A,$L$72)</f>
        <v>0</v>
      </c>
      <c r="M85" s="71">
        <f>SUMIFS('reductions data'!H:H,'reductions data'!G:G,'reasons for reduction division'!B85,'reductions data'!A:A,$M$72)</f>
        <v>0</v>
      </c>
      <c r="N85" s="71">
        <f>SUMIFS('reductions data'!H:H,'reductions data'!G:G,'reasons for reduction division'!B85,'reductions data'!A:A,$N$72)</f>
        <v>0</v>
      </c>
      <c r="O85" s="115">
        <f>SUMIF('reductions data'!G:G,'reasons for reduction division'!B85,'reductions data'!H:H)</f>
        <v>0</v>
      </c>
    </row>
    <row r="86" spans="2:15" x14ac:dyDescent="0.15">
      <c r="B86" s="123" t="s">
        <v>986</v>
      </c>
      <c r="C86" s="71">
        <f>SUMIFS('reductions data'!H:H,'reductions data'!G:G,'reasons for reduction division'!B86,'reductions data'!A:A,$C$72)</f>
        <v>0</v>
      </c>
      <c r="D86" s="71">
        <f>SUMIFS('reductions data'!H:H,'reductions data'!G:G,'reasons for reduction division'!B86,'reductions data'!A:A,$D$72)</f>
        <v>0</v>
      </c>
      <c r="E86" s="71">
        <f>SUMIFS('reductions data'!H:H,'reductions data'!G:G,'reasons for reduction division'!B86,'reductions data'!A:A,$E$72)</f>
        <v>0</v>
      </c>
      <c r="F86" s="71">
        <f>SUMIFS('reductions data'!H:H,'reductions data'!G:G,'reasons for reduction division'!B86,'reductions data'!A:A,$F$72)</f>
        <v>0</v>
      </c>
      <c r="G86" s="71">
        <f>SUMIFS('reductions data'!H:H,'reductions data'!G:G,'reasons for reduction division'!B86,'reductions data'!A:A,$G$72)</f>
        <v>0</v>
      </c>
      <c r="H86" s="71">
        <f>SUMIFS('reductions data'!H:H,'reductions data'!G:G,'reasons for reduction division'!B86,'reductions data'!A:A,$H$72)</f>
        <v>0</v>
      </c>
      <c r="I86" s="71">
        <f>SUMIFS('reductions data'!H:H,'reductions data'!G:G,'reasons for reduction division'!B86,'reductions data'!A:A,$I$72)</f>
        <v>0</v>
      </c>
      <c r="J86" s="71">
        <f>SUMIFS('reductions data'!H:H,'reductions data'!G:G,'reasons for reduction division'!B86,'reductions data'!A:A,$J$72)</f>
        <v>0</v>
      </c>
      <c r="K86" s="71">
        <f>SUMIFS('reductions data'!H:H,'reductions data'!G:G,'reasons for reduction division'!B86,'reductions data'!A:A,$K$72)</f>
        <v>0</v>
      </c>
      <c r="L86" s="71">
        <f>SUMIFS('reductions data'!H:H,'reductions data'!G:G,'reasons for reduction division'!B86,'reductions data'!A:A,$L$72)</f>
        <v>0</v>
      </c>
      <c r="M86" s="71">
        <f>SUMIFS('reductions data'!H:H,'reductions data'!G:G,'reasons for reduction division'!B86,'reductions data'!A:A,$M$72)</f>
        <v>0</v>
      </c>
      <c r="N86" s="71">
        <f>SUMIFS('reductions data'!H:H,'reductions data'!G:G,'reasons for reduction division'!B86,'reductions data'!A:A,$N$72)</f>
        <v>0</v>
      </c>
      <c r="O86" s="115">
        <f>SUMIF('reductions data'!G:G,'reasons for reduction division'!B86,'reductions data'!H:H)</f>
        <v>0</v>
      </c>
    </row>
    <row r="87" spans="2:15" x14ac:dyDescent="0.15">
      <c r="B87" s="123" t="s">
        <v>1053</v>
      </c>
      <c r="C87" s="71">
        <f>SUMIFS('reductions data'!H:H,'reductions data'!G:G,'reasons for reduction division'!B87,'reductions data'!A:A,$C$72)</f>
        <v>0</v>
      </c>
      <c r="D87" s="71">
        <f>SUMIFS('reductions data'!H:H,'reductions data'!G:G,'reasons for reduction division'!B87,'reductions data'!A:A,$D$72)</f>
        <v>0</v>
      </c>
      <c r="E87" s="71">
        <f>SUMIFS('reductions data'!H:H,'reductions data'!G:G,'reasons for reduction division'!B87,'reductions data'!A:A,$E$72)</f>
        <v>0</v>
      </c>
      <c r="F87" s="71">
        <f>SUMIFS('reductions data'!H:H,'reductions data'!G:G,'reasons for reduction division'!B87,'reductions data'!A:A,$F$72)</f>
        <v>0</v>
      </c>
      <c r="G87" s="71">
        <f>SUMIFS('reductions data'!H:H,'reductions data'!G:G,'reasons for reduction division'!B87,'reductions data'!A:A,$G$72)</f>
        <v>0</v>
      </c>
      <c r="H87" s="71">
        <f>SUMIFS('reductions data'!H:H,'reductions data'!G:G,'reasons for reduction division'!B87,'reductions data'!A:A,$H$72)</f>
        <v>0</v>
      </c>
      <c r="I87" s="71">
        <f>SUMIFS('reductions data'!H:H,'reductions data'!G:G,'reasons for reduction division'!B87,'reductions data'!A:A,$I$72)</f>
        <v>0</v>
      </c>
      <c r="J87" s="71">
        <f>SUMIFS('reductions data'!H:H,'reductions data'!G:G,'reasons for reduction division'!B87,'reductions data'!A:A,$J$72)</f>
        <v>0</v>
      </c>
      <c r="K87" s="71">
        <f>SUMIFS('reductions data'!H:H,'reductions data'!G:G,'reasons for reduction division'!B87,'reductions data'!A:A,$K$72)</f>
        <v>0</v>
      </c>
      <c r="L87" s="71">
        <f>SUMIFS('reductions data'!H:H,'reductions data'!G:G,'reasons for reduction division'!B87,'reductions data'!A:A,$L$72)</f>
        <v>0</v>
      </c>
      <c r="M87" s="71">
        <f>SUMIFS('reductions data'!H:H,'reductions data'!G:G,'reasons for reduction division'!B87,'reductions data'!A:A,$M$72)</f>
        <v>0</v>
      </c>
      <c r="N87" s="71">
        <f>SUMIFS('reductions data'!H:H,'reductions data'!G:G,'reasons for reduction division'!B87,'reductions data'!A:A,$N$72)</f>
        <v>0</v>
      </c>
      <c r="O87" s="115">
        <f>SUMIF('reductions data'!G:G,'reasons for reduction division'!B87,'reductions data'!H:H)</f>
        <v>0</v>
      </c>
    </row>
    <row r="88" spans="2:15" x14ac:dyDescent="0.15">
      <c r="B88" s="123" t="s">
        <v>988</v>
      </c>
      <c r="C88" s="71">
        <f>SUMIFS('reductions data'!H:H,'reductions data'!G:G,'reasons for reduction division'!B88,'reductions data'!A:A,$C$72)</f>
        <v>0</v>
      </c>
      <c r="D88" s="71">
        <f>SUMIFS('reductions data'!H:H,'reductions data'!G:G,'reasons for reduction division'!B88,'reductions data'!A:A,$D$72)</f>
        <v>0</v>
      </c>
      <c r="E88" s="71">
        <f>SUMIFS('reductions data'!H:H,'reductions data'!G:G,'reasons for reduction division'!B88,'reductions data'!A:A,$E$72)</f>
        <v>0</v>
      </c>
      <c r="F88" s="71">
        <f>SUMIFS('reductions data'!H:H,'reductions data'!G:G,'reasons for reduction division'!B88,'reductions data'!A:A,$F$72)</f>
        <v>0</v>
      </c>
      <c r="G88" s="71">
        <f>SUMIFS('reductions data'!H:H,'reductions data'!G:G,'reasons for reduction division'!B88,'reductions data'!A:A,$G$72)</f>
        <v>0</v>
      </c>
      <c r="H88" s="71">
        <f>SUMIFS('reductions data'!H:H,'reductions data'!G:G,'reasons for reduction division'!B88,'reductions data'!A:A,$H$72)</f>
        <v>0</v>
      </c>
      <c r="I88" s="71">
        <f>SUMIFS('reductions data'!H:H,'reductions data'!G:G,'reasons for reduction division'!B88,'reductions data'!A:A,$I$72)</f>
        <v>0</v>
      </c>
      <c r="J88" s="71">
        <f>SUMIFS('reductions data'!H:H,'reductions data'!G:G,'reasons for reduction division'!B88,'reductions data'!A:A,$J$72)</f>
        <v>0</v>
      </c>
      <c r="K88" s="71">
        <f>SUMIFS('reductions data'!H:H,'reductions data'!G:G,'reasons for reduction division'!B88,'reductions data'!A:A,$K$72)</f>
        <v>0</v>
      </c>
      <c r="L88" s="71">
        <f>SUMIFS('reductions data'!H:H,'reductions data'!G:G,'reasons for reduction division'!B88,'reductions data'!A:A,$L$72)</f>
        <v>0</v>
      </c>
      <c r="M88" s="71">
        <f>SUMIFS('reductions data'!H:H,'reductions data'!G:G,'reasons for reduction division'!B88,'reductions data'!A:A,$M$72)</f>
        <v>0</v>
      </c>
      <c r="N88" s="71">
        <f>SUMIFS('reductions data'!H:H,'reductions data'!G:G,'reasons for reduction division'!B88,'reductions data'!A:A,$N$72)</f>
        <v>0</v>
      </c>
      <c r="O88" s="115">
        <f>SUMIF('reductions data'!G:G,'reasons for reduction division'!B88,'reductions data'!H:H)</f>
        <v>0</v>
      </c>
    </row>
    <row r="89" spans="2:15" x14ac:dyDescent="0.15">
      <c r="B89" s="123" t="s">
        <v>989</v>
      </c>
      <c r="C89" s="71">
        <f>SUMIFS('reductions data'!H:H,'reductions data'!G:G,'reasons for reduction division'!B89,'reductions data'!A:A,$C$72)</f>
        <v>0</v>
      </c>
      <c r="D89" s="71">
        <f>SUMIFS('reductions data'!H:H,'reductions data'!G:G,'reasons for reduction division'!B89,'reductions data'!A:A,$D$72)</f>
        <v>0</v>
      </c>
      <c r="E89" s="71">
        <f>SUMIFS('reductions data'!H:H,'reductions data'!G:G,'reasons for reduction division'!B89,'reductions data'!A:A,$E$72)</f>
        <v>0</v>
      </c>
      <c r="F89" s="71">
        <f>SUMIFS('reductions data'!H:H,'reductions data'!G:G,'reasons for reduction division'!B89,'reductions data'!A:A,$F$72)</f>
        <v>0</v>
      </c>
      <c r="G89" s="71">
        <f>SUMIFS('reductions data'!H:H,'reductions data'!G:G,'reasons for reduction division'!B89,'reductions data'!A:A,$G$72)</f>
        <v>0</v>
      </c>
      <c r="H89" s="71">
        <f>SUMIFS('reductions data'!H:H,'reductions data'!G:G,'reasons for reduction division'!B89,'reductions data'!A:A,$H$72)</f>
        <v>0</v>
      </c>
      <c r="I89" s="71">
        <f>SUMIFS('reductions data'!H:H,'reductions data'!G:G,'reasons for reduction division'!B89,'reductions data'!A:A,$I$72)</f>
        <v>0</v>
      </c>
      <c r="J89" s="71">
        <f>SUMIFS('reductions data'!H:H,'reductions data'!G:G,'reasons for reduction division'!B89,'reductions data'!A:A,$J$72)</f>
        <v>0</v>
      </c>
      <c r="K89" s="71">
        <f>SUMIFS('reductions data'!H:H,'reductions data'!G:G,'reasons for reduction division'!B89,'reductions data'!A:A,$K$72)</f>
        <v>0</v>
      </c>
      <c r="L89" s="71">
        <f>SUMIFS('reductions data'!H:H,'reductions data'!G:G,'reasons for reduction division'!B89,'reductions data'!A:A,$L$72)</f>
        <v>0</v>
      </c>
      <c r="M89" s="71">
        <f>SUMIFS('reductions data'!H:H,'reductions data'!G:G,'reasons for reduction division'!B89,'reductions data'!A:A,$M$72)</f>
        <v>0</v>
      </c>
      <c r="N89" s="71">
        <f>SUMIFS('reductions data'!H:H,'reductions data'!G:G,'reasons for reduction division'!B89,'reductions data'!A:A,$N$72)</f>
        <v>0</v>
      </c>
      <c r="O89" s="115">
        <f>SUMIF('reductions data'!G:G,'reasons for reduction division'!B89,'reductions data'!H:H)</f>
        <v>0</v>
      </c>
    </row>
    <row r="90" spans="2:15" x14ac:dyDescent="0.15">
      <c r="B90" s="123" t="s">
        <v>947</v>
      </c>
      <c r="C90" s="71">
        <f>SUMIFS('reductions data'!H:H,'reductions data'!G:G,'reasons for reduction division'!B90,'reductions data'!A:A,$C$72)</f>
        <v>0</v>
      </c>
      <c r="D90" s="71">
        <f>SUMIFS('reductions data'!H:H,'reductions data'!G:G,'reasons for reduction division'!B90,'reductions data'!A:A,$D$72)</f>
        <v>0</v>
      </c>
      <c r="E90" s="71">
        <f>SUMIFS('reductions data'!H:H,'reductions data'!G:G,'reasons for reduction division'!B90,'reductions data'!A:A,$E$72)</f>
        <v>0</v>
      </c>
      <c r="F90" s="71">
        <f>SUMIFS('reductions data'!H:H,'reductions data'!G:G,'reasons for reduction division'!B90,'reductions data'!A:A,$F$72)</f>
        <v>0</v>
      </c>
      <c r="G90" s="71">
        <f>SUMIFS('reductions data'!H:H,'reductions data'!G:G,'reasons for reduction division'!B90,'reductions data'!A:A,$G$72)</f>
        <v>0</v>
      </c>
      <c r="H90" s="71">
        <f>SUMIFS('reductions data'!H:H,'reductions data'!G:G,'reasons for reduction division'!B90,'reductions data'!A:A,$H$72)</f>
        <v>0</v>
      </c>
      <c r="I90" s="71">
        <f>SUMIFS('reductions data'!H:H,'reductions data'!G:G,'reasons for reduction division'!B90,'reductions data'!A:A,$I$72)</f>
        <v>0</v>
      </c>
      <c r="J90" s="71">
        <f>SUMIFS('reductions data'!H:H,'reductions data'!G:G,'reasons for reduction division'!B90,'reductions data'!A:A,$J$72)</f>
        <v>0</v>
      </c>
      <c r="K90" s="71">
        <f>SUMIFS('reductions data'!H:H,'reductions data'!G:G,'reasons for reduction division'!B90,'reductions data'!A:A,$K$72)</f>
        <v>0</v>
      </c>
      <c r="L90" s="71">
        <f>SUMIFS('reductions data'!H:H,'reductions data'!G:G,'reasons for reduction division'!B90,'reductions data'!A:A,$L$72)</f>
        <v>0</v>
      </c>
      <c r="M90" s="71">
        <f>SUMIFS('reductions data'!H:H,'reductions data'!G:G,'reasons for reduction division'!B90,'reductions data'!A:A,$M$72)</f>
        <v>0</v>
      </c>
      <c r="N90" s="71">
        <f>SUMIFS('reductions data'!H:H,'reductions data'!G:G,'reasons for reduction division'!B90,'reductions data'!A:A,$N$72)</f>
        <v>0</v>
      </c>
      <c r="O90" s="115">
        <f>SUMIF('reductions data'!G:G,'reasons for reduction division'!B90,'reductions data'!H:H)</f>
        <v>0</v>
      </c>
    </row>
    <row r="91" spans="2:15" x14ac:dyDescent="0.15">
      <c r="B91" s="123" t="s">
        <v>978</v>
      </c>
      <c r="C91" s="71">
        <f>SUMIFS('reductions data'!H:H,'reductions data'!G:G,'reasons for reduction division'!B91,'reductions data'!A:A,$C$72)</f>
        <v>0</v>
      </c>
      <c r="D91" s="71">
        <f>SUMIFS('reductions data'!H:H,'reductions data'!G:G,'reasons for reduction division'!B91,'reductions data'!A:A,$D$72)</f>
        <v>0</v>
      </c>
      <c r="E91" s="71">
        <f>SUMIFS('reductions data'!H:H,'reductions data'!G:G,'reasons for reduction division'!B91,'reductions data'!A:A,$E$72)</f>
        <v>0</v>
      </c>
      <c r="F91" s="71">
        <f>SUMIFS('reductions data'!H:H,'reductions data'!G:G,'reasons for reduction division'!B91,'reductions data'!A:A,$F$72)</f>
        <v>0</v>
      </c>
      <c r="G91" s="71">
        <f>SUMIFS('reductions data'!H:H,'reductions data'!G:G,'reasons for reduction division'!B91,'reductions data'!A:A,$G$72)</f>
        <v>0</v>
      </c>
      <c r="H91" s="71">
        <f>SUMIFS('reductions data'!H:H,'reductions data'!G:G,'reasons for reduction division'!B91,'reductions data'!A:A,$H$72)</f>
        <v>0</v>
      </c>
      <c r="I91" s="71">
        <f>SUMIFS('reductions data'!H:H,'reductions data'!G:G,'reasons for reduction division'!B91,'reductions data'!A:A,$I$72)</f>
        <v>0</v>
      </c>
      <c r="J91" s="71">
        <f>SUMIFS('reductions data'!H:H,'reductions data'!G:G,'reasons for reduction division'!B91,'reductions data'!A:A,$J$72)</f>
        <v>0</v>
      </c>
      <c r="K91" s="71">
        <f>SUMIFS('reductions data'!H:H,'reductions data'!G:G,'reasons for reduction division'!B91,'reductions data'!A:A,$K$72)</f>
        <v>0</v>
      </c>
      <c r="L91" s="71">
        <f>SUMIFS('reductions data'!H:H,'reductions data'!G:G,'reasons for reduction division'!B91,'reductions data'!A:A,$L$72)</f>
        <v>0</v>
      </c>
      <c r="M91" s="71">
        <f>SUMIFS('reductions data'!H:H,'reductions data'!G:G,'reasons for reduction division'!B91,'reductions data'!A:A,$M$72)</f>
        <v>0</v>
      </c>
      <c r="N91" s="71">
        <f>SUMIFS('reductions data'!H:H,'reductions data'!G:G,'reasons for reduction division'!B91,'reductions data'!A:A,$N$72)</f>
        <v>0</v>
      </c>
      <c r="O91" s="115">
        <f>SUMIF('reductions data'!G:G,'reasons for reduction division'!B91,'reductions data'!H:H)</f>
        <v>0</v>
      </c>
    </row>
    <row r="92" spans="2:15" x14ac:dyDescent="0.15">
      <c r="B92" s="123" t="s">
        <v>963</v>
      </c>
      <c r="C92" s="71">
        <f>SUMIFS('reductions data'!H:H,'reductions data'!G:G,'reasons for reduction division'!B92,'reductions data'!A:A,$C$72)</f>
        <v>0</v>
      </c>
      <c r="D92" s="71">
        <f>SUMIFS('reductions data'!H:H,'reductions data'!G:G,'reasons for reduction division'!B92,'reductions data'!A:A,$D$72)</f>
        <v>0</v>
      </c>
      <c r="E92" s="71">
        <f>SUMIFS('reductions data'!H:H,'reductions data'!G:G,'reasons for reduction division'!B92,'reductions data'!A:A,$E$72)</f>
        <v>0</v>
      </c>
      <c r="F92" s="71">
        <f>SUMIFS('reductions data'!H:H,'reductions data'!G:G,'reasons for reduction division'!B92,'reductions data'!A:A,$F$72)</f>
        <v>0</v>
      </c>
      <c r="G92" s="71">
        <f>SUMIFS('reductions data'!H:H,'reductions data'!G:G,'reasons for reduction division'!B92,'reductions data'!A:A,$G$72)</f>
        <v>0</v>
      </c>
      <c r="H92" s="71">
        <f>SUMIFS('reductions data'!H:H,'reductions data'!G:G,'reasons for reduction division'!B92,'reductions data'!A:A,$H$72)</f>
        <v>0</v>
      </c>
      <c r="I92" s="71">
        <f>SUMIFS('reductions data'!H:H,'reductions data'!G:G,'reasons for reduction division'!B92,'reductions data'!A:A,$I$72)</f>
        <v>0</v>
      </c>
      <c r="J92" s="71">
        <f>SUMIFS('reductions data'!H:H,'reductions data'!G:G,'reasons for reduction division'!B92,'reductions data'!A:A,$J$72)</f>
        <v>0</v>
      </c>
      <c r="K92" s="71">
        <f>SUMIFS('reductions data'!H:H,'reductions data'!G:G,'reasons for reduction division'!B92,'reductions data'!A:A,$K$72)</f>
        <v>0</v>
      </c>
      <c r="L92" s="71">
        <f>SUMIFS('reductions data'!H:H,'reductions data'!G:G,'reasons for reduction division'!B92,'reductions data'!A:A,$L$72)</f>
        <v>0</v>
      </c>
      <c r="M92" s="71">
        <f>SUMIFS('reductions data'!H:H,'reductions data'!G:G,'reasons for reduction division'!B92,'reductions data'!A:A,$M$72)</f>
        <v>0</v>
      </c>
      <c r="N92" s="71">
        <f>SUMIFS('reductions data'!H:H,'reductions data'!G:G,'reasons for reduction division'!B92,'reductions data'!A:A,$N$72)</f>
        <v>0</v>
      </c>
      <c r="O92" s="115">
        <f>SUMIF('reductions data'!G:G,'reasons for reduction division'!B92,'reductions data'!H:H)</f>
        <v>0</v>
      </c>
    </row>
    <row r="93" spans="2:15" x14ac:dyDescent="0.15">
      <c r="B93" s="123" t="s">
        <v>990</v>
      </c>
      <c r="C93" s="71">
        <f>SUMIFS('reductions data'!H:H,'reductions data'!G:G,'reasons for reduction division'!B93,'reductions data'!A:A,$C$72)</f>
        <v>0</v>
      </c>
      <c r="D93" s="71">
        <f>SUMIFS('reductions data'!H:H,'reductions data'!G:G,'reasons for reduction division'!B93,'reductions data'!A:A,$D$72)</f>
        <v>0</v>
      </c>
      <c r="E93" s="71">
        <f>SUMIFS('reductions data'!H:H,'reductions data'!G:G,'reasons for reduction division'!B93,'reductions data'!A:A,$E$72)</f>
        <v>0</v>
      </c>
      <c r="F93" s="71">
        <f>SUMIFS('reductions data'!H:H,'reductions data'!G:G,'reasons for reduction division'!B93,'reductions data'!A:A,$F$72)</f>
        <v>0</v>
      </c>
      <c r="G93" s="71">
        <f>SUMIFS('reductions data'!H:H,'reductions data'!G:G,'reasons for reduction division'!B93,'reductions data'!A:A,$G$72)</f>
        <v>0</v>
      </c>
      <c r="H93" s="71">
        <f>SUMIFS('reductions data'!H:H,'reductions data'!G:G,'reasons for reduction division'!B93,'reductions data'!A:A,$H$72)</f>
        <v>0</v>
      </c>
      <c r="I93" s="71">
        <f>SUMIFS('reductions data'!H:H,'reductions data'!G:G,'reasons for reduction division'!B93,'reductions data'!A:A,$I$72)</f>
        <v>0</v>
      </c>
      <c r="J93" s="71">
        <f>SUMIFS('reductions data'!H:H,'reductions data'!G:G,'reasons for reduction division'!B93,'reductions data'!A:A,$J$72)</f>
        <v>0</v>
      </c>
      <c r="K93" s="71">
        <f>SUMIFS('reductions data'!H:H,'reductions data'!G:G,'reasons for reduction division'!B93,'reductions data'!A:A,$K$72)</f>
        <v>0</v>
      </c>
      <c r="L93" s="71">
        <f>SUMIFS('reductions data'!H:H,'reductions data'!G:G,'reasons for reduction division'!B93,'reductions data'!A:A,$L$72)</f>
        <v>0</v>
      </c>
      <c r="M93" s="71">
        <f>SUMIFS('reductions data'!H:H,'reductions data'!G:G,'reasons for reduction division'!B93,'reductions data'!A:A,$M$72)</f>
        <v>0</v>
      </c>
      <c r="N93" s="71">
        <f>SUMIFS('reductions data'!H:H,'reductions data'!G:G,'reasons for reduction division'!B93,'reductions data'!A:A,$N$72)</f>
        <v>0</v>
      </c>
      <c r="O93" s="115">
        <f>SUMIF('reductions data'!G:G,'reasons for reduction division'!B93,'reductions data'!H:H)</f>
        <v>0</v>
      </c>
    </row>
    <row r="94" spans="2:15" x14ac:dyDescent="0.15">
      <c r="B94" s="123" t="s">
        <v>991</v>
      </c>
      <c r="C94" s="71">
        <f>SUMIFS('reductions data'!H:H,'reductions data'!G:G,'reasons for reduction division'!B94,'reductions data'!A:A,$C$72)</f>
        <v>0</v>
      </c>
      <c r="D94" s="71">
        <f>SUMIFS('reductions data'!H:H,'reductions data'!G:G,'reasons for reduction division'!B94,'reductions data'!A:A,$D$72)</f>
        <v>0</v>
      </c>
      <c r="E94" s="71">
        <f>SUMIFS('reductions data'!H:H,'reductions data'!G:G,'reasons for reduction division'!B94,'reductions data'!A:A,$E$72)</f>
        <v>0</v>
      </c>
      <c r="F94" s="71">
        <f>SUMIFS('reductions data'!H:H,'reductions data'!G:G,'reasons for reduction division'!B94,'reductions data'!A:A,$F$72)</f>
        <v>0</v>
      </c>
      <c r="G94" s="71">
        <f>SUMIFS('reductions data'!H:H,'reductions data'!G:G,'reasons for reduction division'!B94,'reductions data'!A:A,$G$72)</f>
        <v>0</v>
      </c>
      <c r="H94" s="71">
        <f>SUMIFS('reductions data'!H:H,'reductions data'!G:G,'reasons for reduction division'!B94,'reductions data'!A:A,$H$72)</f>
        <v>0</v>
      </c>
      <c r="I94" s="71">
        <f>SUMIFS('reductions data'!H:H,'reductions data'!G:G,'reasons for reduction division'!B94,'reductions data'!A:A,$I$72)</f>
        <v>0</v>
      </c>
      <c r="J94" s="71">
        <f>SUMIFS('reductions data'!H:H,'reductions data'!G:G,'reasons for reduction division'!B94,'reductions data'!A:A,$J$72)</f>
        <v>0</v>
      </c>
      <c r="K94" s="71">
        <f>SUMIFS('reductions data'!H:H,'reductions data'!G:G,'reasons for reduction division'!B94,'reductions data'!A:A,$K$72)</f>
        <v>0</v>
      </c>
      <c r="L94" s="71">
        <f>SUMIFS('reductions data'!H:H,'reductions data'!G:G,'reasons for reduction division'!B94,'reductions data'!A:A,$L$72)</f>
        <v>0</v>
      </c>
      <c r="M94" s="71">
        <f>SUMIFS('reductions data'!H:H,'reductions data'!G:G,'reasons for reduction division'!B94,'reductions data'!A:A,$M$72)</f>
        <v>0</v>
      </c>
      <c r="N94" s="71">
        <f>SUMIFS('reductions data'!H:H,'reductions data'!G:G,'reasons for reduction division'!B94,'reductions data'!A:A,$N$72)</f>
        <v>0</v>
      </c>
      <c r="O94" s="115">
        <f>SUMIF('reductions data'!G:G,'reasons for reduction division'!B94,'reductions data'!H:H)</f>
        <v>0</v>
      </c>
    </row>
    <row r="95" spans="2:15" x14ac:dyDescent="0.15">
      <c r="B95" s="123" t="s">
        <v>966</v>
      </c>
      <c r="C95" s="71">
        <f>SUMIFS('reductions data'!H:H,'reductions data'!G:G,'reasons for reduction division'!B95,'reductions data'!A:A,$C$72)</f>
        <v>0</v>
      </c>
      <c r="D95" s="71">
        <f>SUMIFS('reductions data'!H:H,'reductions data'!G:G,'reasons for reduction division'!B95,'reductions data'!A:A,$D$72)</f>
        <v>0</v>
      </c>
      <c r="E95" s="71">
        <f>SUMIFS('reductions data'!H:H,'reductions data'!G:G,'reasons for reduction division'!B95,'reductions data'!A:A,$E$72)</f>
        <v>0</v>
      </c>
      <c r="F95" s="71">
        <f>SUMIFS('reductions data'!H:H,'reductions data'!G:G,'reasons for reduction division'!B95,'reductions data'!A:A,$F$72)</f>
        <v>0</v>
      </c>
      <c r="G95" s="71">
        <f>SUMIFS('reductions data'!H:H,'reductions data'!G:G,'reasons for reduction division'!B95,'reductions data'!A:A,$G$72)</f>
        <v>0</v>
      </c>
      <c r="H95" s="71">
        <f>SUMIFS('reductions data'!H:H,'reductions data'!G:G,'reasons for reduction division'!B95,'reductions data'!A:A,$H$72)</f>
        <v>0</v>
      </c>
      <c r="I95" s="71">
        <f>SUMIFS('reductions data'!H:H,'reductions data'!G:G,'reasons for reduction division'!B95,'reductions data'!A:A,$I$72)</f>
        <v>0</v>
      </c>
      <c r="J95" s="71">
        <f>SUMIFS('reductions data'!H:H,'reductions data'!G:G,'reasons for reduction division'!B95,'reductions data'!A:A,$J$72)</f>
        <v>0</v>
      </c>
      <c r="K95" s="71">
        <f>SUMIFS('reductions data'!H:H,'reductions data'!G:G,'reasons for reduction division'!B95,'reductions data'!A:A,$K$72)</f>
        <v>0</v>
      </c>
      <c r="L95" s="71">
        <f>SUMIFS('reductions data'!H:H,'reductions data'!G:G,'reasons for reduction division'!B95,'reductions data'!A:A,$L$72)</f>
        <v>0</v>
      </c>
      <c r="M95" s="71">
        <f>SUMIFS('reductions data'!H:H,'reductions data'!G:G,'reasons for reduction division'!B95,'reductions data'!A:A,$M$72)</f>
        <v>0</v>
      </c>
      <c r="N95" s="71">
        <f>SUMIFS('reductions data'!H:H,'reductions data'!G:G,'reasons for reduction division'!B95,'reductions data'!A:A,$N$72)</f>
        <v>0</v>
      </c>
      <c r="O95" s="115">
        <f>SUMIF('reductions data'!G:G,'reasons for reduction division'!B95,'reductions data'!H:H)</f>
        <v>0</v>
      </c>
    </row>
    <row r="96" spans="2:15" ht="15.75" customHeight="1" x14ac:dyDescent="0.15">
      <c r="B96" s="210" t="s">
        <v>1054</v>
      </c>
      <c r="C96" s="71">
        <f>SUMIFS('reductions data'!H:H,'reductions data'!G:G,'reasons for reduction division'!B96,'reductions data'!A:A,$C$72)</f>
        <v>0</v>
      </c>
      <c r="D96" s="71">
        <f>SUMIFS('reductions data'!H:H,'reductions data'!G:G,'reasons for reduction division'!B96,'reductions data'!A:A,$D$72)</f>
        <v>0</v>
      </c>
      <c r="E96" s="71">
        <f>SUMIFS('reductions data'!H:H,'reductions data'!G:G,'reasons for reduction division'!B96,'reductions data'!A:A,$E$72)</f>
        <v>0</v>
      </c>
      <c r="F96" s="71">
        <f>SUMIFS('reductions data'!H:H,'reductions data'!G:G,'reasons for reduction division'!B96,'reductions data'!A:A,$F$72)</f>
        <v>0</v>
      </c>
      <c r="G96" s="71">
        <f>SUMIFS('reductions data'!H:H,'reductions data'!G:G,'reasons for reduction division'!B96,'reductions data'!A:A,$G$72)</f>
        <v>0</v>
      </c>
      <c r="H96" s="71">
        <f>SUMIFS('reductions data'!H:H,'reductions data'!G:G,'reasons for reduction division'!B96,'reductions data'!A:A,$H$72)</f>
        <v>0</v>
      </c>
      <c r="I96" s="71">
        <f>SUMIFS('reductions data'!H:H,'reductions data'!G:G,'reasons for reduction division'!B96,'reductions data'!A:A,$I$72)</f>
        <v>0</v>
      </c>
      <c r="J96" s="71">
        <f>SUMIFS('reductions data'!H:H,'reductions data'!G:G,'reasons for reduction division'!B96,'reductions data'!A:A,$J$72)</f>
        <v>0</v>
      </c>
      <c r="K96" s="71">
        <f>SUMIFS('reductions data'!H:H,'reductions data'!G:G,'reasons for reduction division'!B96,'reductions data'!A:A,$K$72)</f>
        <v>0</v>
      </c>
      <c r="L96" s="71">
        <f>SUMIFS('reductions data'!H:H,'reductions data'!G:G,'reasons for reduction division'!B96,'reductions data'!A:A,$L$72)</f>
        <v>0</v>
      </c>
      <c r="M96" s="71">
        <f>SUMIFS('reductions data'!H:H,'reductions data'!G:G,'reasons for reduction division'!B96,'reductions data'!A:A,$M$72)</f>
        <v>0</v>
      </c>
      <c r="N96" s="71">
        <f>SUMIFS('reductions data'!H:H,'reductions data'!G:G,'reasons for reduction division'!B96,'reductions data'!A:A,$N$72)</f>
        <v>0</v>
      </c>
      <c r="O96" s="115">
        <f>SUMIF('reductions data'!G:G,'reasons for reduction division'!B96,'reductions data'!H:H)</f>
        <v>0</v>
      </c>
    </row>
    <row r="97" spans="2:15" x14ac:dyDescent="0.15">
      <c r="B97" s="123" t="s">
        <v>972</v>
      </c>
      <c r="C97" s="71">
        <f>SUMIFS('reductions data'!H:H,'reductions data'!G:G,'reasons for reduction division'!B97,'reductions data'!A:A,$C$72)</f>
        <v>0</v>
      </c>
      <c r="D97" s="71">
        <f>SUMIFS('reductions data'!H:H,'reductions data'!G:G,'reasons for reduction division'!B97,'reductions data'!A:A,$D$72)</f>
        <v>0</v>
      </c>
      <c r="E97" s="71">
        <f>SUMIFS('reductions data'!H:H,'reductions data'!G:G,'reasons for reduction division'!B97,'reductions data'!A:A,$E$72)</f>
        <v>0</v>
      </c>
      <c r="F97" s="71">
        <f>SUMIFS('reductions data'!H:H,'reductions data'!G:G,'reasons for reduction division'!B97,'reductions data'!A:A,$F$72)</f>
        <v>0</v>
      </c>
      <c r="G97" s="71">
        <f>SUMIFS('reductions data'!H:H,'reductions data'!G:G,'reasons for reduction division'!B97,'reductions data'!A:A,$G$72)</f>
        <v>0</v>
      </c>
      <c r="H97" s="71">
        <f>SUMIFS('reductions data'!H:H,'reductions data'!G:G,'reasons for reduction division'!B97,'reductions data'!A:A,$H$72)</f>
        <v>0</v>
      </c>
      <c r="I97" s="71">
        <f>SUMIFS('reductions data'!H:H,'reductions data'!G:G,'reasons for reduction division'!B97,'reductions data'!A:A,$I$72)</f>
        <v>0</v>
      </c>
      <c r="J97" s="71">
        <f>SUMIFS('reductions data'!H:H,'reductions data'!G:G,'reasons for reduction division'!B97,'reductions data'!A:A,$J$72)</f>
        <v>0</v>
      </c>
      <c r="K97" s="71">
        <f>SUMIFS('reductions data'!H:H,'reductions data'!G:G,'reasons for reduction division'!B97,'reductions data'!A:A,$K$72)</f>
        <v>0</v>
      </c>
      <c r="L97" s="71">
        <f>SUMIFS('reductions data'!H:H,'reductions data'!G:G,'reasons for reduction division'!B97,'reductions data'!A:A,$L$72)</f>
        <v>0</v>
      </c>
      <c r="M97" s="71">
        <f>SUMIFS('reductions data'!H:H,'reductions data'!G:G,'reasons for reduction division'!B97,'reductions data'!A:A,$M$72)</f>
        <v>0</v>
      </c>
      <c r="N97" s="71">
        <f>SUMIFS('reductions data'!H:H,'reductions data'!G:G,'reasons for reduction division'!B97,'reductions data'!A:A,$N$72)</f>
        <v>0</v>
      </c>
      <c r="O97" s="115">
        <f>SUMIF('reductions data'!G:G,'reasons for reduction division'!B97,'reductions data'!H:H)</f>
        <v>0</v>
      </c>
    </row>
    <row r="98" spans="2:15" x14ac:dyDescent="0.15">
      <c r="B98" s="123" t="s">
        <v>952</v>
      </c>
      <c r="C98" s="71">
        <f>SUMIFS('reductions data'!H:H,'reductions data'!G:G,'reasons for reduction division'!B98,'reductions data'!A:A,$C$72)</f>
        <v>0</v>
      </c>
      <c r="D98" s="71">
        <f>SUMIFS('reductions data'!H:H,'reductions data'!G:G,'reasons for reduction division'!B98,'reductions data'!A:A,$D$72)</f>
        <v>0</v>
      </c>
      <c r="E98" s="71">
        <f>SUMIFS('reductions data'!H:H,'reductions data'!G:G,'reasons for reduction division'!B98,'reductions data'!A:A,$E$72)</f>
        <v>0</v>
      </c>
      <c r="F98" s="71">
        <f>SUMIFS('reductions data'!H:H,'reductions data'!G:G,'reasons for reduction division'!B98,'reductions data'!A:A,$F$72)</f>
        <v>0</v>
      </c>
      <c r="G98" s="71">
        <f>SUMIFS('reductions data'!H:H,'reductions data'!G:G,'reasons for reduction division'!B98,'reductions data'!A:A,$G$72)</f>
        <v>0</v>
      </c>
      <c r="H98" s="71">
        <f>SUMIFS('reductions data'!H:H,'reductions data'!G:G,'reasons for reduction division'!B98,'reductions data'!A:A,$H$72)</f>
        <v>0</v>
      </c>
      <c r="I98" s="71">
        <f>SUMIFS('reductions data'!H:H,'reductions data'!G:G,'reasons for reduction division'!B98,'reductions data'!A:A,$I$72)</f>
        <v>0</v>
      </c>
      <c r="J98" s="71">
        <f>SUMIFS('reductions data'!H:H,'reductions data'!G:G,'reasons for reduction division'!B98,'reductions data'!A:A,$J$72)</f>
        <v>0</v>
      </c>
      <c r="K98" s="71">
        <f>SUMIFS('reductions data'!H:H,'reductions data'!G:G,'reasons for reduction division'!B98,'reductions data'!A:A,$K$72)</f>
        <v>0</v>
      </c>
      <c r="L98" s="71">
        <f>SUMIFS('reductions data'!H:H,'reductions data'!G:G,'reasons for reduction division'!B98,'reductions data'!A:A,$L$72)</f>
        <v>0</v>
      </c>
      <c r="M98" s="71">
        <f>SUMIFS('reductions data'!H:H,'reductions data'!G:G,'reasons for reduction division'!B98,'reductions data'!A:A,$M$72)</f>
        <v>0</v>
      </c>
      <c r="N98" s="71">
        <f>SUMIFS('reductions data'!H:H,'reductions data'!G:G,'reasons for reduction division'!B98,'reductions data'!A:A,$N$72)</f>
        <v>0</v>
      </c>
      <c r="O98" s="115">
        <f>SUMIF('reductions data'!G:G,'reasons for reduction division'!B98,'reductions data'!H:H)</f>
        <v>0</v>
      </c>
    </row>
    <row r="99" spans="2:15" x14ac:dyDescent="0.15">
      <c r="B99" s="123" t="s">
        <v>953</v>
      </c>
      <c r="C99" s="71">
        <f>SUMIFS('reductions data'!H:H,'reductions data'!G:G,'reasons for reduction division'!B99,'reductions data'!A:A,$C$72)</f>
        <v>0</v>
      </c>
      <c r="D99" s="71">
        <f>SUMIFS('reductions data'!H:H,'reductions data'!G:G,'reasons for reduction division'!B99,'reductions data'!A:A,$D$72)</f>
        <v>0</v>
      </c>
      <c r="E99" s="71">
        <f>SUMIFS('reductions data'!H:H,'reductions data'!G:G,'reasons for reduction division'!B99,'reductions data'!A:A,$E$72)</f>
        <v>0</v>
      </c>
      <c r="F99" s="71">
        <f>SUMIFS('reductions data'!H:H,'reductions data'!G:G,'reasons for reduction division'!B99,'reductions data'!A:A,$F$72)</f>
        <v>0</v>
      </c>
      <c r="G99" s="71">
        <f>SUMIFS('reductions data'!H:H,'reductions data'!G:G,'reasons for reduction division'!B99,'reductions data'!A:A,$G$72)</f>
        <v>0</v>
      </c>
      <c r="H99" s="71">
        <f>SUMIFS('reductions data'!H:H,'reductions data'!G:G,'reasons for reduction division'!B99,'reductions data'!A:A,$H$72)</f>
        <v>0</v>
      </c>
      <c r="I99" s="71">
        <f>SUMIFS('reductions data'!H:H,'reductions data'!G:G,'reasons for reduction division'!B99,'reductions data'!A:A,$I$72)</f>
        <v>0</v>
      </c>
      <c r="J99" s="71">
        <f>SUMIFS('reductions data'!H:H,'reductions data'!G:G,'reasons for reduction division'!B99,'reductions data'!A:A,$J$72)</f>
        <v>0</v>
      </c>
      <c r="K99" s="71">
        <f>SUMIFS('reductions data'!H:H,'reductions data'!G:G,'reasons for reduction division'!B99,'reductions data'!A:A,$K$72)</f>
        <v>0</v>
      </c>
      <c r="L99" s="71">
        <f>SUMIFS('reductions data'!H:H,'reductions data'!G:G,'reasons for reduction division'!B99,'reductions data'!A:A,$L$72)</f>
        <v>0</v>
      </c>
      <c r="M99" s="71">
        <f>SUMIFS('reductions data'!H:H,'reductions data'!G:G,'reasons for reduction division'!B99,'reductions data'!A:A,$M$72)</f>
        <v>0</v>
      </c>
      <c r="N99" s="71">
        <f>SUMIFS('reductions data'!H:H,'reductions data'!G:G,'reasons for reduction division'!B99,'reductions data'!A:A,$N$72)</f>
        <v>0</v>
      </c>
      <c r="O99" s="115">
        <f>SUMIF('reductions data'!G:G,'reasons for reduction division'!B99,'reductions data'!H:H)</f>
        <v>0</v>
      </c>
    </row>
    <row r="100" spans="2:15" x14ac:dyDescent="0.15">
      <c r="B100" s="123" t="s">
        <v>959</v>
      </c>
      <c r="C100" s="71">
        <f>SUMIFS('reductions data'!H:H,'reductions data'!G:G,'reasons for reduction division'!B100,'reductions data'!A:A,$C$72)</f>
        <v>0</v>
      </c>
      <c r="D100" s="71">
        <f>SUMIFS('reductions data'!H:H,'reductions data'!G:G,'reasons for reduction division'!B100,'reductions data'!A:A,$D$72)</f>
        <v>0</v>
      </c>
      <c r="E100" s="71">
        <f>SUMIFS('reductions data'!H:H,'reductions data'!G:G,'reasons for reduction division'!B100,'reductions data'!A:A,$E$72)</f>
        <v>0</v>
      </c>
      <c r="F100" s="71">
        <f>SUMIFS('reductions data'!H:H,'reductions data'!G:G,'reasons for reduction division'!B100,'reductions data'!A:A,$F$72)</f>
        <v>0</v>
      </c>
      <c r="G100" s="71">
        <f>SUMIFS('reductions data'!H:H,'reductions data'!G:G,'reasons for reduction division'!B100,'reductions data'!A:A,$G$72)</f>
        <v>0</v>
      </c>
      <c r="H100" s="71">
        <f>SUMIFS('reductions data'!H:H,'reductions data'!G:G,'reasons for reduction division'!B100,'reductions data'!A:A,$H$72)</f>
        <v>0</v>
      </c>
      <c r="I100" s="71">
        <f>SUMIFS('reductions data'!H:H,'reductions data'!G:G,'reasons for reduction division'!B100,'reductions data'!A:A,$I$72)</f>
        <v>0</v>
      </c>
      <c r="J100" s="71">
        <f>SUMIFS('reductions data'!H:H,'reductions data'!G:G,'reasons for reduction division'!B100,'reductions data'!A:A,$J$72)</f>
        <v>0</v>
      </c>
      <c r="K100" s="71">
        <f>SUMIFS('reductions data'!H:H,'reductions data'!G:G,'reasons for reduction division'!B100,'reductions data'!A:A,$K$72)</f>
        <v>0</v>
      </c>
      <c r="L100" s="71">
        <f>SUMIFS('reductions data'!H:H,'reductions data'!G:G,'reasons for reduction division'!B100,'reductions data'!A:A,$L$72)</f>
        <v>0</v>
      </c>
      <c r="M100" s="71">
        <f>SUMIFS('reductions data'!H:H,'reductions data'!G:G,'reasons for reduction division'!B100,'reductions data'!A:A,$M$72)</f>
        <v>0</v>
      </c>
      <c r="N100" s="71">
        <f>SUMIFS('reductions data'!H:H,'reductions data'!G:G,'reasons for reduction division'!B100,'reductions data'!A:A,$N$72)</f>
        <v>0</v>
      </c>
      <c r="O100" s="115">
        <f>SUMIF('reductions data'!G:G,'reasons for reduction division'!B100,'reductions data'!H:H)</f>
        <v>0</v>
      </c>
    </row>
    <row r="101" spans="2:15" x14ac:dyDescent="0.15">
      <c r="B101" s="123" t="s">
        <v>955</v>
      </c>
      <c r="C101" s="71">
        <f>SUMIFS('reductions data'!H:H,'reductions data'!G:G,'reasons for reduction division'!B101,'reductions data'!A:A,$C$72)</f>
        <v>0</v>
      </c>
      <c r="D101" s="71">
        <f>SUMIFS('reductions data'!H:H,'reductions data'!G:G,'reasons for reduction division'!B101,'reductions data'!A:A,$D$72)</f>
        <v>0</v>
      </c>
      <c r="E101" s="71">
        <f>SUMIFS('reductions data'!H:H,'reductions data'!G:G,'reasons for reduction division'!B101,'reductions data'!A:A,$E$72)</f>
        <v>0</v>
      </c>
      <c r="F101" s="71">
        <f>SUMIFS('reductions data'!H:H,'reductions data'!G:G,'reasons for reduction division'!B101,'reductions data'!A:A,$F$72)</f>
        <v>0</v>
      </c>
      <c r="G101" s="71">
        <f>SUMIFS('reductions data'!H:H,'reductions data'!G:G,'reasons for reduction division'!B101,'reductions data'!A:A,$G$72)</f>
        <v>0</v>
      </c>
      <c r="H101" s="71">
        <f>SUMIFS('reductions data'!H:H,'reductions data'!G:G,'reasons for reduction division'!B101,'reductions data'!A:A,$H$72)</f>
        <v>0</v>
      </c>
      <c r="I101" s="71">
        <f>SUMIFS('reductions data'!H:H,'reductions data'!G:G,'reasons for reduction division'!B101,'reductions data'!A:A,$I$72)</f>
        <v>0</v>
      </c>
      <c r="J101" s="71">
        <f>SUMIFS('reductions data'!H:H,'reductions data'!G:G,'reasons for reduction division'!B101,'reductions data'!A:A,$J$72)</f>
        <v>0</v>
      </c>
      <c r="K101" s="71">
        <f>SUMIFS('reductions data'!H:H,'reductions data'!G:G,'reasons for reduction division'!B101,'reductions data'!A:A,$K$72)</f>
        <v>0</v>
      </c>
      <c r="L101" s="71">
        <f>SUMIFS('reductions data'!H:H,'reductions data'!G:G,'reasons for reduction division'!B101,'reductions data'!A:A,$L$72)</f>
        <v>0</v>
      </c>
      <c r="M101" s="71">
        <f>SUMIFS('reductions data'!H:H,'reductions data'!G:G,'reasons for reduction division'!B101,'reductions data'!A:A,$M$72)</f>
        <v>0</v>
      </c>
      <c r="N101" s="71">
        <f>SUMIFS('reductions data'!H:H,'reductions data'!G:G,'reasons for reduction division'!B101,'reductions data'!A:A,$N$72)</f>
        <v>0</v>
      </c>
      <c r="O101" s="115">
        <f>SUMIF('reductions data'!G:G,'reasons for reduction division'!B101,'reductions data'!H:H)</f>
        <v>0</v>
      </c>
    </row>
    <row r="102" spans="2:15" x14ac:dyDescent="0.15">
      <c r="B102" s="123" t="s">
        <v>956</v>
      </c>
      <c r="C102" s="71">
        <f>SUMIFS('reductions data'!H:H,'reductions data'!G:G,'reasons for reduction division'!B102,'reductions data'!A:A,$C$72)</f>
        <v>0</v>
      </c>
      <c r="D102" s="71">
        <f>SUMIFS('reductions data'!H:H,'reductions data'!G:G,'reasons for reduction division'!B102,'reductions data'!A:A,$D$72)</f>
        <v>0</v>
      </c>
      <c r="E102" s="71">
        <f>SUMIFS('reductions data'!H:H,'reductions data'!G:G,'reasons for reduction division'!B102,'reductions data'!A:A,$E$72)</f>
        <v>0</v>
      </c>
      <c r="F102" s="71">
        <f>SUMIFS('reductions data'!H:H,'reductions data'!G:G,'reasons for reduction division'!B102,'reductions data'!A:A,$F$72)</f>
        <v>0</v>
      </c>
      <c r="G102" s="71">
        <f>SUMIFS('reductions data'!H:H,'reductions data'!G:G,'reasons for reduction division'!B102,'reductions data'!A:A,$G$72)</f>
        <v>0</v>
      </c>
      <c r="H102" s="71">
        <f>SUMIFS('reductions data'!H:H,'reductions data'!G:G,'reasons for reduction division'!B102,'reductions data'!A:A,$H$72)</f>
        <v>0</v>
      </c>
      <c r="I102" s="71">
        <f>SUMIFS('reductions data'!H:H,'reductions data'!G:G,'reasons for reduction division'!B102,'reductions data'!A:A,$I$72)</f>
        <v>0</v>
      </c>
      <c r="J102" s="71">
        <f>SUMIFS('reductions data'!H:H,'reductions data'!G:G,'reasons for reduction division'!B102,'reductions data'!A:A,$J$72)</f>
        <v>0</v>
      </c>
      <c r="K102" s="71">
        <f>SUMIFS('reductions data'!H:H,'reductions data'!G:G,'reasons for reduction division'!B102,'reductions data'!A:A,$K$72)</f>
        <v>0</v>
      </c>
      <c r="L102" s="71">
        <f>SUMIFS('reductions data'!H:H,'reductions data'!G:G,'reasons for reduction division'!B102,'reductions data'!A:A,$L$72)</f>
        <v>0</v>
      </c>
      <c r="M102" s="71">
        <f>SUMIFS('reductions data'!H:H,'reductions data'!G:G,'reasons for reduction division'!B102,'reductions data'!A:A,$M$72)</f>
        <v>0</v>
      </c>
      <c r="N102" s="71">
        <f>SUMIFS('reductions data'!H:H,'reductions data'!G:G,'reasons for reduction division'!B102,'reductions data'!A:A,$N$72)</f>
        <v>0</v>
      </c>
      <c r="O102" s="115">
        <f>SUMIF('reductions data'!G:G,'reasons for reduction division'!B102,'reductions data'!H:H)</f>
        <v>0</v>
      </c>
    </row>
    <row r="103" spans="2:15" x14ac:dyDescent="0.15">
      <c r="B103" s="123" t="s">
        <v>948</v>
      </c>
      <c r="C103" s="71">
        <f>SUMIFS('reductions data'!H:H,'reductions data'!G:G,'reasons for reduction division'!B103,'reductions data'!A:A,$C$72)</f>
        <v>0</v>
      </c>
      <c r="D103" s="71">
        <f>SUMIFS('reductions data'!H:H,'reductions data'!G:G,'reasons for reduction division'!B103,'reductions data'!A:A,$D$72)</f>
        <v>0</v>
      </c>
      <c r="E103" s="71">
        <f>SUMIFS('reductions data'!H:H,'reductions data'!G:G,'reasons for reduction division'!B103,'reductions data'!A:A,$E$72)</f>
        <v>0</v>
      </c>
      <c r="F103" s="71">
        <f>SUMIFS('reductions data'!H:H,'reductions data'!G:G,'reasons for reduction division'!B103,'reductions data'!A:A,$F$72)</f>
        <v>0</v>
      </c>
      <c r="G103" s="71">
        <f>SUMIFS('reductions data'!H:H,'reductions data'!G:G,'reasons for reduction division'!B103,'reductions data'!A:A,$G$72)</f>
        <v>0</v>
      </c>
      <c r="H103" s="71">
        <f>SUMIFS('reductions data'!H:H,'reductions data'!G:G,'reasons for reduction division'!B103,'reductions data'!A:A,$H$72)</f>
        <v>0</v>
      </c>
      <c r="I103" s="71">
        <f>SUMIFS('reductions data'!H:H,'reductions data'!G:G,'reasons for reduction division'!B103,'reductions data'!A:A,$I$72)</f>
        <v>0</v>
      </c>
      <c r="J103" s="71">
        <f>SUMIFS('reductions data'!H:H,'reductions data'!G:G,'reasons for reduction division'!B103,'reductions data'!A:A,$J$72)</f>
        <v>0</v>
      </c>
      <c r="K103" s="71">
        <f>SUMIFS('reductions data'!H:H,'reductions data'!G:G,'reasons for reduction division'!B103,'reductions data'!A:A,$K$72)</f>
        <v>0</v>
      </c>
      <c r="L103" s="71">
        <f>SUMIFS('reductions data'!H:H,'reductions data'!G:G,'reasons for reduction division'!B103,'reductions data'!A:A,$L$72)</f>
        <v>0</v>
      </c>
      <c r="M103" s="71">
        <f>SUMIFS('reductions data'!H:H,'reductions data'!G:G,'reasons for reduction division'!B103,'reductions data'!A:A,$M$72)</f>
        <v>0</v>
      </c>
      <c r="N103" s="71">
        <f>SUMIFS('reductions data'!H:H,'reductions data'!G:G,'reasons for reduction division'!B103,'reductions data'!A:A,$N$72)</f>
        <v>0</v>
      </c>
      <c r="O103" s="115">
        <f>SUMIF('reductions data'!G:G,'reasons for reduction division'!B103,'reductions data'!H:H)</f>
        <v>0</v>
      </c>
    </row>
    <row r="104" spans="2:15" x14ac:dyDescent="0.15">
      <c r="B104" s="123" t="s">
        <v>954</v>
      </c>
      <c r="C104" s="71">
        <f>SUMIFS('reductions data'!H:H,'reductions data'!G:G,'reasons for reduction division'!B104,'reductions data'!A:A,$C$72)</f>
        <v>0</v>
      </c>
      <c r="D104" s="71">
        <f>SUMIFS('reductions data'!H:H,'reductions data'!G:G,'reasons for reduction division'!B104,'reductions data'!A:A,$D$72)</f>
        <v>0</v>
      </c>
      <c r="E104" s="71">
        <f>SUMIFS('reductions data'!H:H,'reductions data'!G:G,'reasons for reduction division'!B104,'reductions data'!A:A,$E$72)</f>
        <v>0</v>
      </c>
      <c r="F104" s="71">
        <f>SUMIFS('reductions data'!H:H,'reductions data'!G:G,'reasons for reduction division'!B104,'reductions data'!A:A,$F$72)</f>
        <v>0</v>
      </c>
      <c r="G104" s="71">
        <f>SUMIFS('reductions data'!H:H,'reductions data'!G:G,'reasons for reduction division'!B104,'reductions data'!A:A,$G$72)</f>
        <v>0</v>
      </c>
      <c r="H104" s="71">
        <f>SUMIFS('reductions data'!H:H,'reductions data'!G:G,'reasons for reduction division'!B104,'reductions data'!A:A,$H$72)</f>
        <v>0</v>
      </c>
      <c r="I104" s="71">
        <f>SUMIFS('reductions data'!H:H,'reductions data'!G:G,'reasons for reduction division'!B104,'reductions data'!A:A,$I$72)</f>
        <v>0</v>
      </c>
      <c r="J104" s="71">
        <f>SUMIFS('reductions data'!H:H,'reductions data'!G:G,'reasons for reduction division'!B104,'reductions data'!A:A,$J$72)</f>
        <v>0</v>
      </c>
      <c r="K104" s="71">
        <f>SUMIFS('reductions data'!H:H,'reductions data'!G:G,'reasons for reduction division'!B104,'reductions data'!A:A,$K$72)</f>
        <v>0</v>
      </c>
      <c r="L104" s="71">
        <f>SUMIFS('reductions data'!H:H,'reductions data'!G:G,'reasons for reduction division'!B104,'reductions data'!A:A,$L$72)</f>
        <v>0</v>
      </c>
      <c r="M104" s="71">
        <f>SUMIFS('reductions data'!H:H,'reductions data'!G:G,'reasons for reduction division'!B104,'reductions data'!A:A,$M$72)</f>
        <v>0</v>
      </c>
      <c r="N104" s="71">
        <f>SUMIFS('reductions data'!H:H,'reductions data'!G:G,'reasons for reduction division'!B104,'reductions data'!A:A,$N$72)</f>
        <v>0</v>
      </c>
      <c r="O104" s="115">
        <f>SUMIF('reductions data'!G:G,'reasons for reduction division'!B104,'reductions data'!H:H)</f>
        <v>0</v>
      </c>
    </row>
    <row r="105" spans="2:15" x14ac:dyDescent="0.15">
      <c r="B105" s="123" t="s">
        <v>973</v>
      </c>
      <c r="C105" s="71">
        <f>SUMIFS('reductions data'!H:H,'reductions data'!G:G,'reasons for reduction division'!B105,'reductions data'!A:A,$C$72)</f>
        <v>0</v>
      </c>
      <c r="D105" s="71">
        <f>SUMIFS('reductions data'!H:H,'reductions data'!G:G,'reasons for reduction division'!B105,'reductions data'!A:A,$D$72)</f>
        <v>0</v>
      </c>
      <c r="E105" s="71">
        <f>SUMIFS('reductions data'!H:H,'reductions data'!G:G,'reasons for reduction division'!B105,'reductions data'!A:A,$E$72)</f>
        <v>0</v>
      </c>
      <c r="F105" s="71">
        <f>SUMIFS('reductions data'!H:H,'reductions data'!G:G,'reasons for reduction division'!B105,'reductions data'!A:A,$F$72)</f>
        <v>0</v>
      </c>
      <c r="G105" s="71">
        <f>SUMIFS('reductions data'!H:H,'reductions data'!G:G,'reasons for reduction division'!B105,'reductions data'!A:A,$G$72)</f>
        <v>0</v>
      </c>
      <c r="H105" s="71">
        <f>SUMIFS('reductions data'!H:H,'reductions data'!G:G,'reasons for reduction division'!B105,'reductions data'!A:A,$H$72)</f>
        <v>0</v>
      </c>
      <c r="I105" s="71">
        <f>SUMIFS('reductions data'!H:H,'reductions data'!G:G,'reasons for reduction division'!B105,'reductions data'!A:A,$I$72)</f>
        <v>0</v>
      </c>
      <c r="J105" s="71">
        <f>SUMIFS('reductions data'!H:H,'reductions data'!G:G,'reasons for reduction division'!B105,'reductions data'!A:A,$J$72)</f>
        <v>0</v>
      </c>
      <c r="K105" s="71">
        <f>SUMIFS('reductions data'!H:H,'reductions data'!G:G,'reasons for reduction division'!B105,'reductions data'!A:A,$K$72)</f>
        <v>0</v>
      </c>
      <c r="L105" s="71">
        <f>SUMIFS('reductions data'!H:H,'reductions data'!G:G,'reasons for reduction division'!B105,'reductions data'!A:A,$L$72)</f>
        <v>0</v>
      </c>
      <c r="M105" s="71">
        <f>SUMIFS('reductions data'!H:H,'reductions data'!G:G,'reasons for reduction division'!B105,'reductions data'!A:A,$M$72)</f>
        <v>0</v>
      </c>
      <c r="N105" s="71">
        <f>SUMIFS('reductions data'!H:H,'reductions data'!G:G,'reasons for reduction division'!B105,'reductions data'!A:A,$N$72)</f>
        <v>0</v>
      </c>
      <c r="O105" s="115">
        <f>SUMIF('reductions data'!G:G,'reasons for reduction division'!B105,'reductions data'!H:H)</f>
        <v>0</v>
      </c>
    </row>
    <row r="106" spans="2:15" x14ac:dyDescent="0.15">
      <c r="B106" s="123" t="s">
        <v>965</v>
      </c>
      <c r="C106" s="71">
        <f>SUMIFS('reductions data'!H:H,'reductions data'!G:G,'reasons for reduction division'!B106,'reductions data'!A:A,$C$72)</f>
        <v>0</v>
      </c>
      <c r="D106" s="71">
        <f>SUMIFS('reductions data'!H:H,'reductions data'!G:G,'reasons for reduction division'!B106,'reductions data'!A:A,$D$72)</f>
        <v>0</v>
      </c>
      <c r="E106" s="71">
        <f>SUMIFS('reductions data'!H:H,'reductions data'!G:G,'reasons for reduction division'!B106,'reductions data'!A:A,$E$72)</f>
        <v>0</v>
      </c>
      <c r="F106" s="71">
        <f>SUMIFS('reductions data'!H:H,'reductions data'!G:G,'reasons for reduction division'!B106,'reductions data'!A:A,$F$72)</f>
        <v>0</v>
      </c>
      <c r="G106" s="71">
        <f>SUMIFS('reductions data'!H:H,'reductions data'!G:G,'reasons for reduction division'!B106,'reductions data'!A:A,$G$72)</f>
        <v>0</v>
      </c>
      <c r="H106" s="71">
        <f>SUMIFS('reductions data'!H:H,'reductions data'!G:G,'reasons for reduction division'!B106,'reductions data'!A:A,$H$72)</f>
        <v>0</v>
      </c>
      <c r="I106" s="71">
        <f>SUMIFS('reductions data'!H:H,'reductions data'!G:G,'reasons for reduction division'!B106,'reductions data'!A:A,$I$72)</f>
        <v>0</v>
      </c>
      <c r="J106" s="71">
        <f>SUMIFS('reductions data'!H:H,'reductions data'!G:G,'reasons for reduction division'!B106,'reductions data'!A:A,$J$72)</f>
        <v>0</v>
      </c>
      <c r="K106" s="71">
        <f>SUMIFS('reductions data'!H:H,'reductions data'!G:G,'reasons for reduction division'!B106,'reductions data'!A:A,$K$72)</f>
        <v>0</v>
      </c>
      <c r="L106" s="71">
        <f>SUMIFS('reductions data'!H:H,'reductions data'!G:G,'reasons for reduction division'!B106,'reductions data'!A:A,$L$72)</f>
        <v>0</v>
      </c>
      <c r="M106" s="71">
        <f>SUMIFS('reductions data'!H:H,'reductions data'!G:G,'reasons for reduction division'!B106,'reductions data'!A:A,$M$72)</f>
        <v>0</v>
      </c>
      <c r="N106" s="71">
        <f>SUMIFS('reductions data'!H:H,'reductions data'!G:G,'reasons for reduction division'!B106,'reductions data'!A:A,$N$72)</f>
        <v>0</v>
      </c>
      <c r="O106" s="115">
        <f>SUMIF('reductions data'!G:G,'reasons for reduction division'!B106,'reductions data'!H:H)</f>
        <v>0</v>
      </c>
    </row>
    <row r="107" spans="2:15" x14ac:dyDescent="0.15">
      <c r="B107" s="123" t="s">
        <v>976</v>
      </c>
      <c r="C107" s="71">
        <f>SUMIFS('reductions data'!H:H,'reductions data'!G:G,'reasons for reduction division'!B107,'reductions data'!A:A,$C$72)</f>
        <v>0</v>
      </c>
      <c r="D107" s="71">
        <f>SUMIFS('reductions data'!H:H,'reductions data'!G:G,'reasons for reduction division'!B107,'reductions data'!A:A,$D$72)</f>
        <v>0</v>
      </c>
      <c r="E107" s="71">
        <f>SUMIFS('reductions data'!H:H,'reductions data'!G:G,'reasons for reduction division'!B107,'reductions data'!A:A,$E$72)</f>
        <v>0</v>
      </c>
      <c r="F107" s="71">
        <f>SUMIFS('reductions data'!H:H,'reductions data'!G:G,'reasons for reduction division'!B107,'reductions data'!A:A,$F$72)</f>
        <v>0</v>
      </c>
      <c r="G107" s="71">
        <f>SUMIFS('reductions data'!H:H,'reductions data'!G:G,'reasons for reduction division'!B107,'reductions data'!A:A,$G$72)</f>
        <v>0</v>
      </c>
      <c r="H107" s="71">
        <f>SUMIFS('reductions data'!H:H,'reductions data'!G:G,'reasons for reduction division'!B107,'reductions data'!A:A,$H$72)</f>
        <v>0</v>
      </c>
      <c r="I107" s="71">
        <f>SUMIFS('reductions data'!H:H,'reductions data'!G:G,'reasons for reduction division'!B107,'reductions data'!A:A,$I$72)</f>
        <v>0</v>
      </c>
      <c r="J107" s="71">
        <f>SUMIFS('reductions data'!H:H,'reductions data'!G:G,'reasons for reduction division'!B107,'reductions data'!A:A,$J$72)</f>
        <v>0</v>
      </c>
      <c r="K107" s="71">
        <f>SUMIFS('reductions data'!H:H,'reductions data'!G:G,'reasons for reduction division'!B107,'reductions data'!A:A,$K$72)</f>
        <v>0</v>
      </c>
      <c r="L107" s="71">
        <f>SUMIFS('reductions data'!H:H,'reductions data'!G:G,'reasons for reduction division'!B107,'reductions data'!A:A,$L$72)</f>
        <v>0</v>
      </c>
      <c r="M107" s="71">
        <f>SUMIFS('reductions data'!H:H,'reductions data'!G:G,'reasons for reduction division'!B107,'reductions data'!A:A,$M$72)</f>
        <v>0</v>
      </c>
      <c r="N107" s="71">
        <f>SUMIFS('reductions data'!H:H,'reductions data'!G:G,'reasons for reduction division'!B107,'reductions data'!A:A,$N$72)</f>
        <v>0</v>
      </c>
      <c r="O107" s="115">
        <f>SUMIF('reductions data'!G:G,'reasons for reduction division'!B107,'reductions data'!H:H)</f>
        <v>0</v>
      </c>
    </row>
    <row r="108" spans="2:15" x14ac:dyDescent="0.15">
      <c r="B108" s="123" t="s">
        <v>977</v>
      </c>
      <c r="C108" s="71">
        <f>SUMIFS('reductions data'!H:H,'reductions data'!G:G,'reasons for reduction division'!B108,'reductions data'!A:A,$C$72)</f>
        <v>0</v>
      </c>
      <c r="D108" s="71">
        <f>SUMIFS('reductions data'!H:H,'reductions data'!G:G,'reasons for reduction division'!B108,'reductions data'!A:A,$D$72)</f>
        <v>0</v>
      </c>
      <c r="E108" s="71">
        <f>SUMIFS('reductions data'!H:H,'reductions data'!G:G,'reasons for reduction division'!B108,'reductions data'!A:A,$E$72)</f>
        <v>0</v>
      </c>
      <c r="F108" s="71">
        <f>SUMIFS('reductions data'!H:H,'reductions data'!G:G,'reasons for reduction division'!B108,'reductions data'!A:A,$F$72)</f>
        <v>0</v>
      </c>
      <c r="G108" s="71">
        <f>SUMIFS('reductions data'!H:H,'reductions data'!G:G,'reasons for reduction division'!B108,'reductions data'!A:A,$G$72)</f>
        <v>0</v>
      </c>
      <c r="H108" s="71">
        <f>SUMIFS('reductions data'!H:H,'reductions data'!G:G,'reasons for reduction division'!B108,'reductions data'!A:A,$H$72)</f>
        <v>0</v>
      </c>
      <c r="I108" s="71">
        <f>SUMIFS('reductions data'!H:H,'reductions data'!G:G,'reasons for reduction division'!B108,'reductions data'!A:A,$I$72)</f>
        <v>0</v>
      </c>
      <c r="J108" s="71">
        <f>SUMIFS('reductions data'!H:H,'reductions data'!G:G,'reasons for reduction division'!B108,'reductions data'!A:A,$J$72)</f>
        <v>0</v>
      </c>
      <c r="K108" s="71">
        <f>SUMIFS('reductions data'!H:H,'reductions data'!G:G,'reasons for reduction division'!B108,'reductions data'!A:A,$K$72)</f>
        <v>0</v>
      </c>
      <c r="L108" s="71">
        <f>SUMIFS('reductions data'!H:H,'reductions data'!G:G,'reasons for reduction division'!B108,'reductions data'!A:A,$L$72)</f>
        <v>0</v>
      </c>
      <c r="M108" s="71">
        <f>SUMIFS('reductions data'!H:H,'reductions data'!G:G,'reasons for reduction division'!B108,'reductions data'!A:A,$M$72)</f>
        <v>0</v>
      </c>
      <c r="N108" s="71">
        <f>SUMIFS('reductions data'!H:H,'reductions data'!G:G,'reasons for reduction division'!B108,'reductions data'!A:A,$N$72)</f>
        <v>0</v>
      </c>
      <c r="O108" s="115">
        <f>SUMIF('reductions data'!G:G,'reasons for reduction division'!B108,'reductions data'!H:H)</f>
        <v>0</v>
      </c>
    </row>
    <row r="109" spans="2:15" x14ac:dyDescent="0.15">
      <c r="B109" s="123" t="s">
        <v>961</v>
      </c>
      <c r="C109" s="71">
        <f>SUMIFS('reductions data'!H:H,'reductions data'!G:G,'reasons for reduction division'!B109,'reductions data'!A:A,$C$72)</f>
        <v>0</v>
      </c>
      <c r="D109" s="71">
        <f>SUMIFS('reductions data'!H:H,'reductions data'!G:G,'reasons for reduction division'!B109,'reductions data'!A:A,$D$72)</f>
        <v>0</v>
      </c>
      <c r="E109" s="71">
        <f>SUMIFS('reductions data'!H:H,'reductions data'!G:G,'reasons for reduction division'!B109,'reductions data'!A:A,$E$72)</f>
        <v>0</v>
      </c>
      <c r="F109" s="71">
        <f>SUMIFS('reductions data'!H:H,'reductions data'!G:G,'reasons for reduction division'!B109,'reductions data'!A:A,$F$72)</f>
        <v>0</v>
      </c>
      <c r="G109" s="71">
        <f>SUMIFS('reductions data'!H:H,'reductions data'!G:G,'reasons for reduction division'!B109,'reductions data'!A:A,$G$72)</f>
        <v>0</v>
      </c>
      <c r="H109" s="71">
        <f>SUMIFS('reductions data'!H:H,'reductions data'!G:G,'reasons for reduction division'!B109,'reductions data'!A:A,$H$72)</f>
        <v>0</v>
      </c>
      <c r="I109" s="71">
        <f>SUMIFS('reductions data'!H:H,'reductions data'!G:G,'reasons for reduction division'!B109,'reductions data'!A:A,$I$72)</f>
        <v>0</v>
      </c>
      <c r="J109" s="71">
        <f>SUMIFS('reductions data'!H:H,'reductions data'!G:G,'reasons for reduction division'!B109,'reductions data'!A:A,$J$72)</f>
        <v>0</v>
      </c>
      <c r="K109" s="71">
        <f>SUMIFS('reductions data'!H:H,'reductions data'!G:G,'reasons for reduction division'!B109,'reductions data'!A:A,$K$72)</f>
        <v>0</v>
      </c>
      <c r="L109" s="71">
        <f>SUMIFS('reductions data'!H:H,'reductions data'!G:G,'reasons for reduction division'!B109,'reductions data'!A:A,$L$72)</f>
        <v>0</v>
      </c>
      <c r="M109" s="71">
        <f>SUMIFS('reductions data'!H:H,'reductions data'!G:G,'reasons for reduction division'!B109,'reductions data'!A:A,$M$72)</f>
        <v>0</v>
      </c>
      <c r="N109" s="71">
        <f>SUMIFS('reductions data'!H:H,'reductions data'!G:G,'reasons for reduction division'!B109,'reductions data'!A:A,$N$72)</f>
        <v>0</v>
      </c>
      <c r="O109" s="115">
        <f>SUMIF('reductions data'!G:G,'reasons for reduction division'!B109,'reductions data'!H:H)</f>
        <v>0</v>
      </c>
    </row>
    <row r="110" spans="2:15" x14ac:dyDescent="0.15">
      <c r="B110" s="123" t="s">
        <v>994</v>
      </c>
      <c r="C110" s="71">
        <f>SUMIFS('reductions data'!H:H,'reductions data'!G:G,'reasons for reduction division'!B110,'reductions data'!A:A,$C$72)</f>
        <v>0</v>
      </c>
      <c r="D110" s="71">
        <f>SUMIFS('reductions data'!H:H,'reductions data'!G:G,'reasons for reduction division'!B110,'reductions data'!A:A,$D$72)</f>
        <v>0</v>
      </c>
      <c r="E110" s="71">
        <f>SUMIFS('reductions data'!H:H,'reductions data'!G:G,'reasons for reduction division'!B110,'reductions data'!A:A,$E$72)</f>
        <v>0</v>
      </c>
      <c r="F110" s="71">
        <f>SUMIFS('reductions data'!H:H,'reductions data'!G:G,'reasons for reduction division'!B110,'reductions data'!A:A,$F$72)</f>
        <v>0</v>
      </c>
      <c r="G110" s="71">
        <f>SUMIFS('reductions data'!H:H,'reductions data'!G:G,'reasons for reduction division'!B110,'reductions data'!A:A,$G$72)</f>
        <v>0</v>
      </c>
      <c r="H110" s="71">
        <f>SUMIFS('reductions data'!H:H,'reductions data'!G:G,'reasons for reduction division'!B110,'reductions data'!A:A,$H$72)</f>
        <v>0</v>
      </c>
      <c r="I110" s="71">
        <f>SUMIFS('reductions data'!H:H,'reductions data'!G:G,'reasons for reduction division'!B110,'reductions data'!A:A,$I$72)</f>
        <v>0</v>
      </c>
      <c r="J110" s="71">
        <f>SUMIFS('reductions data'!H:H,'reductions data'!G:G,'reasons for reduction division'!B110,'reductions data'!A:A,$J$72)</f>
        <v>0</v>
      </c>
      <c r="K110" s="71">
        <f>SUMIFS('reductions data'!H:H,'reductions data'!G:G,'reasons for reduction division'!B110,'reductions data'!A:A,$K$72)</f>
        <v>0</v>
      </c>
      <c r="L110" s="71">
        <f>SUMIFS('reductions data'!H:H,'reductions data'!G:G,'reasons for reduction division'!B110,'reductions data'!A:A,$L$72)</f>
        <v>0</v>
      </c>
      <c r="M110" s="71">
        <f>SUMIFS('reductions data'!H:H,'reductions data'!G:G,'reasons for reduction division'!B110,'reductions data'!A:A,$M$72)</f>
        <v>0</v>
      </c>
      <c r="N110" s="71">
        <f>SUMIFS('reductions data'!H:H,'reductions data'!G:G,'reasons for reduction division'!B110,'reductions data'!A:A,$N$72)</f>
        <v>0</v>
      </c>
      <c r="O110" s="115">
        <f>SUMIF('reductions data'!G:G,'reasons for reduction division'!B110,'reductions data'!H:H)</f>
        <v>0</v>
      </c>
    </row>
    <row r="111" spans="2:15" x14ac:dyDescent="0.15">
      <c r="B111" s="123" t="s">
        <v>946</v>
      </c>
      <c r="C111" s="71">
        <f>SUMIFS('reductions data'!H:H,'reductions data'!G:G,'reasons for reduction division'!B111,'reductions data'!A:A,$C$72)</f>
        <v>0</v>
      </c>
      <c r="D111" s="71">
        <f>SUMIFS('reductions data'!H:H,'reductions data'!G:G,'reasons for reduction division'!B111,'reductions data'!A:A,$D$72)</f>
        <v>0</v>
      </c>
      <c r="E111" s="71">
        <f>SUMIFS('reductions data'!H:H,'reductions data'!G:G,'reasons for reduction division'!B111,'reductions data'!A:A,$E$72)</f>
        <v>0</v>
      </c>
      <c r="F111" s="71">
        <f>SUMIFS('reductions data'!H:H,'reductions data'!G:G,'reasons for reduction division'!B111,'reductions data'!A:A,$F$72)</f>
        <v>0</v>
      </c>
      <c r="G111" s="71">
        <f>SUMIFS('reductions data'!H:H,'reductions data'!G:G,'reasons for reduction division'!B111,'reductions data'!A:A,$G$72)</f>
        <v>0</v>
      </c>
      <c r="H111" s="71">
        <f>SUMIFS('reductions data'!H:H,'reductions data'!G:G,'reasons for reduction division'!B111,'reductions data'!A:A,$H$72)</f>
        <v>0</v>
      </c>
      <c r="I111" s="71">
        <f>SUMIFS('reductions data'!H:H,'reductions data'!G:G,'reasons for reduction division'!B111,'reductions data'!A:A,$I$72)</f>
        <v>0</v>
      </c>
      <c r="J111" s="71">
        <f>SUMIFS('reductions data'!H:H,'reductions data'!G:G,'reasons for reduction division'!B111,'reductions data'!A:A,$J$72)</f>
        <v>0</v>
      </c>
      <c r="K111" s="71">
        <f>SUMIFS('reductions data'!H:H,'reductions data'!G:G,'reasons for reduction division'!B111,'reductions data'!A:A,$K$72)</f>
        <v>0</v>
      </c>
      <c r="L111" s="71">
        <f>SUMIFS('reductions data'!H:H,'reductions data'!G:G,'reasons for reduction division'!B111,'reductions data'!A:A,$L$72)</f>
        <v>0</v>
      </c>
      <c r="M111" s="71">
        <f>SUMIFS('reductions data'!H:H,'reductions data'!G:G,'reasons for reduction division'!B111,'reductions data'!A:A,$M$72)</f>
        <v>0</v>
      </c>
      <c r="N111" s="71">
        <f>SUMIFS('reductions data'!H:H,'reductions data'!G:G,'reasons for reduction division'!B111,'reductions data'!A:A,$N$72)</f>
        <v>0</v>
      </c>
      <c r="O111" s="115">
        <f>SUMIF('reductions data'!G:G,'reasons for reduction division'!B111,'reductions data'!H:H)</f>
        <v>0</v>
      </c>
    </row>
    <row r="112" spans="2:15" x14ac:dyDescent="0.15">
      <c r="B112" s="123" t="s">
        <v>969</v>
      </c>
      <c r="C112" s="71">
        <f>SUMIFS('reductions data'!H:H,'reductions data'!G:G,'reasons for reduction division'!B112,'reductions data'!A:A,$C$72)</f>
        <v>0</v>
      </c>
      <c r="D112" s="71">
        <f>SUMIFS('reductions data'!H:H,'reductions data'!G:G,'reasons for reduction division'!B112,'reductions data'!A:A,$D$72)</f>
        <v>0</v>
      </c>
      <c r="E112" s="71">
        <f>SUMIFS('reductions data'!H:H,'reductions data'!G:G,'reasons for reduction division'!B112,'reductions data'!A:A,$E$72)</f>
        <v>0</v>
      </c>
      <c r="F112" s="71">
        <f>SUMIFS('reductions data'!H:H,'reductions data'!G:G,'reasons for reduction division'!B112,'reductions data'!A:A,$F$72)</f>
        <v>0</v>
      </c>
      <c r="G112" s="71">
        <f>SUMIFS('reductions data'!H:H,'reductions data'!G:G,'reasons for reduction division'!B112,'reductions data'!A:A,$G$72)</f>
        <v>0</v>
      </c>
      <c r="H112" s="71">
        <f>SUMIFS('reductions data'!H:H,'reductions data'!G:G,'reasons for reduction division'!B112,'reductions data'!A:A,$H$72)</f>
        <v>0</v>
      </c>
      <c r="I112" s="71">
        <f>SUMIFS('reductions data'!H:H,'reductions data'!G:G,'reasons for reduction division'!B112,'reductions data'!A:A,$I$72)</f>
        <v>0</v>
      </c>
      <c r="J112" s="71">
        <f>SUMIFS('reductions data'!H:H,'reductions data'!G:G,'reasons for reduction division'!B112,'reductions data'!A:A,$J$72)</f>
        <v>0</v>
      </c>
      <c r="K112" s="71">
        <f>SUMIFS('reductions data'!H:H,'reductions data'!G:G,'reasons for reduction division'!B112,'reductions data'!A:A,$K$72)</f>
        <v>0</v>
      </c>
      <c r="L112" s="71">
        <f>SUMIFS('reductions data'!H:H,'reductions data'!G:G,'reasons for reduction division'!B112,'reductions data'!A:A,$L$72)</f>
        <v>0</v>
      </c>
      <c r="M112" s="71">
        <f>SUMIFS('reductions data'!H:H,'reductions data'!G:G,'reasons for reduction division'!B112,'reductions data'!A:A,$M$72)</f>
        <v>0</v>
      </c>
      <c r="N112" s="71">
        <f>SUMIFS('reductions data'!H:H,'reductions data'!G:G,'reasons for reduction division'!B112,'reductions data'!A:A,$N$72)</f>
        <v>0</v>
      </c>
      <c r="O112" s="115">
        <f>SUMIF('reductions data'!G:G,'reasons for reduction division'!B112,'reductions data'!H:H)</f>
        <v>0</v>
      </c>
    </row>
    <row r="113" spans="2:15" x14ac:dyDescent="0.15">
      <c r="B113" s="123" t="s">
        <v>967</v>
      </c>
      <c r="C113" s="71">
        <f>SUMIFS('reductions data'!H:H,'reductions data'!G:G,'reasons for reduction division'!B113,'reductions data'!A:A,$C$72)</f>
        <v>0</v>
      </c>
      <c r="D113" s="71">
        <f>SUMIFS('reductions data'!H:H,'reductions data'!G:G,'reasons for reduction division'!B113,'reductions data'!A:A,$D$72)</f>
        <v>0</v>
      </c>
      <c r="E113" s="71">
        <f>SUMIFS('reductions data'!H:H,'reductions data'!G:G,'reasons for reduction division'!B113,'reductions data'!A:A,$E$72)</f>
        <v>0</v>
      </c>
      <c r="F113" s="71">
        <f>SUMIFS('reductions data'!H:H,'reductions data'!G:G,'reasons for reduction division'!B113,'reductions data'!A:A,$F$72)</f>
        <v>0</v>
      </c>
      <c r="G113" s="71">
        <f>SUMIFS('reductions data'!H:H,'reductions data'!G:G,'reasons for reduction division'!B113,'reductions data'!A:A,$G$72)</f>
        <v>0</v>
      </c>
      <c r="H113" s="71">
        <f>SUMIFS('reductions data'!H:H,'reductions data'!G:G,'reasons for reduction division'!B113,'reductions data'!A:A,$H$72)</f>
        <v>0</v>
      </c>
      <c r="I113" s="71">
        <f>SUMIFS('reductions data'!H:H,'reductions data'!G:G,'reasons for reduction division'!B113,'reductions data'!A:A,$I$72)</f>
        <v>0</v>
      </c>
      <c r="J113" s="71">
        <f>SUMIFS('reductions data'!H:H,'reductions data'!G:G,'reasons for reduction division'!B113,'reductions data'!A:A,$J$72)</f>
        <v>0</v>
      </c>
      <c r="K113" s="71">
        <f>SUMIFS('reductions data'!H:H,'reductions data'!G:G,'reasons for reduction division'!B113,'reductions data'!A:A,$K$72)</f>
        <v>0</v>
      </c>
      <c r="L113" s="71">
        <f>SUMIFS('reductions data'!H:H,'reductions data'!G:G,'reasons for reduction division'!B113,'reductions data'!A:A,$L$72)</f>
        <v>0</v>
      </c>
      <c r="M113" s="71">
        <f>SUMIFS('reductions data'!H:H,'reductions data'!G:G,'reasons for reduction division'!B113,'reductions data'!A:A,$M$72)</f>
        <v>0</v>
      </c>
      <c r="N113" s="71">
        <f>SUMIFS('reductions data'!H:H,'reductions data'!G:G,'reasons for reduction division'!B113,'reductions data'!A:A,$N$72)</f>
        <v>0</v>
      </c>
      <c r="O113" s="115">
        <f>SUMIF('reductions data'!G:G,'reasons for reduction division'!B113,'reductions data'!H:H)</f>
        <v>0</v>
      </c>
    </row>
    <row r="114" spans="2:15" x14ac:dyDescent="0.15">
      <c r="B114" s="123" t="s">
        <v>971</v>
      </c>
      <c r="C114" s="71">
        <f>SUMIFS('reductions data'!H:H,'reductions data'!G:G,'reasons for reduction division'!B114,'reductions data'!A:A,$C$72)</f>
        <v>0</v>
      </c>
      <c r="D114" s="71">
        <f>SUMIFS('reductions data'!H:H,'reductions data'!G:G,'reasons for reduction division'!B114,'reductions data'!A:A,$D$72)</f>
        <v>0</v>
      </c>
      <c r="E114" s="71">
        <f>SUMIFS('reductions data'!H:H,'reductions data'!G:G,'reasons for reduction division'!B114,'reductions data'!A:A,$E$72)</f>
        <v>0</v>
      </c>
      <c r="F114" s="71">
        <f>SUMIFS('reductions data'!H:H,'reductions data'!G:G,'reasons for reduction division'!B114,'reductions data'!A:A,$F$72)</f>
        <v>0</v>
      </c>
      <c r="G114" s="71">
        <f>SUMIFS('reductions data'!H:H,'reductions data'!G:G,'reasons for reduction division'!B114,'reductions data'!A:A,$G$72)</f>
        <v>0</v>
      </c>
      <c r="H114" s="71">
        <f>SUMIFS('reductions data'!H:H,'reductions data'!G:G,'reasons for reduction division'!B114,'reductions data'!A:A,$H$72)</f>
        <v>0</v>
      </c>
      <c r="I114" s="71">
        <f>SUMIFS('reductions data'!H:H,'reductions data'!G:G,'reasons for reduction division'!B114,'reductions data'!A:A,$I$72)</f>
        <v>0</v>
      </c>
      <c r="J114" s="71">
        <f>SUMIFS('reductions data'!H:H,'reductions data'!G:G,'reasons for reduction division'!B114,'reductions data'!A:A,$J$72)</f>
        <v>0</v>
      </c>
      <c r="K114" s="71">
        <f>SUMIFS('reductions data'!H:H,'reductions data'!G:G,'reasons for reduction division'!B114,'reductions data'!A:A,$K$72)</f>
        <v>0</v>
      </c>
      <c r="L114" s="71">
        <f>SUMIFS('reductions data'!H:H,'reductions data'!G:G,'reasons for reduction division'!B114,'reductions data'!A:A,$L$72)</f>
        <v>0</v>
      </c>
      <c r="M114" s="71">
        <f>SUMIFS('reductions data'!H:H,'reductions data'!G:G,'reasons for reduction division'!B114,'reductions data'!A:A,$M$72)</f>
        <v>0</v>
      </c>
      <c r="N114" s="71">
        <f>SUMIFS('reductions data'!H:H,'reductions data'!G:G,'reasons for reduction division'!B114,'reductions data'!A:A,$N$72)</f>
        <v>0</v>
      </c>
      <c r="O114" s="115">
        <f>SUMIF('reductions data'!G:G,'reasons for reduction division'!B114,'reductions data'!H:H)</f>
        <v>0</v>
      </c>
    </row>
    <row r="115" spans="2:15" x14ac:dyDescent="0.15">
      <c r="B115" s="237" t="s">
        <v>1113</v>
      </c>
      <c r="C115" s="187">
        <f>SUMIF('reductions data'!A:A,$C$72,'reductions data'!H:H)</f>
        <v>0</v>
      </c>
      <c r="D115" s="187">
        <f>SUMIF('reductions data'!A:A,$D$72,'reductions data'!H:H)</f>
        <v>0</v>
      </c>
      <c r="E115" s="187">
        <f>SUMIF('reductions data'!A:A,$E$72,'reductions data'!H:H)</f>
        <v>0</v>
      </c>
      <c r="F115" s="187">
        <f>SUMIF('reductions data'!A:A,$F$72,'reductions data'!H:H)</f>
        <v>0</v>
      </c>
      <c r="G115" s="187">
        <f>SUMIF('reductions data'!A:A,$G$72,'reductions data'!H:H)</f>
        <v>0</v>
      </c>
      <c r="H115" s="187">
        <f>SUMIF('reductions data'!A:A,$H$72,'reductions data'!H:H)</f>
        <v>0</v>
      </c>
      <c r="I115" s="187">
        <f>SUMIF('reductions data'!A:A,$I$72,'reductions data'!H:H)</f>
        <v>0</v>
      </c>
      <c r="J115" s="187">
        <f>SUMIF('reductions data'!A:A,$J$72,'reductions data'!H:H)</f>
        <v>0</v>
      </c>
      <c r="K115" s="187">
        <f>SUMIF('reductions data'!A:A,$K$72,'reductions data'!H:H)</f>
        <v>0</v>
      </c>
      <c r="L115" s="187">
        <f>SUMIF('reductions data'!A:A,$L$72,'reductions data'!H:H)</f>
        <v>0</v>
      </c>
      <c r="M115" s="187">
        <f>SUMIF('reductions data'!A:A,$M$72,'reductions data'!H:H)</f>
        <v>0</v>
      </c>
      <c r="N115" s="187">
        <f>SUMIF('reductions data'!$A:$A,N72,'reductions data'!$H:$H)</f>
        <v>0</v>
      </c>
      <c r="O115" s="197">
        <f>SUM('reductions data'!H:H)</f>
        <v>0</v>
      </c>
    </row>
    <row r="116" spans="2:15" x14ac:dyDescent="0.15">
      <c r="B116" s="187" t="s">
        <v>1216</v>
      </c>
      <c r="C116" s="187">
        <f>SUMIF('capacity data'!A:A,$C$72,'capacity data'!I:I)</f>
        <v>0</v>
      </c>
      <c r="D116" s="187">
        <f>SUMIF('capacity data'!A:A,$D$72,'capacity data'!I:I)</f>
        <v>0</v>
      </c>
      <c r="E116" s="187">
        <f>SUMIF('capacity data'!A:A,$E$72,'capacity data'!I:I)</f>
        <v>0</v>
      </c>
      <c r="F116" s="187">
        <f>SUMIF('capacity data'!A:A,$F$72,'capacity data'!I:I)</f>
        <v>0</v>
      </c>
      <c r="G116" s="187">
        <f>SUMIF('capacity data'!A:A,$G$72,'capacity data'!I:I)</f>
        <v>0</v>
      </c>
      <c r="H116" s="187">
        <f>SUMIF('capacity data'!A:A,$H$72,'capacity data'!I:I)</f>
        <v>0</v>
      </c>
      <c r="I116" s="187">
        <f>SUMIF('capacity data'!A:A,$I$72,'capacity data'!I:I)</f>
        <v>0</v>
      </c>
      <c r="J116" s="187">
        <f>SUMIF('capacity data'!A:A,$J$72,'capacity data'!I:I)</f>
        <v>0</v>
      </c>
      <c r="K116" s="187">
        <f>SUMIF('capacity data'!A:A,$K$72,'capacity data'!I:I)</f>
        <v>0</v>
      </c>
      <c r="L116" s="187">
        <f>SUMIF('capacity data'!A:A,$L$72,'capacity data'!I:I)</f>
        <v>0</v>
      </c>
      <c r="M116" s="187">
        <f>SUMIF('capacity data'!$A:$A,M$72,'capacity data'!$I:$I)</f>
        <v>0</v>
      </c>
      <c r="N116" s="187">
        <f>SUMIF('capacity data'!$A:$A,N$72,'capacity data'!$I:$I)</f>
        <v>0</v>
      </c>
      <c r="O116" s="187">
        <f>SUM(C116:N116)</f>
        <v>0</v>
      </c>
    </row>
    <row r="117" spans="2:15" x14ac:dyDescent="0.15">
      <c r="B117" s="236" t="s">
        <v>1217</v>
      </c>
      <c r="C117" s="198" t="e">
        <f t="shared" ref="C117:N117" si="0">C115/C116</f>
        <v>#DIV/0!</v>
      </c>
      <c r="D117" s="198" t="e">
        <f t="shared" si="0"/>
        <v>#DIV/0!</v>
      </c>
      <c r="E117" s="198" t="e">
        <f t="shared" si="0"/>
        <v>#DIV/0!</v>
      </c>
      <c r="F117" s="198" t="e">
        <f t="shared" si="0"/>
        <v>#DIV/0!</v>
      </c>
      <c r="G117" s="198" t="e">
        <f t="shared" si="0"/>
        <v>#DIV/0!</v>
      </c>
      <c r="H117" s="198" t="e">
        <f t="shared" si="0"/>
        <v>#DIV/0!</v>
      </c>
      <c r="I117" s="198" t="e">
        <f t="shared" si="0"/>
        <v>#DIV/0!</v>
      </c>
      <c r="J117" s="198" t="e">
        <f t="shared" si="0"/>
        <v>#DIV/0!</v>
      </c>
      <c r="K117" s="198" t="e">
        <f t="shared" si="0"/>
        <v>#DIV/0!</v>
      </c>
      <c r="L117" s="198" t="e">
        <f t="shared" si="0"/>
        <v>#DIV/0!</v>
      </c>
      <c r="M117" s="198" t="e">
        <f t="shared" si="0"/>
        <v>#DIV/0!</v>
      </c>
      <c r="N117" s="198" t="e">
        <f t="shared" si="0"/>
        <v>#DIV/0!</v>
      </c>
      <c r="O117" s="198" t="e">
        <f>O115/O116</f>
        <v>#DIV/0!</v>
      </c>
    </row>
  </sheetData>
  <mergeCells count="26">
    <mergeCell ref="A1:O1"/>
    <mergeCell ref="A2:O2"/>
    <mergeCell ref="C71:O71"/>
    <mergeCell ref="C24:O24"/>
    <mergeCell ref="B4:C5"/>
    <mergeCell ref="E22:F22"/>
    <mergeCell ref="E6:F6"/>
    <mergeCell ref="E7:F7"/>
    <mergeCell ref="E8:F8"/>
    <mergeCell ref="E9:F9"/>
    <mergeCell ref="E10:F10"/>
    <mergeCell ref="E11:F11"/>
    <mergeCell ref="E12:F12"/>
    <mergeCell ref="H4:H5"/>
    <mergeCell ref="G21:H21"/>
    <mergeCell ref="G22:H22"/>
    <mergeCell ref="E18:F18"/>
    <mergeCell ref="E19:F19"/>
    <mergeCell ref="E20:F20"/>
    <mergeCell ref="E21:F21"/>
    <mergeCell ref="E4:G5"/>
    <mergeCell ref="E13:F13"/>
    <mergeCell ref="E14:F14"/>
    <mergeCell ref="E15:F15"/>
    <mergeCell ref="E16:F16"/>
    <mergeCell ref="E17:F17"/>
  </mergeCells>
  <pageMargins left="0.7" right="0.7" top="0.75" bottom="0.75" header="0.3" footer="0.3"/>
  <pageSetup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2"/>
  <dimension ref="A1:Q51"/>
  <sheetViews>
    <sheetView showGridLines="0" zoomScale="85" zoomScaleNormal="85" workbookViewId="0">
      <selection activeCell="C14" sqref="C14"/>
    </sheetView>
  </sheetViews>
  <sheetFormatPr baseColWidth="10" defaultColWidth="8.83203125" defaultRowHeight="14" x14ac:dyDescent="0.15"/>
  <cols>
    <col min="1" max="1" width="41.5" customWidth="1"/>
    <col min="2" max="3" width="25.5" customWidth="1"/>
    <col min="4" max="4" width="9.1640625" customWidth="1"/>
    <col min="5" max="5" width="48.5" bestFit="1" customWidth="1"/>
    <col min="6" max="6" width="15.1640625" customWidth="1"/>
    <col min="7" max="7" width="16.83203125" customWidth="1"/>
  </cols>
  <sheetData>
    <row r="1" spans="1:17" ht="68.25" customHeight="1" x14ac:dyDescent="0.15">
      <c r="A1" s="445" t="s">
        <v>1218</v>
      </c>
      <c r="B1" s="445"/>
      <c r="C1" s="445"/>
      <c r="D1" s="445"/>
      <c r="E1" s="445"/>
      <c r="F1" s="445"/>
      <c r="G1" s="445"/>
      <c r="H1" s="445"/>
      <c r="I1" s="445"/>
      <c r="J1" s="445"/>
      <c r="K1" s="445"/>
      <c r="L1" s="445"/>
      <c r="M1" s="445"/>
      <c r="N1" s="445"/>
      <c r="O1" s="445"/>
      <c r="P1" s="445"/>
      <c r="Q1" s="445"/>
    </row>
    <row r="2" spans="1:17" ht="38.25" customHeight="1" x14ac:dyDescent="0.15">
      <c r="A2" s="446"/>
      <c r="B2" s="446"/>
      <c r="C2" s="446"/>
      <c r="D2" s="446"/>
      <c r="E2" s="446"/>
      <c r="F2" s="446"/>
      <c r="G2" s="446"/>
      <c r="H2" s="446"/>
      <c r="I2" s="446"/>
      <c r="J2" s="446"/>
      <c r="K2" s="446"/>
      <c r="L2" s="446"/>
      <c r="M2" s="446"/>
      <c r="N2" s="446"/>
      <c r="O2" s="446"/>
      <c r="P2" s="446"/>
      <c r="Q2" s="446"/>
    </row>
    <row r="4" spans="1:17" ht="30" x14ac:dyDescent="0.15">
      <c r="A4" s="39" t="s">
        <v>1073</v>
      </c>
    </row>
    <row r="5" spans="1:17" ht="15" x14ac:dyDescent="0.15">
      <c r="A5" s="60" t="s">
        <v>30</v>
      </c>
    </row>
    <row r="6" spans="1:17" ht="16" x14ac:dyDescent="0.2">
      <c r="A6" s="61" t="s">
        <v>64</v>
      </c>
      <c r="B6" s="48"/>
      <c r="C6" s="48"/>
    </row>
    <row r="8" spans="1:17" ht="16" x14ac:dyDescent="0.2">
      <c r="A8" s="447" t="s">
        <v>1082</v>
      </c>
      <c r="B8" s="448"/>
      <c r="C8" s="448"/>
    </row>
    <row r="9" spans="1:17" ht="30" x14ac:dyDescent="0.15">
      <c r="A9" s="239" t="s">
        <v>1045</v>
      </c>
      <c r="B9" s="40" t="s">
        <v>1046</v>
      </c>
      <c r="C9" s="40" t="s">
        <v>1047</v>
      </c>
      <c r="E9" s="449" t="s">
        <v>1083</v>
      </c>
      <c r="F9" s="449"/>
    </row>
    <row r="10" spans="1:17" x14ac:dyDescent="0.15">
      <c r="A10" s="122" t="s">
        <v>983</v>
      </c>
      <c r="B10" s="98">
        <f>COUNTIFS('reductions data'!B:B,$A$6,'reductions data'!G:G,A10)</f>
        <v>0</v>
      </c>
      <c r="C10" s="99">
        <f>SUMIFS('reductions data'!H:H,'reductions data'!B:B,$A$6,'reductions data'!G:G,A10)</f>
        <v>0</v>
      </c>
      <c r="E10" s="199" t="s">
        <v>1084</v>
      </c>
      <c r="F10" s="233">
        <f>COUNTIFS('reductions data'!B:B,'cluster reductions'!A6,'reductions data'!K:K,"ACTIVE")</f>
        <v>0</v>
      </c>
    </row>
    <row r="11" spans="1:17" x14ac:dyDescent="0.15">
      <c r="A11" s="123" t="s">
        <v>964</v>
      </c>
      <c r="B11" s="98">
        <f>COUNTIFS('reductions data'!B:B,$A$6,'reductions data'!G:G,A11)</f>
        <v>0</v>
      </c>
      <c r="C11" s="99">
        <f>SUMIFS('reductions data'!H:H,'reductions data'!B:B,$A$6,'reductions data'!G:G,A11)</f>
        <v>0</v>
      </c>
      <c r="E11" s="199" t="s">
        <v>1085</v>
      </c>
      <c r="F11" s="233">
        <f>SUMIF('reductions data'!B:B,'cluster reductions'!A6,'reductions data'!H:H)</f>
        <v>0</v>
      </c>
    </row>
    <row r="12" spans="1:17" x14ac:dyDescent="0.15">
      <c r="A12" s="123" t="s">
        <v>962</v>
      </c>
      <c r="B12" s="98">
        <f>COUNTIFS('reductions data'!B:B,$A$6,'reductions data'!G:G,A12)</f>
        <v>0</v>
      </c>
      <c r="C12" s="99">
        <f>SUMIFS('reductions data'!H:H,'reductions data'!B:B,$A$6,'reductions data'!G:G,A12)</f>
        <v>0</v>
      </c>
      <c r="E12" s="81" t="s">
        <v>1086</v>
      </c>
      <c r="F12" s="233">
        <f>SUMIF('capacity data'!B:B,'cluster reductions'!A6,'capacity data'!I:I)</f>
        <v>0</v>
      </c>
    </row>
    <row r="13" spans="1:17" x14ac:dyDescent="0.15">
      <c r="A13" s="123" t="s">
        <v>957</v>
      </c>
      <c r="B13" s="98">
        <f>COUNTIFS('reductions data'!B:B,$A$6,'reductions data'!G:G,A13)</f>
        <v>0</v>
      </c>
      <c r="C13" s="99">
        <f>SUMIFS('reductions data'!H:H,'reductions data'!B:B,$A$6,'reductions data'!G:G,A13)</f>
        <v>0</v>
      </c>
      <c r="E13" s="81" t="s">
        <v>1087</v>
      </c>
      <c r="F13" s="102" t="e">
        <f>F11/F12</f>
        <v>#DIV/0!</v>
      </c>
    </row>
    <row r="14" spans="1:17" x14ac:dyDescent="0.15">
      <c r="A14" s="123" t="s">
        <v>984</v>
      </c>
      <c r="B14" s="98">
        <f>COUNTIFS('reductions data'!B:B,$A$6,'reductions data'!G:G,A14)</f>
        <v>0</v>
      </c>
      <c r="C14" s="99">
        <f>SUMIFS('reductions data'!H:H,'reductions data'!B:B,$A$6,'reductions data'!G:G,A14)</f>
        <v>0</v>
      </c>
      <c r="E14" s="200" t="s">
        <v>1052</v>
      </c>
      <c r="F14" s="230" t="e">
        <f>+F13-'div &amp; regional reduction hours'!N18</f>
        <v>#DIV/0!</v>
      </c>
    </row>
    <row r="15" spans="1:17" x14ac:dyDescent="0.15">
      <c r="A15" s="123" t="s">
        <v>968</v>
      </c>
      <c r="B15" s="98">
        <f>COUNTIFS('reductions data'!B:B,$A$6,'reductions data'!G:G,A15)</f>
        <v>0</v>
      </c>
      <c r="C15" s="99">
        <f>SUMIFS('reductions data'!H:H,'reductions data'!B:B,$A$6,'reductions data'!G:G,A15)</f>
        <v>0</v>
      </c>
    </row>
    <row r="16" spans="1:17" x14ac:dyDescent="0.15">
      <c r="A16" s="123" t="s">
        <v>970</v>
      </c>
      <c r="B16" s="98">
        <f>COUNTIFS('reductions data'!B:B,$A$6,'reductions data'!G:G,A16)</f>
        <v>0</v>
      </c>
      <c r="C16" s="99">
        <f>SUMIFS('reductions data'!H:H,'reductions data'!B:B,$A$6,'reductions data'!G:G,A16)</f>
        <v>0</v>
      </c>
    </row>
    <row r="17" spans="1:3" x14ac:dyDescent="0.15">
      <c r="A17" s="123" t="s">
        <v>985</v>
      </c>
      <c r="B17" s="98">
        <f>COUNTIFS('reductions data'!B:B,$A$6,'reductions data'!G:G,A17)</f>
        <v>0</v>
      </c>
      <c r="C17" s="99">
        <f>SUMIFS('reductions data'!H:H,'reductions data'!B:B,$A$6,'reductions data'!G:G,A17)</f>
        <v>0</v>
      </c>
    </row>
    <row r="18" spans="1:3" x14ac:dyDescent="0.15">
      <c r="A18" s="123" t="s">
        <v>958</v>
      </c>
      <c r="B18" s="98">
        <f>COUNTIFS('reductions data'!B:B,$A$6,'reductions data'!G:G,A18)</f>
        <v>0</v>
      </c>
      <c r="C18" s="99">
        <f>SUMIFS('reductions data'!H:H,'reductions data'!B:B,$A$6,'reductions data'!G:G,A18)</f>
        <v>0</v>
      </c>
    </row>
    <row r="19" spans="1:3" x14ac:dyDescent="0.15">
      <c r="A19" s="123" t="s">
        <v>949</v>
      </c>
      <c r="B19" s="98">
        <f>COUNTIFS('reductions data'!B:B,$A$6,'reductions data'!G:G,A19)</f>
        <v>0</v>
      </c>
      <c r="C19" s="99">
        <f>SUMIFS('reductions data'!H:H,'reductions data'!B:B,$A$6,'reductions data'!G:G,A19)</f>
        <v>0</v>
      </c>
    </row>
    <row r="20" spans="1:3" x14ac:dyDescent="0.15">
      <c r="A20" s="123" t="s">
        <v>974</v>
      </c>
      <c r="B20" s="98">
        <f>COUNTIFS('reductions data'!B:B,$A$6,'reductions data'!G:G,A20)</f>
        <v>0</v>
      </c>
      <c r="C20" s="99">
        <f>SUMIFS('reductions data'!H:H,'reductions data'!B:B,$A$6,'reductions data'!G:G,A20)</f>
        <v>0</v>
      </c>
    </row>
    <row r="21" spans="1:3" x14ac:dyDescent="0.15">
      <c r="A21" s="123" t="s">
        <v>950</v>
      </c>
      <c r="B21" s="98">
        <f>COUNTIFS('reductions data'!B:B,$A$6,'reductions data'!G:G,A21)</f>
        <v>0</v>
      </c>
      <c r="C21" s="99">
        <f>SUMIFS('reductions data'!H:H,'reductions data'!B:B,$A$6,'reductions data'!G:G,A21)</f>
        <v>0</v>
      </c>
    </row>
    <row r="22" spans="1:3" x14ac:dyDescent="0.15">
      <c r="A22" s="123" t="s">
        <v>960</v>
      </c>
      <c r="B22" s="98">
        <f>COUNTIFS('reductions data'!B:B,$A$6,'reductions data'!G:G,A22)</f>
        <v>0</v>
      </c>
      <c r="C22" s="99">
        <f>SUMIFS('reductions data'!H:H,'reductions data'!B:B,$A$6,'reductions data'!G:G,A22)</f>
        <v>0</v>
      </c>
    </row>
    <row r="23" spans="1:3" x14ac:dyDescent="0.15">
      <c r="A23" s="123" t="s">
        <v>986</v>
      </c>
      <c r="B23" s="98">
        <f>COUNTIFS('reductions data'!B:B,$A$6,'reductions data'!G:G,A23)</f>
        <v>0</v>
      </c>
      <c r="C23" s="99">
        <f>SUMIFS('reductions data'!H:H,'reductions data'!B:B,$A$6,'reductions data'!G:G,A23)</f>
        <v>0</v>
      </c>
    </row>
    <row r="24" spans="1:3" x14ac:dyDescent="0.15">
      <c r="A24" s="123" t="s">
        <v>1053</v>
      </c>
      <c r="B24" s="98">
        <f>COUNTIFS('reductions data'!B:B,$A$6,'reductions data'!G:G,A24)</f>
        <v>0</v>
      </c>
      <c r="C24" s="99">
        <f>SUMIFS('reductions data'!H:H,'reductions data'!B:B,$A$6,'reductions data'!G:G,A24)</f>
        <v>0</v>
      </c>
    </row>
    <row r="25" spans="1:3" x14ac:dyDescent="0.15">
      <c r="A25" s="123" t="s">
        <v>988</v>
      </c>
      <c r="B25" s="98">
        <f>COUNTIFS('reductions data'!B:B,$A$6,'reductions data'!G:G,A25)</f>
        <v>0</v>
      </c>
      <c r="C25" s="99">
        <f>SUMIFS('reductions data'!H:H,'reductions data'!B:B,$A$6,'reductions data'!G:G,A25)</f>
        <v>0</v>
      </c>
    </row>
    <row r="26" spans="1:3" x14ac:dyDescent="0.15">
      <c r="A26" s="123" t="s">
        <v>989</v>
      </c>
      <c r="B26" s="98">
        <f>COUNTIFS('reductions data'!B:B,$A$6,'reductions data'!G:G,A26)</f>
        <v>0</v>
      </c>
      <c r="C26" s="99">
        <f>SUMIFS('reductions data'!H:H,'reductions data'!B:B,$A$6,'reductions data'!G:G,A26)</f>
        <v>0</v>
      </c>
    </row>
    <row r="27" spans="1:3" x14ac:dyDescent="0.15">
      <c r="A27" s="123" t="s">
        <v>947</v>
      </c>
      <c r="B27" s="98">
        <f>COUNTIFS('reductions data'!B:B,$A$6,'reductions data'!G:G,A27)</f>
        <v>0</v>
      </c>
      <c r="C27" s="99">
        <f>SUMIFS('reductions data'!H:H,'reductions data'!B:B,$A$6,'reductions data'!G:G,A27)</f>
        <v>0</v>
      </c>
    </row>
    <row r="28" spans="1:3" x14ac:dyDescent="0.15">
      <c r="A28" s="123" t="s">
        <v>978</v>
      </c>
      <c r="B28" s="98">
        <f>COUNTIFS('reductions data'!B:B,$A$6,'reductions data'!G:G,A28)</f>
        <v>0</v>
      </c>
      <c r="C28" s="99">
        <f>SUMIFS('reductions data'!H:H,'reductions data'!B:B,$A$6,'reductions data'!G:G,A28)</f>
        <v>0</v>
      </c>
    </row>
    <row r="29" spans="1:3" x14ac:dyDescent="0.15">
      <c r="A29" s="123" t="s">
        <v>963</v>
      </c>
      <c r="B29" s="98">
        <f>COUNTIFS('reductions data'!B:B,$A$6,'reductions data'!G:G,A29)</f>
        <v>0</v>
      </c>
      <c r="C29" s="99">
        <f>SUMIFS('reductions data'!H:H,'reductions data'!B:B,$A$6,'reductions data'!G:G,A29)</f>
        <v>0</v>
      </c>
    </row>
    <row r="30" spans="1:3" x14ac:dyDescent="0.15">
      <c r="A30" s="123" t="s">
        <v>990</v>
      </c>
      <c r="B30" s="98">
        <f>COUNTIFS('reductions data'!B:B,$A$6,'reductions data'!G:G,A30)</f>
        <v>0</v>
      </c>
      <c r="C30" s="99">
        <f>SUMIFS('reductions data'!H:H,'reductions data'!B:B,$A$6,'reductions data'!G:G,A30)</f>
        <v>0</v>
      </c>
    </row>
    <row r="31" spans="1:3" x14ac:dyDescent="0.15">
      <c r="A31" s="123" t="s">
        <v>991</v>
      </c>
      <c r="B31" s="98">
        <f>COUNTIFS('reductions data'!B:B,$A$6,'reductions data'!G:G,A31)</f>
        <v>0</v>
      </c>
      <c r="C31" s="99">
        <f>SUMIFS('reductions data'!H:H,'reductions data'!B:B,$A$6,'reductions data'!G:G,A31)</f>
        <v>0</v>
      </c>
    </row>
    <row r="32" spans="1:3" x14ac:dyDescent="0.15">
      <c r="A32" s="123" t="s">
        <v>966</v>
      </c>
      <c r="B32" s="98">
        <f>COUNTIFS('reductions data'!B:B,$A$6,'reductions data'!G:G,A32)</f>
        <v>0</v>
      </c>
      <c r="C32" s="99">
        <f>SUMIFS('reductions data'!H:H,'reductions data'!B:B,$A$6,'reductions data'!G:G,A32)</f>
        <v>0</v>
      </c>
    </row>
    <row r="33" spans="1:3" x14ac:dyDescent="0.15">
      <c r="A33" s="210" t="s">
        <v>1054</v>
      </c>
      <c r="B33" s="98">
        <f>COUNTIFS('reductions data'!B:B,$A$6,'reductions data'!G:G,A33)</f>
        <v>0</v>
      </c>
      <c r="C33" s="99">
        <f>SUMIFS('reductions data'!H:H,'reductions data'!B:B,$A$6,'reductions data'!G:G,A33)</f>
        <v>0</v>
      </c>
    </row>
    <row r="34" spans="1:3" x14ac:dyDescent="0.15">
      <c r="A34" s="123" t="s">
        <v>972</v>
      </c>
      <c r="B34" s="98">
        <f>COUNTIFS('reductions data'!B:B,$A$6,'reductions data'!G:G,A34)</f>
        <v>0</v>
      </c>
      <c r="C34" s="99">
        <f>SUMIFS('reductions data'!H:H,'reductions data'!B:B,$A$6,'reductions data'!G:G,A34)</f>
        <v>0</v>
      </c>
    </row>
    <row r="35" spans="1:3" x14ac:dyDescent="0.15">
      <c r="A35" s="123" t="s">
        <v>952</v>
      </c>
      <c r="B35" s="98">
        <f>COUNTIFS('reductions data'!B:B,$A$6,'reductions data'!G:G,A35)</f>
        <v>0</v>
      </c>
      <c r="C35" s="99">
        <f>SUMIFS('reductions data'!H:H,'reductions data'!B:B,$A$6,'reductions data'!G:G,A35)</f>
        <v>0</v>
      </c>
    </row>
    <row r="36" spans="1:3" x14ac:dyDescent="0.15">
      <c r="A36" s="123" t="s">
        <v>953</v>
      </c>
      <c r="B36" s="98">
        <f>COUNTIFS('reductions data'!B:B,$A$6,'reductions data'!G:G,A36)</f>
        <v>0</v>
      </c>
      <c r="C36" s="99">
        <f>SUMIFS('reductions data'!H:H,'reductions data'!B:B,$A$6,'reductions data'!G:G,A36)</f>
        <v>0</v>
      </c>
    </row>
    <row r="37" spans="1:3" x14ac:dyDescent="0.15">
      <c r="A37" s="123" t="s">
        <v>959</v>
      </c>
      <c r="B37" s="98">
        <f>COUNTIFS('reductions data'!B:B,$A$6,'reductions data'!G:G,A37)</f>
        <v>0</v>
      </c>
      <c r="C37" s="99">
        <f>SUMIFS('reductions data'!H:H,'reductions data'!B:B,$A$6,'reductions data'!G:G,A37)</f>
        <v>0</v>
      </c>
    </row>
    <row r="38" spans="1:3" x14ac:dyDescent="0.15">
      <c r="A38" s="123" t="s">
        <v>955</v>
      </c>
      <c r="B38" s="98">
        <f>COUNTIFS('reductions data'!B:B,$A$6,'reductions data'!G:G,A38)</f>
        <v>0</v>
      </c>
      <c r="C38" s="99">
        <f>SUMIFS('reductions data'!H:H,'reductions data'!B:B,$A$6,'reductions data'!G:G,A38)</f>
        <v>0</v>
      </c>
    </row>
    <row r="39" spans="1:3" x14ac:dyDescent="0.15">
      <c r="A39" s="123" t="s">
        <v>956</v>
      </c>
      <c r="B39" s="98">
        <f>COUNTIFS('reductions data'!B:B,$A$6,'reductions data'!G:G,A39)</f>
        <v>0</v>
      </c>
      <c r="C39" s="99">
        <f>SUMIFS('reductions data'!H:H,'reductions data'!B:B,$A$6,'reductions data'!G:G,A39)</f>
        <v>0</v>
      </c>
    </row>
    <row r="40" spans="1:3" x14ac:dyDescent="0.15">
      <c r="A40" s="123" t="s">
        <v>948</v>
      </c>
      <c r="B40" s="98">
        <f>COUNTIFS('reductions data'!B:B,$A$6,'reductions data'!G:G,A40)</f>
        <v>0</v>
      </c>
      <c r="C40" s="99">
        <f>SUMIFS('reductions data'!H:H,'reductions data'!B:B,$A$6,'reductions data'!G:G,A40)</f>
        <v>0</v>
      </c>
    </row>
    <row r="41" spans="1:3" x14ac:dyDescent="0.15">
      <c r="A41" s="123" t="s">
        <v>954</v>
      </c>
      <c r="B41" s="98">
        <f>COUNTIFS('reductions data'!B:B,$A$6,'reductions data'!G:G,A41)</f>
        <v>0</v>
      </c>
      <c r="C41" s="99">
        <f>SUMIFS('reductions data'!H:H,'reductions data'!B:B,$A$6,'reductions data'!G:G,A41)</f>
        <v>0</v>
      </c>
    </row>
    <row r="42" spans="1:3" x14ac:dyDescent="0.15">
      <c r="A42" s="123" t="s">
        <v>973</v>
      </c>
      <c r="B42" s="98">
        <f>COUNTIFS('reductions data'!B:B,$A$6,'reductions data'!G:G,A42)</f>
        <v>0</v>
      </c>
      <c r="C42" s="99">
        <f>SUMIFS('reductions data'!H:H,'reductions data'!B:B,$A$6,'reductions data'!G:G,A42)</f>
        <v>0</v>
      </c>
    </row>
    <row r="43" spans="1:3" x14ac:dyDescent="0.15">
      <c r="A43" s="123" t="s">
        <v>965</v>
      </c>
      <c r="B43" s="98">
        <f>COUNTIFS('reductions data'!B:B,$A$6,'reductions data'!G:G,A43)</f>
        <v>0</v>
      </c>
      <c r="C43" s="99">
        <f>SUMIFS('reductions data'!H:H,'reductions data'!B:B,$A$6,'reductions data'!G:G,A43)</f>
        <v>0</v>
      </c>
    </row>
    <row r="44" spans="1:3" x14ac:dyDescent="0.15">
      <c r="A44" s="123" t="s">
        <v>976</v>
      </c>
      <c r="B44" s="98">
        <f>COUNTIFS('reductions data'!B:B,$A$6,'reductions data'!G:G,A44)</f>
        <v>0</v>
      </c>
      <c r="C44" s="99">
        <f>SUMIFS('reductions data'!H:H,'reductions data'!B:B,$A$6,'reductions data'!G:G,A44)</f>
        <v>0</v>
      </c>
    </row>
    <row r="45" spans="1:3" x14ac:dyDescent="0.15">
      <c r="A45" s="123" t="s">
        <v>977</v>
      </c>
      <c r="B45" s="98">
        <f>COUNTIFS('reductions data'!B:B,$A$6,'reductions data'!G:G,A45)</f>
        <v>0</v>
      </c>
      <c r="C45" s="99">
        <f>SUMIFS('reductions data'!H:H,'reductions data'!B:B,$A$6,'reductions data'!G:G,A45)</f>
        <v>0</v>
      </c>
    </row>
    <row r="46" spans="1:3" x14ac:dyDescent="0.15">
      <c r="A46" s="123" t="s">
        <v>961</v>
      </c>
      <c r="B46" s="98">
        <f>COUNTIFS('reductions data'!B:B,$A$6,'reductions data'!G:G,A46)</f>
        <v>0</v>
      </c>
      <c r="C46" s="99">
        <f>SUMIFS('reductions data'!H:H,'reductions data'!B:B,$A$6,'reductions data'!G:G,A46)</f>
        <v>0</v>
      </c>
    </row>
    <row r="47" spans="1:3" x14ac:dyDescent="0.15">
      <c r="A47" s="123" t="s">
        <v>994</v>
      </c>
      <c r="B47" s="98">
        <f>COUNTIFS('reductions data'!B:B,$A$6,'reductions data'!G:G,A47)</f>
        <v>0</v>
      </c>
      <c r="C47" s="99">
        <f>SUMIFS('reductions data'!H:H,'reductions data'!B:B,$A$6,'reductions data'!G:G,A47)</f>
        <v>0</v>
      </c>
    </row>
    <row r="48" spans="1:3" x14ac:dyDescent="0.15">
      <c r="A48" s="123" t="s">
        <v>946</v>
      </c>
      <c r="B48" s="98">
        <f>COUNTIFS('reductions data'!B:B,$A$6,'reductions data'!G:G,A48)</f>
        <v>0</v>
      </c>
      <c r="C48" s="99">
        <f>SUMIFS('reductions data'!H:H,'reductions data'!B:B,$A$6,'reductions data'!G:G,A48)</f>
        <v>0</v>
      </c>
    </row>
    <row r="49" spans="1:3" x14ac:dyDescent="0.15">
      <c r="A49" s="123" t="s">
        <v>969</v>
      </c>
      <c r="B49" s="98">
        <f>COUNTIFS('reductions data'!B:B,$A$6,'reductions data'!G:G,A49)</f>
        <v>0</v>
      </c>
      <c r="C49" s="99">
        <f>SUMIFS('reductions data'!H:H,'reductions data'!B:B,$A$6,'reductions data'!G:G,A49)</f>
        <v>0</v>
      </c>
    </row>
    <row r="50" spans="1:3" x14ac:dyDescent="0.15">
      <c r="A50" t="s">
        <v>967</v>
      </c>
      <c r="B50" s="98">
        <f>COUNTIFS('reductions data'!B:B,$A$6,'reductions data'!G:G,A50)</f>
        <v>0</v>
      </c>
      <c r="C50" s="99">
        <f>SUMIFS('reductions data'!H:H,'reductions data'!B:B,$A$6,'reductions data'!G:G,A50)</f>
        <v>0</v>
      </c>
    </row>
    <row r="51" spans="1:3" x14ac:dyDescent="0.15">
      <c r="A51" s="123" t="s">
        <v>971</v>
      </c>
      <c r="B51" s="98">
        <f>COUNTIFS('reductions data'!B:B,$A$6,'reductions data'!G:G,A51)</f>
        <v>0</v>
      </c>
      <c r="C51" s="99">
        <f>SUMIFS('reductions data'!H:H,'reductions data'!B:B,$A$6,'reductions data'!G:G,A51)</f>
        <v>0</v>
      </c>
    </row>
  </sheetData>
  <sheetProtection autoFilter="0"/>
  <mergeCells count="4">
    <mergeCell ref="A1:Q1"/>
    <mergeCell ref="A2:Q2"/>
    <mergeCell ref="A8:C8"/>
    <mergeCell ref="E9:F9"/>
  </mergeCells>
  <dataValidations count="2">
    <dataValidation type="list" allowBlank="1" showInputMessage="1" showErrorMessage="1" sqref="A5" xr:uid="{A04E6D76-8AF4-4156-8A0D-203732FA2E56}">
      <formula1>Regions</formula1>
    </dataValidation>
    <dataValidation type="list" allowBlank="1" showInputMessage="1" showErrorMessage="1" sqref="A6" xr:uid="{7F0AB500-F3DF-45CD-BC62-74C0ABD71DFD}">
      <formula1>OFFSET(Anchor_Cell,1,MATCH($A$5,Team_Regions,0)-1,COUNTA(OFFSET(Anchor_Cell,1,MATCH(A5,Regions,0)-1,100)),1)</formula1>
    </dataValidation>
  </dataValidations>
  <pageMargins left="0.7" right="0.7" top="0.75" bottom="0.75" header="0.3" footer="0.3"/>
  <pageSetup paperSize="9"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3">
    <pageSetUpPr fitToPage="1"/>
  </sheetPr>
  <dimension ref="A1:AT19"/>
  <sheetViews>
    <sheetView showGridLines="0" topLeftCell="A4" zoomScale="85" zoomScaleNormal="85" workbookViewId="0">
      <selection activeCell="B6" sqref="B6"/>
    </sheetView>
  </sheetViews>
  <sheetFormatPr baseColWidth="10" defaultColWidth="9.1640625" defaultRowHeight="16" x14ac:dyDescent="0.2"/>
  <cols>
    <col min="1" max="1" width="4.5" style="1" customWidth="1"/>
    <col min="2" max="2" width="38.1640625" style="1" customWidth="1"/>
    <col min="3" max="3" width="13.83203125" style="2" bestFit="1" customWidth="1"/>
    <col min="4" max="4" width="12.83203125" style="2" customWidth="1"/>
    <col min="5" max="5" width="14.5" style="2" customWidth="1"/>
    <col min="6" max="6" width="14" style="2" customWidth="1"/>
    <col min="7" max="7" width="12.5" style="2" customWidth="1"/>
    <col min="8" max="8" width="14.83203125" style="2" customWidth="1"/>
    <col min="9" max="9" width="13.5" style="2" customWidth="1"/>
    <col min="10" max="10" width="12.5" style="2" customWidth="1"/>
    <col min="11" max="11" width="13.5" style="2" customWidth="1"/>
    <col min="12" max="12" width="15" style="2" customWidth="1"/>
    <col min="13" max="13" width="13.5" style="2" customWidth="1"/>
    <col min="14" max="14" width="14" style="2" customWidth="1"/>
    <col min="15" max="16384" width="9.1640625" style="1"/>
  </cols>
  <sheetData>
    <row r="1" spans="1:46" s="3" customFormat="1" ht="57" customHeight="1" x14ac:dyDescent="0.15">
      <c r="A1" s="450" t="s">
        <v>1219</v>
      </c>
      <c r="B1" s="450"/>
      <c r="C1" s="450"/>
      <c r="D1" s="450"/>
      <c r="E1" s="450"/>
      <c r="F1" s="450"/>
      <c r="G1" s="450"/>
      <c r="H1" s="450"/>
      <c r="I1" s="450"/>
      <c r="J1" s="450"/>
      <c r="K1" s="450"/>
      <c r="L1" s="450"/>
      <c r="M1" s="450"/>
      <c r="N1" s="450"/>
      <c r="O1" s="450"/>
      <c r="P1" s="450"/>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row>
    <row r="2" spans="1:46" ht="37.5" customHeight="1" x14ac:dyDescent="0.2">
      <c r="A2" s="451"/>
      <c r="B2" s="451"/>
      <c r="C2" s="451"/>
      <c r="D2" s="451"/>
      <c r="E2" s="451"/>
      <c r="F2" s="451"/>
      <c r="G2" s="451"/>
      <c r="H2" s="451"/>
      <c r="I2" s="451"/>
      <c r="J2" s="451"/>
      <c r="K2" s="451"/>
      <c r="L2" s="451"/>
      <c r="M2" s="451"/>
      <c r="N2" s="451"/>
      <c r="O2" s="451"/>
      <c r="P2" s="451"/>
      <c r="Q2" s="5"/>
      <c r="R2" s="5"/>
    </row>
    <row r="3" spans="1:46" s="2" customFormat="1" ht="17" thickBot="1" x14ac:dyDescent="0.25"/>
    <row r="4" spans="1:46" x14ac:dyDescent="0.2">
      <c r="B4" s="455" t="s">
        <v>1220</v>
      </c>
      <c r="C4" s="452" t="s">
        <v>911</v>
      </c>
      <c r="D4" s="453"/>
      <c r="E4" s="454"/>
      <c r="F4" s="452" t="s">
        <v>912</v>
      </c>
      <c r="G4" s="453"/>
      <c r="H4" s="454"/>
      <c r="I4" s="452" t="s">
        <v>913</v>
      </c>
      <c r="J4" s="453"/>
      <c r="K4" s="454"/>
      <c r="L4" s="453" t="s">
        <v>1221</v>
      </c>
      <c r="M4" s="453"/>
      <c r="N4" s="454"/>
      <c r="P4" s="5"/>
      <c r="Q4" s="5"/>
      <c r="R4" s="5"/>
    </row>
    <row r="5" spans="1:46" ht="60" x14ac:dyDescent="0.2">
      <c r="B5" s="456"/>
      <c r="C5" s="201" t="s">
        <v>899</v>
      </c>
      <c r="D5" s="40" t="s">
        <v>1222</v>
      </c>
      <c r="E5" s="202" t="s">
        <v>1223</v>
      </c>
      <c r="F5" s="201" t="s">
        <v>899</v>
      </c>
      <c r="G5" s="40" t="s">
        <v>1222</v>
      </c>
      <c r="H5" s="202" t="s">
        <v>1223</v>
      </c>
      <c r="I5" s="201" t="s">
        <v>899</v>
      </c>
      <c r="J5" s="40" t="s">
        <v>1222</v>
      </c>
      <c r="K5" s="202" t="s">
        <v>1223</v>
      </c>
      <c r="L5" s="219" t="s">
        <v>899</v>
      </c>
      <c r="M5" s="40" t="s">
        <v>900</v>
      </c>
      <c r="N5" s="202" t="s">
        <v>1223</v>
      </c>
    </row>
    <row r="6" spans="1:46" ht="21" customHeight="1" x14ac:dyDescent="0.2">
      <c r="B6" s="155" t="s">
        <v>20</v>
      </c>
      <c r="C6" s="217">
        <f>SUMIFS('capacity data'!I:I,'capacity data'!A:A,B6,'capacity data'!E:E,"PO")</f>
        <v>0</v>
      </c>
      <c r="D6" s="214">
        <f>SUMIFS('capacity data'!J:J,'capacity data'!A:A,B6,'capacity data'!E:E,"PO")</f>
        <v>0</v>
      </c>
      <c r="E6" s="211" t="e">
        <f>D6/C6</f>
        <v>#DIV/0!</v>
      </c>
      <c r="F6" s="217">
        <f>SUMIFS('capacity data'!I:I,'capacity data'!A:A,B6,'capacity data'!E:E,"PSO")</f>
        <v>0</v>
      </c>
      <c r="G6" s="214">
        <f>SUMIFS('capacity data'!J:J,'capacity data'!A:A,B6,'capacity data'!E:E,"PSO")</f>
        <v>0</v>
      </c>
      <c r="H6" s="211" t="e">
        <f t="shared" ref="H6:H18" si="0">G6/F6</f>
        <v>#DIV/0!</v>
      </c>
      <c r="I6" s="217">
        <f>SUMIFS('capacity data'!I:I,'capacity data'!A:A,B6,'capacity data'!E:E,"TPO")</f>
        <v>0</v>
      </c>
      <c r="J6" s="214">
        <f>SUMIFS('capacity data'!J:J,'capacity data'!A:A,B6,'capacity data'!E:E,"TPO")</f>
        <v>0</v>
      </c>
      <c r="K6" s="211" t="e">
        <f t="shared" ref="K6:K18" si="1">J6/I6</f>
        <v>#DIV/0!</v>
      </c>
      <c r="L6" s="218">
        <f>SUMIF('capacity data'!A:A,B6,'capacity data'!I:I)</f>
        <v>0</v>
      </c>
      <c r="M6" s="214">
        <f>SUMIF('capacity data'!A:A,B6,'capacity data'!J:J)</f>
        <v>0</v>
      </c>
      <c r="N6" s="211" t="e">
        <f t="shared" ref="N6:N18" si="2">M6/L6</f>
        <v>#DIV/0!</v>
      </c>
    </row>
    <row r="7" spans="1:46" ht="21" customHeight="1" x14ac:dyDescent="0.2">
      <c r="B7" s="155" t="s">
        <v>21</v>
      </c>
      <c r="C7" s="217">
        <f>SUMIFS('capacity data'!I:I,'capacity data'!A:A,B7,'capacity data'!E:E,"PO")</f>
        <v>0</v>
      </c>
      <c r="D7" s="214">
        <f>SUMIFS('capacity data'!J:J,'capacity data'!A:A,B7,'capacity data'!E:E,"PO")</f>
        <v>0</v>
      </c>
      <c r="E7" s="211" t="e">
        <f t="shared" ref="E7:E17" si="3">D7/C7</f>
        <v>#DIV/0!</v>
      </c>
      <c r="F7" s="217">
        <f>SUMIFS('capacity data'!I:I,'capacity data'!A:A,B7,'capacity data'!E:E,"PSO")</f>
        <v>0</v>
      </c>
      <c r="G7" s="214">
        <f>SUMIFS('capacity data'!J:J,'capacity data'!A:A,B7,'capacity data'!E:E,"PSO")</f>
        <v>0</v>
      </c>
      <c r="H7" s="211" t="e">
        <f t="shared" ref="H7:H17" si="4">G7/F7</f>
        <v>#DIV/0!</v>
      </c>
      <c r="I7" s="217">
        <f>SUMIFS('capacity data'!I:I,'capacity data'!A:A,B7,'capacity data'!E:E,"TPO")</f>
        <v>0</v>
      </c>
      <c r="J7" s="214">
        <f>SUMIFS('capacity data'!J:J,'capacity data'!A:A,B7,'capacity data'!E:E,"TPO")</f>
        <v>0</v>
      </c>
      <c r="K7" s="211" t="e">
        <f t="shared" ref="K7:K17" si="5">J7/I7</f>
        <v>#DIV/0!</v>
      </c>
      <c r="L7" s="218">
        <f>SUMIF('capacity data'!A:A,B7,'capacity data'!I:I)</f>
        <v>0</v>
      </c>
      <c r="M7" s="214">
        <f>SUMIF('capacity data'!A:A,B7,'capacity data'!J:J)</f>
        <v>0</v>
      </c>
      <c r="N7" s="211" t="e">
        <f t="shared" ref="N7:N17" si="6">M7/L7</f>
        <v>#DIV/0!</v>
      </c>
    </row>
    <row r="8" spans="1:46" ht="21" customHeight="1" x14ac:dyDescent="0.2">
      <c r="B8" s="155" t="s">
        <v>22</v>
      </c>
      <c r="C8" s="217">
        <f>SUMIFS('capacity data'!I:I,'capacity data'!A:A,B8,'capacity data'!E:E,"PO")</f>
        <v>0</v>
      </c>
      <c r="D8" s="214">
        <f>SUMIFS('capacity data'!J:J,'capacity data'!A:A,B8,'capacity data'!E:E,"PO")</f>
        <v>0</v>
      </c>
      <c r="E8" s="211" t="e">
        <f t="shared" si="3"/>
        <v>#DIV/0!</v>
      </c>
      <c r="F8" s="217">
        <f>SUMIFS('capacity data'!I:I,'capacity data'!A:A,B8,'capacity data'!E:E,"PSO")</f>
        <v>0</v>
      </c>
      <c r="G8" s="214">
        <f>SUMIFS('capacity data'!J:J,'capacity data'!A:A,B8,'capacity data'!E:E,"PSO")</f>
        <v>0</v>
      </c>
      <c r="H8" s="211" t="e">
        <f t="shared" si="4"/>
        <v>#DIV/0!</v>
      </c>
      <c r="I8" s="217">
        <f>SUMIFS('capacity data'!I:I,'capacity data'!A:A,B8,'capacity data'!E:E,"TPO")</f>
        <v>0</v>
      </c>
      <c r="J8" s="214">
        <f>SUMIFS('capacity data'!J:J,'capacity data'!A:A,B8,'capacity data'!E:E,"TPO")</f>
        <v>0</v>
      </c>
      <c r="K8" s="211" t="e">
        <f t="shared" si="5"/>
        <v>#DIV/0!</v>
      </c>
      <c r="L8" s="218">
        <f>SUMIF('capacity data'!A:A,B8,'capacity data'!I:I)</f>
        <v>0</v>
      </c>
      <c r="M8" s="214">
        <f>SUMIF('capacity data'!A:A,B8,'capacity data'!J:J)</f>
        <v>0</v>
      </c>
      <c r="N8" s="211" t="e">
        <f t="shared" si="6"/>
        <v>#DIV/0!</v>
      </c>
    </row>
    <row r="9" spans="1:46" ht="21" customHeight="1" x14ac:dyDescent="0.2">
      <c r="B9" s="155" t="s">
        <v>23</v>
      </c>
      <c r="C9" s="217">
        <f>SUMIFS('capacity data'!I:I,'capacity data'!A:A,B9,'capacity data'!E:E,"PO")</f>
        <v>0</v>
      </c>
      <c r="D9" s="214">
        <f>SUMIFS('capacity data'!J:J,'capacity data'!A:A,B9,'capacity data'!E:E,"PO")</f>
        <v>0</v>
      </c>
      <c r="E9" s="211" t="e">
        <f t="shared" si="3"/>
        <v>#DIV/0!</v>
      </c>
      <c r="F9" s="217">
        <f>SUMIFS('capacity data'!I:I,'capacity data'!A:A,B9,'capacity data'!E:E,"PSO")</f>
        <v>0</v>
      </c>
      <c r="G9" s="214">
        <f>SUMIFS('capacity data'!J:J,'capacity data'!A:A,B9,'capacity data'!E:E,"PSO")</f>
        <v>0</v>
      </c>
      <c r="H9" s="211" t="e">
        <f t="shared" si="4"/>
        <v>#DIV/0!</v>
      </c>
      <c r="I9" s="217">
        <f>SUMIFS('capacity data'!I:I,'capacity data'!A:A,B9,'capacity data'!E:E,"TPO")</f>
        <v>0</v>
      </c>
      <c r="J9" s="214">
        <f>SUMIFS('capacity data'!J:J,'capacity data'!A:A,B9,'capacity data'!E:E,"TPO")</f>
        <v>0</v>
      </c>
      <c r="K9" s="211" t="e">
        <f t="shared" si="5"/>
        <v>#DIV/0!</v>
      </c>
      <c r="L9" s="218">
        <f>SUMIF('capacity data'!A:A,B9,'capacity data'!I:I)</f>
        <v>0</v>
      </c>
      <c r="M9" s="214">
        <f>SUMIF('capacity data'!A:A,B9,'capacity data'!J:J)</f>
        <v>0</v>
      </c>
      <c r="N9" s="211" t="e">
        <f t="shared" si="6"/>
        <v>#DIV/0!</v>
      </c>
    </row>
    <row r="10" spans="1:46" ht="21" customHeight="1" x14ac:dyDescent="0.2">
      <c r="B10" s="155" t="s">
        <v>24</v>
      </c>
      <c r="C10" s="217">
        <f>SUMIFS('capacity data'!I:I,'capacity data'!A:A,B10,'capacity data'!E:E,"PO")</f>
        <v>0</v>
      </c>
      <c r="D10" s="214">
        <f>SUMIFS('capacity data'!J:J,'capacity data'!A:A,B10,'capacity data'!E:E,"PO")</f>
        <v>0</v>
      </c>
      <c r="E10" s="211" t="e">
        <f t="shared" si="3"/>
        <v>#DIV/0!</v>
      </c>
      <c r="F10" s="217">
        <f>SUMIFS('capacity data'!I:I,'capacity data'!A:A,B10,'capacity data'!E:E,"PSO")</f>
        <v>0</v>
      </c>
      <c r="G10" s="214">
        <f>SUMIFS('capacity data'!J:J,'capacity data'!A:A,B10,'capacity data'!E:E,"PSO")</f>
        <v>0</v>
      </c>
      <c r="H10" s="211" t="e">
        <f t="shared" si="4"/>
        <v>#DIV/0!</v>
      </c>
      <c r="I10" s="217">
        <f>SUMIFS('capacity data'!I:I,'capacity data'!A:A,B10,'capacity data'!E:E,"TPO")</f>
        <v>0</v>
      </c>
      <c r="J10" s="214">
        <f>SUMIFS('capacity data'!J:J,'capacity data'!A:A,B10,'capacity data'!E:E,"TPO")</f>
        <v>0</v>
      </c>
      <c r="K10" s="211" t="e">
        <f t="shared" si="5"/>
        <v>#DIV/0!</v>
      </c>
      <c r="L10" s="218">
        <f>SUMIF('capacity data'!A:A,B10,'capacity data'!I:I)</f>
        <v>0</v>
      </c>
      <c r="M10" s="214">
        <f>SUMIF('capacity data'!A:A,B10,'capacity data'!J:J)</f>
        <v>0</v>
      </c>
      <c r="N10" s="211" t="e">
        <f t="shared" si="6"/>
        <v>#DIV/0!</v>
      </c>
    </row>
    <row r="11" spans="1:46" ht="21" customHeight="1" x14ac:dyDescent="0.2">
      <c r="B11" s="155" t="s">
        <v>25</v>
      </c>
      <c r="C11" s="217">
        <f>SUMIFS('capacity data'!I:I,'capacity data'!A:A,B11,'capacity data'!E:E,"PO")</f>
        <v>0</v>
      </c>
      <c r="D11" s="214">
        <f>SUMIFS('capacity data'!J:J,'capacity data'!A:A,B11,'capacity data'!E:E,"PO")</f>
        <v>0</v>
      </c>
      <c r="E11" s="211" t="e">
        <f t="shared" si="3"/>
        <v>#DIV/0!</v>
      </c>
      <c r="F11" s="217">
        <f>SUMIFS('capacity data'!I:I,'capacity data'!A:A,B11,'capacity data'!E:E,"PSO")</f>
        <v>0</v>
      </c>
      <c r="G11" s="214">
        <f>SUMIFS('capacity data'!J:J,'capacity data'!A:A,B11,'capacity data'!E:E,"PSO")</f>
        <v>0</v>
      </c>
      <c r="H11" s="211" t="e">
        <f t="shared" si="4"/>
        <v>#DIV/0!</v>
      </c>
      <c r="I11" s="217">
        <f>SUMIFS('capacity data'!I:I,'capacity data'!A:A,B11,'capacity data'!E:E,"TPO")</f>
        <v>0</v>
      </c>
      <c r="J11" s="214">
        <f>SUMIFS('capacity data'!J:J,'capacity data'!A:A,B11,'capacity data'!E:E,"TPO")</f>
        <v>0</v>
      </c>
      <c r="K11" s="211" t="e">
        <f t="shared" si="5"/>
        <v>#DIV/0!</v>
      </c>
      <c r="L11" s="218">
        <f>SUMIF('capacity data'!A:A,B11,'capacity data'!I:I)</f>
        <v>0</v>
      </c>
      <c r="M11" s="214">
        <f>SUMIF('capacity data'!A:A,B11,'capacity data'!J:J)</f>
        <v>0</v>
      </c>
      <c r="N11" s="211" t="e">
        <f t="shared" si="6"/>
        <v>#DIV/0!</v>
      </c>
    </row>
    <row r="12" spans="1:46" ht="21" customHeight="1" x14ac:dyDescent="0.2">
      <c r="B12" s="155" t="s">
        <v>26</v>
      </c>
      <c r="C12" s="217">
        <f>SUMIFS('capacity data'!I:I,'capacity data'!A:A,B12,'capacity data'!E:E,"PO")</f>
        <v>0</v>
      </c>
      <c r="D12" s="214">
        <f>SUMIFS('capacity data'!J:J,'capacity data'!A:A,B12,'capacity data'!E:E,"PO")</f>
        <v>0</v>
      </c>
      <c r="E12" s="211" t="e">
        <f t="shared" si="3"/>
        <v>#DIV/0!</v>
      </c>
      <c r="F12" s="217">
        <f>SUMIFS('capacity data'!I:I,'capacity data'!A:A,B12,'capacity data'!E:E,"PSO")</f>
        <v>0</v>
      </c>
      <c r="G12" s="214">
        <f>SUMIFS('capacity data'!J:J,'capacity data'!A:A,B12,'capacity data'!E:E,"PSO")</f>
        <v>0</v>
      </c>
      <c r="H12" s="211" t="e">
        <f t="shared" si="4"/>
        <v>#DIV/0!</v>
      </c>
      <c r="I12" s="217">
        <f>SUMIFS('capacity data'!I:I,'capacity data'!A:A,B12,'capacity data'!E:E,"TPO")</f>
        <v>0</v>
      </c>
      <c r="J12" s="214">
        <f>SUMIFS('capacity data'!J:J,'capacity data'!A:A,B12,'capacity data'!E:E,"TPO")</f>
        <v>0</v>
      </c>
      <c r="K12" s="211" t="e">
        <f t="shared" si="5"/>
        <v>#DIV/0!</v>
      </c>
      <c r="L12" s="218">
        <f>SUMIF('capacity data'!A:A,B12,'capacity data'!I:I)</f>
        <v>0</v>
      </c>
      <c r="M12" s="214">
        <f>SUMIF('capacity data'!A:A,B12,'capacity data'!J:J)</f>
        <v>0</v>
      </c>
      <c r="N12" s="211" t="e">
        <f t="shared" si="6"/>
        <v>#DIV/0!</v>
      </c>
    </row>
    <row r="13" spans="1:46" ht="21" customHeight="1" x14ac:dyDescent="0.2">
      <c r="B13" s="155" t="s">
        <v>27</v>
      </c>
      <c r="C13" s="217">
        <f>SUMIFS('capacity data'!I:I,'capacity data'!A:A,B13,'capacity data'!E:E,"PO")</f>
        <v>0</v>
      </c>
      <c r="D13" s="214">
        <f>SUMIFS('capacity data'!J:J,'capacity data'!A:A,B13,'capacity data'!E:E,"PO")</f>
        <v>0</v>
      </c>
      <c r="E13" s="211" t="e">
        <f t="shared" ref="E13" si="7">D13/C13</f>
        <v>#DIV/0!</v>
      </c>
      <c r="F13" s="217">
        <f>SUMIFS('capacity data'!I:I,'capacity data'!A:A,B13,'capacity data'!E:E,"PSO")</f>
        <v>0</v>
      </c>
      <c r="G13" s="214">
        <f>SUMIFS('capacity data'!J:J,'capacity data'!A:A,B13,'capacity data'!E:E,"PSO")</f>
        <v>0</v>
      </c>
      <c r="H13" s="211" t="e">
        <f t="shared" ref="H13" si="8">G13/F13</f>
        <v>#DIV/0!</v>
      </c>
      <c r="I13" s="217">
        <f>SUMIFS('capacity data'!I:I,'capacity data'!A:A,B13,'capacity data'!E:E,"TPO")</f>
        <v>0</v>
      </c>
      <c r="J13" s="214">
        <f>SUMIFS('capacity data'!J:J,'capacity data'!A:A,B13,'capacity data'!E:E,"TPO")</f>
        <v>0</v>
      </c>
      <c r="K13" s="211" t="e">
        <f t="shared" ref="K13" si="9">J13/I13</f>
        <v>#DIV/0!</v>
      </c>
      <c r="L13" s="218">
        <f>SUMIF('capacity data'!A:A,B13,'capacity data'!I:I)</f>
        <v>0</v>
      </c>
      <c r="M13" s="214">
        <f>SUMIF('capacity data'!A:A,B13,'capacity data'!J:J)</f>
        <v>0</v>
      </c>
      <c r="N13" s="211" t="e">
        <f t="shared" ref="N13" si="10">M13/L13</f>
        <v>#DIV/0!</v>
      </c>
    </row>
    <row r="14" spans="1:46" ht="21" customHeight="1" x14ac:dyDescent="0.2">
      <c r="B14" s="155" t="s">
        <v>28</v>
      </c>
      <c r="C14" s="217">
        <f>SUMIFS('capacity data'!I:I,'capacity data'!A:A,B14,'capacity data'!E:E,"PO")</f>
        <v>0</v>
      </c>
      <c r="D14" s="214">
        <f>SUMIFS('capacity data'!J:J,'capacity data'!A:A,B14,'capacity data'!E:E,"PO")</f>
        <v>0</v>
      </c>
      <c r="E14" s="211" t="e">
        <f t="shared" si="3"/>
        <v>#DIV/0!</v>
      </c>
      <c r="F14" s="217">
        <f>SUMIFS('capacity data'!I:I,'capacity data'!A:A,B14,'capacity data'!E:E,"PSO")</f>
        <v>0</v>
      </c>
      <c r="G14" s="214">
        <f>SUMIFS('capacity data'!J:J,'capacity data'!A:A,B14,'capacity data'!E:E,"PSO")</f>
        <v>0</v>
      </c>
      <c r="H14" s="211" t="e">
        <f t="shared" si="4"/>
        <v>#DIV/0!</v>
      </c>
      <c r="I14" s="217">
        <f>SUMIFS('capacity data'!I:I,'capacity data'!A:A,B14,'capacity data'!E:E,"TPO")</f>
        <v>0</v>
      </c>
      <c r="J14" s="214">
        <f>SUMIFS('capacity data'!J:J,'capacity data'!A:A,B14,'capacity data'!E:E,"TPO")</f>
        <v>0</v>
      </c>
      <c r="K14" s="211" t="e">
        <f t="shared" si="5"/>
        <v>#DIV/0!</v>
      </c>
      <c r="L14" s="218">
        <f>SUMIF('capacity data'!A:A,B14,'capacity data'!I:I)</f>
        <v>0</v>
      </c>
      <c r="M14" s="214">
        <f>SUMIF('capacity data'!A:A,B14,'capacity data'!J:J)</f>
        <v>0</v>
      </c>
      <c r="N14" s="211" t="e">
        <f t="shared" si="6"/>
        <v>#DIV/0!</v>
      </c>
    </row>
    <row r="15" spans="1:46" ht="21" customHeight="1" x14ac:dyDescent="0.2">
      <c r="B15" s="155" t="s">
        <v>29</v>
      </c>
      <c r="C15" s="217">
        <f>SUMIFS('capacity data'!I:I,'capacity data'!A:A,B15,'capacity data'!E:E,"PO")</f>
        <v>0</v>
      </c>
      <c r="D15" s="214">
        <f>SUMIFS('capacity data'!J:J,'capacity data'!A:A,B15,'capacity data'!E:E,"PO")</f>
        <v>0</v>
      </c>
      <c r="E15" s="211" t="e">
        <f t="shared" si="3"/>
        <v>#DIV/0!</v>
      </c>
      <c r="F15" s="217">
        <f>SUMIFS('capacity data'!I:I,'capacity data'!A:A,B15,'capacity data'!E:E,"PSO")</f>
        <v>0</v>
      </c>
      <c r="G15" s="214">
        <f>SUMIFS('capacity data'!J:J,'capacity data'!A:A,B15,'capacity data'!E:E,"PSO")</f>
        <v>0</v>
      </c>
      <c r="H15" s="211" t="e">
        <f t="shared" si="4"/>
        <v>#DIV/0!</v>
      </c>
      <c r="I15" s="217">
        <f>SUMIFS('capacity data'!I:I,'capacity data'!A:A,B15,'capacity data'!E:E,"TPO")</f>
        <v>0</v>
      </c>
      <c r="J15" s="214">
        <f>SUMIFS('capacity data'!J:J,'capacity data'!A:A,B15,'capacity data'!E:E,"TPO")</f>
        <v>0</v>
      </c>
      <c r="K15" s="211" t="e">
        <f t="shared" si="5"/>
        <v>#DIV/0!</v>
      </c>
      <c r="L15" s="218">
        <f>SUMIF('capacity data'!A:A,B15,'capacity data'!I:I)</f>
        <v>0</v>
      </c>
      <c r="M15" s="214">
        <f>SUMIF('capacity data'!A:A,B15,'capacity data'!J:J)</f>
        <v>0</v>
      </c>
      <c r="N15" s="211" t="e">
        <f t="shared" si="6"/>
        <v>#DIV/0!</v>
      </c>
    </row>
    <row r="16" spans="1:46" ht="21" customHeight="1" x14ac:dyDescent="0.2">
      <c r="B16" s="155" t="s">
        <v>30</v>
      </c>
      <c r="C16" s="217">
        <f>SUMIFS('capacity data'!I:I,'capacity data'!A:A,B16,'capacity data'!E:E,"PO")</f>
        <v>0</v>
      </c>
      <c r="D16" s="214">
        <f>SUMIFS('capacity data'!J:J,'capacity data'!A:A,B16,'capacity data'!E:E,"PO")</f>
        <v>0</v>
      </c>
      <c r="E16" s="211" t="e">
        <f t="shared" si="3"/>
        <v>#DIV/0!</v>
      </c>
      <c r="F16" s="217">
        <f>SUMIFS('capacity data'!I:I,'capacity data'!A:A,B16,'capacity data'!E:E,"PSO")</f>
        <v>0</v>
      </c>
      <c r="G16" s="214">
        <f>SUMIFS('capacity data'!J:J,'capacity data'!A:A,B16,'capacity data'!E:E,"PSO")</f>
        <v>0</v>
      </c>
      <c r="H16" s="211" t="e">
        <f t="shared" si="4"/>
        <v>#DIV/0!</v>
      </c>
      <c r="I16" s="217">
        <f>SUMIFS('capacity data'!I:I,'capacity data'!A:A,B16,'capacity data'!E:E,"TPO")</f>
        <v>0</v>
      </c>
      <c r="J16" s="214">
        <f>SUMIFS('capacity data'!J:J,'capacity data'!A:A,B16,'capacity data'!E:E,"TPO")</f>
        <v>0</v>
      </c>
      <c r="K16" s="211" t="e">
        <f t="shared" si="5"/>
        <v>#DIV/0!</v>
      </c>
      <c r="L16" s="218">
        <f>SUMIF('capacity data'!A:A,B16,'capacity data'!I:I)</f>
        <v>0</v>
      </c>
      <c r="M16" s="214">
        <f>SUMIF('capacity data'!A:A,B16,'capacity data'!J:J)</f>
        <v>0</v>
      </c>
      <c r="N16" s="211" t="e">
        <f t="shared" si="6"/>
        <v>#DIV/0!</v>
      </c>
    </row>
    <row r="17" spans="2:14" ht="21" customHeight="1" x14ac:dyDescent="0.2">
      <c r="B17" s="155" t="s">
        <v>31</v>
      </c>
      <c r="C17" s="217">
        <f>SUMIFS('capacity data'!I:I,'capacity data'!A:A,B17,'capacity data'!E:E,"PO")</f>
        <v>0</v>
      </c>
      <c r="D17" s="214">
        <f>SUMIFS('capacity data'!J:J,'capacity data'!A:A,B17,'capacity data'!E:E,"PO")</f>
        <v>0</v>
      </c>
      <c r="E17" s="211" t="e">
        <f t="shared" si="3"/>
        <v>#DIV/0!</v>
      </c>
      <c r="F17" s="217">
        <f>SUMIFS('capacity data'!I:I,'capacity data'!A:A,B17,'capacity data'!E:E,"PSO")</f>
        <v>0</v>
      </c>
      <c r="G17" s="214">
        <f>SUMIFS('capacity data'!J:J,'capacity data'!A:A,B17,'capacity data'!E:E,"PSO")</f>
        <v>0</v>
      </c>
      <c r="H17" s="211" t="e">
        <f t="shared" si="4"/>
        <v>#DIV/0!</v>
      </c>
      <c r="I17" s="217">
        <f>SUMIFS('capacity data'!I:I,'capacity data'!A:A,B17,'capacity data'!E:E,"TPO")</f>
        <v>0</v>
      </c>
      <c r="J17" s="214">
        <f>SUMIFS('capacity data'!J:J,'capacity data'!A:A,B17,'capacity data'!E:E,"TPO")</f>
        <v>0</v>
      </c>
      <c r="K17" s="211" t="e">
        <f t="shared" si="5"/>
        <v>#DIV/0!</v>
      </c>
      <c r="L17" s="218">
        <f>SUMIF('capacity data'!A:A,B17,'capacity data'!I:I)</f>
        <v>0</v>
      </c>
      <c r="M17" s="214">
        <f>SUMIF('capacity data'!A:A,B17,'capacity data'!J:J)</f>
        <v>0</v>
      </c>
      <c r="N17" s="211" t="e">
        <f t="shared" si="6"/>
        <v>#DIV/0!</v>
      </c>
    </row>
    <row r="18" spans="2:14" ht="21" customHeight="1" thickBot="1" x14ac:dyDescent="0.25">
      <c r="B18" s="212" t="s">
        <v>1113</v>
      </c>
      <c r="C18" s="215">
        <f>SUMIF('capacity data'!E:E,"PO",'capacity data'!I:I)</f>
        <v>0</v>
      </c>
      <c r="D18" s="216">
        <f>SUMIF('capacity data'!E:E,"PO",'capacity data'!J:J)</f>
        <v>0</v>
      </c>
      <c r="E18" s="213" t="e">
        <f t="shared" ref="E18" si="11">D18/C18</f>
        <v>#DIV/0!</v>
      </c>
      <c r="F18" s="215">
        <f>SUMIF('capacity data'!E:E,"PSO",'capacity data'!I:I)</f>
        <v>0</v>
      </c>
      <c r="G18" s="216">
        <f>SUMIF('capacity data'!E:E,"PSO",'capacity data'!J:J)</f>
        <v>0</v>
      </c>
      <c r="H18" s="213" t="e">
        <f t="shared" si="0"/>
        <v>#DIV/0!</v>
      </c>
      <c r="I18" s="215">
        <f>SUMIF('capacity data'!E:E,"TPO",'capacity data'!I:I)</f>
        <v>0</v>
      </c>
      <c r="J18" s="216">
        <f>SUMIF('capacity data'!E:E,"TPO",'capacity data'!J:J)</f>
        <v>0</v>
      </c>
      <c r="K18" s="213" t="e">
        <f t="shared" si="1"/>
        <v>#DIV/0!</v>
      </c>
      <c r="L18" s="215">
        <f>SUM('capacity data'!I:I)</f>
        <v>0</v>
      </c>
      <c r="M18" s="216">
        <f>SUM('capacity data'!J:J)</f>
        <v>0</v>
      </c>
      <c r="N18" s="213" t="e">
        <f t="shared" si="2"/>
        <v>#DIV/0!</v>
      </c>
    </row>
    <row r="19" spans="2:14" x14ac:dyDescent="0.2">
      <c r="C19" s="248"/>
      <c r="D19" s="1"/>
      <c r="E19" s="1"/>
      <c r="F19" s="1"/>
      <c r="G19" s="1"/>
      <c r="H19" s="1"/>
      <c r="I19" s="1"/>
      <c r="J19" s="1"/>
      <c r="K19" s="1"/>
      <c r="L19" s="1"/>
      <c r="M19" s="1"/>
      <c r="N19" s="1"/>
    </row>
  </sheetData>
  <mergeCells count="7">
    <mergeCell ref="A1:P1"/>
    <mergeCell ref="A2:P2"/>
    <mergeCell ref="C4:E4"/>
    <mergeCell ref="F4:H4"/>
    <mergeCell ref="I4:K4"/>
    <mergeCell ref="L4:N4"/>
    <mergeCell ref="B4:B5"/>
  </mergeCells>
  <pageMargins left="0.25" right="0.25" top="0.75" bottom="0.75" header="0.3" footer="0.3"/>
  <pageSetup scale="67" orientation="landscape"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4">
    <tabColor rgb="FFFFFF00"/>
    <pageSetUpPr fitToPage="1"/>
  </sheetPr>
  <dimension ref="A1:AZ16"/>
  <sheetViews>
    <sheetView showGridLines="0" showRowColHeaders="0" zoomScale="70" zoomScaleNormal="70" zoomScaleSheetLayoutView="55" workbookViewId="0">
      <selection activeCell="P3" sqref="P3"/>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82.5" customHeight="1" x14ac:dyDescent="0.15">
      <c r="A1" s="457" t="s">
        <v>1224</v>
      </c>
      <c r="B1" s="457"/>
      <c r="C1" s="457"/>
      <c r="D1" s="457"/>
      <c r="E1" s="457"/>
      <c r="F1" s="457"/>
      <c r="G1" s="457"/>
      <c r="H1" s="457"/>
      <c r="I1" s="457"/>
      <c r="J1" s="457"/>
      <c r="K1" s="457"/>
      <c r="L1" s="457"/>
      <c r="M1" s="457"/>
      <c r="N1" s="457"/>
      <c r="O1" s="457"/>
      <c r="P1" s="457"/>
      <c r="Q1" s="457"/>
      <c r="R1" s="457"/>
      <c r="S1" s="457"/>
      <c r="T1" s="457"/>
    </row>
    <row r="2" spans="1:52" s="1" customFormat="1" ht="59.25" customHeight="1" x14ac:dyDescent="0.2">
      <c r="A2" s="458" t="s">
        <v>1225</v>
      </c>
      <c r="B2" s="458"/>
      <c r="C2" s="459">
        <f>home!C4</f>
        <v>0</v>
      </c>
      <c r="D2" s="459"/>
      <c r="E2" s="459"/>
      <c r="F2" s="459"/>
      <c r="G2" s="459"/>
      <c r="H2" s="459"/>
      <c r="I2" s="459"/>
      <c r="J2" s="459"/>
      <c r="K2" s="459"/>
      <c r="L2" s="459"/>
      <c r="M2" s="459"/>
      <c r="N2" s="459"/>
      <c r="O2" s="459"/>
      <c r="P2" s="459"/>
      <c r="Q2" s="459"/>
      <c r="R2" s="459"/>
      <c r="S2" s="459"/>
      <c r="T2" s="459"/>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7"/>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row>
    <row r="4" spans="1:52" ht="26" x14ac:dyDescent="0.15">
      <c r="A4" s="17"/>
      <c r="B4" s="17"/>
      <c r="C4" s="17"/>
      <c r="D4" s="17" t="s">
        <v>1226</v>
      </c>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row>
    <row r="16" spans="1:52" ht="99" customHeight="1" x14ac:dyDescent="0.15"/>
  </sheetData>
  <sheetProtection password="B0E0" sheet="1" objects="1" scenarios="1"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
    <tabColor rgb="FFC00000"/>
    <pageSetUpPr fitToPage="1"/>
  </sheetPr>
  <dimension ref="A1:AZ16"/>
  <sheetViews>
    <sheetView showGridLines="0" showRowColHeaders="0" zoomScale="85" zoomScaleNormal="85" zoomScaleSheetLayoutView="55" workbookViewId="0">
      <selection activeCell="I3" sqref="I3"/>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48" customHeight="1" x14ac:dyDescent="0.15">
      <c r="A1" s="460" t="s">
        <v>1227</v>
      </c>
      <c r="B1" s="460"/>
      <c r="C1" s="460"/>
      <c r="D1" s="460"/>
      <c r="E1" s="460"/>
      <c r="F1" s="460"/>
      <c r="G1" s="460"/>
      <c r="H1" s="460"/>
      <c r="I1" s="460"/>
      <c r="J1" s="460"/>
      <c r="K1" s="460"/>
      <c r="L1" s="460"/>
      <c r="M1" s="460"/>
      <c r="N1" s="460"/>
      <c r="O1" s="460"/>
      <c r="P1" s="460"/>
      <c r="Q1" s="460"/>
      <c r="R1" s="460"/>
      <c r="S1" s="460"/>
      <c r="T1" s="460"/>
    </row>
    <row r="2" spans="1:52" s="1" customFormat="1" ht="36.75" customHeight="1" x14ac:dyDescent="0.2">
      <c r="A2" s="461" t="s">
        <v>1225</v>
      </c>
      <c r="B2" s="461"/>
      <c r="C2" s="462">
        <f>home!C4</f>
        <v>0</v>
      </c>
      <c r="D2" s="462"/>
      <c r="E2" s="462"/>
      <c r="F2" s="462"/>
      <c r="G2" s="462"/>
      <c r="H2" s="462"/>
      <c r="I2" s="462"/>
      <c r="J2" s="462"/>
      <c r="K2" s="462"/>
      <c r="L2" s="462"/>
      <c r="M2" s="462"/>
      <c r="N2" s="462"/>
      <c r="O2" s="462"/>
      <c r="P2" s="462"/>
      <c r="Q2" s="462"/>
      <c r="R2" s="462"/>
      <c r="S2" s="462"/>
      <c r="T2" s="462"/>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7"/>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row>
    <row r="4" spans="1:52" ht="25" x14ac:dyDescent="0.15">
      <c r="A4" s="17"/>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row>
    <row r="16" spans="1:52" ht="99" customHeight="1" x14ac:dyDescent="0.15"/>
  </sheetData>
  <sheetProtection password="B0D8" sheet="1" objects="1" insertColumns="0" insertRows="0"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
    <tabColor rgb="FFC00000"/>
    <pageSetUpPr fitToPage="1"/>
  </sheetPr>
  <dimension ref="A1:AZ16"/>
  <sheetViews>
    <sheetView showGridLines="0" showRowColHeaders="0" zoomScale="85" zoomScaleNormal="85" zoomScaleSheetLayoutView="55" workbookViewId="0">
      <selection activeCell="B3" sqref="B3"/>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48" customHeight="1" x14ac:dyDescent="0.15">
      <c r="A1" s="460" t="s">
        <v>1228</v>
      </c>
      <c r="B1" s="460"/>
      <c r="C1" s="460"/>
      <c r="D1" s="460"/>
      <c r="E1" s="460"/>
      <c r="F1" s="460"/>
      <c r="G1" s="460"/>
      <c r="H1" s="460"/>
      <c r="I1" s="460"/>
      <c r="J1" s="460"/>
      <c r="K1" s="460"/>
      <c r="L1" s="460"/>
      <c r="M1" s="460"/>
      <c r="N1" s="460"/>
      <c r="O1" s="460"/>
      <c r="P1" s="460"/>
      <c r="Q1" s="460"/>
      <c r="R1" s="460"/>
      <c r="S1" s="460"/>
      <c r="T1" s="460"/>
    </row>
    <row r="2" spans="1:52" s="1" customFormat="1" ht="36.75" customHeight="1" x14ac:dyDescent="0.2">
      <c r="A2" s="463" t="s">
        <v>1225</v>
      </c>
      <c r="B2" s="463"/>
      <c r="C2" s="462">
        <f>home!C4</f>
        <v>0</v>
      </c>
      <c r="D2" s="462"/>
      <c r="E2" s="462"/>
      <c r="F2" s="462"/>
      <c r="G2" s="462"/>
      <c r="H2" s="462"/>
      <c r="I2" s="462"/>
      <c r="J2" s="462"/>
      <c r="K2" s="462"/>
      <c r="L2" s="462"/>
      <c r="M2" s="462"/>
      <c r="N2" s="462"/>
      <c r="O2" s="462"/>
      <c r="P2" s="462"/>
      <c r="Q2" s="462"/>
      <c r="R2" s="462"/>
      <c r="S2" s="462"/>
      <c r="T2" s="462"/>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7"/>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row>
    <row r="4" spans="1:52" ht="25" x14ac:dyDescent="0.15">
      <c r="A4" s="17"/>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row>
    <row r="16" spans="1:52" ht="99" customHeight="1" x14ac:dyDescent="0.15"/>
  </sheetData>
  <sheetProtection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D45B1D6DF654648B2EEA91787796023" ma:contentTypeVersion="8" ma:contentTypeDescription="Create a new document." ma:contentTypeScope="" ma:versionID="31496c0d22205b29da80203d04ddbeee">
  <xsd:schema xmlns:xsd="http://www.w3.org/2001/XMLSchema" xmlns:xs="http://www.w3.org/2001/XMLSchema" xmlns:p="http://schemas.microsoft.com/office/2006/metadata/properties" xmlns:ns2="15dae5b3-84da-4543-847a-162339226388" xmlns:ns3="33a257ad-a3df-428a-a3a2-dd8f88d28374" targetNamespace="http://schemas.microsoft.com/office/2006/metadata/properties" ma:root="true" ma:fieldsID="c5e9d631f9172e2a48f792533de2a98d" ns2:_="" ns3:_="">
    <xsd:import namespace="15dae5b3-84da-4543-847a-162339226388"/>
    <xsd:import namespace="33a257ad-a3df-428a-a3a2-dd8f88d2837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dae5b3-84da-4543-847a-1623392263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a257ad-a3df-428a-a3a2-dd8f88d2837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D6E7133-0ECE-4B60-921F-4514E5F079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dae5b3-84da-4543-847a-162339226388"/>
    <ds:schemaRef ds:uri="33a257ad-a3df-428a-a3a2-dd8f88d283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2DFDF0-ACE5-4080-86C8-F8F369747E74}">
  <ds:schemaRefs>
    <ds:schemaRef ds:uri="http://schemas.microsoft.com/sharepoint/v3/contenttype/forms"/>
  </ds:schemaRefs>
</ds:datastoreItem>
</file>

<file path=customXml/itemProps3.xml><?xml version="1.0" encoding="utf-8"?>
<ds:datastoreItem xmlns:ds="http://schemas.openxmlformats.org/officeDocument/2006/customXml" ds:itemID="{7BC261C4-397E-4E52-ACEF-8067968E19D3}">
  <ds:schemaRef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purl.org/dc/terms/"/>
    <ds:schemaRef ds:uri="http://schemas.microsoft.com/office/2006/documentManagement/types"/>
    <ds:schemaRef ds:uri="557366f8-f91a-4956-a8f7-7dc824d04245"/>
    <ds:schemaRef ds:uri="d5c70bea-59c1-46b7-82d0-743ec8a3f6a9"/>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19</vt:i4>
      </vt:variant>
    </vt:vector>
  </HeadingPairs>
  <TitlesOfParts>
    <vt:vector size="50" baseType="lpstr">
      <vt:lpstr>home</vt:lpstr>
      <vt:lpstr>PDUs</vt:lpstr>
      <vt:lpstr>capacity data</vt:lpstr>
      <vt:lpstr>caseload data</vt:lpstr>
      <vt:lpstr>reductions data</vt:lpstr>
      <vt:lpstr>reductions workings</vt:lpstr>
      <vt:lpstr>FAQs</vt:lpstr>
      <vt:lpstr>divisional &amp; regional overview</vt:lpstr>
      <vt:lpstr>HMIP caseload divisional</vt:lpstr>
      <vt:lpstr>HMIP caseload cluster</vt:lpstr>
      <vt:lpstr>cluster overview</vt:lpstr>
      <vt:lpstr>team overview</vt:lpstr>
      <vt:lpstr>national caseload</vt:lpstr>
      <vt:lpstr>national tier ratios</vt:lpstr>
      <vt:lpstr>divisional &amp; regional caseload</vt:lpstr>
      <vt:lpstr>divisional &amp; regional caseload%</vt:lpstr>
      <vt:lpstr>cluster capacity, unallocateds</vt:lpstr>
      <vt:lpstr>custody caseload</vt:lpstr>
      <vt:lpstr>custody %</vt:lpstr>
      <vt:lpstr>community caseload</vt:lpstr>
      <vt:lpstr>community %</vt:lpstr>
      <vt:lpstr>divisional &amp; regional capacity</vt:lpstr>
      <vt:lpstr>cluster officer capacity ranks</vt:lpstr>
      <vt:lpstr>div &amp; regional over-capacities</vt:lpstr>
      <vt:lpstr>unallocated cases</vt:lpstr>
      <vt:lpstr>reasons for reduction division</vt:lpstr>
      <vt:lpstr>cluster reductions</vt:lpstr>
      <vt:lpstr>div &amp; regional reduction hours</vt:lpstr>
      <vt:lpstr>Caseload Buttons</vt:lpstr>
      <vt:lpstr>Capacity Buttons</vt:lpstr>
      <vt:lpstr>Reductions Buttons</vt:lpstr>
      <vt:lpstr>Anchor_Cell</vt:lpstr>
      <vt:lpstr>EMR</vt:lpstr>
      <vt:lpstr>EoE</vt:lpstr>
      <vt:lpstr>GM</vt:lpstr>
      <vt:lpstr>KSSR</vt:lpstr>
      <vt:lpstr>L</vt:lpstr>
      <vt:lpstr>NER</vt:lpstr>
      <vt:lpstr>NWR</vt:lpstr>
      <vt:lpstr>'div &amp; regional reduction hours'!Print_Area</vt:lpstr>
      <vt:lpstr>'divisional &amp; regional capacity'!Print_Area</vt:lpstr>
      <vt:lpstr>home!Print_Area</vt:lpstr>
      <vt:lpstr>Region_Table</vt:lpstr>
      <vt:lpstr>Regions</vt:lpstr>
      <vt:lpstr>Second_Anchor</vt:lpstr>
      <vt:lpstr>SWSC</vt:lpstr>
      <vt:lpstr>Team_Regions</vt:lpstr>
      <vt:lpstr>W</vt:lpstr>
      <vt:lpstr>WMR</vt:lpstr>
      <vt:lpstr>YATH</vt:lpstr>
    </vt:vector>
  </TitlesOfParts>
  <Manager/>
  <Company>MOJ</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Schofield, Ben [NOMS]</dc:creator>
  <cp:keywords/>
  <dc:description/>
  <cp:lastModifiedBy>Microsoft Office User</cp:lastModifiedBy>
  <cp:revision/>
  <dcterms:created xsi:type="dcterms:W3CDTF">2018-06-21T11:47:43Z</dcterms:created>
  <dcterms:modified xsi:type="dcterms:W3CDTF">2022-04-11T12:32:55Z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0x0101002D45B1D6DF654648B2EEA91787796023</vt:lpwstr>
  </property>
</Properties>
</file>