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조창근\OneDrive - NARA ENG\(주)나라이앤지\1. 거래처\에어젠(티지에어젠)\에어젠(김권이)\에어젠이앤지(이전설치)\"/>
    </mc:Choice>
  </mc:AlternateContent>
  <bookViews>
    <workbookView xWindow="-105" yWindow="-105" windowWidth="23250" windowHeight="12570" tabRatio="856" firstSheet="4" activeTab="4"/>
  </bookViews>
  <sheets>
    <sheet name="배관선정기준" sheetId="51" state="hidden" r:id="rId1"/>
    <sheet name="입력" sheetId="54" state="hidden" r:id="rId2"/>
    <sheet name="출력시트" sheetId="55" state="hidden" r:id="rId3"/>
    <sheet name="원가계산서" sheetId="49" state="hidden" r:id="rId4"/>
    <sheet name="유림정보시스템" sheetId="67" r:id="rId5"/>
    <sheet name="☆ 신통신모델체계" sheetId="10" state="hidden" r:id="rId6"/>
  </sheets>
  <definedNames>
    <definedName name="_xlnm.Print_Area" localSheetId="4">유림정보시스템!$A$1:$H$29</definedName>
  </definedNames>
  <calcPr calcId="162913"/>
  <fileRecoveryPr autoRecover="0"/>
</workbook>
</file>

<file path=xl/calcChain.xml><?xml version="1.0" encoding="utf-8"?>
<calcChain xmlns="http://schemas.openxmlformats.org/spreadsheetml/2006/main">
  <c r="G25" i="67" l="1"/>
  <c r="G24" i="67" l="1"/>
  <c r="G18" i="67"/>
  <c r="G28" i="67" l="1"/>
  <c r="G4" i="67"/>
  <c r="G22" i="67" l="1"/>
  <c r="G29" i="67" l="1"/>
  <c r="G30" i="67" l="1"/>
  <c r="G31" i="67"/>
  <c r="R49" i="55"/>
  <c r="R48" i="55"/>
  <c r="R47" i="55"/>
  <c r="R46" i="55"/>
  <c r="R45" i="55"/>
  <c r="R43" i="55"/>
  <c r="R42" i="55"/>
  <c r="R41" i="55"/>
  <c r="R44" i="55"/>
  <c r="T20" i="55"/>
  <c r="T19" i="55"/>
  <c r="T18" i="55"/>
  <c r="T36" i="55"/>
  <c r="T35" i="55"/>
  <c r="T28" i="55"/>
  <c r="T27" i="55"/>
  <c r="T26" i="55"/>
  <c r="T25" i="55"/>
  <c r="K50" i="55" l="1"/>
  <c r="M49" i="55" s="1"/>
  <c r="J43" i="55"/>
  <c r="J42" i="55"/>
  <c r="J41" i="55"/>
  <c r="J36" i="55"/>
  <c r="M35" i="55"/>
  <c r="J35" i="55"/>
  <c r="M34" i="55"/>
  <c r="J34" i="55"/>
  <c r="M29" i="55"/>
  <c r="J29" i="55"/>
  <c r="M28" i="55"/>
  <c r="J28" i="55"/>
  <c r="M27" i="55"/>
  <c r="J27" i="55"/>
  <c r="L20" i="55"/>
  <c r="M20" i="55" s="1"/>
  <c r="J20" i="55"/>
  <c r="L19" i="55"/>
  <c r="M19" i="55" s="1"/>
  <c r="J19" i="55"/>
  <c r="M18" i="55"/>
  <c r="J18" i="55"/>
  <c r="F38" i="55"/>
  <c r="C38" i="55"/>
  <c r="F37" i="55"/>
  <c r="C37" i="55"/>
  <c r="F36" i="55"/>
  <c r="C36" i="55"/>
  <c r="F35" i="55"/>
  <c r="C35" i="55"/>
  <c r="F34" i="55"/>
  <c r="C34" i="55"/>
  <c r="F29" i="55"/>
  <c r="F28" i="55"/>
  <c r="C28" i="55"/>
  <c r="F27" i="55"/>
  <c r="C27" i="55"/>
  <c r="F26" i="55"/>
  <c r="C26" i="55"/>
  <c r="F25" i="55"/>
  <c r="C25" i="55"/>
  <c r="F24" i="55"/>
  <c r="C24" i="55"/>
  <c r="F23" i="55"/>
  <c r="C23" i="55"/>
  <c r="F22" i="55"/>
  <c r="C22" i="55"/>
  <c r="F21" i="55"/>
  <c r="C21" i="55"/>
  <c r="F20" i="55"/>
  <c r="C20" i="55"/>
  <c r="F19" i="55"/>
  <c r="C19" i="55"/>
  <c r="F18" i="55"/>
  <c r="C18" i="55"/>
  <c r="C49" i="55"/>
  <c r="C48" i="55"/>
  <c r="C47" i="55"/>
  <c r="C43" i="55"/>
  <c r="C42" i="55"/>
  <c r="T37" i="55"/>
  <c r="T32" i="55"/>
  <c r="T31" i="55"/>
  <c r="T30" i="55"/>
  <c r="T29" i="55"/>
  <c r="Q20" i="55"/>
  <c r="Q19" i="55"/>
  <c r="Q18" i="55"/>
  <c r="Q17" i="55"/>
  <c r="Q16" i="55"/>
  <c r="T15" i="55"/>
  <c r="Q15" i="55"/>
  <c r="Q14" i="55"/>
  <c r="T13" i="55"/>
  <c r="Q13" i="55"/>
  <c r="T12" i="55"/>
  <c r="Q12" i="55"/>
  <c r="J14" i="55"/>
  <c r="T11" i="55"/>
  <c r="Q11" i="55"/>
  <c r="J13" i="55"/>
  <c r="Q10" i="55"/>
  <c r="J12" i="55"/>
  <c r="T9" i="55"/>
  <c r="Q9" i="55"/>
  <c r="T8" i="55"/>
  <c r="Q8" i="55"/>
  <c r="M10" i="55"/>
  <c r="J10" i="55"/>
  <c r="Q7" i="55"/>
  <c r="J9" i="55"/>
  <c r="F9" i="55"/>
  <c r="T6" i="55"/>
  <c r="Q6" i="55"/>
  <c r="F8" i="55"/>
  <c r="T5" i="55"/>
  <c r="Q5" i="55"/>
  <c r="J7" i="55"/>
  <c r="F7" i="55"/>
  <c r="T4" i="55"/>
  <c r="Q4" i="55"/>
  <c r="F6" i="55"/>
  <c r="T3" i="55"/>
  <c r="Q3" i="55"/>
  <c r="J5" i="55"/>
  <c r="F5" i="55"/>
  <c r="O49" i="54"/>
  <c r="O48" i="54"/>
  <c r="O47" i="54"/>
  <c r="O46" i="54"/>
  <c r="O45" i="54"/>
  <c r="O44" i="54"/>
  <c r="O43" i="54"/>
  <c r="O40" i="54"/>
  <c r="S36" i="54"/>
  <c r="U36" i="54" s="1"/>
  <c r="R36" i="54"/>
  <c r="O36" i="54"/>
  <c r="S35" i="54"/>
  <c r="T35" i="54" s="1"/>
  <c r="R35" i="54"/>
  <c r="O35" i="54"/>
  <c r="S34" i="54"/>
  <c r="T34" i="54" s="1"/>
  <c r="R34" i="54"/>
  <c r="O34" i="54"/>
  <c r="S33" i="54"/>
  <c r="T33" i="54" s="1"/>
  <c r="R33" i="54"/>
  <c r="O33" i="54"/>
  <c r="S32" i="54"/>
  <c r="U32" i="54" s="1"/>
  <c r="R32" i="54"/>
  <c r="O32" i="54"/>
  <c r="S31" i="54"/>
  <c r="T31" i="54" s="1"/>
  <c r="R31" i="54"/>
  <c r="O31" i="54"/>
  <c r="S30" i="54"/>
  <c r="T30" i="54" s="1"/>
  <c r="R30" i="54"/>
  <c r="O30" i="54"/>
  <c r="S29" i="54"/>
  <c r="T29" i="54" s="1"/>
  <c r="R29" i="54"/>
  <c r="O29" i="54"/>
  <c r="S28" i="54"/>
  <c r="U28" i="54" s="1"/>
  <c r="R28" i="54"/>
  <c r="S27" i="54"/>
  <c r="U27" i="54" s="1"/>
  <c r="R27" i="54"/>
  <c r="S26" i="54"/>
  <c r="U26" i="54" s="1"/>
  <c r="R26" i="54"/>
  <c r="S25" i="54"/>
  <c r="U25" i="54" s="1"/>
  <c r="R25" i="54"/>
  <c r="O25" i="54"/>
  <c r="S24" i="54"/>
  <c r="T24" i="54" s="1"/>
  <c r="R24" i="54"/>
  <c r="S23" i="54"/>
  <c r="T23" i="54" s="1"/>
  <c r="R23" i="54"/>
  <c r="O23" i="54"/>
  <c r="S22" i="54"/>
  <c r="U22" i="54" s="1"/>
  <c r="R22" i="54"/>
  <c r="S21" i="54"/>
  <c r="U21" i="54" s="1"/>
  <c r="R21" i="54"/>
  <c r="S20" i="54"/>
  <c r="U20" i="54" s="1"/>
  <c r="R20" i="54"/>
  <c r="S19" i="54"/>
  <c r="T19" i="54" s="1"/>
  <c r="R19" i="54"/>
  <c r="S17" i="54"/>
  <c r="U17" i="54" s="1"/>
  <c r="W17" i="54" s="1"/>
  <c r="R17" i="54"/>
  <c r="O17" i="54"/>
  <c r="E13" i="55" s="1"/>
  <c r="F13" i="55" s="1"/>
  <c r="S16" i="54"/>
  <c r="T16" i="54" s="1"/>
  <c r="R16" i="54"/>
  <c r="O16" i="54"/>
  <c r="E12" i="55" s="1"/>
  <c r="F12" i="55" s="1"/>
  <c r="S15" i="54"/>
  <c r="U15" i="54" s="1"/>
  <c r="R15" i="54"/>
  <c r="O15" i="54"/>
  <c r="E11" i="55" s="1"/>
  <c r="F11" i="55" s="1"/>
  <c r="S14" i="54"/>
  <c r="T14" i="54" s="1"/>
  <c r="R14" i="54"/>
  <c r="O14" i="54"/>
  <c r="S13" i="54"/>
  <c r="U13" i="54" s="1"/>
  <c r="R13" i="54"/>
  <c r="O13" i="54"/>
  <c r="S12" i="54"/>
  <c r="T12" i="54" s="1"/>
  <c r="R12" i="54"/>
  <c r="O12" i="54"/>
  <c r="S11" i="54"/>
  <c r="U11" i="54" s="1"/>
  <c r="R11" i="54"/>
  <c r="O11" i="54"/>
  <c r="S10" i="54"/>
  <c r="T10" i="54" s="1"/>
  <c r="R10" i="54"/>
  <c r="O10" i="54"/>
  <c r="S8" i="54"/>
  <c r="T8" i="54" s="1"/>
  <c r="R8" i="54"/>
  <c r="O8" i="54"/>
  <c r="S7" i="54"/>
  <c r="T7" i="54" s="1"/>
  <c r="R7" i="54"/>
  <c r="O7" i="54"/>
  <c r="B7" i="55" s="1"/>
  <c r="C7" i="55" s="1"/>
  <c r="S6" i="54"/>
  <c r="U6" i="54" s="1"/>
  <c r="R6" i="54"/>
  <c r="O6" i="54"/>
  <c r="S5" i="54"/>
  <c r="R5" i="54"/>
  <c r="O5" i="54"/>
  <c r="O39" i="54" l="1"/>
  <c r="T17" i="54"/>
  <c r="U31" i="54"/>
  <c r="V31" i="54" s="1"/>
  <c r="T22" i="54"/>
  <c r="U12" i="54"/>
  <c r="V12" i="54" s="1"/>
  <c r="R37" i="54"/>
  <c r="U30" i="54"/>
  <c r="W30" i="54" s="1"/>
  <c r="X30" i="54" s="1"/>
  <c r="U8" i="54"/>
  <c r="W8" i="54" s="1"/>
  <c r="X8" i="54" s="1"/>
  <c r="U19" i="54"/>
  <c r="W19" i="54" s="1"/>
  <c r="X19" i="54" s="1"/>
  <c r="T32" i="54"/>
  <c r="T6" i="54"/>
  <c r="W13" i="54"/>
  <c r="X13" i="54" s="1"/>
  <c r="V13" i="54"/>
  <c r="W21" i="54"/>
  <c r="Y21" i="54" s="1"/>
  <c r="V21" i="54"/>
  <c r="B6" i="55"/>
  <c r="C6" i="55" s="1"/>
  <c r="L6" i="55"/>
  <c r="M6" i="55" s="1"/>
  <c r="I6" i="55"/>
  <c r="J6" i="55" s="1"/>
  <c r="B5" i="55"/>
  <c r="C5" i="55" s="1"/>
  <c r="L5" i="55"/>
  <c r="M5" i="55" s="1"/>
  <c r="T13" i="54"/>
  <c r="T21" i="54"/>
  <c r="T26" i="54"/>
  <c r="T28" i="54"/>
  <c r="S18" i="54"/>
  <c r="U16" i="54"/>
  <c r="V16" i="54" s="1"/>
  <c r="V17" i="54"/>
  <c r="O41" i="54"/>
  <c r="U34" i="54"/>
  <c r="U7" i="54"/>
  <c r="V7" i="54" s="1"/>
  <c r="T15" i="54"/>
  <c r="T20" i="54"/>
  <c r="U23" i="54"/>
  <c r="V23" i="54" s="1"/>
  <c r="T25" i="54"/>
  <c r="T27" i="54"/>
  <c r="T36" i="54"/>
  <c r="B9" i="55"/>
  <c r="C9" i="55" s="1"/>
  <c r="L8" i="55"/>
  <c r="M8" i="55" s="1"/>
  <c r="B13" i="55"/>
  <c r="C13" i="55" s="1"/>
  <c r="T11" i="54"/>
  <c r="B11" i="55"/>
  <c r="C11" i="55" s="1"/>
  <c r="O50" i="54"/>
  <c r="L7" i="55"/>
  <c r="M7" i="55" s="1"/>
  <c r="B8" i="55"/>
  <c r="C8" i="55" s="1"/>
  <c r="B12" i="55"/>
  <c r="C12" i="55" s="1"/>
  <c r="I8" i="55"/>
  <c r="J8" i="55" s="1"/>
  <c r="L9" i="55"/>
  <c r="M9" i="55" s="1"/>
  <c r="B10" i="55"/>
  <c r="C10" i="55" s="1"/>
  <c r="B14" i="55"/>
  <c r="C14" i="55" s="1"/>
  <c r="I11" i="55"/>
  <c r="J11" i="55" s="1"/>
  <c r="R50" i="55"/>
  <c r="M38" i="55"/>
  <c r="M31" i="55"/>
  <c r="M46" i="55"/>
  <c r="M23" i="55"/>
  <c r="J23" i="55"/>
  <c r="F39" i="55"/>
  <c r="F30" i="55"/>
  <c r="C30" i="55"/>
  <c r="T21" i="55"/>
  <c r="T38" i="55"/>
  <c r="F50" i="55"/>
  <c r="Q21" i="55"/>
  <c r="F44" i="55"/>
  <c r="R18" i="54"/>
  <c r="V32" i="54"/>
  <c r="W32" i="54"/>
  <c r="V36" i="54"/>
  <c r="W36" i="54"/>
  <c r="Y17" i="54"/>
  <c r="X17" i="54"/>
  <c r="W20" i="54"/>
  <c r="V20" i="54"/>
  <c r="W27" i="54"/>
  <c r="V27" i="54"/>
  <c r="V28" i="54"/>
  <c r="W28" i="54"/>
  <c r="W11" i="54"/>
  <c r="V11" i="54"/>
  <c r="V26" i="54"/>
  <c r="W26" i="54"/>
  <c r="W6" i="54"/>
  <c r="V6" i="54"/>
  <c r="W22" i="54"/>
  <c r="V22" i="54"/>
  <c r="W15" i="54"/>
  <c r="V15" i="54"/>
  <c r="W25" i="54"/>
  <c r="V25" i="54"/>
  <c r="U5" i="54"/>
  <c r="U10" i="54"/>
  <c r="U14" i="54"/>
  <c r="U24" i="54"/>
  <c r="U29" i="54"/>
  <c r="U33" i="54"/>
  <c r="O37" i="54"/>
  <c r="T5" i="54"/>
  <c r="U35" i="54"/>
  <c r="S37" i="54"/>
  <c r="Y19" i="54" l="1"/>
  <c r="Z19" i="54" s="1"/>
  <c r="R38" i="54"/>
  <c r="W31" i="54"/>
  <c r="Y31" i="54" s="1"/>
  <c r="V30" i="54"/>
  <c r="Y30" i="54"/>
  <c r="Z30" i="54" s="1"/>
  <c r="O42" i="54"/>
  <c r="W7" i="54"/>
  <c r="X7" i="54" s="1"/>
  <c r="W12" i="54"/>
  <c r="X12" i="54" s="1"/>
  <c r="Y13" i="54"/>
  <c r="Z13" i="54" s="1"/>
  <c r="T37" i="54"/>
  <c r="Y8" i="54"/>
  <c r="Z8" i="54" s="1"/>
  <c r="V8" i="54"/>
  <c r="X21" i="54"/>
  <c r="W23" i="54"/>
  <c r="Y23" i="54" s="1"/>
  <c r="V19" i="54"/>
  <c r="S38" i="54"/>
  <c r="W16" i="54"/>
  <c r="Y16" i="54" s="1"/>
  <c r="T18" i="54"/>
  <c r="F15" i="55"/>
  <c r="W34" i="54"/>
  <c r="V34" i="54"/>
  <c r="M15" i="55"/>
  <c r="M24" i="55"/>
  <c r="F31" i="55"/>
  <c r="T22" i="55"/>
  <c r="Y32" i="54"/>
  <c r="X32" i="54"/>
  <c r="V24" i="54"/>
  <c r="W24" i="54"/>
  <c r="Y28" i="54"/>
  <c r="X28" i="54"/>
  <c r="X20" i="54"/>
  <c r="Y20" i="54"/>
  <c r="X25" i="54"/>
  <c r="Y25" i="54"/>
  <c r="V29" i="54"/>
  <c r="W29" i="54"/>
  <c r="V14" i="54"/>
  <c r="W14" i="54"/>
  <c r="V5" i="54"/>
  <c r="U18" i="54"/>
  <c r="W5" i="54"/>
  <c r="X15" i="54"/>
  <c r="Y15" i="54"/>
  <c r="Y6" i="54"/>
  <c r="X6" i="54"/>
  <c r="X11" i="54"/>
  <c r="Y11" i="54"/>
  <c r="Y36" i="54"/>
  <c r="X36" i="54"/>
  <c r="U37" i="54"/>
  <c r="V33" i="54"/>
  <c r="W33" i="54"/>
  <c r="V10" i="54"/>
  <c r="W10" i="54"/>
  <c r="X22" i="54"/>
  <c r="Y22" i="54"/>
  <c r="Z21" i="54"/>
  <c r="AA21" i="54"/>
  <c r="X27" i="54"/>
  <c r="Y27" i="54"/>
  <c r="V35" i="54"/>
  <c r="W35" i="54"/>
  <c r="AA30" i="54"/>
  <c r="Y26" i="54"/>
  <c r="X26" i="54"/>
  <c r="Z17" i="54"/>
  <c r="AA17" i="54"/>
  <c r="X31" i="54" l="1"/>
  <c r="AA19" i="54"/>
  <c r="AA13" i="54"/>
  <c r="Y7" i="54"/>
  <c r="Z7" i="54" s="1"/>
  <c r="Y12" i="54"/>
  <c r="AA12" i="54" s="1"/>
  <c r="X23" i="54"/>
  <c r="T38" i="54"/>
  <c r="AA8" i="54"/>
  <c r="X16" i="54"/>
  <c r="W37" i="54"/>
  <c r="V18" i="54"/>
  <c r="X34" i="54"/>
  <c r="Y34" i="54"/>
  <c r="K1" i="55"/>
  <c r="AA11" i="54"/>
  <c r="Z11" i="54"/>
  <c r="AA25" i="54"/>
  <c r="Z25" i="54"/>
  <c r="AA7" i="54"/>
  <c r="Z31" i="54"/>
  <c r="AA31" i="54"/>
  <c r="AA27" i="54"/>
  <c r="Z27" i="54"/>
  <c r="AA22" i="54"/>
  <c r="Z22" i="54"/>
  <c r="X33" i="54"/>
  <c r="Y33" i="54"/>
  <c r="AA6" i="54"/>
  <c r="Z6" i="54"/>
  <c r="X29" i="54"/>
  <c r="Y29" i="54"/>
  <c r="W18" i="54"/>
  <c r="X5" i="54"/>
  <c r="Y5" i="54"/>
  <c r="Z23" i="54"/>
  <c r="AA23" i="54"/>
  <c r="Z16" i="54"/>
  <c r="AA16" i="54"/>
  <c r="X35" i="54"/>
  <c r="Y35" i="54"/>
  <c r="X10" i="54"/>
  <c r="Y10" i="54"/>
  <c r="Z36" i="54"/>
  <c r="AA36" i="54"/>
  <c r="X14" i="54"/>
  <c r="Y14" i="54"/>
  <c r="AA20" i="54"/>
  <c r="Z20" i="54"/>
  <c r="X24" i="54"/>
  <c r="Y24" i="54"/>
  <c r="U38" i="54"/>
  <c r="V37" i="54"/>
  <c r="AA15" i="54"/>
  <c r="Z15" i="54"/>
  <c r="Z28" i="54"/>
  <c r="AA28" i="54"/>
  <c r="Z32" i="54"/>
  <c r="AA32" i="54"/>
  <c r="Z26" i="54"/>
  <c r="AA26" i="54"/>
  <c r="G25" i="49"/>
  <c r="G21" i="49"/>
  <c r="G17" i="49"/>
  <c r="G19" i="49" s="1"/>
  <c r="G11" i="49"/>
  <c r="G18" i="49"/>
  <c r="W38" i="54" l="1"/>
  <c r="Z12" i="54"/>
  <c r="V38" i="54"/>
  <c r="X37" i="54"/>
  <c r="AA34" i="54"/>
  <c r="Z34" i="54"/>
  <c r="Y37" i="54"/>
  <c r="Z29" i="54"/>
  <c r="AA29" i="54"/>
  <c r="Z14" i="54"/>
  <c r="AA14" i="54"/>
  <c r="Z10" i="54"/>
  <c r="AA10" i="54"/>
  <c r="Z5" i="54"/>
  <c r="AA5" i="54"/>
  <c r="Y18" i="54"/>
  <c r="Z35" i="54"/>
  <c r="AA35" i="54"/>
  <c r="X18" i="54"/>
  <c r="Z33" i="54"/>
  <c r="AA33" i="54"/>
  <c r="Z24" i="54"/>
  <c r="AA24" i="54"/>
  <c r="G20" i="49"/>
  <c r="G24" i="49"/>
  <c r="G9" i="49"/>
  <c r="G22" i="49"/>
  <c r="X38" i="54" l="1"/>
  <c r="Z18" i="54"/>
  <c r="AA37" i="54"/>
  <c r="Z37" i="54"/>
  <c r="Y38" i="54"/>
  <c r="AA18" i="54"/>
  <c r="G23" i="49"/>
  <c r="G15" i="49"/>
  <c r="G16" i="49"/>
  <c r="Z38" i="54" l="1"/>
  <c r="AA38" i="54"/>
  <c r="G13" i="49"/>
  <c r="G26" i="49" s="1"/>
  <c r="G7" i="49" l="1"/>
  <c r="G27" i="49"/>
  <c r="G28" i="49" l="1"/>
  <c r="G29" i="49" s="1"/>
  <c r="G30" i="49" l="1"/>
  <c r="G31" i="49" s="1"/>
  <c r="B3" i="49" s="1"/>
</calcChain>
</file>

<file path=xl/sharedStrings.xml><?xml version="1.0" encoding="utf-8"?>
<sst xmlns="http://schemas.openxmlformats.org/spreadsheetml/2006/main" count="673" uniqueCount="439">
  <si>
    <t>실내기/실외기 용량</t>
    <phoneticPr fontId="15" type="noConversion"/>
  </si>
  <si>
    <t>OAC</t>
    <phoneticPr fontId="15" type="noConversion"/>
  </si>
  <si>
    <t>5HP</t>
    <phoneticPr fontId="15" type="noConversion"/>
  </si>
  <si>
    <t>6HP</t>
    <phoneticPr fontId="15" type="noConversion"/>
  </si>
  <si>
    <t>8HP</t>
    <phoneticPr fontId="15" type="noConversion"/>
  </si>
  <si>
    <t>10HP</t>
    <phoneticPr fontId="15" type="noConversion"/>
  </si>
  <si>
    <t>12HP</t>
  </si>
  <si>
    <t>14HP</t>
  </si>
  <si>
    <t>16HP</t>
  </si>
  <si>
    <t>18HP</t>
  </si>
  <si>
    <t>20HP</t>
  </si>
  <si>
    <t>22HP</t>
  </si>
  <si>
    <t>24HP</t>
  </si>
  <si>
    <t>26HP</t>
  </si>
  <si>
    <t>28HP</t>
  </si>
  <si>
    <t>30HP</t>
  </si>
  <si>
    <t>32HP</t>
  </si>
  <si>
    <t>34HP</t>
  </si>
  <si>
    <t>36HP</t>
  </si>
  <si>
    <t>38HP</t>
  </si>
  <si>
    <t>40HP</t>
  </si>
  <si>
    <t>42HP</t>
  </si>
  <si>
    <t>44HP</t>
  </si>
  <si>
    <t>용량
(KW)</t>
    <phoneticPr fontId="15" type="noConversion"/>
  </si>
  <si>
    <t>실외기 인입 배관
(횡주관)</t>
    <phoneticPr fontId="15" type="noConversion"/>
  </si>
  <si>
    <t>액관</t>
    <phoneticPr fontId="15" type="noConversion"/>
  </si>
  <si>
    <t>GAS</t>
    <phoneticPr fontId="15" type="noConversion"/>
  </si>
  <si>
    <t>냉매배관 관경</t>
    <phoneticPr fontId="15" type="noConversion"/>
  </si>
  <si>
    <t>분기관</t>
    <phoneticPr fontId="15" type="noConversion"/>
  </si>
  <si>
    <t>3419 (~98,6)</t>
    <phoneticPr fontId="15" type="noConversion"/>
  </si>
  <si>
    <t>4122  (~139,2)</t>
    <phoneticPr fontId="15" type="noConversion"/>
  </si>
  <si>
    <t>~16</t>
    <phoneticPr fontId="15" type="noConversion"/>
  </si>
  <si>
    <t>~50.4</t>
    <phoneticPr fontId="15" type="noConversion"/>
  </si>
  <si>
    <t>184.8 ~</t>
    <phoneticPr fontId="15" type="noConversion"/>
  </si>
  <si>
    <t>용량 계산식 : 1KW = 860KCAL/H, 1HP=2,500KCAL/H</t>
    <phoneticPr fontId="15" type="noConversion"/>
  </si>
  <si>
    <t>14.5KW = 14.5 * 860 = 12,470KCAL/H</t>
    <phoneticPr fontId="15" type="noConversion"/>
  </si>
  <si>
    <t>12,470KCAL/H / 2,500KCAL/H = 4.988HP</t>
    <phoneticPr fontId="15" type="noConversion"/>
  </si>
  <si>
    <t>냉매 보정량(액관)</t>
    <phoneticPr fontId="15" type="noConversion"/>
  </si>
  <si>
    <t xml:space="preserve"> </t>
    <phoneticPr fontId="15" type="noConversion"/>
  </si>
  <si>
    <t>냉매 보정량(실내기)</t>
    <phoneticPr fontId="15" type="noConversion"/>
  </si>
  <si>
    <t>016</t>
    <phoneticPr fontId="15" type="noConversion"/>
  </si>
  <si>
    <t>020</t>
    <phoneticPr fontId="15" type="noConversion"/>
  </si>
  <si>
    <t>023</t>
    <phoneticPr fontId="15" type="noConversion"/>
  </si>
  <si>
    <t>032</t>
    <phoneticPr fontId="15" type="noConversion"/>
  </si>
  <si>
    <t>040</t>
    <phoneticPr fontId="15" type="noConversion"/>
  </si>
  <si>
    <t>052</t>
    <phoneticPr fontId="15" type="noConversion"/>
  </si>
  <si>
    <t>060</t>
    <phoneticPr fontId="15" type="noConversion"/>
  </si>
  <si>
    <t>072</t>
    <phoneticPr fontId="15" type="noConversion"/>
  </si>
  <si>
    <t>083</t>
    <phoneticPr fontId="15" type="noConversion"/>
  </si>
  <si>
    <t>100</t>
    <phoneticPr fontId="15" type="noConversion"/>
  </si>
  <si>
    <t>110</t>
    <phoneticPr fontId="15" type="noConversion"/>
  </si>
  <si>
    <t>130</t>
    <phoneticPr fontId="15" type="noConversion"/>
  </si>
  <si>
    <t>145</t>
    <phoneticPr fontId="15" type="noConversion"/>
  </si>
  <si>
    <t>230</t>
    <phoneticPr fontId="15" type="noConversion"/>
  </si>
  <si>
    <t>290</t>
    <phoneticPr fontId="15" type="noConversion"/>
  </si>
  <si>
    <t>보온재</t>
    <phoneticPr fontId="15" type="noConversion"/>
  </si>
  <si>
    <t>EPDM</t>
    <phoneticPr fontId="15" type="noConversion"/>
  </si>
  <si>
    <t>19T</t>
    <phoneticPr fontId="15" type="noConversion"/>
  </si>
  <si>
    <t>13T</t>
    <phoneticPr fontId="15" type="noConversion"/>
  </si>
  <si>
    <t>9T</t>
    <phoneticPr fontId="15" type="noConversion"/>
  </si>
  <si>
    <t>자   재    산   출   서</t>
    <phoneticPr fontId="2" type="noConversion"/>
  </si>
  <si>
    <t>관분류</t>
    <phoneticPr fontId="15" type="noConversion"/>
  </si>
  <si>
    <t>관경</t>
    <phoneticPr fontId="15" type="noConversion"/>
  </si>
  <si>
    <t>라인</t>
    <phoneticPr fontId="2" type="noConversion"/>
  </si>
  <si>
    <t>HP</t>
    <phoneticPr fontId="15" type="noConversion"/>
  </si>
  <si>
    <t>합 계</t>
    <phoneticPr fontId="15" type="noConversion"/>
  </si>
  <si>
    <t>구분</t>
    <phoneticPr fontId="2" type="noConversion"/>
  </si>
  <si>
    <t>냉매량(KG)</t>
    <phoneticPr fontId="2" type="noConversion"/>
  </si>
  <si>
    <t>냉매량</t>
    <phoneticPr fontId="15" type="noConversion"/>
  </si>
  <si>
    <t>냉매량</t>
    <phoneticPr fontId="2" type="noConversion"/>
  </si>
  <si>
    <t>1</t>
    <phoneticPr fontId="15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</si>
  <si>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</si>
  <si>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</si>
  <si>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</si>
  <si>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</si>
  <si>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</si>
  <si>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</si>
  <si>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</si>
  <si>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</si>
  <si>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</si>
  <si>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1라인</t>
    <phoneticPr fontId="2" type="noConversion"/>
  </si>
  <si>
    <t>2라인</t>
  </si>
  <si>
    <t>3라인</t>
  </si>
  <si>
    <t>4라인</t>
  </si>
  <si>
    <t>5라인</t>
  </si>
  <si>
    <t>6라인</t>
  </si>
  <si>
    <t>7라인</t>
  </si>
  <si>
    <t>8라인</t>
  </si>
  <si>
    <t>9라인</t>
  </si>
  <si>
    <t>10라인</t>
  </si>
  <si>
    <t>동관</t>
    <phoneticPr fontId="15" type="noConversion"/>
  </si>
  <si>
    <t>횡주관</t>
    <phoneticPr fontId="15" type="noConversion"/>
  </si>
  <si>
    <t xml:space="preserve"> </t>
    <phoneticPr fontId="2" type="noConversion"/>
  </si>
  <si>
    <t>0.350</t>
    <phoneticPr fontId="2" type="noConversion"/>
  </si>
  <si>
    <t>0.270</t>
    <phoneticPr fontId="2" type="noConversion"/>
  </si>
  <si>
    <t>0.180</t>
    <phoneticPr fontId="2" type="noConversion"/>
  </si>
  <si>
    <t>배관냉매</t>
    <phoneticPr fontId="2" type="noConversion"/>
  </si>
  <si>
    <t>0.125</t>
    <phoneticPr fontId="2" type="noConversion"/>
  </si>
  <si>
    <t>0.06</t>
    <phoneticPr fontId="2" type="noConversion"/>
  </si>
  <si>
    <t>추가량</t>
    <phoneticPr fontId="2" type="noConversion"/>
  </si>
  <si>
    <t>가지관</t>
    <phoneticPr fontId="15" type="noConversion"/>
  </si>
  <si>
    <t>0.02</t>
    <phoneticPr fontId="2" type="noConversion"/>
  </si>
  <si>
    <t>0906</t>
    <phoneticPr fontId="15" type="noConversion"/>
  </si>
  <si>
    <t>배관냉매 합</t>
    <phoneticPr fontId="2" type="noConversion"/>
  </si>
  <si>
    <t xml:space="preserve">실내기 </t>
    <phoneticPr fontId="15" type="noConversion"/>
  </si>
  <si>
    <t>1way</t>
    <phoneticPr fontId="15" type="noConversion"/>
  </si>
  <si>
    <t>0.250</t>
    <phoneticPr fontId="2" type="noConversion"/>
  </si>
  <si>
    <t>0.250</t>
  </si>
  <si>
    <t>0.320</t>
    <phoneticPr fontId="2" type="noConversion"/>
  </si>
  <si>
    <t>실내기</t>
    <phoneticPr fontId="2" type="noConversion"/>
  </si>
  <si>
    <t>0.320</t>
  </si>
  <si>
    <t>2way</t>
    <phoneticPr fontId="15" type="noConversion"/>
  </si>
  <si>
    <t>냉매</t>
    <phoneticPr fontId="2" type="noConversion"/>
  </si>
  <si>
    <t>0.310</t>
    <phoneticPr fontId="2" type="noConversion"/>
  </si>
  <si>
    <t>0.310</t>
  </si>
  <si>
    <t>4way</t>
    <phoneticPr fontId="15" type="noConversion"/>
  </si>
  <si>
    <t>052</t>
    <phoneticPr fontId="2" type="noConversion"/>
  </si>
  <si>
    <t>0.450</t>
    <phoneticPr fontId="2" type="noConversion"/>
  </si>
  <si>
    <t>060</t>
    <phoneticPr fontId="2" type="noConversion"/>
  </si>
  <si>
    <t>072</t>
    <phoneticPr fontId="2" type="noConversion"/>
  </si>
  <si>
    <t>0.450</t>
  </si>
  <si>
    <t>083</t>
    <phoneticPr fontId="2" type="noConversion"/>
  </si>
  <si>
    <t>0.570</t>
    <phoneticPr fontId="2" type="noConversion"/>
  </si>
  <si>
    <t>0.960</t>
    <phoneticPr fontId="2" type="noConversion"/>
  </si>
  <si>
    <t>실내기 합계</t>
    <phoneticPr fontId="2" type="noConversion"/>
  </si>
  <si>
    <t>실내기 냉매 합</t>
    <phoneticPr fontId="2" type="noConversion"/>
  </si>
  <si>
    <t>냉매합</t>
    <phoneticPr fontId="2" type="noConversion"/>
  </si>
  <si>
    <t>실내기수량</t>
    <phoneticPr fontId="15" type="noConversion"/>
  </si>
  <si>
    <t>1WAY</t>
    <phoneticPr fontId="15" type="noConversion"/>
  </si>
  <si>
    <t>2WAY</t>
    <phoneticPr fontId="15" type="noConversion"/>
  </si>
  <si>
    <t>4WAY</t>
    <phoneticPr fontId="15" type="noConversion"/>
  </si>
  <si>
    <t>분기관 합계</t>
    <phoneticPr fontId="2" type="noConversion"/>
  </si>
  <si>
    <t xml:space="preserve">현장명 : </t>
    <phoneticPr fontId="15" type="noConversion"/>
  </si>
  <si>
    <t>하남 노인 복지관</t>
    <phoneticPr fontId="15" type="noConversion"/>
  </si>
  <si>
    <t>자재비 총계</t>
    <phoneticPr fontId="15" type="noConversion"/>
  </si>
  <si>
    <t>잡자재</t>
    <phoneticPr fontId="15" type="noConversion"/>
  </si>
  <si>
    <t>품목</t>
    <phoneticPr fontId="15" type="noConversion"/>
  </si>
  <si>
    <t>EA</t>
    <phoneticPr fontId="15" type="noConversion"/>
  </si>
  <si>
    <t>금액</t>
    <phoneticPr fontId="15" type="noConversion"/>
  </si>
  <si>
    <t>EPDM보온재</t>
    <phoneticPr fontId="15" type="noConversion"/>
  </si>
  <si>
    <t>전산볼트(3M*타)</t>
    <phoneticPr fontId="15" type="noConversion"/>
  </si>
  <si>
    <t>사다리</t>
    <phoneticPr fontId="15" type="noConversion"/>
  </si>
  <si>
    <t>직관</t>
    <phoneticPr fontId="15" type="noConversion"/>
  </si>
  <si>
    <t>M</t>
    <phoneticPr fontId="15" type="noConversion"/>
  </si>
  <si>
    <t>연관</t>
    <phoneticPr fontId="15" type="noConversion"/>
  </si>
  <si>
    <t>은박테이프</t>
    <phoneticPr fontId="15" type="noConversion"/>
  </si>
  <si>
    <t>햄머</t>
    <phoneticPr fontId="15" type="noConversion"/>
  </si>
  <si>
    <t>EPDM 테이프</t>
    <phoneticPr fontId="15" type="noConversion"/>
  </si>
  <si>
    <t>코아</t>
    <phoneticPr fontId="15" type="noConversion"/>
  </si>
  <si>
    <t>EPDM 본드</t>
    <phoneticPr fontId="15" type="noConversion"/>
  </si>
  <si>
    <t>산화방지제</t>
    <phoneticPr fontId="15" type="noConversion"/>
  </si>
  <si>
    <t>세트앙카</t>
    <phoneticPr fontId="15" type="noConversion"/>
  </si>
  <si>
    <t>컷팅기</t>
    <phoneticPr fontId="15" type="noConversion"/>
  </si>
  <si>
    <t>스트롱앙카</t>
    <phoneticPr fontId="15" type="noConversion"/>
  </si>
  <si>
    <t>니쁠</t>
    <phoneticPr fontId="15" type="noConversion"/>
  </si>
  <si>
    <t>용접봉</t>
    <phoneticPr fontId="15" type="noConversion"/>
  </si>
  <si>
    <t>압력계</t>
    <phoneticPr fontId="15" type="noConversion"/>
  </si>
  <si>
    <t>일체형</t>
    <phoneticPr fontId="15" type="noConversion"/>
  </si>
  <si>
    <t>마감제</t>
    <phoneticPr fontId="15" type="noConversion"/>
  </si>
  <si>
    <t>질소호스</t>
    <phoneticPr fontId="15" type="noConversion"/>
  </si>
  <si>
    <t>용접기</t>
    <phoneticPr fontId="15" type="noConversion"/>
  </si>
  <si>
    <t>산소</t>
    <phoneticPr fontId="15" type="noConversion"/>
  </si>
  <si>
    <t>PVC 본드</t>
    <phoneticPr fontId="15" type="noConversion"/>
  </si>
  <si>
    <t>LPG</t>
    <phoneticPr fontId="15" type="noConversion"/>
  </si>
  <si>
    <t>0906</t>
    <phoneticPr fontId="2" type="noConversion"/>
  </si>
  <si>
    <t>CD관(16MM)-M</t>
    <phoneticPr fontId="15" type="noConversion"/>
  </si>
  <si>
    <t xml:space="preserve">질소 </t>
    <phoneticPr fontId="15" type="noConversion"/>
  </si>
  <si>
    <t>방수후렉쉬블</t>
    <phoneticPr fontId="15" type="noConversion"/>
  </si>
  <si>
    <t>휴대용접기</t>
    <phoneticPr fontId="15" type="noConversion"/>
  </si>
  <si>
    <t>합계</t>
    <phoneticPr fontId="15" type="noConversion"/>
  </si>
  <si>
    <t>VCTF 0.75*2C-M</t>
    <phoneticPr fontId="15" type="noConversion"/>
  </si>
  <si>
    <t>전기테이프</t>
    <phoneticPr fontId="15" type="noConversion"/>
  </si>
  <si>
    <t>동 부속</t>
    <phoneticPr fontId="15" type="noConversion"/>
  </si>
  <si>
    <t>PVC PIPE</t>
    <phoneticPr fontId="15" type="noConversion"/>
  </si>
  <si>
    <t>VCTF 0.75*4C-M</t>
    <phoneticPr fontId="15" type="noConversion"/>
  </si>
  <si>
    <t>사포</t>
    <phoneticPr fontId="15" type="noConversion"/>
  </si>
  <si>
    <t>엘보</t>
    <phoneticPr fontId="15" type="noConversion"/>
  </si>
  <si>
    <t>소켓</t>
    <phoneticPr fontId="15" type="noConversion"/>
  </si>
  <si>
    <t>파이프</t>
    <phoneticPr fontId="15" type="noConversion"/>
  </si>
  <si>
    <t>케이블타이</t>
    <phoneticPr fontId="15" type="noConversion"/>
  </si>
  <si>
    <t>그라인더</t>
    <phoneticPr fontId="15" type="noConversion"/>
  </si>
  <si>
    <t>코아날100</t>
    <phoneticPr fontId="15" type="noConversion"/>
  </si>
  <si>
    <t>와샤</t>
    <phoneticPr fontId="15" type="noConversion"/>
  </si>
  <si>
    <t>코아날80</t>
    <phoneticPr fontId="15" type="noConversion"/>
  </si>
  <si>
    <t>너트</t>
    <phoneticPr fontId="15" type="noConversion"/>
  </si>
  <si>
    <t>코아날65</t>
    <phoneticPr fontId="15" type="noConversion"/>
  </si>
  <si>
    <t>방화실란트</t>
    <phoneticPr fontId="15" type="noConversion"/>
  </si>
  <si>
    <t>소계</t>
    <phoneticPr fontId="15" type="noConversion"/>
  </si>
  <si>
    <t>트레이/커버</t>
    <phoneticPr fontId="15" type="noConversion"/>
  </si>
  <si>
    <t>구분</t>
    <phoneticPr fontId="15" type="noConversion"/>
  </si>
  <si>
    <t>PVC 부속</t>
    <phoneticPr fontId="15" type="noConversion"/>
  </si>
  <si>
    <t>200*150*1.5M</t>
    <phoneticPr fontId="15" type="noConversion"/>
  </si>
  <si>
    <t>수량</t>
    <phoneticPr fontId="15" type="noConversion"/>
  </si>
  <si>
    <t>200*150  수평엘보</t>
    <phoneticPr fontId="15" type="noConversion"/>
  </si>
  <si>
    <t>레그200*150용 높이300</t>
    <phoneticPr fontId="15" type="noConversion"/>
  </si>
  <si>
    <t>앤드캡(200*150용)</t>
    <phoneticPr fontId="15" type="noConversion"/>
  </si>
  <si>
    <t>300*150*1.5M</t>
    <phoneticPr fontId="15" type="noConversion"/>
  </si>
  <si>
    <t>300*150  수평엘보</t>
    <phoneticPr fontId="15" type="noConversion"/>
  </si>
  <si>
    <t>레그300*150용 높이300</t>
    <phoneticPr fontId="15" type="noConversion"/>
  </si>
  <si>
    <t>행거</t>
    <phoneticPr fontId="15" type="noConversion"/>
  </si>
  <si>
    <t>앤드캡(300*150용)</t>
    <phoneticPr fontId="15" type="noConversion"/>
  </si>
  <si>
    <t>정행거</t>
    <phoneticPr fontId="15" type="noConversion"/>
  </si>
  <si>
    <t>SIDE-행거</t>
    <phoneticPr fontId="15" type="noConversion"/>
  </si>
  <si>
    <t>정티</t>
    <phoneticPr fontId="15" type="noConversion"/>
  </si>
  <si>
    <t>이경티</t>
    <phoneticPr fontId="15" type="noConversion"/>
  </si>
  <si>
    <t>레그500*150용 높이300</t>
    <phoneticPr fontId="15" type="noConversion"/>
  </si>
  <si>
    <t>멀티행거</t>
    <phoneticPr fontId="15" type="noConversion"/>
  </si>
  <si>
    <t>50*25</t>
    <phoneticPr fontId="15" type="noConversion"/>
  </si>
  <si>
    <t>앤드캡(500*150용)</t>
    <phoneticPr fontId="15" type="noConversion"/>
  </si>
  <si>
    <t>40*25</t>
    <phoneticPr fontId="15" type="noConversion"/>
  </si>
  <si>
    <t>배관커버 150*3M</t>
    <phoneticPr fontId="15" type="noConversion"/>
  </si>
  <si>
    <t>유연호스</t>
    <phoneticPr fontId="15" type="noConversion"/>
  </si>
  <si>
    <t>레듀샤</t>
    <phoneticPr fontId="15" type="noConversion"/>
  </si>
  <si>
    <t>캡</t>
    <phoneticPr fontId="15" type="noConversion"/>
  </si>
  <si>
    <t>EA</t>
    <phoneticPr fontId="2" type="noConversion"/>
  </si>
  <si>
    <t>품 목</t>
    <phoneticPr fontId="2" type="noConversion"/>
  </si>
  <si>
    <t>금액</t>
    <phoneticPr fontId="2" type="noConversion"/>
  </si>
  <si>
    <t>50*40</t>
    <phoneticPr fontId="15" type="noConversion"/>
  </si>
  <si>
    <t>실외기용 분기관</t>
    <phoneticPr fontId="2" type="noConversion"/>
  </si>
  <si>
    <t>4WAY 용</t>
    <phoneticPr fontId="15" type="noConversion"/>
  </si>
  <si>
    <t>1WAY 용</t>
    <phoneticPr fontId="15" type="noConversion"/>
  </si>
  <si>
    <t>실내기용 분기관</t>
    <phoneticPr fontId="15" type="noConversion"/>
  </si>
  <si>
    <t>방진가대</t>
    <phoneticPr fontId="15" type="noConversion"/>
  </si>
  <si>
    <t>형식</t>
    <phoneticPr fontId="15" type="noConversion"/>
  </si>
  <si>
    <t>2 FAN</t>
    <phoneticPr fontId="2" type="noConversion"/>
  </si>
  <si>
    <t>평지방식</t>
    <phoneticPr fontId="15" type="noConversion"/>
  </si>
  <si>
    <t>기타</t>
    <phoneticPr fontId="15" type="noConversion"/>
  </si>
  <si>
    <t>1 FAN</t>
    <phoneticPr fontId="2" type="noConversion"/>
  </si>
  <si>
    <t xml:space="preserve">크레인 </t>
    <phoneticPr fontId="15" type="noConversion"/>
  </si>
  <si>
    <t>식</t>
    <phoneticPr fontId="15" type="noConversion"/>
  </si>
  <si>
    <t>합    계</t>
    <phoneticPr fontId="2" type="noConversion"/>
  </si>
  <si>
    <t>실외기 발</t>
    <phoneticPr fontId="15" type="noConversion"/>
  </si>
  <si>
    <t>플라스틱</t>
    <phoneticPr fontId="15" type="noConversion"/>
  </si>
  <si>
    <t>실내기설치가대</t>
    <phoneticPr fontId="15" type="noConversion"/>
  </si>
  <si>
    <t>냉매</t>
    <phoneticPr fontId="15" type="noConversion"/>
  </si>
  <si>
    <t>kg</t>
    <phoneticPr fontId="15" type="noConversion"/>
  </si>
  <si>
    <t>합   계</t>
    <phoneticPr fontId="2" type="noConversion"/>
  </si>
  <si>
    <t>원    가    계    산    서</t>
    <phoneticPr fontId="2" type="noConversion"/>
  </si>
  <si>
    <t>공  사  명</t>
    <phoneticPr fontId="2" type="noConversion"/>
  </si>
  <si>
    <t>작  성  일</t>
    <phoneticPr fontId="2" type="noConversion"/>
  </si>
  <si>
    <t>2018년    월    일</t>
    <phoneticPr fontId="2" type="noConversion"/>
  </si>
  <si>
    <t>금       액</t>
    <phoneticPr fontId="2" type="noConversion"/>
  </si>
  <si>
    <t>(V.A.T 포함)</t>
    <phoneticPr fontId="2" type="noConversion"/>
  </si>
  <si>
    <t>\</t>
    <phoneticPr fontId="2" type="noConversion"/>
  </si>
  <si>
    <t>총                 괄                 표</t>
    <phoneticPr fontId="2" type="noConversion"/>
  </si>
  <si>
    <t>명            칭</t>
    <phoneticPr fontId="2" type="noConversion"/>
  </si>
  <si>
    <t>산     출     식</t>
    <phoneticPr fontId="2" type="noConversion"/>
  </si>
  <si>
    <t>공   사   금   액</t>
    <phoneticPr fontId="2" type="noConversion"/>
  </si>
  <si>
    <t>비      고</t>
    <phoneticPr fontId="2" type="noConversion"/>
  </si>
  <si>
    <t>1. 순 공 사 원 가</t>
    <phoneticPr fontId="2" type="noConversion"/>
  </si>
  <si>
    <t xml:space="preserve"> [가]+[나]+[다]</t>
    <phoneticPr fontId="2" type="noConversion"/>
  </si>
  <si>
    <t>가. 재료비</t>
    <phoneticPr fontId="2" type="noConversion"/>
  </si>
  <si>
    <t>나. 노무비</t>
    <phoneticPr fontId="2" type="noConversion"/>
  </si>
  <si>
    <t xml:space="preserve"> [(1)+(2)]</t>
    <phoneticPr fontId="2" type="noConversion"/>
  </si>
  <si>
    <t>(1) 직접노무비</t>
    <phoneticPr fontId="2" type="noConversion"/>
  </si>
  <si>
    <t>(2) 간접노무비</t>
    <phoneticPr fontId="2" type="noConversion"/>
  </si>
  <si>
    <t xml:space="preserve"> [나(1)]의 9.90%</t>
    <phoneticPr fontId="2" type="noConversion"/>
  </si>
  <si>
    <t>소          계</t>
    <phoneticPr fontId="2" type="noConversion"/>
  </si>
  <si>
    <t xml:space="preserve"> [가+나]</t>
    <phoneticPr fontId="2" type="noConversion"/>
  </si>
  <si>
    <t>다. 경  비</t>
    <phoneticPr fontId="2" type="noConversion"/>
  </si>
  <si>
    <t xml:space="preserve"> [(1)+(2)+(3)+(4)+(5)+(6)+(7)+(8)+(9)+(10)+(11)+(12)]</t>
    <phoneticPr fontId="2" type="noConversion"/>
  </si>
  <si>
    <t>(1) 기계경비</t>
    <phoneticPr fontId="2" type="noConversion"/>
  </si>
  <si>
    <t>(2) 산재보험료</t>
    <phoneticPr fontId="2" type="noConversion"/>
  </si>
  <si>
    <t xml:space="preserve"> [나]의 3.90%</t>
    <phoneticPr fontId="2" type="noConversion"/>
  </si>
  <si>
    <t>건축 일괄 계상</t>
    <phoneticPr fontId="2" type="noConversion"/>
  </si>
  <si>
    <t>(3) 고용보험료</t>
    <phoneticPr fontId="2" type="noConversion"/>
  </si>
  <si>
    <t xml:space="preserve"> [나]의 0.87%</t>
    <phoneticPr fontId="2" type="noConversion"/>
  </si>
  <si>
    <t>(4) 국민건강보험료</t>
    <phoneticPr fontId="2" type="noConversion"/>
  </si>
  <si>
    <t xml:space="preserve"> [나(1)]의 1.70%</t>
    <phoneticPr fontId="2" type="noConversion"/>
  </si>
  <si>
    <t>(5) 국민연금보험료</t>
    <phoneticPr fontId="2" type="noConversion"/>
  </si>
  <si>
    <t xml:space="preserve"> [나(1)]의 2.49%</t>
    <phoneticPr fontId="2" type="noConversion"/>
  </si>
  <si>
    <t>(6) 노인장기요양보험료</t>
    <phoneticPr fontId="2" type="noConversion"/>
  </si>
  <si>
    <t xml:space="preserve"> [다(4)]의 6.55% </t>
    <phoneticPr fontId="2" type="noConversion"/>
  </si>
  <si>
    <t>(7) 퇴직공제부금비</t>
    <phoneticPr fontId="2" type="noConversion"/>
  </si>
  <si>
    <t xml:space="preserve"> [나(1)]의 2.30%</t>
    <phoneticPr fontId="2" type="noConversion"/>
  </si>
  <si>
    <t>(8) 산업안전보건관리비</t>
    <phoneticPr fontId="2" type="noConversion"/>
  </si>
  <si>
    <t>[가+나(1)]의 3.09%</t>
    <phoneticPr fontId="2" type="noConversion"/>
  </si>
  <si>
    <t>(9) 환경보전관리비</t>
    <phoneticPr fontId="2" type="noConversion"/>
  </si>
  <si>
    <t>[가+나(1)+다(1)]의 0.30%</t>
    <phoneticPr fontId="2" type="noConversion"/>
  </si>
  <si>
    <t>(10) 기타경비</t>
    <phoneticPr fontId="2" type="noConversion"/>
  </si>
  <si>
    <t>[가+나]의 5.00%</t>
    <phoneticPr fontId="2" type="noConversion"/>
  </si>
  <si>
    <t>(11) 하도급지급보증수수료</t>
    <phoneticPr fontId="2" type="noConversion"/>
  </si>
  <si>
    <t>[가+나(1)+다(1)]의 0.081%</t>
    <phoneticPr fontId="2" type="noConversion"/>
  </si>
  <si>
    <t>(12) 건설기계대여대금지급보증수수료</t>
    <phoneticPr fontId="2" type="noConversion"/>
  </si>
  <si>
    <t>[가+나(1)+다(1)]의 0.11%</t>
    <phoneticPr fontId="2" type="noConversion"/>
  </si>
  <si>
    <t>2. 일 반 관 리 비</t>
    <phoneticPr fontId="2" type="noConversion"/>
  </si>
  <si>
    <t>[가+나+다]의 6.00%</t>
    <phoneticPr fontId="2" type="noConversion"/>
  </si>
  <si>
    <t>3. 이             윤</t>
    <phoneticPr fontId="2" type="noConversion"/>
  </si>
  <si>
    <t>[나+다+2]의 15.00%</t>
    <phoneticPr fontId="2" type="noConversion"/>
  </si>
  <si>
    <t>4. 합             계</t>
    <phoneticPr fontId="2" type="noConversion"/>
  </si>
  <si>
    <t>[1+2+3]</t>
    <phoneticPr fontId="2" type="noConversion"/>
  </si>
  <si>
    <t>5. 부 가 가 치 세</t>
    <phoneticPr fontId="2" type="noConversion"/>
  </si>
  <si>
    <t>[4]의 10.00%</t>
    <phoneticPr fontId="2" type="noConversion"/>
  </si>
  <si>
    <t>6. 도  금   금  액</t>
    <phoneticPr fontId="2" type="noConversion"/>
  </si>
  <si>
    <t>[4+5]</t>
    <phoneticPr fontId="2" type="noConversion"/>
  </si>
  <si>
    <t>7. 결  정   금  액</t>
    <phoneticPr fontId="2" type="noConversion"/>
  </si>
  <si>
    <t>상  호</t>
    <phoneticPr fontId="12" type="noConversion"/>
  </si>
  <si>
    <t>사 업 자 번 호</t>
    <phoneticPr fontId="15" type="noConversion"/>
  </si>
  <si>
    <t>주 소</t>
    <phoneticPr fontId="15" type="noConversion"/>
  </si>
  <si>
    <t>대 표 이 사</t>
    <phoneticPr fontId="15" type="noConversion"/>
  </si>
  <si>
    <t>VAT별도</t>
    <phoneticPr fontId="2" type="noConversion"/>
  </si>
  <si>
    <t>시스템 담당자</t>
    <phoneticPr fontId="15" type="noConversion"/>
  </si>
  <si>
    <t>견적요청에 감사 드리며 하기와 같이 제출 합니다.</t>
    <phoneticPr fontId="15" type="noConversion"/>
  </si>
  <si>
    <t>(단위:원, 대)</t>
    <phoneticPr fontId="15" type="noConversion"/>
  </si>
  <si>
    <t>품   명</t>
    <phoneticPr fontId="15" type="noConversion"/>
  </si>
  <si>
    <t>모 델 명</t>
    <phoneticPr fontId="15" type="noConversion"/>
  </si>
  <si>
    <t>단위</t>
    <phoneticPr fontId="15" type="noConversion"/>
  </si>
  <si>
    <t>수량</t>
    <phoneticPr fontId="12" type="noConversion"/>
  </si>
  <si>
    <t>단   가</t>
    <phoneticPr fontId="15" type="noConversion"/>
  </si>
  <si>
    <t>금   액</t>
    <phoneticPr fontId="15" type="noConversion"/>
  </si>
  <si>
    <t>비   고</t>
    <phoneticPr fontId="15" type="noConversion"/>
  </si>
  <si>
    <t>DESCRIPTION</t>
  </si>
  <si>
    <t>MODEL</t>
  </si>
  <si>
    <t>UNIT</t>
    <phoneticPr fontId="15" type="noConversion"/>
  </si>
  <si>
    <t>Q'TY</t>
    <phoneticPr fontId="15" type="noConversion"/>
  </si>
  <si>
    <t>UNIT PRICE</t>
  </si>
  <si>
    <t>AMOUNT</t>
  </si>
  <si>
    <t>REMARKS</t>
  </si>
  <si>
    <t>1. 제품내역</t>
    <phoneticPr fontId="2" type="noConversion"/>
  </si>
  <si>
    <t>제품대 소계</t>
    <phoneticPr fontId="2" type="noConversion"/>
  </si>
  <si>
    <t>2. 설치비 내역</t>
    <phoneticPr fontId="2" type="noConversion"/>
  </si>
  <si>
    <t>SET</t>
    <phoneticPr fontId="2" type="noConversion"/>
  </si>
  <si>
    <t>설치비 소계</t>
    <phoneticPr fontId="2" type="noConversion"/>
  </si>
  <si>
    <t>합계</t>
    <phoneticPr fontId="2" type="noConversion"/>
  </si>
  <si>
    <t>냉난방</t>
  </si>
  <si>
    <t>단위</t>
  </si>
  <si>
    <t>M</t>
  </si>
  <si>
    <t>□ 신통신 제품 모델체계('13.04.30)</t>
  </si>
  <si>
    <t>품목</t>
  </si>
  <si>
    <t>용량</t>
  </si>
  <si>
    <t>년도</t>
  </si>
  <si>
    <t>IN/OUT</t>
  </si>
  <si>
    <t>제품타입</t>
  </si>
  <si>
    <t>Grade</t>
  </si>
  <si>
    <t>전원</t>
  </si>
  <si>
    <t>버전</t>
  </si>
  <si>
    <t>AM</t>
  </si>
  <si>
    <t>020</t>
  </si>
  <si>
    <t>F</t>
  </si>
  <si>
    <t>N</t>
  </si>
  <si>
    <t>D</t>
  </si>
  <si>
    <t>B</t>
  </si>
  <si>
    <t>H</t>
  </si>
  <si>
    <t>구분</t>
  </si>
  <si>
    <t>표기</t>
  </si>
  <si>
    <t>타입</t>
  </si>
  <si>
    <t>IN</t>
  </si>
  <si>
    <t>OUT</t>
  </si>
  <si>
    <t>멀티</t>
  </si>
  <si>
    <t>in</t>
  </si>
  <si>
    <t>kw</t>
  </si>
  <si>
    <t>E</t>
  </si>
  <si>
    <t>1 WAY</t>
  </si>
  <si>
    <t>A</t>
  </si>
  <si>
    <t>CAC</t>
  </si>
  <si>
    <t>FLAGSHIP</t>
  </si>
  <si>
    <t>STANDARD</t>
  </si>
  <si>
    <t>DVM</t>
  </si>
  <si>
    <t>220V,60Hz,단상</t>
  </si>
  <si>
    <t>C/O</t>
  </si>
  <si>
    <t>C</t>
  </si>
  <si>
    <t>1~9</t>
  </si>
  <si>
    <t>PMA</t>
  </si>
  <si>
    <t>AJ</t>
  </si>
  <si>
    <t>out</t>
  </si>
  <si>
    <t>HP</t>
  </si>
  <si>
    <t>*나사</t>
  </si>
  <si>
    <t>2 WAY</t>
  </si>
  <si>
    <t>V</t>
  </si>
  <si>
    <t>인버터</t>
  </si>
  <si>
    <t>P</t>
  </si>
  <si>
    <t>PREMIUM</t>
  </si>
  <si>
    <t>G</t>
  </si>
  <si>
    <t>고온</t>
  </si>
  <si>
    <t>380V,60Hz,3상</t>
  </si>
  <si>
    <t>H/P</t>
  </si>
  <si>
    <t>AC</t>
  </si>
  <si>
    <t>VTL</t>
  </si>
  <si>
    <t>CMH</t>
  </si>
  <si>
    <t>MINI 4 WAY</t>
  </si>
  <si>
    <t>L</t>
  </si>
  <si>
    <t>슬림</t>
  </si>
  <si>
    <t>DELUXE</t>
  </si>
  <si>
    <t>S</t>
  </si>
  <si>
    <t>460V 공장전원</t>
  </si>
  <si>
    <t>J</t>
  </si>
  <si>
    <t>H/R</t>
  </si>
  <si>
    <t>R</t>
  </si>
  <si>
    <t>EHS</t>
  </si>
  <si>
    <t>AE</t>
  </si>
  <si>
    <t>X</t>
  </si>
  <si>
    <t>4 WAY</t>
  </si>
  <si>
    <t>GHP</t>
  </si>
  <si>
    <t>U</t>
  </si>
  <si>
    <t>AN</t>
  </si>
  <si>
    <t>I</t>
  </si>
  <si>
    <t>HSP DUCT</t>
  </si>
  <si>
    <t>MINI</t>
  </si>
  <si>
    <t>RENEWAL</t>
  </si>
  <si>
    <t>*비나사</t>
  </si>
  <si>
    <t>MSP DUCT</t>
  </si>
  <si>
    <t>W</t>
  </si>
  <si>
    <t>수냉식</t>
  </si>
  <si>
    <t>단독</t>
  </si>
  <si>
    <t>LSP DUCT</t>
  </si>
  <si>
    <t>GEO</t>
  </si>
  <si>
    <t>CEILING</t>
  </si>
  <si>
    <t>PAC</t>
  </si>
  <si>
    <t>RAC</t>
  </si>
  <si>
    <t>HYDRO킷</t>
  </si>
  <si>
    <t>2 Room</t>
  </si>
  <si>
    <t>급탕탱크</t>
  </si>
  <si>
    <t>3 Room</t>
  </si>
  <si>
    <t>AHU</t>
  </si>
  <si>
    <t>4 Room</t>
  </si>
  <si>
    <t>K</t>
  </si>
  <si>
    <t>5 Room</t>
  </si>
  <si>
    <t>Multi Room</t>
  </si>
  <si>
    <t>Premium</t>
  </si>
  <si>
    <t>주택/고효율</t>
  </si>
  <si>
    <t>상업/고효율</t>
  </si>
  <si>
    <t>상업/일반</t>
  </si>
  <si>
    <t xml:space="preserve"> 조 창 근 010-3149-7793</t>
    <phoneticPr fontId="15" type="noConversion"/>
  </si>
  <si>
    <t>2.현 장 명 :</t>
    <phoneticPr fontId="25" type="noConversion"/>
  </si>
  <si>
    <t>3. 현장 주소 :</t>
    <phoneticPr fontId="2" type="noConversion"/>
  </si>
  <si>
    <t>4. 인수자 :</t>
    <phoneticPr fontId="2" type="noConversion"/>
  </si>
  <si>
    <t xml:space="preserve">5. 납기일 : </t>
    <phoneticPr fontId="2" type="noConversion"/>
  </si>
  <si>
    <t>실내기(4WAY)</t>
    <phoneticPr fontId="2" type="noConversion"/>
  </si>
  <si>
    <t>1. 제 출 처 : ㈜ 유림정보 시스템</t>
    <phoneticPr fontId="15" type="noConversion"/>
  </si>
  <si>
    <t>AIM-H04N</t>
    <phoneticPr fontId="2" type="noConversion"/>
  </si>
  <si>
    <t>통신선 작업</t>
    <phoneticPr fontId="2" type="noConversion"/>
  </si>
  <si>
    <t>VAT</t>
    <phoneticPr fontId="2" type="noConversion"/>
  </si>
  <si>
    <t>합  계</t>
    <phoneticPr fontId="2" type="noConversion"/>
  </si>
  <si>
    <t xml:space="preserve">실내기 </t>
    <phoneticPr fontId="2" type="noConversion"/>
  </si>
  <si>
    <t>EA</t>
    <phoneticPr fontId="2" type="noConversion"/>
  </si>
  <si>
    <t>㈜ 에어젠 이앤지</t>
    <phoneticPr fontId="13" type="noConversion"/>
  </si>
  <si>
    <t>135-86-48852</t>
    <phoneticPr fontId="13" type="noConversion"/>
  </si>
  <si>
    <t>경기도 화성시 영통로 100, 206-4</t>
    <phoneticPr fontId="13" type="noConversion"/>
  </si>
  <si>
    <t>김 재 순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</si>
</sst>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-* #,##0_-;\-* #,##0_-;_-* &quot;-&quot;_-;_-@_-"/>
    <numFmt numFmtId="176" formatCode="_-&quot;₩&quot;* #,##0.00_-;&quot;₩&quot;&quot;₩&quot;\-&quot;₩&quot;* #,##0.00_-;_-&quot;₩&quot;* &quot;-&quot;??_-;_-@_-"/>
    <numFmt numFmtId="177" formatCode="#,##0;[Red]&quot;-&quot;#,##0"/>
    <numFmt numFmtId="178" formatCode="#,##0_ "/>
    <numFmt numFmtId="179" formatCode="&quot;₩&quot;#,##0;&quot;₩&quot;\-#,##0"/>
    <numFmt numFmtId="180" formatCode="_ * #,##0_ ;_ * \-#,##0_ ;_ * &quot;-&quot;_ ;_ @_ "/>
    <numFmt numFmtId="181" formatCode="#,##0;[Red]#,##0"/>
    <numFmt numFmtId="182" formatCode="#,##0.000;[Red]#,##0.000"/>
    <numFmt numFmtId="183" formatCode="yyyy&quot;년&quot;\ mm&quot;월&quot;\ dd&quot;일&quot;;@"/>
  </numFmts>
  <fonts count="3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8"/>
      <name val="바탕"/>
      <family val="1"/>
      <charset val="129"/>
    </font>
    <font>
      <sz val="8"/>
      <name val="맑은 고딕"/>
      <family val="3"/>
      <charset val="129"/>
    </font>
    <font>
      <sz val="11"/>
      <name val="맑은 고딕"/>
      <family val="3"/>
      <charset val="129"/>
      <scheme val="major"/>
    </font>
    <font>
      <sz val="8"/>
      <name val="돋움"/>
      <family val="3"/>
      <charset val="129"/>
    </font>
    <font>
      <b/>
      <sz val="12"/>
      <name val="맑은 고딕"/>
      <family val="3"/>
      <charset val="129"/>
      <scheme val="major"/>
    </font>
    <font>
      <sz val="12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돋움"/>
      <family val="3"/>
      <charset val="129"/>
    </font>
    <font>
      <sz val="10"/>
      <color theme="1"/>
      <name val="돋움"/>
      <family val="3"/>
      <charset val="129"/>
    </font>
    <font>
      <b/>
      <sz val="20"/>
      <name val="맑은 고딕"/>
      <family val="3"/>
      <charset val="129"/>
      <scheme val="major"/>
    </font>
    <font>
      <sz val="8"/>
      <color theme="0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sz val="20"/>
      <name val="맑은 고딕"/>
      <family val="3"/>
      <charset val="129"/>
      <scheme val="major"/>
    </font>
    <font>
      <sz val="8"/>
      <name val="바탕체"/>
      <family val="1"/>
      <charset val="129"/>
    </font>
    <font>
      <sz val="10"/>
      <name val="Arial"/>
      <family val="2"/>
    </font>
    <font>
      <sz val="10"/>
      <name val="맑은 고딕"/>
      <family val="3"/>
      <charset val="129"/>
      <scheme val="major"/>
    </font>
    <font>
      <sz val="9"/>
      <color theme="1"/>
      <name val="맑은 고딕"/>
      <family val="2"/>
      <charset val="129"/>
      <scheme val="minor"/>
    </font>
    <font>
      <sz val="9"/>
      <name val="돋움"/>
      <family val="3"/>
      <charset val="129"/>
    </font>
    <font>
      <sz val="28"/>
      <color theme="1"/>
      <name val="돋움"/>
      <family val="3"/>
      <charset val="129"/>
    </font>
    <font>
      <b/>
      <sz val="10"/>
      <name val="돋움"/>
      <family val="3"/>
      <charset val="129"/>
    </font>
    <font>
      <sz val="18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HY중고딕"/>
      <family val="1"/>
      <charset val="129"/>
    </font>
    <font>
      <b/>
      <sz val="9"/>
      <name val="HY중고딕"/>
      <family val="1"/>
      <charset val="129"/>
    </font>
    <font>
      <b/>
      <sz val="10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b/>
      <sz val="9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19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hair">
        <color indexed="64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hair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auto="1"/>
      </left>
      <right/>
      <top style="thin">
        <color auto="1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</borders>
  <cellStyleXfs count="1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0" fillId="0" borderId="0"/>
    <xf numFmtId="176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18" fillId="0" borderId="0">
      <alignment vertical="center"/>
    </xf>
    <xf numFmtId="41" fontId="10" fillId="0" borderId="0" applyFont="0" applyFill="0" applyBorder="0" applyAlignment="0" applyProtection="0"/>
    <xf numFmtId="0" fontId="10" fillId="0" borderId="0">
      <alignment vertical="center"/>
    </xf>
    <xf numFmtId="180" fontId="11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1" fillId="0" borderId="0">
      <alignment vertical="center"/>
    </xf>
    <xf numFmtId="41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6" fillId="0" borderId="0"/>
  </cellStyleXfs>
  <cellXfs count="593">
    <xf numFmtId="0" fontId="0" fillId="0" borderId="0" xfId="0">
      <alignment vertical="center"/>
    </xf>
    <xf numFmtId="0" fontId="0" fillId="0" borderId="0" xfId="0">
      <alignment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9" fillId="0" borderId="16" xfId="0" quotePrefix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14" fillId="0" borderId="0" xfId="0" applyFont="1" applyAlignment="1"/>
    <xf numFmtId="177" fontId="14" fillId="0" borderId="0" xfId="4" applyFont="1"/>
    <xf numFmtId="0" fontId="21" fillId="0" borderId="0" xfId="0" applyFont="1" applyAlignment="1"/>
    <xf numFmtId="0" fontId="23" fillId="0" borderId="0" xfId="0" applyFont="1" applyAlignme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 applyAlignment="1"/>
    <xf numFmtId="177" fontId="23" fillId="0" borderId="0" xfId="4" applyFont="1"/>
    <xf numFmtId="49" fontId="16" fillId="0" borderId="0" xfId="0" applyNumberFormat="1" applyFont="1" applyAlignment="1">
      <alignment horizontal="right"/>
    </xf>
    <xf numFmtId="0" fontId="14" fillId="0" borderId="0" xfId="0" applyFont="1" applyAlignment="1">
      <alignment horizontal="center"/>
    </xf>
    <xf numFmtId="41" fontId="22" fillId="0" borderId="0" xfId="6" applyFont="1" applyAlignment="1">
      <alignment vertical="center"/>
    </xf>
    <xf numFmtId="0" fontId="0" fillId="0" borderId="102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9" fillId="7" borderId="56" xfId="0" applyFont="1" applyFill="1" applyBorder="1" applyAlignment="1">
      <alignment horizontal="center" vertical="center"/>
    </xf>
    <xf numFmtId="0" fontId="29" fillId="7" borderId="87" xfId="0" applyFont="1" applyFill="1" applyBorder="1" applyAlignment="1">
      <alignment horizontal="center" vertical="center"/>
    </xf>
    <xf numFmtId="0" fontId="29" fillId="6" borderId="87" xfId="0" applyFont="1" applyFill="1" applyBorder="1" applyAlignment="1">
      <alignment horizontal="center" vertical="center"/>
    </xf>
    <xf numFmtId="0" fontId="29" fillId="6" borderId="110" xfId="0" applyFont="1" applyFill="1" applyBorder="1" applyAlignment="1">
      <alignment horizontal="center" vertical="center"/>
    </xf>
    <xf numFmtId="0" fontId="29" fillId="7" borderId="111" xfId="0" applyFont="1" applyFill="1" applyBorder="1" applyAlignment="1">
      <alignment horizontal="center" vertical="center"/>
    </xf>
    <xf numFmtId="0" fontId="29" fillId="7" borderId="86" xfId="0" applyFont="1" applyFill="1" applyBorder="1" applyAlignment="1">
      <alignment horizontal="center" vertical="center"/>
    </xf>
    <xf numFmtId="41" fontId="29" fillId="0" borderId="58" xfId="6" applyFont="1" applyFill="1" applyBorder="1" applyAlignment="1">
      <alignment horizontal="center" vertical="center"/>
    </xf>
    <xf numFmtId="41" fontId="29" fillId="0" borderId="61" xfId="0" applyNumberFormat="1" applyFont="1" applyBorder="1" applyAlignment="1">
      <alignment horizontal="center" vertical="center"/>
    </xf>
    <xf numFmtId="0" fontId="29" fillId="0" borderId="61" xfId="0" applyFont="1" applyBorder="1" applyAlignment="1">
      <alignment vertical="center"/>
    </xf>
    <xf numFmtId="41" fontId="29" fillId="0" borderId="58" xfId="0" applyNumberFormat="1" applyFont="1" applyBorder="1" applyAlignment="1">
      <alignment horizontal="center" vertical="center"/>
    </xf>
    <xf numFmtId="41" fontId="29" fillId="0" borderId="61" xfId="0" applyNumberFormat="1" applyFont="1" applyBorder="1" applyAlignment="1">
      <alignment vertical="center"/>
    </xf>
    <xf numFmtId="181" fontId="29" fillId="0" borderId="61" xfId="0" applyNumberFormat="1" applyFont="1" applyBorder="1" applyAlignment="1">
      <alignment vertical="center"/>
    </xf>
    <xf numFmtId="41" fontId="29" fillId="0" borderId="58" xfId="0" applyNumberFormat="1" applyFont="1" applyFill="1" applyBorder="1" applyAlignment="1">
      <alignment horizontal="center" vertical="center"/>
    </xf>
    <xf numFmtId="41" fontId="29" fillId="0" borderId="63" xfId="6" applyFont="1" applyFill="1" applyBorder="1" applyAlignment="1">
      <alignment horizontal="center" vertical="center"/>
    </xf>
    <xf numFmtId="41" fontId="29" fillId="0" borderId="64" xfId="0" applyNumberFormat="1" applyFont="1" applyBorder="1" applyAlignment="1">
      <alignment horizontal="center" vertical="center"/>
    </xf>
    <xf numFmtId="0" fontId="29" fillId="0" borderId="64" xfId="0" applyFont="1" applyBorder="1" applyAlignment="1">
      <alignment vertical="center"/>
    </xf>
    <xf numFmtId="41" fontId="29" fillId="0" borderId="58" xfId="0" applyNumberFormat="1" applyFont="1" applyBorder="1" applyAlignment="1">
      <alignment vertical="center"/>
    </xf>
    <xf numFmtId="41" fontId="29" fillId="0" borderId="63" xfId="0" applyNumberFormat="1" applyFont="1" applyBorder="1" applyAlignment="1">
      <alignment horizontal="center" vertical="center"/>
    </xf>
    <xf numFmtId="41" fontId="29" fillId="0" borderId="64" xfId="0" applyNumberFormat="1" applyFont="1" applyBorder="1" applyAlignment="1">
      <alignment vertical="center"/>
    </xf>
    <xf numFmtId="41" fontId="29" fillId="0" borderId="63" xfId="0" applyNumberFormat="1" applyFont="1" applyBorder="1" applyAlignment="1">
      <alignment vertical="center"/>
    </xf>
    <xf numFmtId="41" fontId="29" fillId="0" borderId="76" xfId="0" applyNumberFormat="1" applyFont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7" borderId="115" xfId="0" applyFont="1" applyFill="1" applyBorder="1" applyAlignment="1">
      <alignment horizontal="center" vertical="center"/>
    </xf>
    <xf numFmtId="0" fontId="29" fillId="0" borderId="88" xfId="0" applyFont="1" applyFill="1" applyBorder="1" applyAlignment="1">
      <alignment horizontal="center" vertical="center"/>
    </xf>
    <xf numFmtId="41" fontId="29" fillId="0" borderId="61" xfId="0" applyNumberFormat="1" applyFont="1" applyBorder="1" applyAlignment="1">
      <alignment horizontal="right" vertical="center"/>
    </xf>
    <xf numFmtId="41" fontId="29" fillId="0" borderId="88" xfId="0" applyNumberFormat="1" applyFont="1" applyFill="1" applyBorder="1" applyAlignment="1">
      <alignment horizontal="center" vertical="center"/>
    </xf>
    <xf numFmtId="0" fontId="29" fillId="0" borderId="56" xfId="0" applyFont="1" applyBorder="1" applyAlignment="1">
      <alignment horizontal="center" vertical="center"/>
    </xf>
    <xf numFmtId="181" fontId="29" fillId="0" borderId="118" xfId="0" applyNumberFormat="1" applyFont="1" applyBorder="1" applyAlignment="1">
      <alignment horizontal="center" vertical="center"/>
    </xf>
    <xf numFmtId="41" fontId="29" fillId="0" borderId="100" xfId="0" applyNumberFormat="1" applyFont="1" applyBorder="1" applyAlignment="1">
      <alignment horizontal="center" vertical="center"/>
    </xf>
    <xf numFmtId="41" fontId="29" fillId="0" borderId="120" xfId="0" applyNumberFormat="1" applyFont="1" applyBorder="1" applyAlignment="1">
      <alignment horizontal="center" vertical="center"/>
    </xf>
    <xf numFmtId="181" fontId="29" fillId="0" borderId="72" xfId="0" applyNumberFormat="1" applyFont="1" applyBorder="1" applyAlignment="1">
      <alignment horizontal="center" vertical="center"/>
    </xf>
    <xf numFmtId="0" fontId="29" fillId="0" borderId="110" xfId="0" applyFont="1" applyFill="1" applyBorder="1" applyAlignment="1">
      <alignment horizontal="center" vertical="center"/>
    </xf>
    <xf numFmtId="49" fontId="20" fillId="0" borderId="1" xfId="6" applyNumberFormat="1" applyFont="1" applyFill="1" applyBorder="1" applyAlignment="1">
      <alignment horizontal="center" vertical="center"/>
    </xf>
    <xf numFmtId="49" fontId="20" fillId="0" borderId="92" xfId="6" applyNumberFormat="1" applyFont="1" applyFill="1" applyBorder="1" applyAlignment="1">
      <alignment horizontal="center" vertical="center"/>
    </xf>
    <xf numFmtId="49" fontId="19" fillId="0" borderId="82" xfId="6" applyNumberFormat="1" applyFont="1" applyFill="1" applyBorder="1" applyAlignment="1">
      <alignment horizontal="center" vertical="center"/>
    </xf>
    <xf numFmtId="49" fontId="19" fillId="0" borderId="50" xfId="6" applyNumberFormat="1" applyFont="1" applyFill="1" applyBorder="1" applyAlignment="1">
      <alignment horizontal="center" vertical="center"/>
    </xf>
    <xf numFmtId="41" fontId="19" fillId="0" borderId="39" xfId="6" applyFont="1" applyFill="1" applyBorder="1" applyAlignment="1">
      <alignment horizontal="center" vertical="center"/>
    </xf>
    <xf numFmtId="41" fontId="19" fillId="0" borderId="19" xfId="6" applyFont="1" applyFill="1" applyBorder="1" applyAlignment="1">
      <alignment horizontal="center" vertical="center"/>
    </xf>
    <xf numFmtId="41" fontId="19" fillId="0" borderId="0" xfId="6" applyFont="1" applyFill="1" applyBorder="1" applyAlignment="1">
      <alignment horizontal="center" vertical="center"/>
    </xf>
    <xf numFmtId="49" fontId="19" fillId="0" borderId="0" xfId="6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34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vertical="center"/>
    </xf>
    <xf numFmtId="0" fontId="20" fillId="0" borderId="124" xfId="0" applyFont="1" applyFill="1" applyBorder="1" applyAlignment="1">
      <alignment horizontal="center" vertical="center"/>
    </xf>
    <xf numFmtId="0" fontId="20" fillId="0" borderId="127" xfId="0" applyFont="1" applyFill="1" applyBorder="1" applyAlignment="1">
      <alignment horizontal="center" vertical="center"/>
    </xf>
    <xf numFmtId="0" fontId="20" fillId="0" borderId="19" xfId="0" quotePrefix="1" applyFont="1" applyFill="1" applyBorder="1" applyAlignment="1">
      <alignment horizontal="center" vertical="center"/>
    </xf>
    <xf numFmtId="0" fontId="20" fillId="0" borderId="47" xfId="0" quotePrefix="1" applyFont="1" applyFill="1" applyBorder="1" applyAlignment="1">
      <alignment horizontal="center" vertical="center"/>
    </xf>
    <xf numFmtId="41" fontId="20" fillId="0" borderId="49" xfId="6" applyFont="1" applyFill="1" applyBorder="1" applyAlignment="1">
      <alignment horizontal="center" vertical="center"/>
    </xf>
    <xf numFmtId="41" fontId="20" fillId="0" borderId="128" xfId="6" applyFont="1" applyFill="1" applyBorder="1" applyAlignment="1">
      <alignment horizontal="center" vertical="center"/>
    </xf>
    <xf numFmtId="49" fontId="20" fillId="0" borderId="99" xfId="0" applyNumberFormat="1" applyFont="1" applyFill="1" applyBorder="1" applyAlignment="1">
      <alignment horizontal="center" vertical="center"/>
    </xf>
    <xf numFmtId="41" fontId="20" fillId="0" borderId="130" xfId="6" applyFont="1" applyFill="1" applyBorder="1" applyAlignment="1">
      <alignment horizontal="center" vertical="center"/>
    </xf>
    <xf numFmtId="49" fontId="20" fillId="0" borderId="92" xfId="0" applyNumberFormat="1" applyFont="1" applyFill="1" applyBorder="1" applyAlignment="1">
      <alignment horizontal="center" vertical="center"/>
    </xf>
    <xf numFmtId="49" fontId="20" fillId="3" borderId="40" xfId="0" applyNumberFormat="1" applyFont="1" applyFill="1" applyBorder="1" applyAlignment="1">
      <alignment horizontal="center" vertical="center"/>
    </xf>
    <xf numFmtId="49" fontId="20" fillId="3" borderId="129" xfId="0" applyNumberFormat="1" applyFont="1" applyFill="1" applyBorder="1" applyAlignment="1">
      <alignment horizontal="center" vertical="center"/>
    </xf>
    <xf numFmtId="49" fontId="20" fillId="0" borderId="82" xfId="0" applyNumberFormat="1" applyFont="1" applyFill="1" applyBorder="1" applyAlignment="1">
      <alignment horizontal="center" vertical="center"/>
    </xf>
    <xf numFmtId="41" fontId="20" fillId="0" borderId="42" xfId="6" applyFont="1" applyFill="1" applyBorder="1" applyAlignment="1">
      <alignment horizontal="center" vertical="center"/>
    </xf>
    <xf numFmtId="49" fontId="20" fillId="0" borderId="83" xfId="0" applyNumberFormat="1" applyFont="1" applyFill="1" applyBorder="1" applyAlignment="1">
      <alignment horizontal="center" vertical="center"/>
    </xf>
    <xf numFmtId="49" fontId="20" fillId="0" borderId="47" xfId="0" applyNumberFormat="1" applyFont="1" applyFill="1" applyBorder="1" applyAlignment="1">
      <alignment horizontal="center" vertical="center"/>
    </xf>
    <xf numFmtId="49" fontId="20" fillId="3" borderId="93" xfId="0" applyNumberFormat="1" applyFont="1" applyFill="1" applyBorder="1" applyAlignment="1">
      <alignment horizontal="center" vertical="center"/>
    </xf>
    <xf numFmtId="49" fontId="20" fillId="3" borderId="94" xfId="0" applyNumberFormat="1" applyFont="1" applyFill="1" applyBorder="1" applyAlignment="1">
      <alignment horizontal="center" vertical="center"/>
    </xf>
    <xf numFmtId="41" fontId="20" fillId="0" borderId="19" xfId="6" applyFont="1" applyFill="1" applyBorder="1" applyAlignment="1">
      <alignment horizontal="center" vertical="center"/>
    </xf>
    <xf numFmtId="41" fontId="20" fillId="0" borderId="0" xfId="6" applyFont="1" applyFill="1" applyBorder="1" applyAlignment="1">
      <alignment horizontal="center" vertical="center"/>
    </xf>
    <xf numFmtId="49" fontId="20" fillId="0" borderId="0" xfId="6" applyNumberFormat="1" applyFont="1" applyFill="1" applyBorder="1" applyAlignment="1">
      <alignment horizontal="center" vertical="center"/>
    </xf>
    <xf numFmtId="49" fontId="20" fillId="0" borderId="0" xfId="0" applyNumberFormat="1" applyFont="1" applyFill="1" applyAlignment="1">
      <alignment horizontal="center" vertical="center"/>
    </xf>
    <xf numFmtId="0" fontId="7" fillId="0" borderId="0" xfId="0" applyFont="1">
      <alignment vertical="center"/>
    </xf>
    <xf numFmtId="179" fontId="14" fillId="0" borderId="0" xfId="0" applyNumberFormat="1" applyFont="1" applyAlignment="1">
      <alignment horizontal="centerContinuous"/>
    </xf>
    <xf numFmtId="179" fontId="14" fillId="0" borderId="8" xfId="0" applyNumberFormat="1" applyFont="1" applyBorder="1" applyAlignment="1">
      <alignment horizontal="right"/>
    </xf>
    <xf numFmtId="179" fontId="14" fillId="0" borderId="8" xfId="0" applyNumberFormat="1" applyFont="1" applyBorder="1" applyAlignment="1"/>
    <xf numFmtId="0" fontId="19" fillId="0" borderId="0" xfId="0" applyFont="1" applyAlignment="1">
      <alignment horizontal="center" vertical="center"/>
    </xf>
    <xf numFmtId="178" fontId="19" fillId="0" borderId="50" xfId="0" applyNumberFormat="1" applyFont="1" applyBorder="1" applyAlignment="1">
      <alignment horizontal="center" vertical="center"/>
    </xf>
    <xf numFmtId="181" fontId="19" fillId="0" borderId="50" xfId="0" applyNumberFormat="1" applyFont="1" applyBorder="1" applyAlignment="1">
      <alignment horizontal="center" vertical="center"/>
    </xf>
    <xf numFmtId="181" fontId="29" fillId="0" borderId="0" xfId="0" applyNumberFormat="1" applyFont="1" applyAlignment="1">
      <alignment horizontal="center" vertical="center"/>
    </xf>
    <xf numFmtId="181" fontId="29" fillId="6" borderId="87" xfId="0" applyNumberFormat="1" applyFont="1" applyFill="1" applyBorder="1" applyAlignment="1">
      <alignment horizontal="center" vertical="center"/>
    </xf>
    <xf numFmtId="181" fontId="29" fillId="0" borderId="58" xfId="0" applyNumberFormat="1" applyFont="1" applyFill="1" applyBorder="1" applyAlignment="1">
      <alignment horizontal="center" vertical="center"/>
    </xf>
    <xf numFmtId="181" fontId="29" fillId="0" borderId="63" xfId="0" applyNumberFormat="1" applyFont="1" applyFill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29" fillId="0" borderId="58" xfId="0" applyFont="1" applyFill="1" applyBorder="1" applyAlignment="1">
      <alignment horizontal="center"/>
    </xf>
    <xf numFmtId="0" fontId="0" fillId="0" borderId="15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0" xfId="0" applyBorder="1" applyAlignment="1">
      <alignment horizontal="center" vertical="center" wrapText="1"/>
    </xf>
    <xf numFmtId="0" fontId="0" fillId="0" borderId="156" xfId="0" applyBorder="1" applyAlignment="1">
      <alignment horizontal="center" vertical="center"/>
    </xf>
    <xf numFmtId="0" fontId="19" fillId="0" borderId="105" xfId="0" applyFont="1" applyBorder="1" applyAlignment="1">
      <alignment horizontal="center" vertical="center"/>
    </xf>
    <xf numFmtId="0" fontId="0" fillId="0" borderId="106" xfId="0" applyBorder="1" applyAlignment="1">
      <alignment horizontal="center" vertical="center"/>
    </xf>
    <xf numFmtId="49" fontId="0" fillId="0" borderId="135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140" xfId="0" applyNumberFormat="1" applyBorder="1" applyAlignment="1">
      <alignment horizontal="center" vertical="center"/>
    </xf>
    <xf numFmtId="49" fontId="0" fillId="0" borderId="140" xfId="0" applyNumberFormat="1" applyBorder="1" applyAlignment="1">
      <alignment vertical="center"/>
    </xf>
    <xf numFmtId="49" fontId="0" fillId="0" borderId="140" xfId="0" applyNumberFormat="1" applyBorder="1" applyAlignment="1">
      <alignment horizontal="left" vertical="center"/>
    </xf>
    <xf numFmtId="0" fontId="29" fillId="0" borderId="58" xfId="0" applyFont="1" applyFill="1" applyBorder="1" applyAlignment="1">
      <alignment horizontal="center" vertical="center"/>
    </xf>
    <xf numFmtId="41" fontId="20" fillId="0" borderId="45" xfId="6" applyFont="1" applyFill="1" applyBorder="1" applyAlignment="1">
      <alignment horizontal="center" vertical="center"/>
    </xf>
    <xf numFmtId="41" fontId="20" fillId="0" borderId="43" xfId="6" applyFont="1" applyFill="1" applyBorder="1" applyAlignment="1">
      <alignment horizontal="center" vertical="center"/>
    </xf>
    <xf numFmtId="41" fontId="20" fillId="0" borderId="44" xfId="6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61" xfId="0" applyFont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49" fontId="20" fillId="0" borderId="46" xfId="0" applyNumberFormat="1" applyFont="1" applyFill="1" applyBorder="1" applyAlignment="1">
      <alignment horizontal="center" vertical="center"/>
    </xf>
    <xf numFmtId="0" fontId="20" fillId="0" borderId="92" xfId="0" quotePrefix="1" applyFont="1" applyFill="1" applyBorder="1" applyAlignment="1">
      <alignment horizontal="center" vertical="center"/>
    </xf>
    <xf numFmtId="49" fontId="20" fillId="0" borderId="128" xfId="0" applyNumberFormat="1" applyFont="1" applyFill="1" applyBorder="1" applyAlignment="1">
      <alignment horizontal="center" vertical="center"/>
    </xf>
    <xf numFmtId="41" fontId="20" fillId="0" borderId="125" xfId="6" applyFont="1" applyFill="1" applyBorder="1" applyAlignment="1">
      <alignment horizontal="center" vertical="center"/>
    </xf>
    <xf numFmtId="41" fontId="20" fillId="0" borderId="51" xfId="6" applyFont="1" applyFill="1" applyBorder="1" applyAlignment="1">
      <alignment horizontal="center" vertical="center"/>
    </xf>
    <xf numFmtId="41" fontId="20" fillId="0" borderId="132" xfId="6" applyFont="1" applyFill="1" applyBorder="1" applyAlignment="1">
      <alignment horizontal="center" vertical="center"/>
    </xf>
    <xf numFmtId="182" fontId="20" fillId="0" borderId="5" xfId="0" applyNumberFormat="1" applyFont="1" applyFill="1" applyBorder="1" applyAlignment="1">
      <alignment horizontal="center" vertical="center"/>
    </xf>
    <xf numFmtId="0" fontId="29" fillId="0" borderId="111" xfId="0" applyFont="1" applyBorder="1" applyAlignment="1">
      <alignment vertical="center"/>
    </xf>
    <xf numFmtId="0" fontId="29" fillId="7" borderId="57" xfId="0" applyFont="1" applyFill="1" applyBorder="1" applyAlignment="1">
      <alignment horizontal="center" vertical="center"/>
    </xf>
    <xf numFmtId="0" fontId="29" fillId="0" borderId="60" xfId="0" applyFont="1" applyBorder="1" applyAlignment="1">
      <alignment vertical="center"/>
    </xf>
    <xf numFmtId="0" fontId="29" fillId="0" borderId="121" xfId="0" applyFont="1" applyBorder="1" applyAlignment="1">
      <alignment horizontal="center" vertical="center"/>
    </xf>
    <xf numFmtId="41" fontId="29" fillId="0" borderId="98" xfId="6" applyFont="1" applyBorder="1" applyAlignment="1">
      <alignment horizontal="center" vertical="center"/>
    </xf>
    <xf numFmtId="181" fontId="29" fillId="0" borderId="60" xfId="0" applyNumberFormat="1" applyFont="1" applyBorder="1" applyAlignment="1">
      <alignment horizontal="center" vertical="center"/>
    </xf>
    <xf numFmtId="0" fontId="29" fillId="0" borderId="168" xfId="0" applyFont="1" applyBorder="1" applyAlignment="1">
      <alignment horizontal="center" vertical="center"/>
    </xf>
    <xf numFmtId="0" fontId="29" fillId="0" borderId="91" xfId="0" applyFont="1" applyBorder="1" applyAlignment="1">
      <alignment horizontal="center" vertical="center"/>
    </xf>
    <xf numFmtId="0" fontId="29" fillId="0" borderId="169" xfId="0" applyFont="1" applyBorder="1" applyAlignment="1">
      <alignment horizontal="center" vertical="center"/>
    </xf>
    <xf numFmtId="0" fontId="29" fillId="0" borderId="50" xfId="0" applyFont="1" applyBorder="1" applyAlignment="1">
      <alignment horizontal="center" vertical="center"/>
    </xf>
    <xf numFmtId="0" fontId="29" fillId="0" borderId="171" xfId="0" applyFont="1" applyBorder="1" applyAlignment="1">
      <alignment horizontal="center" vertical="center"/>
    </xf>
    <xf numFmtId="0" fontId="29" fillId="0" borderId="145" xfId="0" applyFont="1" applyBorder="1" applyAlignment="1">
      <alignment horizontal="center" vertical="center"/>
    </xf>
    <xf numFmtId="41" fontId="29" fillId="8" borderId="113" xfId="0" applyNumberFormat="1" applyFont="1" applyFill="1" applyBorder="1" applyAlignment="1">
      <alignment vertical="center"/>
    </xf>
    <xf numFmtId="41" fontId="29" fillId="8" borderId="104" xfId="0" applyNumberFormat="1" applyFont="1" applyFill="1" applyBorder="1" applyAlignment="1">
      <alignment horizontal="center" vertical="center"/>
    </xf>
    <xf numFmtId="181" fontId="29" fillId="8" borderId="104" xfId="0" applyNumberFormat="1" applyFont="1" applyFill="1" applyBorder="1" applyAlignment="1">
      <alignment horizontal="center" vertical="center"/>
    </xf>
    <xf numFmtId="181" fontId="29" fillId="8" borderId="67" xfId="0" applyNumberFormat="1" applyFont="1" applyFill="1" applyBorder="1" applyAlignment="1">
      <alignment vertical="center"/>
    </xf>
    <xf numFmtId="41" fontId="29" fillId="8" borderId="113" xfId="0" applyNumberFormat="1" applyFont="1" applyFill="1" applyBorder="1" applyAlignment="1">
      <alignment horizontal="center" vertical="center"/>
    </xf>
    <xf numFmtId="181" fontId="29" fillId="8" borderId="114" xfId="0" applyNumberFormat="1" applyFont="1" applyFill="1" applyBorder="1" applyAlignment="1">
      <alignment horizontal="center" vertical="center"/>
    </xf>
    <xf numFmtId="0" fontId="29" fillId="0" borderId="117" xfId="0" applyFont="1" applyBorder="1" applyAlignment="1">
      <alignment horizontal="center" vertical="center"/>
    </xf>
    <xf numFmtId="0" fontId="29" fillId="0" borderId="98" xfId="0" applyFont="1" applyBorder="1" applyAlignment="1">
      <alignment horizontal="center" vertical="center"/>
    </xf>
    <xf numFmtId="181" fontId="29" fillId="0" borderId="58" xfId="0" applyNumberFormat="1" applyFont="1" applyBorder="1" applyAlignment="1">
      <alignment horizontal="center" vertical="center"/>
    </xf>
    <xf numFmtId="181" fontId="29" fillId="0" borderId="61" xfId="0" applyNumberFormat="1" applyFont="1" applyBorder="1" applyAlignment="1">
      <alignment horizontal="center" vertical="center"/>
    </xf>
    <xf numFmtId="0" fontId="29" fillId="0" borderId="63" xfId="0" applyFont="1" applyFill="1" applyBorder="1" applyAlignment="1">
      <alignment horizontal="center"/>
    </xf>
    <xf numFmtId="181" fontId="29" fillId="0" borderId="63" xfId="0" applyNumberFormat="1" applyFont="1" applyBorder="1" applyAlignment="1">
      <alignment horizontal="center" vertical="center"/>
    </xf>
    <xf numFmtId="181" fontId="29" fillId="0" borderId="64" xfId="0" applyNumberFormat="1" applyFont="1" applyBorder="1" applyAlignment="1">
      <alignment horizontal="center" vertical="center"/>
    </xf>
    <xf numFmtId="181" fontId="29" fillId="0" borderId="98" xfId="0" applyNumberFormat="1" applyFont="1" applyFill="1" applyBorder="1" applyAlignment="1">
      <alignment horizontal="center" vertical="center"/>
    </xf>
    <xf numFmtId="181" fontId="29" fillId="6" borderId="58" xfId="0" applyNumberFormat="1" applyFont="1" applyFill="1" applyBorder="1" applyAlignment="1">
      <alignment horizontal="center" vertical="center"/>
    </xf>
    <xf numFmtId="0" fontId="29" fillId="6" borderId="61" xfId="0" applyFont="1" applyFill="1" applyBorder="1" applyAlignment="1">
      <alignment horizontal="center" vertical="center"/>
    </xf>
    <xf numFmtId="0" fontId="29" fillId="0" borderId="74" xfId="0" applyFont="1" applyBorder="1" applyAlignment="1">
      <alignment horizontal="center" vertical="center"/>
    </xf>
    <xf numFmtId="181" fontId="29" fillId="0" borderId="59" xfId="0" applyNumberFormat="1" applyFont="1" applyBorder="1" applyAlignment="1">
      <alignment horizontal="center" vertical="center"/>
    </xf>
    <xf numFmtId="181" fontId="29" fillId="0" borderId="173" xfId="0" applyNumberFormat="1" applyFont="1" applyBorder="1" applyAlignment="1">
      <alignment horizontal="center" vertical="center"/>
    </xf>
    <xf numFmtId="181" fontId="29" fillId="0" borderId="175" xfId="0" applyNumberFormat="1" applyFont="1" applyBorder="1" applyAlignment="1">
      <alignment horizontal="center" vertical="center"/>
    </xf>
    <xf numFmtId="0" fontId="29" fillId="7" borderId="154" xfId="0" applyFont="1" applyFill="1" applyBorder="1" applyAlignment="1">
      <alignment horizontal="center" vertical="center"/>
    </xf>
    <xf numFmtId="0" fontId="29" fillId="6" borderId="155" xfId="0" applyFont="1" applyFill="1" applyBorder="1" applyAlignment="1">
      <alignment horizontal="center" vertical="center"/>
    </xf>
    <xf numFmtId="0" fontId="29" fillId="8" borderId="144" xfId="0" applyFont="1" applyFill="1" applyBorder="1" applyAlignment="1">
      <alignment horizontal="center" vertical="center"/>
    </xf>
    <xf numFmtId="0" fontId="29" fillId="6" borderId="90" xfId="0" applyFont="1" applyFill="1" applyBorder="1" applyAlignment="1">
      <alignment horizontal="center" vertical="center"/>
    </xf>
    <xf numFmtId="0" fontId="29" fillId="0" borderId="89" xfId="0" applyFont="1" applyBorder="1" applyAlignment="1">
      <alignment horizontal="center" vertical="center"/>
    </xf>
    <xf numFmtId="181" fontId="29" fillId="0" borderId="121" xfId="0" applyNumberFormat="1" applyFont="1" applyBorder="1" applyAlignment="1">
      <alignment horizontal="center" vertical="center"/>
    </xf>
    <xf numFmtId="181" fontId="29" fillId="0" borderId="165" xfId="0" applyNumberFormat="1" applyFont="1" applyBorder="1" applyAlignment="1">
      <alignment horizontal="center" vertical="center"/>
    </xf>
    <xf numFmtId="181" fontId="29" fillId="0" borderId="166" xfId="0" applyNumberFormat="1" applyFont="1" applyBorder="1" applyAlignment="1">
      <alignment horizontal="center" vertical="center"/>
    </xf>
    <xf numFmtId="41" fontId="29" fillId="0" borderId="61" xfId="0" applyNumberFormat="1" applyFont="1" applyFill="1" applyBorder="1" applyAlignment="1">
      <alignment horizontal="center" vertical="center"/>
    </xf>
    <xf numFmtId="41" fontId="29" fillId="0" borderId="61" xfId="6" applyFont="1" applyBorder="1" applyAlignment="1">
      <alignment horizontal="center" vertical="center"/>
    </xf>
    <xf numFmtId="41" fontId="29" fillId="0" borderId="118" xfId="6" applyFont="1" applyBorder="1" applyAlignment="1">
      <alignment horizontal="center" vertical="center"/>
    </xf>
    <xf numFmtId="41" fontId="29" fillId="0" borderId="100" xfId="0" applyNumberFormat="1" applyFont="1" applyBorder="1" applyAlignment="1">
      <alignment vertical="center"/>
    </xf>
    <xf numFmtId="41" fontId="29" fillId="0" borderId="120" xfId="0" applyNumberFormat="1" applyFont="1" applyBorder="1" applyAlignment="1">
      <alignment vertical="center"/>
    </xf>
    <xf numFmtId="0" fontId="29" fillId="0" borderId="100" xfId="0" applyFont="1" applyFill="1" applyBorder="1" applyAlignment="1">
      <alignment horizontal="center" vertical="center"/>
    </xf>
    <xf numFmtId="0" fontId="29" fillId="0" borderId="100" xfId="0" applyFont="1" applyBorder="1" applyAlignment="1">
      <alignment horizontal="center" vertical="center"/>
    </xf>
    <xf numFmtId="0" fontId="29" fillId="0" borderId="120" xfId="0" applyFont="1" applyBorder="1" applyAlignment="1">
      <alignment horizontal="center" vertical="center"/>
    </xf>
    <xf numFmtId="0" fontId="29" fillId="0" borderId="89" xfId="0" applyFont="1" applyFill="1" applyBorder="1" applyAlignment="1">
      <alignment horizontal="center" vertical="center"/>
    </xf>
    <xf numFmtId="0" fontId="29" fillId="0" borderId="97" xfId="0" applyFont="1" applyBorder="1" applyAlignment="1">
      <alignment horizontal="center" vertical="center"/>
    </xf>
    <xf numFmtId="0" fontId="29" fillId="6" borderId="89" xfId="0" applyFont="1" applyFill="1" applyBorder="1" applyAlignment="1">
      <alignment horizontal="center" vertical="center"/>
    </xf>
    <xf numFmtId="49" fontId="29" fillId="0" borderId="89" xfId="0" applyNumberFormat="1" applyFont="1" applyBorder="1" applyAlignment="1">
      <alignment horizontal="center" vertical="center"/>
    </xf>
    <xf numFmtId="0" fontId="29" fillId="0" borderId="95" xfId="0" applyFont="1" applyBorder="1" applyAlignment="1">
      <alignment horizontal="center" vertical="center"/>
    </xf>
    <xf numFmtId="181" fontId="29" fillId="0" borderId="173" xfId="0" applyNumberFormat="1" applyFont="1" applyBorder="1" applyAlignment="1">
      <alignment horizontal="right" vertical="center"/>
    </xf>
    <xf numFmtId="0" fontId="29" fillId="0" borderId="75" xfId="0" applyFont="1" applyBorder="1" applyAlignment="1">
      <alignment vertical="center"/>
    </xf>
    <xf numFmtId="3" fontId="34" fillId="0" borderId="0" xfId="3" applyNumberFormat="1" applyFont="1" applyBorder="1" applyAlignment="1">
      <alignment horizontal="center" vertical="center"/>
    </xf>
    <xf numFmtId="177" fontId="19" fillId="0" borderId="91" xfId="4" applyFont="1" applyFill="1" applyBorder="1" applyAlignment="1">
      <alignment horizontal="center" vertical="top"/>
    </xf>
    <xf numFmtId="181" fontId="19" fillId="0" borderId="50" xfId="1" applyNumberFormat="1" applyFont="1" applyFill="1" applyBorder="1">
      <alignment vertical="center"/>
    </xf>
    <xf numFmtId="0" fontId="19" fillId="0" borderId="143" xfId="0" applyFont="1" applyBorder="1" applyAlignment="1">
      <alignment horizontal="center" vertical="center"/>
    </xf>
    <xf numFmtId="181" fontId="19" fillId="0" borderId="143" xfId="0" applyNumberFormat="1" applyFont="1" applyBorder="1" applyAlignment="1">
      <alignment horizontal="center" vertical="center"/>
    </xf>
    <xf numFmtId="0" fontId="19" fillId="4" borderId="50" xfId="0" applyFont="1" applyFill="1" applyBorder="1" applyAlignment="1">
      <alignment horizontal="center" vertical="center"/>
    </xf>
    <xf numFmtId="181" fontId="19" fillId="4" borderId="50" xfId="6" applyNumberFormat="1" applyFont="1" applyFill="1" applyBorder="1" applyAlignment="1">
      <alignment horizontal="center" vertical="center"/>
    </xf>
    <xf numFmtId="181" fontId="19" fillId="4" borderId="50" xfId="6" applyNumberFormat="1" applyFont="1" applyFill="1" applyBorder="1" applyAlignment="1">
      <alignment vertical="center"/>
    </xf>
    <xf numFmtId="0" fontId="19" fillId="4" borderId="143" xfId="0" applyFont="1" applyFill="1" applyBorder="1" applyAlignment="1">
      <alignment horizontal="center" vertical="center"/>
    </xf>
    <xf numFmtId="181" fontId="19" fillId="0" borderId="50" xfId="6" applyNumberFormat="1" applyFont="1" applyFill="1" applyBorder="1" applyAlignment="1">
      <alignment horizontal="center" vertical="center"/>
    </xf>
    <xf numFmtId="181" fontId="19" fillId="0" borderId="50" xfId="6" applyNumberFormat="1" applyFont="1" applyFill="1" applyBorder="1" applyAlignment="1">
      <alignment vertical="center"/>
    </xf>
    <xf numFmtId="0" fontId="19" fillId="0" borderId="50" xfId="0" applyFont="1" applyBorder="1" applyAlignment="1">
      <alignment horizontal="center" vertical="center"/>
    </xf>
    <xf numFmtId="41" fontId="19" fillId="4" borderId="50" xfId="6" applyFont="1" applyFill="1" applyBorder="1" applyAlignment="1">
      <alignment horizontal="center" vertical="center"/>
    </xf>
    <xf numFmtId="41" fontId="19" fillId="4" borderId="50" xfId="6" applyFont="1" applyFill="1" applyBorder="1" applyAlignment="1">
      <alignment vertical="center"/>
    </xf>
    <xf numFmtId="0" fontId="19" fillId="6" borderId="50" xfId="0" applyFont="1" applyFill="1" applyBorder="1" applyAlignment="1">
      <alignment horizontal="center" vertical="center"/>
    </xf>
    <xf numFmtId="41" fontId="19" fillId="6" borderId="50" xfId="6" applyFont="1" applyFill="1" applyBorder="1" applyAlignment="1">
      <alignment horizontal="center" vertical="center"/>
    </xf>
    <xf numFmtId="41" fontId="19" fillId="6" borderId="50" xfId="6" applyFont="1" applyFill="1" applyBorder="1" applyAlignment="1">
      <alignment vertical="center"/>
    </xf>
    <xf numFmtId="0" fontId="19" fillId="6" borderId="143" xfId="0" applyFont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quotePrefix="1" applyFont="1" applyAlignment="1">
      <alignment horizontal="right"/>
    </xf>
    <xf numFmtId="0" fontId="36" fillId="11" borderId="19" xfId="0" applyFont="1" applyFill="1" applyBorder="1" applyAlignment="1">
      <alignment horizontal="center"/>
    </xf>
    <xf numFmtId="3" fontId="35" fillId="0" borderId="0" xfId="2" applyNumberFormat="1" applyFont="1" applyAlignment="1">
      <alignment horizontal="center" vertical="center"/>
    </xf>
    <xf numFmtId="0" fontId="27" fillId="0" borderId="0" xfId="0" applyFont="1" applyAlignment="1">
      <alignment horizontal="right"/>
    </xf>
    <xf numFmtId="0" fontId="19" fillId="0" borderId="91" xfId="0" applyFont="1" applyBorder="1" applyAlignment="1">
      <alignment horizontal="center" vertical="top"/>
    </xf>
    <xf numFmtId="0" fontId="19" fillId="0" borderId="91" xfId="0" applyFont="1" applyBorder="1" applyAlignment="1">
      <alignment vertical="top"/>
    </xf>
    <xf numFmtId="0" fontId="19" fillId="0" borderId="144" xfId="0" applyFont="1" applyBorder="1" applyAlignment="1">
      <alignment horizontal="center" vertical="top"/>
    </xf>
    <xf numFmtId="0" fontId="14" fillId="0" borderId="0" xfId="0" applyFont="1">
      <alignment vertical="center"/>
    </xf>
    <xf numFmtId="181" fontId="14" fillId="0" borderId="0" xfId="0" applyNumberFormat="1" applyFont="1">
      <alignment vertical="center"/>
    </xf>
    <xf numFmtId="0" fontId="23" fillId="0" borderId="0" xfId="0" applyFont="1" applyAlignment="1">
      <alignment horizontal="center" vertical="center"/>
    </xf>
    <xf numFmtId="0" fontId="23" fillId="0" borderId="0" xfId="0" applyFont="1">
      <alignment vertical="center"/>
    </xf>
    <xf numFmtId="0" fontId="36" fillId="11" borderId="69" xfId="0" applyFont="1" applyFill="1" applyBorder="1" applyAlignment="1">
      <alignment horizontal="center"/>
    </xf>
    <xf numFmtId="177" fontId="36" fillId="11" borderId="69" xfId="4" applyFont="1" applyFill="1" applyBorder="1" applyAlignment="1">
      <alignment horizontal="center"/>
    </xf>
    <xf numFmtId="0" fontId="36" fillId="11" borderId="71" xfId="0" applyFont="1" applyFill="1" applyBorder="1" applyAlignment="1">
      <alignment horizontal="center"/>
    </xf>
    <xf numFmtId="0" fontId="36" fillId="11" borderId="149" xfId="0" applyFont="1" applyFill="1" applyBorder="1" applyAlignment="1">
      <alignment horizontal="center" vertical="top"/>
    </xf>
    <xf numFmtId="177" fontId="36" fillId="11" borderId="149" xfId="4" applyFont="1" applyFill="1" applyBorder="1" applyAlignment="1">
      <alignment horizontal="center" vertical="top"/>
    </xf>
    <xf numFmtId="0" fontId="36" fillId="11" borderId="76" xfId="0" applyFont="1" applyFill="1" applyBorder="1" applyAlignment="1">
      <alignment horizontal="center" vertical="top"/>
    </xf>
    <xf numFmtId="0" fontId="0" fillId="0" borderId="14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35" xfId="0" applyBorder="1" applyAlignment="1">
      <alignment horizontal="center" vertical="center"/>
    </xf>
    <xf numFmtId="0" fontId="0" fillId="0" borderId="154" xfId="0" applyBorder="1" applyAlignment="1">
      <alignment horizontal="center" vertical="center"/>
    </xf>
    <xf numFmtId="0" fontId="0" fillId="0" borderId="155" xfId="0" applyBorder="1" applyAlignment="1">
      <alignment horizontal="center" vertical="center"/>
    </xf>
    <xf numFmtId="0" fontId="0" fillId="0" borderId="157" xfId="0" applyBorder="1" applyAlignment="1">
      <alignment horizontal="center" vertical="center"/>
    </xf>
    <xf numFmtId="0" fontId="0" fillId="0" borderId="158" xfId="0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49" fontId="20" fillId="0" borderId="50" xfId="0" applyNumberFormat="1" applyFont="1" applyFill="1" applyBorder="1" applyAlignment="1">
      <alignment horizontal="center" vertical="center"/>
    </xf>
    <xf numFmtId="49" fontId="20" fillId="0" borderId="53" xfId="0" applyNumberFormat="1" applyFont="1" applyFill="1" applyBorder="1" applyAlignment="1">
      <alignment horizontal="center" vertical="center"/>
    </xf>
    <xf numFmtId="0" fontId="20" fillId="0" borderId="82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20" fillId="0" borderId="92" xfId="0" applyFont="1" applyFill="1" applyBorder="1" applyAlignment="1">
      <alignment horizontal="center" vertical="center"/>
    </xf>
    <xf numFmtId="0" fontId="20" fillId="0" borderId="47" xfId="0" applyFont="1" applyFill="1" applyBorder="1" applyAlignment="1">
      <alignment horizontal="center" vertical="center"/>
    </xf>
    <xf numFmtId="0" fontId="20" fillId="0" borderId="99" xfId="0" applyFont="1" applyFill="1" applyBorder="1" applyAlignment="1">
      <alignment horizontal="center" vertical="center"/>
    </xf>
    <xf numFmtId="41" fontId="20" fillId="0" borderId="53" xfId="6" applyFont="1" applyFill="1" applyBorder="1" applyAlignment="1">
      <alignment horizontal="center" vertical="center"/>
    </xf>
    <xf numFmtId="49" fontId="20" fillId="0" borderId="50" xfId="6" applyNumberFormat="1" applyFont="1" applyFill="1" applyBorder="1" applyAlignment="1">
      <alignment horizontal="center" vertical="center"/>
    </xf>
    <xf numFmtId="0" fontId="20" fillId="0" borderId="50" xfId="0" quotePrefix="1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60" xfId="0" applyFont="1" applyFill="1" applyBorder="1" applyAlignment="1">
      <alignment horizontal="center" vertical="center"/>
    </xf>
    <xf numFmtId="181" fontId="29" fillId="0" borderId="100" xfId="0" applyNumberFormat="1" applyFont="1" applyBorder="1" applyAlignment="1">
      <alignment horizontal="center" vertical="center"/>
    </xf>
    <xf numFmtId="181" fontId="29" fillId="0" borderId="120" xfId="0" applyNumberFormat="1" applyFont="1" applyBorder="1" applyAlignment="1">
      <alignment horizontal="center" vertical="center"/>
    </xf>
    <xf numFmtId="181" fontId="29" fillId="0" borderId="119" xfId="0" applyNumberFormat="1" applyFont="1" applyBorder="1" applyAlignment="1">
      <alignment horizontal="center" vertical="center"/>
    </xf>
    <xf numFmtId="181" fontId="29" fillId="0" borderId="114" xfId="0" applyNumberFormat="1" applyFont="1" applyBorder="1" applyAlignment="1">
      <alignment horizontal="center" vertical="center"/>
    </xf>
    <xf numFmtId="0" fontId="29" fillId="0" borderId="60" xfId="0" applyFont="1" applyBorder="1" applyAlignment="1">
      <alignment horizontal="center" vertical="center"/>
    </xf>
    <xf numFmtId="0" fontId="29" fillId="0" borderId="119" xfId="0" applyFont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0" borderId="87" xfId="0" applyFont="1" applyBorder="1" applyAlignment="1">
      <alignment horizontal="center" vertical="center"/>
    </xf>
    <xf numFmtId="0" fontId="29" fillId="0" borderId="86" xfId="0" applyFont="1" applyBorder="1" applyAlignment="1">
      <alignment horizontal="center" vertical="center"/>
    </xf>
    <xf numFmtId="0" fontId="29" fillId="0" borderId="116" xfId="0" applyFont="1" applyBorder="1" applyAlignment="1">
      <alignment horizontal="center" vertical="center"/>
    </xf>
    <xf numFmtId="0" fontId="29" fillId="0" borderId="58" xfId="0" applyFont="1" applyBorder="1" applyAlignment="1">
      <alignment horizontal="center" vertical="center"/>
    </xf>
    <xf numFmtId="0" fontId="29" fillId="0" borderId="96" xfId="0" applyFont="1" applyBorder="1" applyAlignment="1">
      <alignment horizontal="center" vertical="center"/>
    </xf>
    <xf numFmtId="0" fontId="29" fillId="0" borderId="84" xfId="0" applyFont="1" applyBorder="1" applyAlignment="1">
      <alignment horizontal="center" vertical="center"/>
    </xf>
    <xf numFmtId="0" fontId="29" fillId="0" borderId="6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0" fontId="29" fillId="0" borderId="178" xfId="0" applyFont="1" applyBorder="1" applyAlignment="1">
      <alignment horizontal="center" vertical="center"/>
    </xf>
    <xf numFmtId="0" fontId="36" fillId="11" borderId="70" xfId="0" applyFont="1" applyFill="1" applyBorder="1" applyAlignment="1">
      <alignment horizontal="center"/>
    </xf>
    <xf numFmtId="0" fontId="36" fillId="11" borderId="167" xfId="0" applyFont="1" applyFill="1" applyBorder="1" applyAlignment="1">
      <alignment horizontal="center" vertical="top"/>
    </xf>
    <xf numFmtId="0" fontId="19" fillId="0" borderId="184" xfId="0" applyFont="1" applyBorder="1" applyAlignment="1">
      <alignment horizontal="center" vertical="center" shrinkToFit="1"/>
    </xf>
    <xf numFmtId="0" fontId="19" fillId="0" borderId="51" xfId="0" applyFont="1" applyBorder="1" applyAlignment="1">
      <alignment horizontal="center" vertical="center"/>
    </xf>
    <xf numFmtId="0" fontId="19" fillId="4" borderId="184" xfId="0" applyFont="1" applyFill="1" applyBorder="1" applyAlignment="1">
      <alignment horizontal="center" vertical="center" shrinkToFit="1"/>
    </xf>
    <xf numFmtId="0" fontId="19" fillId="4" borderId="51" xfId="0" applyFont="1" applyFill="1" applyBorder="1" applyAlignment="1">
      <alignment horizontal="center" vertical="center"/>
    </xf>
    <xf numFmtId="0" fontId="19" fillId="6" borderId="184" xfId="0" applyFont="1" applyFill="1" applyBorder="1" applyAlignment="1">
      <alignment horizontal="center" vertical="center" shrinkToFit="1"/>
    </xf>
    <xf numFmtId="0" fontId="19" fillId="6" borderId="51" xfId="0" applyFont="1" applyFill="1" applyBorder="1" applyAlignment="1">
      <alignment horizontal="center" vertical="center"/>
    </xf>
    <xf numFmtId="0" fontId="19" fillId="0" borderId="184" xfId="1" applyNumberFormat="1" applyFont="1" applyFill="1" applyBorder="1" applyAlignment="1">
      <alignment horizontal="center" vertical="center"/>
    </xf>
    <xf numFmtId="0" fontId="36" fillId="11" borderId="68" xfId="0" applyFont="1" applyFill="1" applyBorder="1" applyAlignment="1">
      <alignment horizontal="center"/>
    </xf>
    <xf numFmtId="0" fontId="36" fillId="11" borderId="70" xfId="0" applyFont="1" applyFill="1" applyBorder="1" applyAlignment="1">
      <alignment horizontal="center"/>
    </xf>
    <xf numFmtId="0" fontId="36" fillId="11" borderId="74" xfId="0" applyFont="1" applyFill="1" applyBorder="1" applyAlignment="1">
      <alignment horizontal="center" vertical="top"/>
    </xf>
    <xf numFmtId="0" fontId="36" fillId="11" borderId="167" xfId="0" applyFont="1" applyFill="1" applyBorder="1" applyAlignment="1">
      <alignment horizontal="center" vertical="top"/>
    </xf>
    <xf numFmtId="0" fontId="19" fillId="0" borderId="183" xfId="0" applyFont="1" applyBorder="1" applyAlignment="1">
      <alignment horizontal="center" vertical="top"/>
    </xf>
    <xf numFmtId="0" fontId="19" fillId="0" borderId="185" xfId="0" applyFont="1" applyBorder="1" applyAlignment="1">
      <alignment horizontal="center" vertical="top"/>
    </xf>
    <xf numFmtId="179" fontId="36" fillId="5" borderId="13" xfId="0" applyNumberFormat="1" applyFont="1" applyFill="1" applyBorder="1" applyAlignment="1">
      <alignment horizontal="center" vertical="center"/>
    </xf>
    <xf numFmtId="179" fontId="37" fillId="5" borderId="13" xfId="0" applyNumberFormat="1" applyFont="1" applyFill="1" applyBorder="1" applyAlignment="1">
      <alignment horizontal="center" vertical="center"/>
    </xf>
    <xf numFmtId="0" fontId="36" fillId="0" borderId="13" xfId="0" applyFont="1" applyBorder="1" applyAlignment="1"/>
    <xf numFmtId="0" fontId="31" fillId="0" borderId="13" xfId="0" applyFont="1" applyBorder="1" applyAlignment="1"/>
    <xf numFmtId="0" fontId="31" fillId="0" borderId="13" xfId="0" applyFont="1" applyBorder="1" applyAlignment="1">
      <alignment horizontal="center"/>
    </xf>
    <xf numFmtId="0" fontId="19" fillId="0" borderId="186" xfId="1" applyNumberFormat="1" applyFont="1" applyFill="1" applyBorder="1" applyAlignment="1">
      <alignment horizontal="center" vertical="center"/>
    </xf>
    <xf numFmtId="0" fontId="19" fillId="0" borderId="187" xfId="1" applyNumberFormat="1" applyFont="1" applyFill="1" applyBorder="1" applyAlignment="1">
      <alignment horizontal="center" vertical="center"/>
    </xf>
    <xf numFmtId="181" fontId="19" fillId="6" borderId="50" xfId="6" applyNumberFormat="1" applyFont="1" applyFill="1" applyBorder="1" applyAlignment="1">
      <alignment horizontal="center" vertical="center"/>
    </xf>
    <xf numFmtId="0" fontId="14" fillId="0" borderId="0" xfId="0" quotePrefix="1" applyFont="1" applyAlignment="1">
      <alignment horizontal="center"/>
    </xf>
    <xf numFmtId="177" fontId="14" fillId="0" borderId="0" xfId="4" applyFont="1" applyAlignment="1">
      <alignment horizontal="center"/>
    </xf>
    <xf numFmtId="181" fontId="19" fillId="0" borderId="50" xfId="1" applyNumberFormat="1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41" fontId="29" fillId="0" borderId="0" xfId="6" applyFont="1" applyAlignment="1">
      <alignment horizontal="center" vertical="center"/>
    </xf>
    <xf numFmtId="41" fontId="29" fillId="6" borderId="169" xfId="6" applyFont="1" applyFill="1" applyBorder="1" applyAlignment="1">
      <alignment horizontal="center"/>
    </xf>
    <xf numFmtId="41" fontId="29" fillId="6" borderId="50" xfId="6" applyFont="1" applyFill="1" applyBorder="1" applyAlignment="1">
      <alignment horizontal="center"/>
    </xf>
    <xf numFmtId="0" fontId="29" fillId="6" borderId="50" xfId="0" applyFont="1" applyFill="1" applyBorder="1" applyAlignment="1">
      <alignment horizontal="center"/>
    </xf>
    <xf numFmtId="0" fontId="29" fillId="6" borderId="143" xfId="0" applyFont="1" applyFill="1" applyBorder="1" applyAlignment="1">
      <alignment horizontal="center"/>
    </xf>
    <xf numFmtId="41" fontId="29" fillId="6" borderId="171" xfId="6" applyFont="1" applyFill="1" applyBorder="1" applyAlignment="1">
      <alignment horizontal="center"/>
    </xf>
    <xf numFmtId="41" fontId="29" fillId="6" borderId="145" xfId="6" applyFont="1" applyFill="1" applyBorder="1" applyAlignment="1">
      <alignment horizontal="center"/>
    </xf>
    <xf numFmtId="0" fontId="29" fillId="6" borderId="145" xfId="0" applyFont="1" applyFill="1" applyBorder="1" applyAlignment="1">
      <alignment horizontal="center"/>
    </xf>
    <xf numFmtId="181" fontId="29" fillId="6" borderId="145" xfId="0" applyNumberFormat="1" applyFont="1" applyFill="1" applyBorder="1" applyAlignment="1">
      <alignment horizontal="center"/>
    </xf>
    <xf numFmtId="0" fontId="29" fillId="6" borderId="189" xfId="0" applyFont="1" applyFill="1" applyBorder="1" applyAlignment="1">
      <alignment horizontal="center"/>
    </xf>
    <xf numFmtId="0" fontId="20" fillId="0" borderId="188" xfId="0" applyFont="1" applyFill="1" applyBorder="1" applyAlignment="1">
      <alignment horizontal="center" vertical="center"/>
    </xf>
    <xf numFmtId="181" fontId="29" fillId="6" borderId="50" xfId="0" applyNumberFormat="1" applyFont="1" applyFill="1" applyBorder="1" applyAlignment="1">
      <alignment horizontal="center"/>
    </xf>
    <xf numFmtId="0" fontId="19" fillId="0" borderId="147" xfId="0" applyFont="1" applyBorder="1" applyAlignment="1">
      <alignment horizontal="center" vertical="center"/>
    </xf>
    <xf numFmtId="0" fontId="19" fillId="0" borderId="148" xfId="0" applyFont="1" applyBorder="1" applyAlignment="1">
      <alignment horizontal="center" vertical="center"/>
    </xf>
    <xf numFmtId="0" fontId="19" fillId="0" borderId="147" xfId="0" applyFont="1" applyBorder="1" applyAlignment="1">
      <alignment horizontal="center" vertical="center" wrapText="1"/>
    </xf>
    <xf numFmtId="0" fontId="0" fillId="0" borderId="154" xfId="0" applyBorder="1" applyAlignment="1">
      <alignment horizontal="center" vertical="center"/>
    </xf>
    <xf numFmtId="0" fontId="0" fillId="0" borderId="155" xfId="0" applyBorder="1" applyAlignment="1">
      <alignment horizontal="center" vertical="center"/>
    </xf>
    <xf numFmtId="0" fontId="0" fillId="0" borderId="157" xfId="0" applyBorder="1" applyAlignment="1">
      <alignment horizontal="center" vertical="center"/>
    </xf>
    <xf numFmtId="0" fontId="0" fillId="0" borderId="158" xfId="0" applyBorder="1" applyAlignment="1">
      <alignment horizontal="center" vertical="center"/>
    </xf>
    <xf numFmtId="0" fontId="0" fillId="0" borderId="159" xfId="0" applyBorder="1" applyAlignment="1">
      <alignment horizontal="center" vertical="center"/>
    </xf>
    <xf numFmtId="0" fontId="0" fillId="0" borderId="109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19" fillId="0" borderId="134" xfId="0" applyFont="1" applyBorder="1" applyAlignment="1">
      <alignment horizontal="center" vertical="center"/>
    </xf>
    <xf numFmtId="0" fontId="19" fillId="0" borderId="137" xfId="0" applyFont="1" applyBorder="1" applyAlignment="1">
      <alignment horizontal="center" vertical="center"/>
    </xf>
    <xf numFmtId="0" fontId="19" fillId="0" borderId="139" xfId="0" applyFont="1" applyBorder="1" applyAlignment="1">
      <alignment horizontal="center" vertical="center"/>
    </xf>
    <xf numFmtId="0" fontId="0" fillId="0" borderId="160" xfId="0" applyBorder="1" applyAlignment="1">
      <alignment horizontal="center" vertical="center"/>
    </xf>
    <xf numFmtId="0" fontId="0" fillId="0" borderId="161" xfId="0" applyBorder="1" applyAlignment="1">
      <alignment horizontal="center" vertical="center"/>
    </xf>
    <xf numFmtId="0" fontId="0" fillId="0" borderId="16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3" xfId="0" applyBorder="1" applyAlignment="1">
      <alignment horizontal="center" vertical="center"/>
    </xf>
    <xf numFmtId="0" fontId="0" fillId="0" borderId="164" xfId="0" applyBorder="1" applyAlignment="1">
      <alignment horizontal="center" vertical="center"/>
    </xf>
    <xf numFmtId="0" fontId="0" fillId="0" borderId="165" xfId="0" applyBorder="1" applyAlignment="1">
      <alignment horizontal="center" vertical="center"/>
    </xf>
    <xf numFmtId="0" fontId="0" fillId="0" borderId="166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167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49" fontId="19" fillId="0" borderId="147" xfId="0" applyNumberFormat="1" applyFont="1" applyBorder="1" applyAlignment="1">
      <alignment horizontal="center" vertical="center"/>
    </xf>
    <xf numFmtId="49" fontId="19" fillId="0" borderId="148" xfId="0" applyNumberFormat="1" applyFont="1" applyBorder="1" applyAlignment="1">
      <alignment horizontal="center" vertical="center"/>
    </xf>
    <xf numFmtId="49" fontId="0" fillId="0" borderId="70" xfId="0" applyNumberFormat="1" applyBorder="1" applyAlignment="1">
      <alignment horizontal="center" vertical="center"/>
    </xf>
    <xf numFmtId="49" fontId="0" fillId="0" borderId="73" xfId="0" applyNumberFormat="1" applyBorder="1" applyAlignment="1">
      <alignment horizontal="center" vertical="center"/>
    </xf>
    <xf numFmtId="49" fontId="0" fillId="0" borderId="71" xfId="0" applyNumberFormat="1" applyBorder="1" applyAlignment="1">
      <alignment horizontal="center" vertical="center"/>
    </xf>
    <xf numFmtId="49" fontId="0" fillId="0" borderId="167" xfId="0" applyNumberFormat="1" applyBorder="1" applyAlignment="1">
      <alignment horizontal="center" vertical="center"/>
    </xf>
    <xf numFmtId="49" fontId="0" fillId="0" borderId="75" xfId="0" applyNumberFormat="1" applyBorder="1" applyAlignment="1">
      <alignment horizontal="center" vertical="center"/>
    </xf>
    <xf numFmtId="49" fontId="0" fillId="0" borderId="76" xfId="0" applyNumberFormat="1" applyBorder="1" applyAlignment="1">
      <alignment horizontal="center" vertical="center"/>
    </xf>
    <xf numFmtId="0" fontId="17" fillId="0" borderId="134" xfId="0" applyFont="1" applyBorder="1" applyAlignment="1">
      <alignment horizontal="center" vertical="center"/>
    </xf>
    <xf numFmtId="0" fontId="17" fillId="0" borderId="137" xfId="0" applyFont="1" applyBorder="1" applyAlignment="1">
      <alignment horizontal="center" vertical="center"/>
    </xf>
    <xf numFmtId="0" fontId="17" fillId="0" borderId="139" xfId="0" applyFont="1" applyBorder="1" applyAlignment="1">
      <alignment horizontal="center" vertical="center"/>
    </xf>
    <xf numFmtId="0" fontId="0" fillId="0" borderId="135" xfId="0" applyBorder="1" applyAlignment="1">
      <alignment horizontal="center" vertical="center"/>
    </xf>
    <xf numFmtId="0" fontId="0" fillId="0" borderId="13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38" xfId="0" applyBorder="1" applyAlignment="1">
      <alignment horizontal="center" vertical="center"/>
    </xf>
    <xf numFmtId="0" fontId="0" fillId="0" borderId="140" xfId="0" applyBorder="1" applyAlignment="1">
      <alignment horizontal="center" vertical="center"/>
    </xf>
    <xf numFmtId="0" fontId="0" fillId="0" borderId="141" xfId="0" applyBorder="1" applyAlignment="1">
      <alignment horizontal="center" vertical="center"/>
    </xf>
    <xf numFmtId="0" fontId="30" fillId="0" borderId="102" xfId="0" applyFont="1" applyFill="1" applyBorder="1" applyAlignment="1">
      <alignment horizontal="center" vertical="center"/>
    </xf>
    <xf numFmtId="0" fontId="30" fillId="0" borderId="103" xfId="0" applyFont="1" applyFill="1" applyBorder="1" applyAlignment="1">
      <alignment horizontal="center" vertical="center"/>
    </xf>
    <xf numFmtId="0" fontId="30" fillId="0" borderId="104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126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20" fillId="0" borderId="133" xfId="0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center" vertical="center"/>
    </xf>
    <xf numFmtId="0" fontId="20" fillId="0" borderId="45" xfId="0" applyFont="1" applyFill="1" applyBorder="1" applyAlignment="1">
      <alignment horizontal="center" vertical="center"/>
    </xf>
    <xf numFmtId="0" fontId="20" fillId="0" borderId="44" xfId="0" applyFont="1" applyFill="1" applyBorder="1" applyAlignment="1">
      <alignment horizontal="center" vertical="center"/>
    </xf>
    <xf numFmtId="49" fontId="20" fillId="0" borderId="123" xfId="0" applyNumberFormat="1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20" fillId="0" borderId="35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horizontal="center" vertical="center"/>
    </xf>
    <xf numFmtId="0" fontId="20" fillId="0" borderId="50" xfId="0" quotePrefix="1" applyFont="1" applyFill="1" applyBorder="1" applyAlignment="1">
      <alignment horizontal="center" vertical="center"/>
    </xf>
    <xf numFmtId="49" fontId="20" fillId="0" borderId="50" xfId="0" applyNumberFormat="1" applyFont="1" applyFill="1" applyBorder="1" applyAlignment="1">
      <alignment horizontal="center" vertical="center"/>
    </xf>
    <xf numFmtId="41" fontId="20" fillId="0" borderId="53" xfId="6" applyFont="1" applyFill="1" applyBorder="1" applyAlignment="1">
      <alignment horizontal="center" vertical="center"/>
    </xf>
    <xf numFmtId="49" fontId="20" fillId="0" borderId="50" xfId="6" applyNumberFormat="1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49" fontId="20" fillId="0" borderId="53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41" fontId="19" fillId="0" borderId="79" xfId="6" applyFont="1" applyFill="1" applyBorder="1" applyAlignment="1">
      <alignment horizontal="center" vertical="center"/>
    </xf>
    <xf numFmtId="41" fontId="19" fillId="0" borderId="131" xfId="6" applyFont="1" applyFill="1" applyBorder="1" applyAlignment="1">
      <alignment horizontal="center" vertical="center"/>
    </xf>
    <xf numFmtId="41" fontId="19" fillId="0" borderId="80" xfId="6" applyFont="1" applyFill="1" applyBorder="1" applyAlignment="1">
      <alignment horizontal="center" vertical="center"/>
    </xf>
    <xf numFmtId="41" fontId="19" fillId="0" borderId="78" xfId="6" applyFont="1" applyFill="1" applyBorder="1" applyAlignment="1">
      <alignment horizontal="center" vertical="center"/>
    </xf>
    <xf numFmtId="41" fontId="19" fillId="0" borderId="81" xfId="6" applyFont="1" applyFill="1" applyBorder="1" applyAlignment="1">
      <alignment horizontal="center" vertical="center"/>
    </xf>
    <xf numFmtId="0" fontId="20" fillId="0" borderId="77" xfId="0" applyFont="1" applyFill="1" applyBorder="1" applyAlignment="1">
      <alignment horizontal="center" vertical="center"/>
    </xf>
    <xf numFmtId="0" fontId="20" fillId="0" borderId="82" xfId="0" applyFont="1" applyFill="1" applyBorder="1" applyAlignment="1">
      <alignment horizontal="center" vertical="center"/>
    </xf>
    <xf numFmtId="0" fontId="20" fillId="0" borderId="92" xfId="0" applyFont="1" applyFill="1" applyBorder="1" applyAlignment="1">
      <alignment horizontal="center" vertical="center"/>
    </xf>
    <xf numFmtId="0" fontId="20" fillId="0" borderId="47" xfId="0" applyFont="1" applyFill="1" applyBorder="1" applyAlignment="1">
      <alignment horizontal="center" vertical="center"/>
    </xf>
    <xf numFmtId="0" fontId="20" fillId="0" borderId="99" xfId="0" applyFont="1" applyFill="1" applyBorder="1" applyAlignment="1">
      <alignment horizontal="center" vertical="center"/>
    </xf>
    <xf numFmtId="0" fontId="20" fillId="0" borderId="41" xfId="0" applyFont="1" applyFill="1" applyBorder="1" applyAlignment="1">
      <alignment horizontal="center" vertical="center"/>
    </xf>
    <xf numFmtId="41" fontId="19" fillId="0" borderId="35" xfId="6" applyFont="1" applyFill="1" applyBorder="1" applyAlignment="1">
      <alignment horizontal="center" vertical="center"/>
    </xf>
    <xf numFmtId="41" fontId="19" fillId="0" borderId="38" xfId="6" applyFont="1" applyFill="1" applyBorder="1" applyAlignment="1">
      <alignment horizontal="center" vertical="center"/>
    </xf>
    <xf numFmtId="49" fontId="19" fillId="0" borderId="126" xfId="6" applyNumberFormat="1" applyFont="1" applyFill="1" applyBorder="1" applyAlignment="1">
      <alignment horizontal="center" vertical="center"/>
    </xf>
    <xf numFmtId="49" fontId="19" fillId="0" borderId="6" xfId="6" applyNumberFormat="1" applyFont="1" applyFill="1" applyBorder="1" applyAlignment="1">
      <alignment horizontal="center" vertical="center"/>
    </xf>
    <xf numFmtId="0" fontId="29" fillId="10" borderId="65" xfId="0" applyFont="1" applyFill="1" applyBorder="1" applyAlignment="1">
      <alignment horizontal="center" vertical="center"/>
    </xf>
    <xf numFmtId="0" fontId="29" fillId="10" borderId="109" xfId="0" applyFont="1" applyFill="1" applyBorder="1" applyAlignment="1">
      <alignment horizontal="center" vertical="center"/>
    </xf>
    <xf numFmtId="0" fontId="29" fillId="10" borderId="67" xfId="0" applyFont="1" applyFill="1" applyBorder="1" applyAlignment="1">
      <alignment horizontal="center" vertical="center"/>
    </xf>
    <xf numFmtId="0" fontId="29" fillId="0" borderId="111" xfId="0" applyFont="1" applyBorder="1" applyAlignment="1">
      <alignment horizontal="center" vertical="center"/>
    </xf>
    <xf numFmtId="0" fontId="29" fillId="0" borderId="86" xfId="0" applyFont="1" applyBorder="1" applyAlignment="1">
      <alignment horizontal="center" vertical="center"/>
    </xf>
    <xf numFmtId="0" fontId="29" fillId="0" borderId="60" xfId="0" applyFont="1" applyBorder="1" applyAlignment="1">
      <alignment horizontal="center" vertical="center"/>
    </xf>
    <xf numFmtId="0" fontId="29" fillId="0" borderId="58" xfId="0" applyFont="1" applyBorder="1" applyAlignment="1">
      <alignment horizontal="center" vertical="center"/>
    </xf>
    <xf numFmtId="0" fontId="29" fillId="10" borderId="54" xfId="0" applyFont="1" applyFill="1" applyBorder="1" applyAlignment="1">
      <alignment horizontal="center" vertical="center"/>
    </xf>
    <xf numFmtId="0" fontId="29" fillId="10" borderId="108" xfId="0" applyFont="1" applyFill="1" applyBorder="1" applyAlignment="1">
      <alignment horizontal="center" vertical="center"/>
    </xf>
    <xf numFmtId="0" fontId="29" fillId="10" borderId="55" xfId="0" applyFont="1" applyFill="1" applyBorder="1" applyAlignment="1">
      <alignment horizontal="center" vertical="center"/>
    </xf>
    <xf numFmtId="0" fontId="0" fillId="0" borderId="103" xfId="0" applyBorder="1" applyAlignment="1">
      <alignment vertical="center"/>
    </xf>
    <xf numFmtId="0" fontId="0" fillId="0" borderId="103" xfId="0" applyFont="1" applyBorder="1" applyAlignment="1">
      <alignment vertical="center"/>
    </xf>
    <xf numFmtId="0" fontId="0" fillId="0" borderId="104" xfId="0" applyFont="1" applyBorder="1" applyAlignment="1">
      <alignment vertical="center"/>
    </xf>
    <xf numFmtId="0" fontId="0" fillId="0" borderId="105" xfId="0" applyBorder="1" applyAlignment="1">
      <alignment horizontal="center" vertical="center"/>
    </xf>
    <xf numFmtId="0" fontId="0" fillId="0" borderId="106" xfId="0" applyFont="1" applyBorder="1" applyAlignment="1">
      <alignment horizontal="center" vertical="center"/>
    </xf>
    <xf numFmtId="181" fontId="0" fillId="0" borderId="106" xfId="0" applyNumberFormat="1" applyFont="1" applyBorder="1" applyAlignment="1">
      <alignment horizontal="center" vertical="center"/>
    </xf>
    <xf numFmtId="181" fontId="0" fillId="0" borderId="107" xfId="0" applyNumberFormat="1" applyFont="1" applyBorder="1" applyAlignment="1">
      <alignment horizontal="center" vertical="center"/>
    </xf>
    <xf numFmtId="0" fontId="29" fillId="0" borderId="6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0" fontId="29" fillId="0" borderId="178" xfId="0" applyFont="1" applyBorder="1" applyAlignment="1">
      <alignment horizontal="center" vertical="center"/>
    </xf>
    <xf numFmtId="0" fontId="29" fillId="8" borderId="102" xfId="0" applyFont="1" applyFill="1" applyBorder="1" applyAlignment="1">
      <alignment horizontal="center" vertical="center"/>
    </xf>
    <xf numFmtId="0" fontId="29" fillId="8" borderId="103" xfId="0" applyFont="1" applyFill="1" applyBorder="1" applyAlignment="1">
      <alignment horizontal="center" vertical="center"/>
    </xf>
    <xf numFmtId="0" fontId="29" fillId="8" borderId="112" xfId="0" applyFont="1" applyFill="1" applyBorder="1" applyAlignment="1">
      <alignment horizontal="center" vertical="center"/>
    </xf>
    <xf numFmtId="0" fontId="29" fillId="0" borderId="172" xfId="0" applyFont="1" applyBorder="1" applyAlignment="1">
      <alignment horizontal="center" vertical="center"/>
    </xf>
    <xf numFmtId="0" fontId="29" fillId="0" borderId="96" xfId="0" applyFont="1" applyBorder="1" applyAlignment="1">
      <alignment horizontal="center" vertical="center"/>
    </xf>
    <xf numFmtId="0" fontId="29" fillId="10" borderId="102" xfId="0" applyFont="1" applyFill="1" applyBorder="1" applyAlignment="1">
      <alignment horizontal="center" vertical="center"/>
    </xf>
    <xf numFmtId="0" fontId="29" fillId="10" borderId="103" xfId="0" applyFont="1" applyFill="1" applyBorder="1" applyAlignment="1">
      <alignment horizontal="center" vertical="center"/>
    </xf>
    <xf numFmtId="0" fontId="29" fillId="10" borderId="104" xfId="0" applyFont="1" applyFill="1" applyBorder="1" applyAlignment="1">
      <alignment horizontal="center" vertical="center"/>
    </xf>
    <xf numFmtId="0" fontId="29" fillId="0" borderId="179" xfId="0" applyFont="1" applyBorder="1" applyAlignment="1">
      <alignment horizontal="center" vertical="center"/>
    </xf>
    <xf numFmtId="0" fontId="29" fillId="0" borderId="165" xfId="0" applyFont="1" applyBorder="1" applyAlignment="1">
      <alignment horizontal="center" vertical="center"/>
    </xf>
    <xf numFmtId="0" fontId="29" fillId="0" borderId="164" xfId="0" applyFont="1" applyBorder="1" applyAlignment="1">
      <alignment horizontal="center" vertical="center"/>
    </xf>
    <xf numFmtId="0" fontId="29" fillId="0" borderId="116" xfId="0" applyFont="1" applyBorder="1" applyAlignment="1">
      <alignment horizontal="center" vertical="center"/>
    </xf>
    <xf numFmtId="0" fontId="29" fillId="0" borderId="85" xfId="0" applyFont="1" applyBorder="1" applyAlignment="1">
      <alignment horizontal="center" vertical="center"/>
    </xf>
    <xf numFmtId="0" fontId="29" fillId="0" borderId="146" xfId="0" applyFont="1" applyBorder="1" applyAlignment="1">
      <alignment horizontal="center" vertical="center"/>
    </xf>
    <xf numFmtId="0" fontId="29" fillId="0" borderId="176" xfId="0" applyFont="1" applyBorder="1" applyAlignment="1">
      <alignment horizontal="center" vertical="center"/>
    </xf>
    <xf numFmtId="0" fontId="29" fillId="0" borderId="154" xfId="0" applyFont="1" applyBorder="1" applyAlignment="1">
      <alignment horizontal="center" vertical="center"/>
    </xf>
    <xf numFmtId="0" fontId="29" fillId="0" borderId="154" xfId="0" applyFont="1" applyFill="1" applyBorder="1" applyAlignment="1">
      <alignment horizontal="center" vertical="center"/>
    </xf>
    <xf numFmtId="0" fontId="29" fillId="0" borderId="174" xfId="0" applyFont="1" applyBorder="1" applyAlignment="1">
      <alignment horizontal="center" vertical="center"/>
    </xf>
    <xf numFmtId="0" fontId="29" fillId="0" borderId="84" xfId="0" applyFont="1" applyBorder="1" applyAlignment="1">
      <alignment horizontal="center" vertical="center"/>
    </xf>
    <xf numFmtId="0" fontId="29" fillId="0" borderId="119" xfId="0" applyFont="1" applyBorder="1" applyAlignment="1">
      <alignment horizontal="center" vertical="center"/>
    </xf>
    <xf numFmtId="0" fontId="29" fillId="0" borderId="114" xfId="0" applyFont="1" applyBorder="1" applyAlignment="1">
      <alignment horizontal="center" vertical="center"/>
    </xf>
    <xf numFmtId="0" fontId="29" fillId="0" borderId="102" xfId="0" applyFont="1" applyBorder="1" applyAlignment="1">
      <alignment horizontal="center" vertical="center"/>
    </xf>
    <xf numFmtId="0" fontId="29" fillId="0" borderId="103" xfId="0" applyFont="1" applyBorder="1" applyAlignment="1">
      <alignment horizontal="center" vertical="center"/>
    </xf>
    <xf numFmtId="0" fontId="29" fillId="0" borderId="70" xfId="0" applyFont="1" applyFill="1" applyBorder="1" applyAlignment="1">
      <alignment horizontal="center" vertical="center"/>
    </xf>
    <xf numFmtId="0" fontId="29" fillId="0" borderId="73" xfId="0" applyFont="1" applyFill="1" applyBorder="1" applyAlignment="1">
      <alignment horizontal="center" vertical="center"/>
    </xf>
    <xf numFmtId="0" fontId="29" fillId="0" borderId="71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0" borderId="72" xfId="0" applyFont="1" applyFill="1" applyBorder="1" applyAlignment="1">
      <alignment horizontal="center" vertical="center"/>
    </xf>
    <xf numFmtId="0" fontId="29" fillId="0" borderId="167" xfId="0" applyFont="1" applyFill="1" applyBorder="1" applyAlignment="1">
      <alignment horizontal="center" vertical="center"/>
    </xf>
    <xf numFmtId="0" fontId="29" fillId="0" borderId="75" xfId="0" applyFont="1" applyFill="1" applyBorder="1" applyAlignment="1">
      <alignment horizontal="center" vertical="center"/>
    </xf>
    <xf numFmtId="0" fontId="29" fillId="0" borderId="76" xfId="0" applyFont="1" applyFill="1" applyBorder="1" applyAlignment="1">
      <alignment horizontal="center" vertical="center"/>
    </xf>
    <xf numFmtId="0" fontId="29" fillId="0" borderId="90" xfId="0" applyFont="1" applyBorder="1" applyAlignment="1">
      <alignment horizontal="center" vertical="center"/>
    </xf>
    <xf numFmtId="0" fontId="29" fillId="0" borderId="87" xfId="0" applyFont="1" applyBorder="1" applyAlignment="1">
      <alignment horizontal="center" vertical="center"/>
    </xf>
    <xf numFmtId="0" fontId="29" fillId="0" borderId="132" xfId="0" applyFont="1" applyBorder="1" applyAlignment="1">
      <alignment horizontal="center" vertical="center"/>
    </xf>
    <xf numFmtId="0" fontId="0" fillId="0" borderId="122" xfId="0" applyBorder="1" applyAlignment="1"/>
    <xf numFmtId="0" fontId="0" fillId="0" borderId="170" xfId="0" applyBorder="1" applyAlignment="1"/>
    <xf numFmtId="0" fontId="0" fillId="0" borderId="3" xfId="0" applyBorder="1" applyAlignment="1"/>
    <xf numFmtId="0" fontId="0" fillId="0" borderId="0" xfId="0" applyBorder="1" applyAlignment="1"/>
    <xf numFmtId="0" fontId="0" fillId="0" borderId="72" xfId="0" applyBorder="1" applyAlignment="1"/>
    <xf numFmtId="181" fontId="29" fillId="8" borderId="177" xfId="0" applyNumberFormat="1" applyFont="1" applyFill="1" applyBorder="1" applyAlignment="1">
      <alignment horizontal="center" vertical="center"/>
    </xf>
    <xf numFmtId="181" fontId="29" fillId="8" borderId="150" xfId="0" applyNumberFormat="1" applyFont="1" applyFill="1" applyBorder="1" applyAlignment="1">
      <alignment horizontal="center" vertical="center"/>
    </xf>
    <xf numFmtId="181" fontId="29" fillId="0" borderId="115" xfId="0" applyNumberFormat="1" applyFont="1" applyBorder="1" applyAlignment="1">
      <alignment horizontal="center" vertical="center"/>
    </xf>
    <xf numFmtId="181" fontId="29" fillId="0" borderId="182" xfId="0" applyNumberFormat="1" applyFont="1" applyBorder="1" applyAlignment="1">
      <alignment horizontal="center" vertical="center"/>
    </xf>
    <xf numFmtId="181" fontId="29" fillId="0" borderId="180" xfId="0" applyNumberFormat="1" applyFont="1" applyBorder="1" applyAlignment="1">
      <alignment horizontal="center" vertical="center"/>
    </xf>
    <xf numFmtId="181" fontId="29" fillId="0" borderId="100" xfId="0" applyNumberFormat="1" applyFont="1" applyBorder="1" applyAlignment="1">
      <alignment horizontal="center" vertical="center"/>
    </xf>
    <xf numFmtId="181" fontId="29" fillId="0" borderId="101" xfId="0" applyNumberFormat="1" applyFont="1" applyBorder="1" applyAlignment="1">
      <alignment horizontal="center" vertical="center"/>
    </xf>
    <xf numFmtId="181" fontId="29" fillId="0" borderId="181" xfId="0" applyNumberFormat="1" applyFont="1" applyBorder="1" applyAlignment="1">
      <alignment horizontal="center" vertical="center"/>
    </xf>
    <xf numFmtId="181" fontId="29" fillId="0" borderId="91" xfId="0" applyNumberFormat="1" applyFont="1" applyBorder="1" applyAlignment="1">
      <alignment horizontal="center" vertical="center"/>
    </xf>
    <xf numFmtId="181" fontId="29" fillId="0" borderId="50" xfId="0" applyNumberFormat="1" applyFont="1" applyBorder="1" applyAlignment="1">
      <alignment horizontal="center" vertical="center"/>
    </xf>
    <xf numFmtId="181" fontId="29" fillId="0" borderId="145" xfId="0" applyNumberFormat="1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181" fontId="29" fillId="0" borderId="66" xfId="0" applyNumberFormat="1" applyFont="1" applyBorder="1" applyAlignment="1">
      <alignment horizontal="center" vertical="center"/>
    </xf>
    <xf numFmtId="181" fontId="29" fillId="0" borderId="103" xfId="0" applyNumberFormat="1" applyFont="1" applyBorder="1" applyAlignment="1">
      <alignment horizontal="center" vertical="center"/>
    </xf>
    <xf numFmtId="181" fontId="29" fillId="0" borderId="104" xfId="0" applyNumberFormat="1" applyFont="1" applyBorder="1" applyAlignment="1">
      <alignment horizontal="center" vertical="center"/>
    </xf>
    <xf numFmtId="0" fontId="29" fillId="0" borderId="60" xfId="0" applyFont="1" applyFill="1" applyBorder="1" applyAlignment="1">
      <alignment horizontal="center" vertical="center"/>
    </xf>
    <xf numFmtId="0" fontId="29" fillId="0" borderId="62" xfId="0" applyFont="1" applyFill="1" applyBorder="1" applyAlignment="1">
      <alignment horizontal="center" vertical="center"/>
    </xf>
    <xf numFmtId="181" fontId="29" fillId="0" borderId="120" xfId="0" applyNumberFormat="1" applyFont="1" applyBorder="1" applyAlignment="1">
      <alignment horizontal="center" vertical="center"/>
    </xf>
    <xf numFmtId="181" fontId="29" fillId="0" borderId="119" xfId="0" applyNumberFormat="1" applyFont="1" applyBorder="1" applyAlignment="1">
      <alignment horizontal="center" vertical="center"/>
    </xf>
    <xf numFmtId="181" fontId="29" fillId="0" borderId="114" xfId="0" applyNumberFormat="1" applyFont="1" applyBorder="1" applyAlignment="1">
      <alignment horizontal="center" vertical="center"/>
    </xf>
    <xf numFmtId="0" fontId="33" fillId="9" borderId="17" xfId="0" applyFont="1" applyFill="1" applyBorder="1" applyAlignment="1">
      <alignment horizontal="left" vertical="center"/>
    </xf>
    <xf numFmtId="0" fontId="33" fillId="9" borderId="19" xfId="0" applyFont="1" applyFill="1" applyBorder="1" applyAlignment="1">
      <alignment horizontal="left" vertical="center"/>
    </xf>
    <xf numFmtId="41" fontId="33" fillId="9" borderId="19" xfId="1" applyFont="1" applyFill="1" applyBorder="1" applyAlignment="1">
      <alignment horizontal="center" vertical="center"/>
    </xf>
    <xf numFmtId="0" fontId="33" fillId="9" borderId="19" xfId="0" applyFont="1" applyFill="1" applyBorder="1" applyAlignment="1">
      <alignment horizontal="center" vertical="center"/>
    </xf>
    <xf numFmtId="0" fontId="33" fillId="9" borderId="18" xfId="0" applyFont="1" applyFill="1" applyBorder="1" applyAlignment="1">
      <alignment horizontal="center" vertical="center"/>
    </xf>
    <xf numFmtId="0" fontId="33" fillId="9" borderId="152" xfId="0" applyFont="1" applyFill="1" applyBorder="1" applyAlignment="1">
      <alignment horizontal="left" vertical="center"/>
    </xf>
    <xf numFmtId="0" fontId="33" fillId="9" borderId="40" xfId="0" applyFont="1" applyFill="1" applyBorder="1" applyAlignment="1">
      <alignment horizontal="left" vertical="center"/>
    </xf>
    <xf numFmtId="41" fontId="33" fillId="9" borderId="40" xfId="1" applyFont="1" applyFill="1" applyBorder="1" applyAlignment="1">
      <alignment horizontal="center" vertical="center"/>
    </xf>
    <xf numFmtId="0" fontId="33" fillId="9" borderId="40" xfId="0" applyFont="1" applyFill="1" applyBorder="1" applyAlignment="1">
      <alignment horizontal="center" vertical="center"/>
    </xf>
    <xf numFmtId="0" fontId="33" fillId="9" borderId="129" xfId="0" applyFont="1" applyFill="1" applyBorder="1" applyAlignment="1">
      <alignment horizontal="center" vertical="center"/>
    </xf>
    <xf numFmtId="0" fontId="33" fillId="0" borderId="17" xfId="0" applyFont="1" applyBorder="1" applyAlignment="1">
      <alignment horizontal="left" vertical="center"/>
    </xf>
    <xf numFmtId="0" fontId="33" fillId="0" borderId="19" xfId="0" applyFont="1" applyBorder="1" applyAlignment="1">
      <alignment horizontal="left" vertical="center"/>
    </xf>
    <xf numFmtId="41" fontId="33" fillId="0" borderId="19" xfId="1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/>
    </xf>
    <xf numFmtId="0" fontId="33" fillId="0" borderId="18" xfId="0" applyFont="1" applyBorder="1" applyAlignment="1">
      <alignment horizontal="center" vertical="center"/>
    </xf>
    <xf numFmtId="0" fontId="33" fillId="0" borderId="52" xfId="0" applyFont="1" applyBorder="1" applyAlignment="1">
      <alignment horizontal="left" vertical="center" indent="2"/>
    </xf>
    <xf numFmtId="0" fontId="33" fillId="0" borderId="50" xfId="0" applyFont="1" applyBorder="1" applyAlignment="1">
      <alignment horizontal="left" vertical="center" indent="2"/>
    </xf>
    <xf numFmtId="0" fontId="33" fillId="0" borderId="50" xfId="0" applyFont="1" applyBorder="1" applyAlignment="1">
      <alignment horizontal="left" vertical="center"/>
    </xf>
    <xf numFmtId="41" fontId="33" fillId="0" borderId="50" xfId="1" applyFont="1" applyBorder="1" applyAlignment="1">
      <alignment horizontal="center" vertical="center"/>
    </xf>
    <xf numFmtId="0" fontId="28" fillId="0" borderId="50" xfId="0" applyFont="1" applyBorder="1" applyAlignment="1">
      <alignment horizontal="center" vertical="center"/>
    </xf>
    <xf numFmtId="0" fontId="28" fillId="0" borderId="53" xfId="0" applyFont="1" applyBorder="1" applyAlignment="1">
      <alignment horizontal="center" vertical="center"/>
    </xf>
    <xf numFmtId="0" fontId="33" fillId="0" borderId="151" xfId="0" applyFont="1" applyBorder="1" applyAlignment="1">
      <alignment horizontal="left" vertical="center" indent="2"/>
    </xf>
    <xf numFmtId="0" fontId="33" fillId="0" borderId="99" xfId="0" applyFont="1" applyBorder="1" applyAlignment="1">
      <alignment horizontal="left" vertical="center" indent="2"/>
    </xf>
    <xf numFmtId="0" fontId="33" fillId="0" borderId="99" xfId="0" applyFont="1" applyBorder="1" applyAlignment="1">
      <alignment horizontal="left" vertical="center"/>
    </xf>
    <xf numFmtId="41" fontId="33" fillId="0" borderId="99" xfId="1" applyFont="1" applyBorder="1" applyAlignment="1">
      <alignment horizontal="center" vertical="center"/>
    </xf>
    <xf numFmtId="0" fontId="28" fillId="0" borderId="99" xfId="0" applyFont="1" applyBorder="1" applyAlignment="1">
      <alignment horizontal="center" vertical="center"/>
    </xf>
    <xf numFmtId="0" fontId="28" fillId="0" borderId="130" xfId="0" applyFont="1" applyBorder="1" applyAlignment="1">
      <alignment horizontal="center" vertical="center"/>
    </xf>
    <xf numFmtId="0" fontId="33" fillId="0" borderId="50" xfId="0" applyFont="1" applyBorder="1" applyAlignment="1">
      <alignment horizontal="center" vertical="center"/>
    </xf>
    <xf numFmtId="0" fontId="33" fillId="0" borderId="53" xfId="0" applyFont="1" applyBorder="1" applyAlignment="1">
      <alignment horizontal="center" vertical="center"/>
    </xf>
    <xf numFmtId="0" fontId="33" fillId="9" borderId="17" xfId="0" applyFont="1" applyFill="1" applyBorder="1" applyAlignment="1">
      <alignment horizontal="center" vertical="center"/>
    </xf>
    <xf numFmtId="0" fontId="33" fillId="0" borderId="48" xfId="0" applyFont="1" applyBorder="1" applyAlignment="1">
      <alignment horizontal="left" vertical="center" indent="1"/>
    </xf>
    <xf numFmtId="0" fontId="33" fillId="0" borderId="47" xfId="0" applyFont="1" applyBorder="1" applyAlignment="1">
      <alignment horizontal="left" vertical="center" indent="1"/>
    </xf>
    <xf numFmtId="0" fontId="8" fillId="0" borderId="47" xfId="0" applyFont="1" applyBorder="1" applyAlignment="1">
      <alignment horizontal="left" vertical="center"/>
    </xf>
    <xf numFmtId="41" fontId="33" fillId="0" borderId="47" xfId="1" applyFont="1" applyBorder="1" applyAlignment="1">
      <alignment horizontal="center" vertical="center"/>
    </xf>
    <xf numFmtId="0" fontId="33" fillId="0" borderId="47" xfId="0" applyFont="1" applyBorder="1" applyAlignment="1">
      <alignment horizontal="center" vertical="center"/>
    </xf>
    <xf numFmtId="0" fontId="33" fillId="0" borderId="49" xfId="0" applyFont="1" applyBorder="1" applyAlignment="1">
      <alignment horizontal="center" vertical="center"/>
    </xf>
    <xf numFmtId="0" fontId="33" fillId="0" borderId="43" xfId="0" applyFont="1" applyBorder="1" applyAlignment="1">
      <alignment horizontal="left" vertical="center" indent="2"/>
    </xf>
    <xf numFmtId="0" fontId="33" fillId="0" borderId="4" xfId="0" applyFont="1" applyBorder="1" applyAlignment="1">
      <alignment horizontal="left" vertical="center" indent="2"/>
    </xf>
    <xf numFmtId="0" fontId="33" fillId="0" borderId="4" xfId="0" applyFont="1" applyBorder="1" applyAlignment="1">
      <alignment horizontal="left" vertical="center"/>
    </xf>
    <xf numFmtId="41" fontId="33" fillId="0" borderId="4" xfId="1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2" xfId="0" applyFont="1" applyBorder="1" applyAlignment="1">
      <alignment horizontal="center" vertical="center"/>
    </xf>
    <xf numFmtId="0" fontId="33" fillId="0" borderId="17" xfId="0" applyFont="1" applyBorder="1" applyAlignment="1">
      <alignment horizontal="left" vertical="center" indent="1"/>
    </xf>
    <xf numFmtId="0" fontId="33" fillId="0" borderId="19" xfId="0" applyFont="1" applyBorder="1" applyAlignment="1">
      <alignment horizontal="left" vertical="center" indent="1"/>
    </xf>
    <xf numFmtId="0" fontId="33" fillId="0" borderId="44" xfId="0" applyFont="1" applyBorder="1" applyAlignment="1">
      <alignment horizontal="left" vertical="center" indent="1"/>
    </xf>
    <xf numFmtId="0" fontId="33" fillId="0" borderId="5" xfId="0" applyFont="1" applyBorder="1" applyAlignment="1">
      <alignment horizontal="left" vertical="center" indent="1"/>
    </xf>
    <xf numFmtId="0" fontId="33" fillId="0" borderId="5" xfId="0" applyFont="1" applyBorder="1" applyAlignment="1">
      <alignment horizontal="left" vertical="center"/>
    </xf>
    <xf numFmtId="41" fontId="33" fillId="0" borderId="5" xfId="1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3" fillId="0" borderId="142" xfId="0" applyFont="1" applyBorder="1" applyAlignment="1">
      <alignment horizontal="left" vertical="center"/>
    </xf>
    <xf numFmtId="0" fontId="33" fillId="0" borderId="142" xfId="0" applyFont="1" applyBorder="1" applyAlignment="1">
      <alignment horizontal="center" vertical="center"/>
    </xf>
    <xf numFmtId="0" fontId="33" fillId="0" borderId="33" xfId="0" applyFont="1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7" fillId="0" borderId="19" xfId="0" applyFont="1" applyBorder="1" applyAlignment="1">
      <alignment horizontal="left" vertical="center"/>
    </xf>
    <xf numFmtId="41" fontId="33" fillId="0" borderId="16" xfId="0" applyNumberFormat="1" applyFont="1" applyBorder="1" applyAlignment="1">
      <alignment horizontal="left" vertical="center"/>
    </xf>
    <xf numFmtId="0" fontId="33" fillId="0" borderId="13" xfId="0" applyFont="1" applyBorder="1" applyAlignment="1">
      <alignment horizontal="left" vertical="center"/>
    </xf>
    <xf numFmtId="0" fontId="33" fillId="0" borderId="15" xfId="0" applyFont="1" applyBorder="1" applyAlignment="1">
      <alignment horizontal="left" vertical="center"/>
    </xf>
    <xf numFmtId="0" fontId="31" fillId="0" borderId="8" xfId="0" applyFont="1" applyBorder="1" applyAlignment="1">
      <alignment horizontal="left" vertical="center"/>
    </xf>
    <xf numFmtId="3" fontId="19" fillId="0" borderId="16" xfId="3" applyNumberFormat="1" applyFont="1" applyBorder="1" applyAlignment="1">
      <alignment horizontal="center" vertical="center"/>
    </xf>
    <xf numFmtId="3" fontId="19" fillId="0" borderId="13" xfId="3" applyNumberFormat="1" applyFont="1" applyBorder="1" applyAlignment="1">
      <alignment horizontal="center" vertical="center"/>
    </xf>
    <xf numFmtId="3" fontId="19" fillId="0" borderId="15" xfId="3" applyNumberFormat="1" applyFont="1" applyBorder="1" applyAlignment="1">
      <alignment horizontal="center" vertical="center"/>
    </xf>
    <xf numFmtId="3" fontId="38" fillId="0" borderId="16" xfId="2" applyNumberFormat="1" applyFont="1" applyBorder="1" applyAlignment="1">
      <alignment horizontal="center" vertical="center"/>
    </xf>
    <xf numFmtId="3" fontId="38" fillId="0" borderId="15" xfId="2" applyNumberFormat="1" applyFont="1" applyBorder="1" applyAlignment="1">
      <alignment horizontal="center" vertical="center"/>
    </xf>
    <xf numFmtId="183" fontId="27" fillId="0" borderId="0" xfId="0" applyNumberFormat="1" applyFont="1" applyAlignment="1">
      <alignment horizontal="center"/>
    </xf>
    <xf numFmtId="3" fontId="19" fillId="0" borderId="16" xfId="2" applyNumberFormat="1" applyFont="1" applyBorder="1" applyAlignment="1">
      <alignment horizontal="center" vertical="center"/>
    </xf>
    <xf numFmtId="3" fontId="19" fillId="0" borderId="13" xfId="2" applyNumberFormat="1" applyFont="1" applyBorder="1" applyAlignment="1">
      <alignment horizontal="center" vertical="center"/>
    </xf>
    <xf numFmtId="3" fontId="19" fillId="0" borderId="15" xfId="2" applyNumberFormat="1" applyFont="1" applyBorder="1" applyAlignment="1">
      <alignment horizontal="center" vertical="center"/>
    </xf>
    <xf numFmtId="177" fontId="19" fillId="0" borderId="16" xfId="4" applyFont="1" applyBorder="1" applyAlignment="1">
      <alignment horizontal="center" vertical="center"/>
    </xf>
    <xf numFmtId="177" fontId="19" fillId="0" borderId="13" xfId="4" applyFont="1" applyBorder="1" applyAlignment="1">
      <alignment horizontal="center" vertical="center"/>
    </xf>
    <xf numFmtId="177" fontId="19" fillId="0" borderId="15" xfId="4" applyFont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29" xfId="0" quotePrefix="1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quotePrefix="1" applyFont="1" applyFill="1" applyBorder="1" applyAlignment="1">
      <alignment horizontal="center" vertical="center"/>
    </xf>
  </cellXfs>
  <cellStyles count="16">
    <cellStyle name="백분율 2" xfId="14"/>
    <cellStyle name="쉼표 [0]" xfId="1" builtinId="6"/>
    <cellStyle name="쉼표 [0] 2" xfId="13"/>
    <cellStyle name="쉼표 [0] 3" xfId="6"/>
    <cellStyle name="스타일 1" xfId="15"/>
    <cellStyle name="콤마 [0]_12월4주" xfId="8"/>
    <cellStyle name="콤마 [0]_tlfgod (3)" xfId="4"/>
    <cellStyle name="콤마 [0]_tlfgod (3) 2" xfId="3"/>
    <cellStyle name="표준" xfId="0" builtinId="0"/>
    <cellStyle name="표준 10 2" xfId="11"/>
    <cellStyle name="표준 2" xfId="7"/>
    <cellStyle name="표준 2 2" xfId="9"/>
    <cellStyle name="표준 2 3" xfId="5"/>
    <cellStyle name="표준 4 2" xfId="10"/>
    <cellStyle name="표준 6" xfId="2"/>
    <cellStyle name="표준 9" xfId="12"/>
  </cellStyles>
  <dxfs count="0"/>
  <tableStyles count="0" defaultTableStyle="TableStyleMedium9" defaultPivotStyle="PivotStyleLight16"/>
  <colors>
    <mruColors>
      <color rgb="FFFFFFCC"/>
      <color rgb="FFCCECFF"/>
      <color rgb="FFFFFF99"/>
      <color rgb="FF33CC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wmf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369570</xdr:colOff>
      <xdr:row>0</xdr:row>
      <xdr:rowOff>144780</xdr:rowOff>
    </xdr:from>
    <xdr:to>
      <xdr:col>6</xdr:col>
      <xdr:colOff>350520</xdr:colOff>
      <xdr:row>1</xdr:row>
      <xdr:rowOff>201930</xdr:rowOff>
    </xdr:to>
    <xdr:sp macro="" textlink="">
      <xdr:nvSpPr>
        <xdr:cNvPr id="2" name="Rectangle 6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1874520" y="144780"/>
          <a:ext cx="3076575" cy="457200"/>
        </a:xfrm>
        <a:prstGeom prst="rect">
          <a:avLst/>
        </a:prstGeom>
        <a:solidFill>
          <a:srgbClr val="FFFFFF"/>
        </a:solidFill>
        <a:ln w="57150" cmpd="thickThin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64008" tIns="41148" rIns="64008" bIns="0" anchor="b" upright="1"/>
        <a:lstStyle/>
        <a:p>
          <a:pPr algn="ctr" rtl="1">
            <a:defRPr sz="1000"/>
          </a:pPr>
          <a:r>
            <a:rPr lang="ko-KR" altLang="en-US" sz="2000" b="1" i="0" strike="noStrike">
              <a:solidFill>
                <a:srgbClr val="000000"/>
              </a:solidFill>
              <a:latin typeface="+mj-ea"/>
              <a:ea typeface="+mj-ea"/>
            </a:rPr>
            <a:t>견    적    서</a:t>
          </a:r>
        </a:p>
      </xdr:txBody>
    </xdr:sp>
    <xdr:clientData/>
  </xdr:twoCellAnchor>
  <xdr:twoCellAnchor editAs="oneCell">
    <xdr:from>
      <xdr:col>7</xdr:col>
      <xdr:colOff>704849</xdr:colOff>
      <xdr:row>6</xdr:row>
      <xdr:rowOff>142875</xdr:rowOff>
    </xdr:from>
    <xdr:to>
      <xdr:col>7</xdr:col>
      <xdr:colOff>704849</xdr:colOff>
      <xdr:row>8</xdr:row>
      <xdr:rowOff>38099</xdr:rowOff>
    </xdr:to>
    <xdr:pic>
      <xdr:nvPicPr>
        <xdr:cNvPr id="3" name="Picture 5" descr="동우유니폼 copy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276974" y="1590675"/>
          <a:ext cx="0" cy="3143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581025</xdr:colOff>
      <xdr:row>0</xdr:row>
      <xdr:rowOff>133350</xdr:rowOff>
    </xdr:from>
    <xdr:to>
      <xdr:col>7</xdr:col>
      <xdr:colOff>1195821</xdr:colOff>
      <xdr:row>1</xdr:row>
      <xdr:rowOff>186690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133350"/>
          <a:ext cx="1586346" cy="4533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9</xdr:row>
      <xdr:rowOff>38100</xdr:rowOff>
    </xdr:from>
    <xdr:to>
      <xdr:col>7</xdr:col>
      <xdr:colOff>1352550</xdr:colOff>
      <xdr:row>11</xdr:row>
      <xdr:rowOff>106679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2914650" y="2114550"/>
          <a:ext cx="3457575" cy="487679"/>
        </a:xfrm>
        <a:prstGeom prst="rect">
          <a:avLst/>
        </a:prstGeom>
        <a:solidFill>
          <a:schemeClr val="bg1"/>
        </a:solidFill>
        <a:ln w="12700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400"/>
            </a:lnSpc>
          </a:pPr>
          <a:r>
            <a:rPr lang="ko-KR" altLang="en-US" sz="1000" b="1">
              <a:solidFill>
                <a:srgbClr val="0000FF"/>
              </a:solidFill>
              <a:latin typeface="+mn-ea"/>
              <a:ea typeface="+mn-ea"/>
            </a:rPr>
            <a:t>기계설비 </a:t>
          </a:r>
          <a:r>
            <a:rPr lang="en-US" altLang="ko-KR" sz="1000" b="1">
              <a:solidFill>
                <a:srgbClr val="0000FF"/>
              </a:solidFill>
              <a:latin typeface="+mn-ea"/>
              <a:ea typeface="+mn-ea"/>
            </a:rPr>
            <a:t>/ EHP / GHP / ERV</a:t>
          </a:r>
          <a:r>
            <a:rPr lang="ko-KR" altLang="en-US" sz="1000" b="1">
              <a:solidFill>
                <a:srgbClr val="0000FF"/>
              </a:solidFill>
              <a:latin typeface="+mn-ea"/>
              <a:ea typeface="+mn-ea"/>
            </a:rPr>
            <a:t> </a:t>
          </a:r>
          <a:r>
            <a:rPr lang="en-US" altLang="ko-KR" sz="1000" b="1">
              <a:solidFill>
                <a:srgbClr val="0000FF"/>
              </a:solidFill>
              <a:latin typeface="+mn-ea"/>
              <a:ea typeface="+mn-ea"/>
            </a:rPr>
            <a:t> </a:t>
          </a:r>
        </a:p>
        <a:p>
          <a:pPr algn="ctr">
            <a:lnSpc>
              <a:spcPts val="1400"/>
            </a:lnSpc>
          </a:pPr>
          <a:r>
            <a:rPr lang="ko-KR" altLang="en-US" sz="1000" b="1">
              <a:solidFill>
                <a:srgbClr val="0000FF"/>
              </a:solidFill>
              <a:latin typeface="+mn-ea"/>
              <a:ea typeface="+mn-ea"/>
            </a:rPr>
            <a:t>냉동기 </a:t>
          </a:r>
          <a:r>
            <a:rPr lang="en-US" altLang="ko-KR" sz="1000" b="1">
              <a:solidFill>
                <a:srgbClr val="0000FF"/>
              </a:solidFill>
              <a:latin typeface="+mn-ea"/>
              <a:ea typeface="+mn-ea"/>
            </a:rPr>
            <a:t>/ </a:t>
          </a:r>
          <a:r>
            <a:rPr lang="ko-KR" altLang="en-US" sz="1000" b="1">
              <a:solidFill>
                <a:srgbClr val="0000FF"/>
              </a:solidFill>
              <a:latin typeface="+mn-ea"/>
              <a:ea typeface="+mn-ea"/>
            </a:rPr>
            <a:t>공기조화기 </a:t>
          </a:r>
          <a:r>
            <a:rPr lang="en-US" altLang="ko-KR" sz="1000" b="1">
              <a:solidFill>
                <a:srgbClr val="0000FF"/>
              </a:solidFill>
              <a:latin typeface="+mn-ea"/>
              <a:ea typeface="+mn-ea"/>
            </a:rPr>
            <a:t>/ </a:t>
          </a:r>
          <a:r>
            <a:rPr lang="ko-KR" altLang="en-US" sz="1000" b="1">
              <a:solidFill>
                <a:srgbClr val="0000FF"/>
              </a:solidFill>
              <a:latin typeface="+mn-ea"/>
              <a:ea typeface="+mn-ea"/>
            </a:rPr>
            <a:t>항온항습기</a:t>
          </a:r>
          <a:r>
            <a:rPr lang="en-US" altLang="ko-KR" sz="1000" b="1">
              <a:solidFill>
                <a:srgbClr val="0000FF"/>
              </a:solidFill>
              <a:latin typeface="+mn-ea"/>
              <a:ea typeface="+mn-ea"/>
            </a:rPr>
            <a:t> /</a:t>
          </a:r>
          <a:r>
            <a:rPr lang="ko-KR" altLang="en-US" sz="1000" b="1">
              <a:solidFill>
                <a:srgbClr val="0000FF"/>
              </a:solidFill>
              <a:latin typeface="+mn-ea"/>
              <a:ea typeface="+mn-ea"/>
            </a:rPr>
            <a:t>가전 특판</a:t>
          </a:r>
        </a:p>
      </xdr:txBody>
    </xdr:sp>
    <xdr:clientData/>
  </xdr:twoCellAnchor>
  <xdr:twoCellAnchor editAs="oneCell">
    <xdr:from>
      <xdr:col>6</xdr:col>
      <xdr:colOff>9525</xdr:colOff>
      <xdr:row>4</xdr:row>
      <xdr:rowOff>38100</xdr:rowOff>
    </xdr:from>
    <xdr:to>
      <xdr:col>6</xdr:col>
      <xdr:colOff>495300</xdr:colOff>
      <xdr:row>5</xdr:row>
      <xdr:rowOff>76199</xdr:rowOff>
    </xdr:to>
    <xdr:pic>
      <xdr:nvPicPr>
        <xdr:cNvPr id="12" name="그림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3850" y="1066800"/>
          <a:ext cx="485775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581025</xdr:colOff>
      <xdr:row>6</xdr:row>
      <xdr:rowOff>123825</xdr:rowOff>
    </xdr:from>
    <xdr:to>
      <xdr:col>7</xdr:col>
      <xdr:colOff>1009650</xdr:colOff>
      <xdr:row>8</xdr:row>
      <xdr:rowOff>76199</xdr:rowOff>
    </xdr:to>
    <xdr:pic>
      <xdr:nvPicPr>
        <xdr:cNvPr id="13" name="그림 11"/>
        <xdr:cNvPicPr>
          <a:picLocks noChangeAspect="1"/>
        </xdr:cNvPicPr>
      </xdr:nvPicPr>
      <xdr:blipFill>
        <a:blip xmlns:r="http://schemas.openxmlformats.org/officeDocument/2006/relationships" r:embed="rId4">
          <a:clrChange>
            <a:clrFrom>
              <a:srgbClr val="FAFBFF"/>
            </a:clrFrom>
            <a:clrTo>
              <a:srgbClr val="FAFBFF">
                <a:alpha val="0"/>
              </a:srgbClr>
            </a:clrTo>
          </a:clrChange>
        </a:blip>
        <a:stretch>
          <a:fillRect/>
        </a:stretch>
      </xdr:blipFill>
      <xdr:spPr bwMode="auto">
        <a:xfrm>
          <a:off x="5581650" y="1571625"/>
          <a:ext cx="428625" cy="371474"/>
        </a:xfrm>
        <a:prstGeom prst="rect">
          <a:avLst/>
        </a:prstGeom>
        <a:noFill/>
        <a:ln>
          <a:noFill/>
        </a:ln>
        <a:effectLst>
          <a:softEdge rad="12700"/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workbookViewId="0">
      <selection activeCell="J15" sqref="J15:W25"/>
    </sheetView>
  </sheetViews>
  <sheetFormatPr defaultColWidth="9" defaultRowHeight="16.5"/>
  <cols>
    <col min="1" max="1" width="16.875" style="130" bestFit="1" customWidth="1"/>
    <col min="2" max="16384" width="9" style="140"/>
  </cols>
  <sheetData>
    <row r="1" spans="1:23" ht="17.25" thickTop="1">
      <c r="A1" s="331" t="s">
        <v>0</v>
      </c>
      <c r="B1" s="258" t="s">
        <v>1</v>
      </c>
      <c r="C1" s="139" t="s">
        <v>2</v>
      </c>
      <c r="D1" s="139" t="s">
        <v>3</v>
      </c>
      <c r="E1" s="139" t="s">
        <v>4</v>
      </c>
      <c r="F1" s="259" t="s">
        <v>5</v>
      </c>
      <c r="G1" s="259" t="s">
        <v>6</v>
      </c>
      <c r="H1" s="259" t="s">
        <v>7</v>
      </c>
      <c r="I1" s="259" t="s">
        <v>8</v>
      </c>
      <c r="J1" s="259" t="s">
        <v>9</v>
      </c>
      <c r="K1" s="259" t="s">
        <v>10</v>
      </c>
      <c r="L1" s="259" t="s">
        <v>11</v>
      </c>
      <c r="M1" s="259" t="s">
        <v>12</v>
      </c>
      <c r="N1" s="259" t="s">
        <v>13</v>
      </c>
      <c r="O1" s="259" t="s">
        <v>14</v>
      </c>
      <c r="P1" s="259" t="s">
        <v>15</v>
      </c>
      <c r="Q1" s="259" t="s">
        <v>16</v>
      </c>
      <c r="R1" s="259" t="s">
        <v>17</v>
      </c>
      <c r="S1" s="259" t="s">
        <v>18</v>
      </c>
      <c r="T1" s="259" t="s">
        <v>19</v>
      </c>
      <c r="U1" s="259" t="s">
        <v>20</v>
      </c>
      <c r="V1" s="259" t="s">
        <v>21</v>
      </c>
      <c r="W1" s="260" t="s">
        <v>22</v>
      </c>
    </row>
    <row r="2" spans="1:23" ht="33.75" thickBot="1">
      <c r="A2" s="332"/>
      <c r="B2" s="141" t="s">
        <v>23</v>
      </c>
      <c r="C2" s="142">
        <v>14.5</v>
      </c>
      <c r="D2" s="261">
        <v>16</v>
      </c>
      <c r="E2" s="261">
        <v>23</v>
      </c>
      <c r="F2" s="261">
        <v>29</v>
      </c>
      <c r="G2" s="261">
        <v>34.799999999999997</v>
      </c>
      <c r="H2" s="261">
        <v>40.6</v>
      </c>
      <c r="I2" s="261">
        <v>46.4</v>
      </c>
      <c r="J2" s="261">
        <v>52.2</v>
      </c>
      <c r="K2" s="261">
        <v>57</v>
      </c>
      <c r="L2" s="261">
        <v>63.8</v>
      </c>
      <c r="M2" s="261">
        <v>69.599999999999994</v>
      </c>
      <c r="N2" s="261">
        <v>75.400000000000006</v>
      </c>
      <c r="O2" s="261">
        <v>81.2</v>
      </c>
      <c r="P2" s="261">
        <v>86</v>
      </c>
      <c r="Q2" s="261">
        <v>91.8</v>
      </c>
      <c r="R2" s="261">
        <v>97.6</v>
      </c>
      <c r="S2" s="261">
        <v>104.6</v>
      </c>
      <c r="T2" s="261">
        <v>108.1</v>
      </c>
      <c r="U2" s="261">
        <v>113.9</v>
      </c>
      <c r="V2" s="261">
        <v>119.7</v>
      </c>
      <c r="W2" s="262">
        <v>124.5</v>
      </c>
    </row>
    <row r="3" spans="1:23" ht="17.25" thickTop="1">
      <c r="A3" s="333" t="s">
        <v>24</v>
      </c>
      <c r="B3" s="258" t="s">
        <v>25</v>
      </c>
      <c r="C3" s="139">
        <v>9</v>
      </c>
      <c r="D3" s="259">
        <v>9</v>
      </c>
      <c r="E3" s="259">
        <v>9</v>
      </c>
      <c r="F3" s="259">
        <v>9</v>
      </c>
      <c r="G3" s="334">
        <v>12</v>
      </c>
      <c r="H3" s="334"/>
      <c r="I3" s="334"/>
      <c r="J3" s="334">
        <v>15</v>
      </c>
      <c r="K3" s="334"/>
      <c r="L3" s="334"/>
      <c r="M3" s="334">
        <v>15</v>
      </c>
      <c r="N3" s="334"/>
      <c r="O3" s="334">
        <v>19</v>
      </c>
      <c r="P3" s="334"/>
      <c r="Q3" s="334"/>
      <c r="R3" s="334"/>
      <c r="S3" s="334">
        <v>19</v>
      </c>
      <c r="T3" s="334"/>
      <c r="U3" s="334"/>
      <c r="V3" s="334"/>
      <c r="W3" s="335"/>
    </row>
    <row r="4" spans="1:23" ht="17.25" thickBot="1">
      <c r="A4" s="332"/>
      <c r="B4" s="256" t="s">
        <v>26</v>
      </c>
      <c r="C4" s="142">
        <v>15</v>
      </c>
      <c r="D4" s="261">
        <v>19</v>
      </c>
      <c r="E4" s="261">
        <v>19</v>
      </c>
      <c r="F4" s="261">
        <v>22</v>
      </c>
      <c r="G4" s="336">
        <v>28</v>
      </c>
      <c r="H4" s="336"/>
      <c r="I4" s="336"/>
      <c r="J4" s="336"/>
      <c r="K4" s="336"/>
      <c r="L4" s="336"/>
      <c r="M4" s="336">
        <v>34</v>
      </c>
      <c r="N4" s="336"/>
      <c r="O4" s="336">
        <v>34</v>
      </c>
      <c r="P4" s="336"/>
      <c r="Q4" s="336"/>
      <c r="R4" s="336"/>
      <c r="S4" s="336">
        <v>41</v>
      </c>
      <c r="T4" s="336"/>
      <c r="U4" s="336"/>
      <c r="V4" s="336"/>
      <c r="W4" s="337"/>
    </row>
    <row r="5" spans="1:23" ht="17.25" thickTop="1">
      <c r="A5" s="333" t="s">
        <v>27</v>
      </c>
      <c r="B5" s="258"/>
      <c r="C5" s="139">
        <v>9</v>
      </c>
      <c r="D5" s="259">
        <v>9</v>
      </c>
      <c r="E5" s="259">
        <v>9</v>
      </c>
      <c r="F5" s="334">
        <v>9</v>
      </c>
      <c r="G5" s="334"/>
      <c r="H5" s="334">
        <v>15</v>
      </c>
      <c r="I5" s="334"/>
      <c r="J5" s="334"/>
      <c r="K5" s="334"/>
      <c r="L5" s="334"/>
      <c r="M5" s="334">
        <v>19</v>
      </c>
      <c r="N5" s="334"/>
      <c r="O5" s="334"/>
      <c r="P5" s="334"/>
      <c r="Q5" s="334"/>
      <c r="R5" s="334"/>
      <c r="S5" s="334"/>
      <c r="T5" s="334">
        <v>19</v>
      </c>
      <c r="U5" s="334"/>
      <c r="V5" s="334"/>
      <c r="W5" s="335"/>
    </row>
    <row r="6" spans="1:23" ht="17.25" thickBot="1">
      <c r="A6" s="332"/>
      <c r="B6" s="256"/>
      <c r="C6" s="142">
        <v>15</v>
      </c>
      <c r="D6" s="261">
        <v>15</v>
      </c>
      <c r="E6" s="261">
        <v>19</v>
      </c>
      <c r="F6" s="336">
        <v>22</v>
      </c>
      <c r="G6" s="336"/>
      <c r="H6" s="336">
        <v>28</v>
      </c>
      <c r="I6" s="336"/>
      <c r="J6" s="336"/>
      <c r="K6" s="336"/>
      <c r="L6" s="336"/>
      <c r="M6" s="336">
        <v>34</v>
      </c>
      <c r="N6" s="336"/>
      <c r="O6" s="336"/>
      <c r="P6" s="336"/>
      <c r="Q6" s="336"/>
      <c r="R6" s="336"/>
      <c r="S6" s="336"/>
      <c r="T6" s="336">
        <v>41</v>
      </c>
      <c r="U6" s="336"/>
      <c r="V6" s="336"/>
      <c r="W6" s="337"/>
    </row>
    <row r="7" spans="1:23" ht="18" thickTop="1" thickBot="1">
      <c r="A7" s="143" t="s">
        <v>28</v>
      </c>
      <c r="B7" s="144"/>
      <c r="C7" s="338">
        <v>1509</v>
      </c>
      <c r="D7" s="339"/>
      <c r="E7" s="339">
        <v>2512</v>
      </c>
      <c r="F7" s="339"/>
      <c r="G7" s="339"/>
      <c r="H7" s="339"/>
      <c r="I7" s="339"/>
      <c r="J7" s="339">
        <v>2815</v>
      </c>
      <c r="K7" s="339"/>
      <c r="L7" s="339"/>
      <c r="M7" s="339"/>
      <c r="N7" s="339" t="s">
        <v>29</v>
      </c>
      <c r="O7" s="339"/>
      <c r="P7" s="339"/>
      <c r="Q7" s="339"/>
      <c r="R7" s="339"/>
      <c r="S7" s="339" t="s">
        <v>30</v>
      </c>
      <c r="T7" s="339"/>
      <c r="U7" s="339"/>
      <c r="V7" s="339"/>
      <c r="W7" s="340"/>
    </row>
    <row r="8" spans="1:23" ht="17.25" thickTop="1">
      <c r="A8" s="341" t="s">
        <v>27</v>
      </c>
      <c r="B8" s="258"/>
      <c r="C8" s="258"/>
      <c r="D8" s="258"/>
      <c r="E8" s="258" t="s">
        <v>31</v>
      </c>
      <c r="F8" s="258">
        <v>22.4</v>
      </c>
      <c r="G8" s="258">
        <v>33.6</v>
      </c>
      <c r="H8" s="258" t="s">
        <v>32</v>
      </c>
      <c r="I8" s="258">
        <v>61.6</v>
      </c>
      <c r="J8" s="258">
        <v>72.8</v>
      </c>
      <c r="K8" s="258">
        <v>100.8</v>
      </c>
      <c r="L8" s="258">
        <v>173.6</v>
      </c>
      <c r="M8" s="258">
        <v>184.8</v>
      </c>
      <c r="N8" s="258" t="s">
        <v>33</v>
      </c>
      <c r="O8" s="344" t="s">
        <v>34</v>
      </c>
      <c r="P8" s="345"/>
      <c r="Q8" s="345"/>
      <c r="R8" s="345"/>
      <c r="S8" s="345"/>
      <c r="T8" s="345"/>
      <c r="U8" s="345"/>
      <c r="V8" s="345"/>
      <c r="W8" s="346"/>
    </row>
    <row r="9" spans="1:23">
      <c r="A9" s="342"/>
      <c r="B9" s="257" t="s">
        <v>25</v>
      </c>
      <c r="C9" s="257"/>
      <c r="D9" s="257"/>
      <c r="E9" s="257">
        <v>9</v>
      </c>
      <c r="F9" s="257">
        <v>9</v>
      </c>
      <c r="G9" s="257">
        <v>9</v>
      </c>
      <c r="H9" s="257">
        <v>12</v>
      </c>
      <c r="I9" s="257">
        <v>15</v>
      </c>
      <c r="J9" s="257">
        <v>15</v>
      </c>
      <c r="K9" s="257">
        <v>19</v>
      </c>
      <c r="L9" s="257">
        <v>19</v>
      </c>
      <c r="M9" s="257">
        <v>22</v>
      </c>
      <c r="N9" s="257">
        <v>22</v>
      </c>
      <c r="O9" s="347" t="s">
        <v>35</v>
      </c>
      <c r="P9" s="348"/>
      <c r="Q9" s="348"/>
      <c r="R9" s="348"/>
      <c r="S9" s="348"/>
      <c r="T9" s="348"/>
      <c r="U9" s="348"/>
      <c r="V9" s="348"/>
      <c r="W9" s="349"/>
    </row>
    <row r="10" spans="1:23" ht="17.25" thickBot="1">
      <c r="A10" s="343"/>
      <c r="B10" s="256" t="s">
        <v>26</v>
      </c>
      <c r="C10" s="256"/>
      <c r="D10" s="256"/>
      <c r="E10" s="256">
        <v>15</v>
      </c>
      <c r="F10" s="256">
        <v>19</v>
      </c>
      <c r="G10" s="256">
        <v>22</v>
      </c>
      <c r="H10" s="256">
        <v>28</v>
      </c>
      <c r="I10" s="256">
        <v>28</v>
      </c>
      <c r="J10" s="256">
        <v>34</v>
      </c>
      <c r="K10" s="256">
        <v>34</v>
      </c>
      <c r="L10" s="256">
        <v>41</v>
      </c>
      <c r="M10" s="256">
        <v>44</v>
      </c>
      <c r="N10" s="256">
        <v>53</v>
      </c>
      <c r="O10" s="350" t="s">
        <v>36</v>
      </c>
      <c r="P10" s="351"/>
      <c r="Q10" s="351"/>
      <c r="R10" s="351"/>
      <c r="S10" s="351"/>
      <c r="T10" s="351"/>
      <c r="U10" s="351"/>
      <c r="V10" s="351"/>
      <c r="W10" s="352"/>
    </row>
    <row r="11" spans="1:23" ht="21" customHeight="1" thickTop="1">
      <c r="A11" s="331" t="s">
        <v>37</v>
      </c>
      <c r="B11" s="258">
        <v>6</v>
      </c>
      <c r="C11" s="258">
        <v>9</v>
      </c>
      <c r="D11" s="258">
        <v>12</v>
      </c>
      <c r="E11" s="258">
        <v>15</v>
      </c>
      <c r="F11" s="258">
        <v>19</v>
      </c>
      <c r="G11" s="258">
        <v>22</v>
      </c>
      <c r="H11" s="353" t="s">
        <v>38</v>
      </c>
      <c r="I11" s="354"/>
      <c r="J11" s="354"/>
      <c r="K11" s="354"/>
      <c r="L11" s="354"/>
      <c r="M11" s="354"/>
      <c r="N11" s="354"/>
      <c r="O11" s="354"/>
      <c r="P11" s="354"/>
      <c r="Q11" s="354"/>
      <c r="R11" s="354"/>
      <c r="S11" s="354"/>
      <c r="T11" s="354"/>
      <c r="U11" s="354"/>
      <c r="V11" s="354"/>
      <c r="W11" s="355"/>
    </row>
    <row r="12" spans="1:23" ht="21" customHeight="1" thickBot="1">
      <c r="A12" s="332"/>
      <c r="B12" s="256" t="s">
        <v>38</v>
      </c>
      <c r="C12" s="256"/>
      <c r="D12" s="256"/>
      <c r="E12" s="256"/>
      <c r="F12" s="256"/>
      <c r="G12" s="256"/>
      <c r="H12" s="356"/>
      <c r="I12" s="357"/>
      <c r="J12" s="357"/>
      <c r="K12" s="357"/>
      <c r="L12" s="357"/>
      <c r="M12" s="357"/>
      <c r="N12" s="357"/>
      <c r="O12" s="357"/>
      <c r="P12" s="357"/>
      <c r="Q12" s="357"/>
      <c r="R12" s="357"/>
      <c r="S12" s="357"/>
      <c r="T12" s="357"/>
      <c r="U12" s="357"/>
      <c r="V12" s="357"/>
      <c r="W12" s="358"/>
    </row>
    <row r="13" spans="1:23" s="146" customFormat="1" ht="21" customHeight="1" thickTop="1">
      <c r="A13" s="359" t="s">
        <v>39</v>
      </c>
      <c r="B13" s="145" t="s">
        <v>40</v>
      </c>
      <c r="C13" s="145" t="s">
        <v>41</v>
      </c>
      <c r="D13" s="145" t="s">
        <v>42</v>
      </c>
      <c r="E13" s="145" t="s">
        <v>43</v>
      </c>
      <c r="F13" s="145" t="s">
        <v>44</v>
      </c>
      <c r="G13" s="145" t="s">
        <v>45</v>
      </c>
      <c r="H13" s="145" t="s">
        <v>46</v>
      </c>
      <c r="I13" s="145" t="s">
        <v>47</v>
      </c>
      <c r="J13" s="145" t="s">
        <v>48</v>
      </c>
      <c r="K13" s="145" t="s">
        <v>49</v>
      </c>
      <c r="L13" s="145" t="s">
        <v>50</v>
      </c>
      <c r="M13" s="145" t="s">
        <v>51</v>
      </c>
      <c r="N13" s="145" t="s">
        <v>52</v>
      </c>
      <c r="O13" s="145" t="s">
        <v>53</v>
      </c>
      <c r="P13" s="145" t="s">
        <v>54</v>
      </c>
      <c r="Q13" s="361"/>
      <c r="R13" s="362"/>
      <c r="S13" s="362"/>
      <c r="T13" s="362"/>
      <c r="U13" s="362"/>
      <c r="V13" s="362"/>
      <c r="W13" s="363"/>
    </row>
    <row r="14" spans="1:23" s="146" customFormat="1" ht="21" customHeight="1" thickBot="1">
      <c r="A14" s="360"/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8"/>
      <c r="P14" s="149"/>
      <c r="Q14" s="364"/>
      <c r="R14" s="365"/>
      <c r="S14" s="365"/>
      <c r="T14" s="365"/>
      <c r="U14" s="365"/>
      <c r="V14" s="365"/>
      <c r="W14" s="366"/>
    </row>
    <row r="15" spans="1:23" ht="17.25" thickTop="1">
      <c r="A15" s="367" t="s">
        <v>55</v>
      </c>
      <c r="B15" s="370" t="s">
        <v>56</v>
      </c>
      <c r="C15" s="370"/>
      <c r="D15" s="370" t="s">
        <v>57</v>
      </c>
      <c r="E15" s="370"/>
      <c r="F15" s="370" t="s">
        <v>58</v>
      </c>
      <c r="G15" s="370"/>
      <c r="H15" s="370" t="s">
        <v>59</v>
      </c>
      <c r="I15" s="370"/>
      <c r="J15" s="370"/>
      <c r="K15" s="370"/>
      <c r="L15" s="370"/>
      <c r="M15" s="370"/>
      <c r="N15" s="370"/>
      <c r="O15" s="370"/>
      <c r="P15" s="370"/>
      <c r="Q15" s="370"/>
      <c r="R15" s="370"/>
      <c r="S15" s="370"/>
      <c r="T15" s="370"/>
      <c r="U15" s="370"/>
      <c r="V15" s="370"/>
      <c r="W15" s="371"/>
    </row>
    <row r="16" spans="1:23">
      <c r="A16" s="368"/>
      <c r="B16" s="372">
        <v>41</v>
      </c>
      <c r="C16" s="372"/>
      <c r="D16" s="372">
        <v>31</v>
      </c>
      <c r="E16" s="372"/>
      <c r="F16" s="372"/>
      <c r="G16" s="372"/>
      <c r="H16" s="372"/>
      <c r="I16" s="372"/>
      <c r="J16" s="372"/>
      <c r="K16" s="372"/>
      <c r="L16" s="372"/>
      <c r="M16" s="372"/>
      <c r="N16" s="372"/>
      <c r="O16" s="372"/>
      <c r="P16" s="372"/>
      <c r="Q16" s="372"/>
      <c r="R16" s="372"/>
      <c r="S16" s="372"/>
      <c r="T16" s="372"/>
      <c r="U16" s="372"/>
      <c r="V16" s="372"/>
      <c r="W16" s="373"/>
    </row>
    <row r="17" spans="1:23">
      <c r="A17" s="368"/>
      <c r="B17" s="372">
        <v>34</v>
      </c>
      <c r="C17" s="372"/>
      <c r="D17" s="372">
        <v>25</v>
      </c>
      <c r="E17" s="372"/>
      <c r="F17" s="372"/>
      <c r="G17" s="372"/>
      <c r="H17" s="372"/>
      <c r="I17" s="372"/>
      <c r="J17" s="372"/>
      <c r="K17" s="372"/>
      <c r="L17" s="372"/>
      <c r="M17" s="372"/>
      <c r="N17" s="372"/>
      <c r="O17" s="372"/>
      <c r="P17" s="372"/>
      <c r="Q17" s="372"/>
      <c r="R17" s="372"/>
      <c r="S17" s="372"/>
      <c r="T17" s="372"/>
      <c r="U17" s="372"/>
      <c r="V17" s="372"/>
      <c r="W17" s="373"/>
    </row>
    <row r="18" spans="1:23">
      <c r="A18" s="368"/>
      <c r="B18" s="372">
        <v>28</v>
      </c>
      <c r="C18" s="372"/>
      <c r="D18" s="372"/>
      <c r="E18" s="372"/>
      <c r="F18" s="372"/>
      <c r="G18" s="372"/>
      <c r="H18" s="372"/>
      <c r="I18" s="372"/>
      <c r="J18" s="372"/>
      <c r="K18" s="372"/>
      <c r="L18" s="372"/>
      <c r="M18" s="372"/>
      <c r="N18" s="372"/>
      <c r="O18" s="372"/>
      <c r="P18" s="372"/>
      <c r="Q18" s="372"/>
      <c r="R18" s="372"/>
      <c r="S18" s="372"/>
      <c r="T18" s="372"/>
      <c r="U18" s="372"/>
      <c r="V18" s="372"/>
      <c r="W18" s="373"/>
    </row>
    <row r="19" spans="1:23">
      <c r="A19" s="368"/>
      <c r="B19" s="372">
        <v>25</v>
      </c>
      <c r="C19" s="372"/>
      <c r="D19" s="372">
        <v>19</v>
      </c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3"/>
    </row>
    <row r="20" spans="1:23">
      <c r="A20" s="368"/>
      <c r="B20" s="372">
        <v>22</v>
      </c>
      <c r="C20" s="372"/>
      <c r="D20" s="372"/>
      <c r="E20" s="372"/>
      <c r="F20" s="372"/>
      <c r="G20" s="372"/>
      <c r="H20" s="372"/>
      <c r="I20" s="372"/>
      <c r="J20" s="372"/>
      <c r="K20" s="372"/>
      <c r="L20" s="372"/>
      <c r="M20" s="372"/>
      <c r="N20" s="372"/>
      <c r="O20" s="372"/>
      <c r="P20" s="372"/>
      <c r="Q20" s="372"/>
      <c r="R20" s="372"/>
      <c r="S20" s="372"/>
      <c r="T20" s="372"/>
      <c r="U20" s="372"/>
      <c r="V20" s="372"/>
      <c r="W20" s="373"/>
    </row>
    <row r="21" spans="1:23">
      <c r="A21" s="368"/>
      <c r="B21" s="372">
        <v>19</v>
      </c>
      <c r="C21" s="372"/>
      <c r="D21" s="372"/>
      <c r="E21" s="372"/>
      <c r="F21" s="372"/>
      <c r="G21" s="372"/>
      <c r="H21" s="372"/>
      <c r="I21" s="372"/>
      <c r="J21" s="372"/>
      <c r="K21" s="372"/>
      <c r="L21" s="372"/>
      <c r="M21" s="372"/>
      <c r="N21" s="372"/>
      <c r="O21" s="372"/>
      <c r="P21" s="372"/>
      <c r="Q21" s="372"/>
      <c r="R21" s="372"/>
      <c r="S21" s="372"/>
      <c r="T21" s="372"/>
      <c r="U21" s="372"/>
      <c r="V21" s="372"/>
      <c r="W21" s="373"/>
    </row>
    <row r="22" spans="1:23">
      <c r="A22" s="368"/>
      <c r="B22" s="372">
        <v>15</v>
      </c>
      <c r="C22" s="372"/>
      <c r="D22" s="372"/>
      <c r="E22" s="372"/>
      <c r="F22" s="372">
        <v>15</v>
      </c>
      <c r="G22" s="372"/>
      <c r="H22" s="372"/>
      <c r="I22" s="372"/>
      <c r="J22" s="372"/>
      <c r="K22" s="372"/>
      <c r="L22" s="372"/>
      <c r="M22" s="372"/>
      <c r="N22" s="372"/>
      <c r="O22" s="372"/>
      <c r="P22" s="372"/>
      <c r="Q22" s="372"/>
      <c r="R22" s="372"/>
      <c r="S22" s="372"/>
      <c r="T22" s="372"/>
      <c r="U22" s="372"/>
      <c r="V22" s="372"/>
      <c r="W22" s="373"/>
    </row>
    <row r="23" spans="1:23">
      <c r="A23" s="368"/>
      <c r="B23" s="372">
        <v>12</v>
      </c>
      <c r="C23" s="372"/>
      <c r="D23" s="372"/>
      <c r="E23" s="372"/>
      <c r="F23" s="372">
        <v>12</v>
      </c>
      <c r="G23" s="372"/>
      <c r="H23" s="372"/>
      <c r="I23" s="372"/>
      <c r="J23" s="372"/>
      <c r="K23" s="372"/>
      <c r="L23" s="372"/>
      <c r="M23" s="372"/>
      <c r="N23" s="372"/>
      <c r="O23" s="372"/>
      <c r="P23" s="372"/>
      <c r="Q23" s="372"/>
      <c r="R23" s="372"/>
      <c r="S23" s="372"/>
      <c r="T23" s="372"/>
      <c r="U23" s="372"/>
      <c r="V23" s="372"/>
      <c r="W23" s="373"/>
    </row>
    <row r="24" spans="1:23">
      <c r="A24" s="368"/>
      <c r="B24" s="372">
        <v>9</v>
      </c>
      <c r="C24" s="372"/>
      <c r="D24" s="372"/>
      <c r="E24" s="372"/>
      <c r="F24" s="372"/>
      <c r="G24" s="372"/>
      <c r="H24" s="372">
        <v>9</v>
      </c>
      <c r="I24" s="372"/>
      <c r="J24" s="372"/>
      <c r="K24" s="372"/>
      <c r="L24" s="372"/>
      <c r="M24" s="372"/>
      <c r="N24" s="372"/>
      <c r="O24" s="372"/>
      <c r="P24" s="372"/>
      <c r="Q24" s="372"/>
      <c r="R24" s="372"/>
      <c r="S24" s="372"/>
      <c r="T24" s="372"/>
      <c r="U24" s="372"/>
      <c r="V24" s="372"/>
      <c r="W24" s="373"/>
    </row>
    <row r="25" spans="1:23" ht="17.25" thickBot="1">
      <c r="A25" s="369"/>
      <c r="B25" s="374">
        <v>6</v>
      </c>
      <c r="C25" s="374"/>
      <c r="D25" s="374"/>
      <c r="E25" s="374"/>
      <c r="F25" s="374"/>
      <c r="G25" s="374"/>
      <c r="H25" s="374">
        <v>6</v>
      </c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5"/>
    </row>
    <row r="26" spans="1:23" ht="17.25" thickTop="1">
      <c r="D26" s="140" t="s">
        <v>38</v>
      </c>
    </row>
  </sheetData>
  <mergeCells count="60">
    <mergeCell ref="B25:C25"/>
    <mergeCell ref="H25:I25"/>
    <mergeCell ref="D22:E25"/>
    <mergeCell ref="F22:G22"/>
    <mergeCell ref="B23:C23"/>
    <mergeCell ref="F23:G23"/>
    <mergeCell ref="B24:C24"/>
    <mergeCell ref="F24:G25"/>
    <mergeCell ref="D19:E21"/>
    <mergeCell ref="B20:C20"/>
    <mergeCell ref="B21:C21"/>
    <mergeCell ref="B22:C22"/>
    <mergeCell ref="H24:I24"/>
    <mergeCell ref="A13:A14"/>
    <mergeCell ref="Q13:W14"/>
    <mergeCell ref="A15:A25"/>
    <mergeCell ref="B15:C15"/>
    <mergeCell ref="D15:E15"/>
    <mergeCell ref="F15:G15"/>
    <mergeCell ref="H15:I15"/>
    <mergeCell ref="J15:W25"/>
    <mergeCell ref="B16:C16"/>
    <mergeCell ref="D16:E16"/>
    <mergeCell ref="F16:G21"/>
    <mergeCell ref="H16:I23"/>
    <mergeCell ref="B17:C17"/>
    <mergeCell ref="D17:E18"/>
    <mergeCell ref="B18:C18"/>
    <mergeCell ref="B19:C19"/>
    <mergeCell ref="A8:A10"/>
    <mergeCell ref="O8:W8"/>
    <mergeCell ref="O9:W9"/>
    <mergeCell ref="O10:W10"/>
    <mergeCell ref="A11:A12"/>
    <mergeCell ref="H11:W12"/>
    <mergeCell ref="C7:D7"/>
    <mergeCell ref="E7:I7"/>
    <mergeCell ref="J7:M7"/>
    <mergeCell ref="N7:R7"/>
    <mergeCell ref="S7:W7"/>
    <mergeCell ref="S3:W3"/>
    <mergeCell ref="G4:L4"/>
    <mergeCell ref="M4:N4"/>
    <mergeCell ref="O4:R4"/>
    <mergeCell ref="S4:W4"/>
    <mergeCell ref="O3:R3"/>
    <mergeCell ref="A5:A6"/>
    <mergeCell ref="F5:G5"/>
    <mergeCell ref="H5:L5"/>
    <mergeCell ref="M5:S5"/>
    <mergeCell ref="T5:W5"/>
    <mergeCell ref="F6:G6"/>
    <mergeCell ref="H6:L6"/>
    <mergeCell ref="M6:S6"/>
    <mergeCell ref="T6:W6"/>
    <mergeCell ref="A1:A2"/>
    <mergeCell ref="A3:A4"/>
    <mergeCell ref="G3:I3"/>
    <mergeCell ref="J3:L3"/>
    <mergeCell ref="M3:N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topLeftCell="A13" zoomScale="130" zoomScaleNormal="130" workbookViewId="0">
      <selection activeCell="E44" sqref="E44"/>
    </sheetView>
  </sheetViews>
  <sheetFormatPr defaultRowHeight="12"/>
  <cols>
    <col min="1" max="1" width="7.375" style="101" customWidth="1"/>
    <col min="2" max="2" width="6.75" style="101" customWidth="1"/>
    <col min="3" max="3" width="8.625" style="101" customWidth="1"/>
    <col min="4" max="13" width="5.25" style="101" customWidth="1"/>
    <col min="14" max="14" width="1.375" style="101" hidden="1" customWidth="1"/>
    <col min="15" max="15" width="5.625" style="101" customWidth="1"/>
    <col min="16" max="16" width="8.875" style="101" customWidth="1"/>
    <col min="17" max="17" width="10" style="125" customWidth="1"/>
    <col min="18" max="18" width="9.75" style="101" customWidth="1"/>
    <col min="19" max="27" width="7.125" style="101" customWidth="1"/>
    <col min="28" max="257" width="9" style="101"/>
    <col min="258" max="258" width="4.75" style="101" customWidth="1"/>
    <col min="259" max="259" width="6.75" style="101" customWidth="1"/>
    <col min="260" max="260" width="8.625" style="101" customWidth="1"/>
    <col min="261" max="271" width="6.125" style="101" customWidth="1"/>
    <col min="272" max="272" width="7.125" style="101" customWidth="1"/>
    <col min="273" max="273" width="9" style="101"/>
    <col min="274" max="277" width="5.5" style="101" customWidth="1"/>
    <col min="278" max="513" width="9" style="101"/>
    <col min="514" max="514" width="4.75" style="101" customWidth="1"/>
    <col min="515" max="515" width="6.75" style="101" customWidth="1"/>
    <col min="516" max="516" width="8.625" style="101" customWidth="1"/>
    <col min="517" max="527" width="6.125" style="101" customWidth="1"/>
    <col min="528" max="528" width="7.125" style="101" customWidth="1"/>
    <col min="529" max="529" width="9" style="101"/>
    <col min="530" max="533" width="5.5" style="101" customWidth="1"/>
    <col min="534" max="769" width="9" style="101"/>
    <col min="770" max="770" width="4.75" style="101" customWidth="1"/>
    <col min="771" max="771" width="6.75" style="101" customWidth="1"/>
    <col min="772" max="772" width="8.625" style="101" customWidth="1"/>
    <col min="773" max="783" width="6.125" style="101" customWidth="1"/>
    <col min="784" max="784" width="7.125" style="101" customWidth="1"/>
    <col min="785" max="785" width="9" style="101"/>
    <col min="786" max="789" width="5.5" style="101" customWidth="1"/>
    <col min="790" max="1025" width="9" style="101"/>
    <col min="1026" max="1026" width="4.75" style="101" customWidth="1"/>
    <col min="1027" max="1027" width="6.75" style="101" customWidth="1"/>
    <col min="1028" max="1028" width="8.625" style="101" customWidth="1"/>
    <col min="1029" max="1039" width="6.125" style="101" customWidth="1"/>
    <col min="1040" max="1040" width="7.125" style="101" customWidth="1"/>
    <col min="1041" max="1041" width="9" style="101"/>
    <col min="1042" max="1045" width="5.5" style="101" customWidth="1"/>
    <col min="1046" max="1281" width="9" style="101"/>
    <col min="1282" max="1282" width="4.75" style="101" customWidth="1"/>
    <col min="1283" max="1283" width="6.75" style="101" customWidth="1"/>
    <col min="1284" max="1284" width="8.625" style="101" customWidth="1"/>
    <col min="1285" max="1295" width="6.125" style="101" customWidth="1"/>
    <col min="1296" max="1296" width="7.125" style="101" customWidth="1"/>
    <col min="1297" max="1297" width="9" style="101"/>
    <col min="1298" max="1301" width="5.5" style="101" customWidth="1"/>
    <col min="1302" max="1537" width="9" style="101"/>
    <col min="1538" max="1538" width="4.75" style="101" customWidth="1"/>
    <col min="1539" max="1539" width="6.75" style="101" customWidth="1"/>
    <col min="1540" max="1540" width="8.625" style="101" customWidth="1"/>
    <col min="1541" max="1551" width="6.125" style="101" customWidth="1"/>
    <col min="1552" max="1552" width="7.125" style="101" customWidth="1"/>
    <col min="1553" max="1553" width="9" style="101"/>
    <col min="1554" max="1557" width="5.5" style="101" customWidth="1"/>
    <col min="1558" max="1793" width="9" style="101"/>
    <col min="1794" max="1794" width="4.75" style="101" customWidth="1"/>
    <col min="1795" max="1795" width="6.75" style="101" customWidth="1"/>
    <col min="1796" max="1796" width="8.625" style="101" customWidth="1"/>
    <col min="1797" max="1807" width="6.125" style="101" customWidth="1"/>
    <col min="1808" max="1808" width="7.125" style="101" customWidth="1"/>
    <col min="1809" max="1809" width="9" style="101"/>
    <col min="1810" max="1813" width="5.5" style="101" customWidth="1"/>
    <col min="1814" max="2049" width="9" style="101"/>
    <col min="2050" max="2050" width="4.75" style="101" customWidth="1"/>
    <col min="2051" max="2051" width="6.75" style="101" customWidth="1"/>
    <col min="2052" max="2052" width="8.625" style="101" customWidth="1"/>
    <col min="2053" max="2063" width="6.125" style="101" customWidth="1"/>
    <col min="2064" max="2064" width="7.125" style="101" customWidth="1"/>
    <col min="2065" max="2065" width="9" style="101"/>
    <col min="2066" max="2069" width="5.5" style="101" customWidth="1"/>
    <col min="2070" max="2305" width="9" style="101"/>
    <col min="2306" max="2306" width="4.75" style="101" customWidth="1"/>
    <col min="2307" max="2307" width="6.75" style="101" customWidth="1"/>
    <col min="2308" max="2308" width="8.625" style="101" customWidth="1"/>
    <col min="2309" max="2319" width="6.125" style="101" customWidth="1"/>
    <col min="2320" max="2320" width="7.125" style="101" customWidth="1"/>
    <col min="2321" max="2321" width="9" style="101"/>
    <col min="2322" max="2325" width="5.5" style="101" customWidth="1"/>
    <col min="2326" max="2561" width="9" style="101"/>
    <col min="2562" max="2562" width="4.75" style="101" customWidth="1"/>
    <col min="2563" max="2563" width="6.75" style="101" customWidth="1"/>
    <col min="2564" max="2564" width="8.625" style="101" customWidth="1"/>
    <col min="2565" max="2575" width="6.125" style="101" customWidth="1"/>
    <col min="2576" max="2576" width="7.125" style="101" customWidth="1"/>
    <col min="2577" max="2577" width="9" style="101"/>
    <col min="2578" max="2581" width="5.5" style="101" customWidth="1"/>
    <col min="2582" max="2817" width="9" style="101"/>
    <col min="2818" max="2818" width="4.75" style="101" customWidth="1"/>
    <col min="2819" max="2819" width="6.75" style="101" customWidth="1"/>
    <col min="2820" max="2820" width="8.625" style="101" customWidth="1"/>
    <col min="2821" max="2831" width="6.125" style="101" customWidth="1"/>
    <col min="2832" max="2832" width="7.125" style="101" customWidth="1"/>
    <col min="2833" max="2833" width="9" style="101"/>
    <col min="2834" max="2837" width="5.5" style="101" customWidth="1"/>
    <col min="2838" max="3073" width="9" style="101"/>
    <col min="3074" max="3074" width="4.75" style="101" customWidth="1"/>
    <col min="3075" max="3075" width="6.75" style="101" customWidth="1"/>
    <col min="3076" max="3076" width="8.625" style="101" customWidth="1"/>
    <col min="3077" max="3087" width="6.125" style="101" customWidth="1"/>
    <col min="3088" max="3088" width="7.125" style="101" customWidth="1"/>
    <col min="3089" max="3089" width="9" style="101"/>
    <col min="3090" max="3093" width="5.5" style="101" customWidth="1"/>
    <col min="3094" max="3329" width="9" style="101"/>
    <col min="3330" max="3330" width="4.75" style="101" customWidth="1"/>
    <col min="3331" max="3331" width="6.75" style="101" customWidth="1"/>
    <col min="3332" max="3332" width="8.625" style="101" customWidth="1"/>
    <col min="3333" max="3343" width="6.125" style="101" customWidth="1"/>
    <col min="3344" max="3344" width="7.125" style="101" customWidth="1"/>
    <col min="3345" max="3345" width="9" style="101"/>
    <col min="3346" max="3349" width="5.5" style="101" customWidth="1"/>
    <col min="3350" max="3585" width="9" style="101"/>
    <col min="3586" max="3586" width="4.75" style="101" customWidth="1"/>
    <col min="3587" max="3587" width="6.75" style="101" customWidth="1"/>
    <col min="3588" max="3588" width="8.625" style="101" customWidth="1"/>
    <col min="3589" max="3599" width="6.125" style="101" customWidth="1"/>
    <col min="3600" max="3600" width="7.125" style="101" customWidth="1"/>
    <col min="3601" max="3601" width="9" style="101"/>
    <col min="3602" max="3605" width="5.5" style="101" customWidth="1"/>
    <col min="3606" max="3841" width="9" style="101"/>
    <col min="3842" max="3842" width="4.75" style="101" customWidth="1"/>
    <col min="3843" max="3843" width="6.75" style="101" customWidth="1"/>
    <col min="3844" max="3844" width="8.625" style="101" customWidth="1"/>
    <col min="3845" max="3855" width="6.125" style="101" customWidth="1"/>
    <col min="3856" max="3856" width="7.125" style="101" customWidth="1"/>
    <col min="3857" max="3857" width="9" style="101"/>
    <col min="3858" max="3861" width="5.5" style="101" customWidth="1"/>
    <col min="3862" max="4097" width="9" style="101"/>
    <col min="4098" max="4098" width="4.75" style="101" customWidth="1"/>
    <col min="4099" max="4099" width="6.75" style="101" customWidth="1"/>
    <col min="4100" max="4100" width="8.625" style="101" customWidth="1"/>
    <col min="4101" max="4111" width="6.125" style="101" customWidth="1"/>
    <col min="4112" max="4112" width="7.125" style="101" customWidth="1"/>
    <col min="4113" max="4113" width="9" style="101"/>
    <col min="4114" max="4117" width="5.5" style="101" customWidth="1"/>
    <col min="4118" max="4353" width="9" style="101"/>
    <col min="4354" max="4354" width="4.75" style="101" customWidth="1"/>
    <col min="4355" max="4355" width="6.75" style="101" customWidth="1"/>
    <col min="4356" max="4356" width="8.625" style="101" customWidth="1"/>
    <col min="4357" max="4367" width="6.125" style="101" customWidth="1"/>
    <col min="4368" max="4368" width="7.125" style="101" customWidth="1"/>
    <col min="4369" max="4369" width="9" style="101"/>
    <col min="4370" max="4373" width="5.5" style="101" customWidth="1"/>
    <col min="4374" max="4609" width="9" style="101"/>
    <col min="4610" max="4610" width="4.75" style="101" customWidth="1"/>
    <col min="4611" max="4611" width="6.75" style="101" customWidth="1"/>
    <col min="4612" max="4612" width="8.625" style="101" customWidth="1"/>
    <col min="4613" max="4623" width="6.125" style="101" customWidth="1"/>
    <col min="4624" max="4624" width="7.125" style="101" customWidth="1"/>
    <col min="4625" max="4625" width="9" style="101"/>
    <col min="4626" max="4629" width="5.5" style="101" customWidth="1"/>
    <col min="4630" max="4865" width="9" style="101"/>
    <col min="4866" max="4866" width="4.75" style="101" customWidth="1"/>
    <col min="4867" max="4867" width="6.75" style="101" customWidth="1"/>
    <col min="4868" max="4868" width="8.625" style="101" customWidth="1"/>
    <col min="4869" max="4879" width="6.125" style="101" customWidth="1"/>
    <col min="4880" max="4880" width="7.125" style="101" customWidth="1"/>
    <col min="4881" max="4881" width="9" style="101"/>
    <col min="4882" max="4885" width="5.5" style="101" customWidth="1"/>
    <col min="4886" max="5121" width="9" style="101"/>
    <col min="5122" max="5122" width="4.75" style="101" customWidth="1"/>
    <col min="5123" max="5123" width="6.75" style="101" customWidth="1"/>
    <col min="5124" max="5124" width="8.625" style="101" customWidth="1"/>
    <col min="5125" max="5135" width="6.125" style="101" customWidth="1"/>
    <col min="5136" max="5136" width="7.125" style="101" customWidth="1"/>
    <col min="5137" max="5137" width="9" style="101"/>
    <col min="5138" max="5141" width="5.5" style="101" customWidth="1"/>
    <col min="5142" max="5377" width="9" style="101"/>
    <col min="5378" max="5378" width="4.75" style="101" customWidth="1"/>
    <col min="5379" max="5379" width="6.75" style="101" customWidth="1"/>
    <col min="5380" max="5380" width="8.625" style="101" customWidth="1"/>
    <col min="5381" max="5391" width="6.125" style="101" customWidth="1"/>
    <col min="5392" max="5392" width="7.125" style="101" customWidth="1"/>
    <col min="5393" max="5393" width="9" style="101"/>
    <col min="5394" max="5397" width="5.5" style="101" customWidth="1"/>
    <col min="5398" max="5633" width="9" style="101"/>
    <col min="5634" max="5634" width="4.75" style="101" customWidth="1"/>
    <col min="5635" max="5635" width="6.75" style="101" customWidth="1"/>
    <col min="5636" max="5636" width="8.625" style="101" customWidth="1"/>
    <col min="5637" max="5647" width="6.125" style="101" customWidth="1"/>
    <col min="5648" max="5648" width="7.125" style="101" customWidth="1"/>
    <col min="5649" max="5649" width="9" style="101"/>
    <col min="5650" max="5653" width="5.5" style="101" customWidth="1"/>
    <col min="5654" max="5889" width="9" style="101"/>
    <col min="5890" max="5890" width="4.75" style="101" customWidth="1"/>
    <col min="5891" max="5891" width="6.75" style="101" customWidth="1"/>
    <col min="5892" max="5892" width="8.625" style="101" customWidth="1"/>
    <col min="5893" max="5903" width="6.125" style="101" customWidth="1"/>
    <col min="5904" max="5904" width="7.125" style="101" customWidth="1"/>
    <col min="5905" max="5905" width="9" style="101"/>
    <col min="5906" max="5909" width="5.5" style="101" customWidth="1"/>
    <col min="5910" max="6145" width="9" style="101"/>
    <col min="6146" max="6146" width="4.75" style="101" customWidth="1"/>
    <col min="6147" max="6147" width="6.75" style="101" customWidth="1"/>
    <col min="6148" max="6148" width="8.625" style="101" customWidth="1"/>
    <col min="6149" max="6159" width="6.125" style="101" customWidth="1"/>
    <col min="6160" max="6160" width="7.125" style="101" customWidth="1"/>
    <col min="6161" max="6161" width="9" style="101"/>
    <col min="6162" max="6165" width="5.5" style="101" customWidth="1"/>
    <col min="6166" max="6401" width="9" style="101"/>
    <col min="6402" max="6402" width="4.75" style="101" customWidth="1"/>
    <col min="6403" max="6403" width="6.75" style="101" customWidth="1"/>
    <col min="6404" max="6404" width="8.625" style="101" customWidth="1"/>
    <col min="6405" max="6415" width="6.125" style="101" customWidth="1"/>
    <col min="6416" max="6416" width="7.125" style="101" customWidth="1"/>
    <col min="6417" max="6417" width="9" style="101"/>
    <col min="6418" max="6421" width="5.5" style="101" customWidth="1"/>
    <col min="6422" max="6657" width="9" style="101"/>
    <col min="6658" max="6658" width="4.75" style="101" customWidth="1"/>
    <col min="6659" max="6659" width="6.75" style="101" customWidth="1"/>
    <col min="6660" max="6660" width="8.625" style="101" customWidth="1"/>
    <col min="6661" max="6671" width="6.125" style="101" customWidth="1"/>
    <col min="6672" max="6672" width="7.125" style="101" customWidth="1"/>
    <col min="6673" max="6673" width="9" style="101"/>
    <col min="6674" max="6677" width="5.5" style="101" customWidth="1"/>
    <col min="6678" max="6913" width="9" style="101"/>
    <col min="6914" max="6914" width="4.75" style="101" customWidth="1"/>
    <col min="6915" max="6915" width="6.75" style="101" customWidth="1"/>
    <col min="6916" max="6916" width="8.625" style="101" customWidth="1"/>
    <col min="6917" max="6927" width="6.125" style="101" customWidth="1"/>
    <col min="6928" max="6928" width="7.125" style="101" customWidth="1"/>
    <col min="6929" max="6929" width="9" style="101"/>
    <col min="6930" max="6933" width="5.5" style="101" customWidth="1"/>
    <col min="6934" max="7169" width="9" style="101"/>
    <col min="7170" max="7170" width="4.75" style="101" customWidth="1"/>
    <col min="7171" max="7171" width="6.75" style="101" customWidth="1"/>
    <col min="7172" max="7172" width="8.625" style="101" customWidth="1"/>
    <col min="7173" max="7183" width="6.125" style="101" customWidth="1"/>
    <col min="7184" max="7184" width="7.125" style="101" customWidth="1"/>
    <col min="7185" max="7185" width="9" style="101"/>
    <col min="7186" max="7189" width="5.5" style="101" customWidth="1"/>
    <col min="7190" max="7425" width="9" style="101"/>
    <col min="7426" max="7426" width="4.75" style="101" customWidth="1"/>
    <col min="7427" max="7427" width="6.75" style="101" customWidth="1"/>
    <col min="7428" max="7428" width="8.625" style="101" customWidth="1"/>
    <col min="7429" max="7439" width="6.125" style="101" customWidth="1"/>
    <col min="7440" max="7440" width="7.125" style="101" customWidth="1"/>
    <col min="7441" max="7441" width="9" style="101"/>
    <col min="7442" max="7445" width="5.5" style="101" customWidth="1"/>
    <col min="7446" max="7681" width="9" style="101"/>
    <col min="7682" max="7682" width="4.75" style="101" customWidth="1"/>
    <col min="7683" max="7683" width="6.75" style="101" customWidth="1"/>
    <col min="7684" max="7684" width="8.625" style="101" customWidth="1"/>
    <col min="7685" max="7695" width="6.125" style="101" customWidth="1"/>
    <col min="7696" max="7696" width="7.125" style="101" customWidth="1"/>
    <col min="7697" max="7697" width="9" style="101"/>
    <col min="7698" max="7701" width="5.5" style="101" customWidth="1"/>
    <col min="7702" max="7937" width="9" style="101"/>
    <col min="7938" max="7938" width="4.75" style="101" customWidth="1"/>
    <col min="7939" max="7939" width="6.75" style="101" customWidth="1"/>
    <col min="7940" max="7940" width="8.625" style="101" customWidth="1"/>
    <col min="7941" max="7951" width="6.125" style="101" customWidth="1"/>
    <col min="7952" max="7952" width="7.125" style="101" customWidth="1"/>
    <col min="7953" max="7953" width="9" style="101"/>
    <col min="7954" max="7957" width="5.5" style="101" customWidth="1"/>
    <col min="7958" max="8193" width="9" style="101"/>
    <col min="8194" max="8194" width="4.75" style="101" customWidth="1"/>
    <col min="8195" max="8195" width="6.75" style="101" customWidth="1"/>
    <col min="8196" max="8196" width="8.625" style="101" customWidth="1"/>
    <col min="8197" max="8207" width="6.125" style="101" customWidth="1"/>
    <col min="8208" max="8208" width="7.125" style="101" customWidth="1"/>
    <col min="8209" max="8209" width="9" style="101"/>
    <col min="8210" max="8213" width="5.5" style="101" customWidth="1"/>
    <col min="8214" max="8449" width="9" style="101"/>
    <col min="8450" max="8450" width="4.75" style="101" customWidth="1"/>
    <col min="8451" max="8451" width="6.75" style="101" customWidth="1"/>
    <col min="8452" max="8452" width="8.625" style="101" customWidth="1"/>
    <col min="8453" max="8463" width="6.125" style="101" customWidth="1"/>
    <col min="8464" max="8464" width="7.125" style="101" customWidth="1"/>
    <col min="8465" max="8465" width="9" style="101"/>
    <col min="8466" max="8469" width="5.5" style="101" customWidth="1"/>
    <col min="8470" max="8705" width="9" style="101"/>
    <col min="8706" max="8706" width="4.75" style="101" customWidth="1"/>
    <col min="8707" max="8707" width="6.75" style="101" customWidth="1"/>
    <col min="8708" max="8708" width="8.625" style="101" customWidth="1"/>
    <col min="8709" max="8719" width="6.125" style="101" customWidth="1"/>
    <col min="8720" max="8720" width="7.125" style="101" customWidth="1"/>
    <col min="8721" max="8721" width="9" style="101"/>
    <col min="8722" max="8725" width="5.5" style="101" customWidth="1"/>
    <col min="8726" max="8961" width="9" style="101"/>
    <col min="8962" max="8962" width="4.75" style="101" customWidth="1"/>
    <col min="8963" max="8963" width="6.75" style="101" customWidth="1"/>
    <col min="8964" max="8964" width="8.625" style="101" customWidth="1"/>
    <col min="8965" max="8975" width="6.125" style="101" customWidth="1"/>
    <col min="8976" max="8976" width="7.125" style="101" customWidth="1"/>
    <col min="8977" max="8977" width="9" style="101"/>
    <col min="8978" max="8981" width="5.5" style="101" customWidth="1"/>
    <col min="8982" max="9217" width="9" style="101"/>
    <col min="9218" max="9218" width="4.75" style="101" customWidth="1"/>
    <col min="9219" max="9219" width="6.75" style="101" customWidth="1"/>
    <col min="9220" max="9220" width="8.625" style="101" customWidth="1"/>
    <col min="9221" max="9231" width="6.125" style="101" customWidth="1"/>
    <col min="9232" max="9232" width="7.125" style="101" customWidth="1"/>
    <col min="9233" max="9233" width="9" style="101"/>
    <col min="9234" max="9237" width="5.5" style="101" customWidth="1"/>
    <col min="9238" max="9473" width="9" style="101"/>
    <col min="9474" max="9474" width="4.75" style="101" customWidth="1"/>
    <col min="9475" max="9475" width="6.75" style="101" customWidth="1"/>
    <col min="9476" max="9476" width="8.625" style="101" customWidth="1"/>
    <col min="9477" max="9487" width="6.125" style="101" customWidth="1"/>
    <col min="9488" max="9488" width="7.125" style="101" customWidth="1"/>
    <col min="9489" max="9489" width="9" style="101"/>
    <col min="9490" max="9493" width="5.5" style="101" customWidth="1"/>
    <col min="9494" max="9729" width="9" style="101"/>
    <col min="9730" max="9730" width="4.75" style="101" customWidth="1"/>
    <col min="9731" max="9731" width="6.75" style="101" customWidth="1"/>
    <col min="9732" max="9732" width="8.625" style="101" customWidth="1"/>
    <col min="9733" max="9743" width="6.125" style="101" customWidth="1"/>
    <col min="9744" max="9744" width="7.125" style="101" customWidth="1"/>
    <col min="9745" max="9745" width="9" style="101"/>
    <col min="9746" max="9749" width="5.5" style="101" customWidth="1"/>
    <col min="9750" max="9985" width="9" style="101"/>
    <col min="9986" max="9986" width="4.75" style="101" customWidth="1"/>
    <col min="9987" max="9987" width="6.75" style="101" customWidth="1"/>
    <col min="9988" max="9988" width="8.625" style="101" customWidth="1"/>
    <col min="9989" max="9999" width="6.125" style="101" customWidth="1"/>
    <col min="10000" max="10000" width="7.125" style="101" customWidth="1"/>
    <col min="10001" max="10001" width="9" style="101"/>
    <col min="10002" max="10005" width="5.5" style="101" customWidth="1"/>
    <col min="10006" max="10241" width="9" style="101"/>
    <col min="10242" max="10242" width="4.75" style="101" customWidth="1"/>
    <col min="10243" max="10243" width="6.75" style="101" customWidth="1"/>
    <col min="10244" max="10244" width="8.625" style="101" customWidth="1"/>
    <col min="10245" max="10255" width="6.125" style="101" customWidth="1"/>
    <col min="10256" max="10256" width="7.125" style="101" customWidth="1"/>
    <col min="10257" max="10257" width="9" style="101"/>
    <col min="10258" max="10261" width="5.5" style="101" customWidth="1"/>
    <col min="10262" max="10497" width="9" style="101"/>
    <col min="10498" max="10498" width="4.75" style="101" customWidth="1"/>
    <col min="10499" max="10499" width="6.75" style="101" customWidth="1"/>
    <col min="10500" max="10500" width="8.625" style="101" customWidth="1"/>
    <col min="10501" max="10511" width="6.125" style="101" customWidth="1"/>
    <col min="10512" max="10512" width="7.125" style="101" customWidth="1"/>
    <col min="10513" max="10513" width="9" style="101"/>
    <col min="10514" max="10517" width="5.5" style="101" customWidth="1"/>
    <col min="10518" max="10753" width="9" style="101"/>
    <col min="10754" max="10754" width="4.75" style="101" customWidth="1"/>
    <col min="10755" max="10755" width="6.75" style="101" customWidth="1"/>
    <col min="10756" max="10756" width="8.625" style="101" customWidth="1"/>
    <col min="10757" max="10767" width="6.125" style="101" customWidth="1"/>
    <col min="10768" max="10768" width="7.125" style="101" customWidth="1"/>
    <col min="10769" max="10769" width="9" style="101"/>
    <col min="10770" max="10773" width="5.5" style="101" customWidth="1"/>
    <col min="10774" max="11009" width="9" style="101"/>
    <col min="11010" max="11010" width="4.75" style="101" customWidth="1"/>
    <col min="11011" max="11011" width="6.75" style="101" customWidth="1"/>
    <col min="11012" max="11012" width="8.625" style="101" customWidth="1"/>
    <col min="11013" max="11023" width="6.125" style="101" customWidth="1"/>
    <col min="11024" max="11024" width="7.125" style="101" customWidth="1"/>
    <col min="11025" max="11025" width="9" style="101"/>
    <col min="11026" max="11029" width="5.5" style="101" customWidth="1"/>
    <col min="11030" max="11265" width="9" style="101"/>
    <col min="11266" max="11266" width="4.75" style="101" customWidth="1"/>
    <col min="11267" max="11267" width="6.75" style="101" customWidth="1"/>
    <col min="11268" max="11268" width="8.625" style="101" customWidth="1"/>
    <col min="11269" max="11279" width="6.125" style="101" customWidth="1"/>
    <col min="11280" max="11280" width="7.125" style="101" customWidth="1"/>
    <col min="11281" max="11281" width="9" style="101"/>
    <col min="11282" max="11285" width="5.5" style="101" customWidth="1"/>
    <col min="11286" max="11521" width="9" style="101"/>
    <col min="11522" max="11522" width="4.75" style="101" customWidth="1"/>
    <col min="11523" max="11523" width="6.75" style="101" customWidth="1"/>
    <col min="11524" max="11524" width="8.625" style="101" customWidth="1"/>
    <col min="11525" max="11535" width="6.125" style="101" customWidth="1"/>
    <col min="11536" max="11536" width="7.125" style="101" customWidth="1"/>
    <col min="11537" max="11537" width="9" style="101"/>
    <col min="11538" max="11541" width="5.5" style="101" customWidth="1"/>
    <col min="11542" max="11777" width="9" style="101"/>
    <col min="11778" max="11778" width="4.75" style="101" customWidth="1"/>
    <col min="11779" max="11779" width="6.75" style="101" customWidth="1"/>
    <col min="11780" max="11780" width="8.625" style="101" customWidth="1"/>
    <col min="11781" max="11791" width="6.125" style="101" customWidth="1"/>
    <col min="11792" max="11792" width="7.125" style="101" customWidth="1"/>
    <col min="11793" max="11793" width="9" style="101"/>
    <col min="11794" max="11797" width="5.5" style="101" customWidth="1"/>
    <col min="11798" max="12033" width="9" style="101"/>
    <col min="12034" max="12034" width="4.75" style="101" customWidth="1"/>
    <col min="12035" max="12035" width="6.75" style="101" customWidth="1"/>
    <col min="12036" max="12036" width="8.625" style="101" customWidth="1"/>
    <col min="12037" max="12047" width="6.125" style="101" customWidth="1"/>
    <col min="12048" max="12048" width="7.125" style="101" customWidth="1"/>
    <col min="12049" max="12049" width="9" style="101"/>
    <col min="12050" max="12053" width="5.5" style="101" customWidth="1"/>
    <col min="12054" max="12289" width="9" style="101"/>
    <col min="12290" max="12290" width="4.75" style="101" customWidth="1"/>
    <col min="12291" max="12291" width="6.75" style="101" customWidth="1"/>
    <col min="12292" max="12292" width="8.625" style="101" customWidth="1"/>
    <col min="12293" max="12303" width="6.125" style="101" customWidth="1"/>
    <col min="12304" max="12304" width="7.125" style="101" customWidth="1"/>
    <col min="12305" max="12305" width="9" style="101"/>
    <col min="12306" max="12309" width="5.5" style="101" customWidth="1"/>
    <col min="12310" max="12545" width="9" style="101"/>
    <col min="12546" max="12546" width="4.75" style="101" customWidth="1"/>
    <col min="12547" max="12547" width="6.75" style="101" customWidth="1"/>
    <col min="12548" max="12548" width="8.625" style="101" customWidth="1"/>
    <col min="12549" max="12559" width="6.125" style="101" customWidth="1"/>
    <col min="12560" max="12560" width="7.125" style="101" customWidth="1"/>
    <col min="12561" max="12561" width="9" style="101"/>
    <col min="12562" max="12565" width="5.5" style="101" customWidth="1"/>
    <col min="12566" max="12801" width="9" style="101"/>
    <col min="12802" max="12802" width="4.75" style="101" customWidth="1"/>
    <col min="12803" max="12803" width="6.75" style="101" customWidth="1"/>
    <col min="12804" max="12804" width="8.625" style="101" customWidth="1"/>
    <col min="12805" max="12815" width="6.125" style="101" customWidth="1"/>
    <col min="12816" max="12816" width="7.125" style="101" customWidth="1"/>
    <col min="12817" max="12817" width="9" style="101"/>
    <col min="12818" max="12821" width="5.5" style="101" customWidth="1"/>
    <col min="12822" max="13057" width="9" style="101"/>
    <col min="13058" max="13058" width="4.75" style="101" customWidth="1"/>
    <col min="13059" max="13059" width="6.75" style="101" customWidth="1"/>
    <col min="13060" max="13060" width="8.625" style="101" customWidth="1"/>
    <col min="13061" max="13071" width="6.125" style="101" customWidth="1"/>
    <col min="13072" max="13072" width="7.125" style="101" customWidth="1"/>
    <col min="13073" max="13073" width="9" style="101"/>
    <col min="13074" max="13077" width="5.5" style="101" customWidth="1"/>
    <col min="13078" max="13313" width="9" style="101"/>
    <col min="13314" max="13314" width="4.75" style="101" customWidth="1"/>
    <col min="13315" max="13315" width="6.75" style="101" customWidth="1"/>
    <col min="13316" max="13316" width="8.625" style="101" customWidth="1"/>
    <col min="13317" max="13327" width="6.125" style="101" customWidth="1"/>
    <col min="13328" max="13328" width="7.125" style="101" customWidth="1"/>
    <col min="13329" max="13329" width="9" style="101"/>
    <col min="13330" max="13333" width="5.5" style="101" customWidth="1"/>
    <col min="13334" max="13569" width="9" style="101"/>
    <col min="13570" max="13570" width="4.75" style="101" customWidth="1"/>
    <col min="13571" max="13571" width="6.75" style="101" customWidth="1"/>
    <col min="13572" max="13572" width="8.625" style="101" customWidth="1"/>
    <col min="13573" max="13583" width="6.125" style="101" customWidth="1"/>
    <col min="13584" max="13584" width="7.125" style="101" customWidth="1"/>
    <col min="13585" max="13585" width="9" style="101"/>
    <col min="13586" max="13589" width="5.5" style="101" customWidth="1"/>
    <col min="13590" max="13825" width="9" style="101"/>
    <col min="13826" max="13826" width="4.75" style="101" customWidth="1"/>
    <col min="13827" max="13827" width="6.75" style="101" customWidth="1"/>
    <col min="13828" max="13828" width="8.625" style="101" customWidth="1"/>
    <col min="13829" max="13839" width="6.125" style="101" customWidth="1"/>
    <col min="13840" max="13840" width="7.125" style="101" customWidth="1"/>
    <col min="13841" max="13841" width="9" style="101"/>
    <col min="13842" max="13845" width="5.5" style="101" customWidth="1"/>
    <col min="13846" max="14081" width="9" style="101"/>
    <col min="14082" max="14082" width="4.75" style="101" customWidth="1"/>
    <col min="14083" max="14083" width="6.75" style="101" customWidth="1"/>
    <col min="14084" max="14084" width="8.625" style="101" customWidth="1"/>
    <col min="14085" max="14095" width="6.125" style="101" customWidth="1"/>
    <col min="14096" max="14096" width="7.125" style="101" customWidth="1"/>
    <col min="14097" max="14097" width="9" style="101"/>
    <col min="14098" max="14101" width="5.5" style="101" customWidth="1"/>
    <col min="14102" max="14337" width="9" style="101"/>
    <col min="14338" max="14338" width="4.75" style="101" customWidth="1"/>
    <col min="14339" max="14339" width="6.75" style="101" customWidth="1"/>
    <col min="14340" max="14340" width="8.625" style="101" customWidth="1"/>
    <col min="14341" max="14351" width="6.125" style="101" customWidth="1"/>
    <col min="14352" max="14352" width="7.125" style="101" customWidth="1"/>
    <col min="14353" max="14353" width="9" style="101"/>
    <col min="14354" max="14357" width="5.5" style="101" customWidth="1"/>
    <col min="14358" max="14593" width="9" style="101"/>
    <col min="14594" max="14594" width="4.75" style="101" customWidth="1"/>
    <col min="14595" max="14595" width="6.75" style="101" customWidth="1"/>
    <col min="14596" max="14596" width="8.625" style="101" customWidth="1"/>
    <col min="14597" max="14607" width="6.125" style="101" customWidth="1"/>
    <col min="14608" max="14608" width="7.125" style="101" customWidth="1"/>
    <col min="14609" max="14609" width="9" style="101"/>
    <col min="14610" max="14613" width="5.5" style="101" customWidth="1"/>
    <col min="14614" max="14849" width="9" style="101"/>
    <col min="14850" max="14850" width="4.75" style="101" customWidth="1"/>
    <col min="14851" max="14851" width="6.75" style="101" customWidth="1"/>
    <col min="14852" max="14852" width="8.625" style="101" customWidth="1"/>
    <col min="14853" max="14863" width="6.125" style="101" customWidth="1"/>
    <col min="14864" max="14864" width="7.125" style="101" customWidth="1"/>
    <col min="14865" max="14865" width="9" style="101"/>
    <col min="14866" max="14869" width="5.5" style="101" customWidth="1"/>
    <col min="14870" max="15105" width="9" style="101"/>
    <col min="15106" max="15106" width="4.75" style="101" customWidth="1"/>
    <col min="15107" max="15107" width="6.75" style="101" customWidth="1"/>
    <col min="15108" max="15108" width="8.625" style="101" customWidth="1"/>
    <col min="15109" max="15119" width="6.125" style="101" customWidth="1"/>
    <col min="15120" max="15120" width="7.125" style="101" customWidth="1"/>
    <col min="15121" max="15121" width="9" style="101"/>
    <col min="15122" max="15125" width="5.5" style="101" customWidth="1"/>
    <col min="15126" max="15361" width="9" style="101"/>
    <col min="15362" max="15362" width="4.75" style="101" customWidth="1"/>
    <col min="15363" max="15363" width="6.75" style="101" customWidth="1"/>
    <col min="15364" max="15364" width="8.625" style="101" customWidth="1"/>
    <col min="15365" max="15375" width="6.125" style="101" customWidth="1"/>
    <col min="15376" max="15376" width="7.125" style="101" customWidth="1"/>
    <col min="15377" max="15377" width="9" style="101"/>
    <col min="15378" max="15381" width="5.5" style="101" customWidth="1"/>
    <col min="15382" max="15617" width="9" style="101"/>
    <col min="15618" max="15618" width="4.75" style="101" customWidth="1"/>
    <col min="15619" max="15619" width="6.75" style="101" customWidth="1"/>
    <col min="15620" max="15620" width="8.625" style="101" customWidth="1"/>
    <col min="15621" max="15631" width="6.125" style="101" customWidth="1"/>
    <col min="15632" max="15632" width="7.125" style="101" customWidth="1"/>
    <col min="15633" max="15633" width="9" style="101"/>
    <col min="15634" max="15637" width="5.5" style="101" customWidth="1"/>
    <col min="15638" max="15873" width="9" style="101"/>
    <col min="15874" max="15874" width="4.75" style="101" customWidth="1"/>
    <col min="15875" max="15875" width="6.75" style="101" customWidth="1"/>
    <col min="15876" max="15876" width="8.625" style="101" customWidth="1"/>
    <col min="15877" max="15887" width="6.125" style="101" customWidth="1"/>
    <col min="15888" max="15888" width="7.125" style="101" customWidth="1"/>
    <col min="15889" max="15889" width="9" style="101"/>
    <col min="15890" max="15893" width="5.5" style="101" customWidth="1"/>
    <col min="15894" max="16129" width="9" style="101"/>
    <col min="16130" max="16130" width="4.75" style="101" customWidth="1"/>
    <col min="16131" max="16131" width="6.75" style="101" customWidth="1"/>
    <col min="16132" max="16132" width="8.625" style="101" customWidth="1"/>
    <col min="16133" max="16143" width="6.125" style="101" customWidth="1"/>
    <col min="16144" max="16144" width="7.125" style="101" customWidth="1"/>
    <col min="16145" max="16145" width="9" style="101"/>
    <col min="16146" max="16149" width="5.5" style="101" customWidth="1"/>
    <col min="16150" max="16384" width="9" style="101"/>
  </cols>
  <sheetData>
    <row r="1" spans="1:27" ht="39.75" customHeight="1" thickTop="1" thickBot="1">
      <c r="A1" s="376" t="s">
        <v>60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  <c r="R1" s="377"/>
      <c r="S1" s="377"/>
      <c r="T1" s="377"/>
      <c r="U1" s="377"/>
      <c r="V1" s="377"/>
      <c r="W1" s="377"/>
      <c r="X1" s="377"/>
      <c r="Y1" s="377"/>
      <c r="Z1" s="377"/>
      <c r="AA1" s="378"/>
    </row>
    <row r="2" spans="1:27" ht="12.75" thickTop="1">
      <c r="A2" s="379" t="s">
        <v>61</v>
      </c>
      <c r="B2" s="380"/>
      <c r="C2" s="380" t="s">
        <v>62</v>
      </c>
      <c r="D2" s="382" t="s">
        <v>63</v>
      </c>
      <c r="E2" s="382"/>
      <c r="F2" s="382"/>
      <c r="G2" s="382"/>
      <c r="H2" s="382"/>
      <c r="I2" s="382"/>
      <c r="J2" s="382"/>
      <c r="K2" s="382"/>
      <c r="L2" s="382"/>
      <c r="M2" s="382"/>
      <c r="N2" s="263"/>
      <c r="O2" s="102"/>
      <c r="P2" s="381"/>
      <c r="Q2" s="382"/>
      <c r="R2" s="382"/>
      <c r="S2" s="382"/>
      <c r="T2" s="382"/>
      <c r="U2" s="382"/>
      <c r="V2" s="382"/>
      <c r="W2" s="382"/>
      <c r="X2" s="382"/>
      <c r="Y2" s="382"/>
      <c r="Z2" s="382"/>
      <c r="AA2" s="383"/>
    </row>
    <row r="3" spans="1:27" ht="18.75" customHeight="1">
      <c r="A3" s="379"/>
      <c r="B3" s="380"/>
      <c r="C3" s="380"/>
      <c r="D3" s="103" t="s">
        <v>64</v>
      </c>
      <c r="E3" s="103" t="s">
        <v>64</v>
      </c>
      <c r="F3" s="103" t="s">
        <v>64</v>
      </c>
      <c r="G3" s="103" t="s">
        <v>64</v>
      </c>
      <c r="H3" s="103" t="s">
        <v>64</v>
      </c>
      <c r="I3" s="103" t="s">
        <v>64</v>
      </c>
      <c r="J3" s="103" t="s">
        <v>64</v>
      </c>
      <c r="K3" s="103" t="s">
        <v>64</v>
      </c>
      <c r="L3" s="103" t="s">
        <v>64</v>
      </c>
      <c r="M3" s="103" t="s">
        <v>64</v>
      </c>
      <c r="N3" s="104"/>
      <c r="O3" s="384" t="s">
        <v>65</v>
      </c>
      <c r="P3" s="386" t="s">
        <v>66</v>
      </c>
      <c r="Q3" s="388" t="s">
        <v>67</v>
      </c>
      <c r="R3" s="105" t="s">
        <v>68</v>
      </c>
      <c r="S3" s="105" t="s">
        <v>69</v>
      </c>
      <c r="T3" s="105" t="s">
        <v>69</v>
      </c>
      <c r="U3" s="105" t="s">
        <v>69</v>
      </c>
      <c r="V3" s="105" t="s">
        <v>69</v>
      </c>
      <c r="W3" s="105" t="s">
        <v>69</v>
      </c>
      <c r="X3" s="105" t="s">
        <v>69</v>
      </c>
      <c r="Y3" s="105" t="s">
        <v>69</v>
      </c>
      <c r="Z3" s="105" t="s">
        <v>69</v>
      </c>
      <c r="AA3" s="106" t="s">
        <v>69</v>
      </c>
    </row>
    <row r="4" spans="1:27" ht="18.75" customHeight="1">
      <c r="A4" s="381"/>
      <c r="B4" s="382"/>
      <c r="C4" s="382"/>
      <c r="D4" s="107" t="s">
        <v>70</v>
      </c>
      <c r="E4" s="107" t="s">
        <v>71</v>
      </c>
      <c r="F4" s="107" t="s">
        <v>72</v>
      </c>
      <c r="G4" s="107" t="s">
        <v>73</v>
      </c>
      <c r="H4" s="107" t="s">
        <v>74</v>
      </c>
      <c r="I4" s="107" t="s">
        <v>75</v>
      </c>
      <c r="J4" s="107" t="s">
        <v>76</v>
      </c>
      <c r="K4" s="107" t="s">
        <v>77</v>
      </c>
      <c r="L4" s="107" t="s">
        <v>78</v>
      </c>
      <c r="M4" s="107" t="s">
        <v>79</v>
      </c>
      <c r="N4" s="103"/>
      <c r="O4" s="385"/>
      <c r="P4" s="387"/>
      <c r="Q4" s="388"/>
      <c r="R4" s="105" t="s">
        <v>80</v>
      </c>
      <c r="S4" s="105" t="s">
        <v>81</v>
      </c>
      <c r="T4" s="105" t="s">
        <v>82</v>
      </c>
      <c r="U4" s="105" t="s">
        <v>83</v>
      </c>
      <c r="V4" s="105" t="s">
        <v>84</v>
      </c>
      <c r="W4" s="105" t="s">
        <v>85</v>
      </c>
      <c r="X4" s="105" t="s">
        <v>86</v>
      </c>
      <c r="Y4" s="105" t="s">
        <v>87</v>
      </c>
      <c r="Z4" s="105" t="s">
        <v>88</v>
      </c>
      <c r="AA4" s="106" t="s">
        <v>89</v>
      </c>
    </row>
    <row r="5" spans="1:27" ht="13.5" customHeight="1">
      <c r="A5" s="386" t="s">
        <v>90</v>
      </c>
      <c r="B5" s="392" t="s">
        <v>91</v>
      </c>
      <c r="C5" s="108">
        <v>4422</v>
      </c>
      <c r="D5" s="269"/>
      <c r="E5" s="269"/>
      <c r="F5" s="269"/>
      <c r="G5" s="269"/>
      <c r="H5" s="269"/>
      <c r="I5" s="269"/>
      <c r="J5" s="269"/>
      <c r="K5" s="269"/>
      <c r="L5" s="269"/>
      <c r="M5" s="269"/>
      <c r="N5" s="269"/>
      <c r="O5" s="109">
        <f>SUM(D5:N5)</f>
        <v>0</v>
      </c>
      <c r="P5" s="151" t="s">
        <v>92</v>
      </c>
      <c r="Q5" s="93" t="s">
        <v>93</v>
      </c>
      <c r="R5" s="157">
        <f>SUM(Q5*D5)</f>
        <v>0</v>
      </c>
      <c r="S5" s="157">
        <f>SUM(Q5*E5)</f>
        <v>0</v>
      </c>
      <c r="T5" s="157">
        <f>SUM(S5*F5)</f>
        <v>0</v>
      </c>
      <c r="U5" s="157">
        <f>SUM(S5*G5)</f>
        <v>0</v>
      </c>
      <c r="V5" s="157">
        <f>SUM(U5*H5)</f>
        <v>0</v>
      </c>
      <c r="W5" s="157">
        <f>SUM(U5*I5)</f>
        <v>0</v>
      </c>
      <c r="X5" s="157">
        <f>SUM(W5*J5)</f>
        <v>0</v>
      </c>
      <c r="Y5" s="157">
        <f>SUM(W5*K5)</f>
        <v>0</v>
      </c>
      <c r="Z5" s="157">
        <f>SUM(Y5*L5)</f>
        <v>0</v>
      </c>
      <c r="AA5" s="158">
        <f>SUM(Y5*M5)</f>
        <v>0</v>
      </c>
    </row>
    <row r="6" spans="1:27" ht="13.5" customHeight="1">
      <c r="A6" s="390"/>
      <c r="B6" s="393"/>
      <c r="C6" s="267">
        <v>4119</v>
      </c>
      <c r="D6" s="267"/>
      <c r="E6" s="267"/>
      <c r="F6" s="267"/>
      <c r="G6" s="267"/>
      <c r="H6" s="267"/>
      <c r="I6" s="267"/>
      <c r="J6" s="267"/>
      <c r="K6" s="267"/>
      <c r="L6" s="267"/>
      <c r="M6" s="267"/>
      <c r="N6" s="267"/>
      <c r="O6" s="271">
        <f>SUM(D6:N6)</f>
        <v>0</v>
      </c>
      <c r="P6" s="152"/>
      <c r="Q6" s="272" t="s">
        <v>93</v>
      </c>
      <c r="R6" s="264">
        <f>SUM(Q6*D6)</f>
        <v>0</v>
      </c>
      <c r="S6" s="264">
        <f>SUM(Q6*E6)</f>
        <v>0</v>
      </c>
      <c r="T6" s="264">
        <f t="shared" ref="T6:T17" si="0">SUM(S6*F6)</f>
        <v>0</v>
      </c>
      <c r="U6" s="264">
        <f t="shared" ref="U6:U17" si="1">SUM(S6*G6)</f>
        <v>0</v>
      </c>
      <c r="V6" s="264">
        <f t="shared" ref="V6:V17" si="2">SUM(U6*H6)</f>
        <v>0</v>
      </c>
      <c r="W6" s="264">
        <f t="shared" ref="W6:W17" si="3">SUM(U6*I6)</f>
        <v>0</v>
      </c>
      <c r="X6" s="264">
        <f t="shared" ref="X6:X17" si="4">SUM(W6*J6)</f>
        <v>0</v>
      </c>
      <c r="Y6" s="264">
        <f t="shared" ref="Y6:Y17" si="5">SUM(W6*K6)</f>
        <v>0</v>
      </c>
      <c r="Z6" s="264">
        <f t="shared" ref="Z6:Z17" si="6">SUM(Y6*L6)</f>
        <v>0</v>
      </c>
      <c r="AA6" s="265">
        <f t="shared" ref="AA6:AA17" si="7">SUM(Y6*M6)</f>
        <v>0</v>
      </c>
    </row>
    <row r="7" spans="1:27" ht="13.5" customHeight="1">
      <c r="A7" s="390"/>
      <c r="B7" s="393"/>
      <c r="C7" s="273">
        <v>3419</v>
      </c>
      <c r="D7" s="267"/>
      <c r="E7" s="267"/>
      <c r="F7" s="267"/>
      <c r="G7" s="267"/>
      <c r="H7" s="267"/>
      <c r="I7" s="267"/>
      <c r="J7" s="267"/>
      <c r="K7" s="267"/>
      <c r="L7" s="267"/>
      <c r="M7" s="267"/>
      <c r="N7" s="267"/>
      <c r="O7" s="271">
        <f>SUM(D7:N7)</f>
        <v>0</v>
      </c>
      <c r="P7" s="152"/>
      <c r="Q7" s="272" t="s">
        <v>94</v>
      </c>
      <c r="R7" s="264">
        <f>SUM(Q7*D7)</f>
        <v>0</v>
      </c>
      <c r="S7" s="264">
        <f>SUM(Q7*E7)</f>
        <v>0</v>
      </c>
      <c r="T7" s="264">
        <f t="shared" si="0"/>
        <v>0</v>
      </c>
      <c r="U7" s="264">
        <f t="shared" si="1"/>
        <v>0</v>
      </c>
      <c r="V7" s="264">
        <f t="shared" si="2"/>
        <v>0</v>
      </c>
      <c r="W7" s="264">
        <f t="shared" si="3"/>
        <v>0</v>
      </c>
      <c r="X7" s="264">
        <f t="shared" si="4"/>
        <v>0</v>
      </c>
      <c r="Y7" s="264">
        <f t="shared" si="5"/>
        <v>0</v>
      </c>
      <c r="Z7" s="264">
        <f t="shared" si="6"/>
        <v>0</v>
      </c>
      <c r="AA7" s="265">
        <f t="shared" si="7"/>
        <v>0</v>
      </c>
    </row>
    <row r="8" spans="1:27" ht="6.75" customHeight="1">
      <c r="A8" s="390"/>
      <c r="B8" s="393"/>
      <c r="C8" s="394">
        <v>2815</v>
      </c>
      <c r="D8" s="389"/>
      <c r="E8" s="389"/>
      <c r="F8" s="389"/>
      <c r="G8" s="389"/>
      <c r="H8" s="389"/>
      <c r="I8" s="389"/>
      <c r="J8" s="389"/>
      <c r="K8" s="389"/>
      <c r="L8" s="389"/>
      <c r="M8" s="389"/>
      <c r="N8" s="389"/>
      <c r="O8" s="396">
        <f>SUM(D8:N8)</f>
        <v>0</v>
      </c>
      <c r="P8" s="152"/>
      <c r="Q8" s="397" t="s">
        <v>95</v>
      </c>
      <c r="R8" s="395">
        <f>SUM(Q8*D8)</f>
        <v>0</v>
      </c>
      <c r="S8" s="395">
        <f>SUM(Q8*E8)</f>
        <v>0</v>
      </c>
      <c r="T8" s="395">
        <f t="shared" si="0"/>
        <v>0</v>
      </c>
      <c r="U8" s="395">
        <f t="shared" si="1"/>
        <v>0</v>
      </c>
      <c r="V8" s="395">
        <f t="shared" si="2"/>
        <v>0</v>
      </c>
      <c r="W8" s="395">
        <f t="shared" si="3"/>
        <v>0</v>
      </c>
      <c r="X8" s="395">
        <f t="shared" si="4"/>
        <v>0</v>
      </c>
      <c r="Y8" s="395">
        <f t="shared" si="5"/>
        <v>0</v>
      </c>
      <c r="Z8" s="395">
        <f t="shared" si="6"/>
        <v>0</v>
      </c>
      <c r="AA8" s="405">
        <f t="shared" si="7"/>
        <v>0</v>
      </c>
    </row>
    <row r="9" spans="1:27" ht="6.75" customHeight="1">
      <c r="A9" s="390"/>
      <c r="B9" s="393"/>
      <c r="C9" s="394"/>
      <c r="D9" s="389"/>
      <c r="E9" s="389"/>
      <c r="F9" s="389"/>
      <c r="G9" s="389"/>
      <c r="H9" s="389"/>
      <c r="I9" s="389"/>
      <c r="J9" s="389"/>
      <c r="K9" s="389"/>
      <c r="L9" s="389"/>
      <c r="M9" s="389"/>
      <c r="N9" s="389"/>
      <c r="O9" s="396"/>
      <c r="P9" s="152"/>
      <c r="Q9" s="397"/>
      <c r="R9" s="395"/>
      <c r="S9" s="395"/>
      <c r="T9" s="395"/>
      <c r="U9" s="395"/>
      <c r="V9" s="395"/>
      <c r="W9" s="395"/>
      <c r="X9" s="395"/>
      <c r="Y9" s="395"/>
      <c r="Z9" s="395"/>
      <c r="AA9" s="405"/>
    </row>
    <row r="10" spans="1:27" ht="13.5" customHeight="1">
      <c r="A10" s="390"/>
      <c r="B10" s="393"/>
      <c r="C10" s="273">
        <v>2512</v>
      </c>
      <c r="D10" s="267"/>
      <c r="E10" s="267"/>
      <c r="F10" s="267"/>
      <c r="G10" s="267"/>
      <c r="H10" s="267"/>
      <c r="I10" s="267"/>
      <c r="J10" s="267"/>
      <c r="K10" s="267"/>
      <c r="L10" s="267"/>
      <c r="M10" s="267"/>
      <c r="N10" s="267"/>
      <c r="O10" s="271">
        <f t="shared" ref="O10:O17" si="8">SUM(D10:N10)</f>
        <v>0</v>
      </c>
      <c r="P10" s="152" t="s">
        <v>96</v>
      </c>
      <c r="Q10" s="272" t="s">
        <v>97</v>
      </c>
      <c r="R10" s="264">
        <f>SUM(Q10*D10)</f>
        <v>0</v>
      </c>
      <c r="S10" s="264">
        <f>SUM(Q10*E10)</f>
        <v>0</v>
      </c>
      <c r="T10" s="264">
        <f t="shared" si="0"/>
        <v>0</v>
      </c>
      <c r="U10" s="264">
        <f t="shared" si="1"/>
        <v>0</v>
      </c>
      <c r="V10" s="264">
        <f t="shared" si="2"/>
        <v>0</v>
      </c>
      <c r="W10" s="264">
        <f t="shared" si="3"/>
        <v>0</v>
      </c>
      <c r="X10" s="264">
        <f t="shared" si="4"/>
        <v>0</v>
      </c>
      <c r="Y10" s="264">
        <f t="shared" si="5"/>
        <v>0</v>
      </c>
      <c r="Z10" s="264">
        <f t="shared" si="6"/>
        <v>0</v>
      </c>
      <c r="AA10" s="265">
        <f t="shared" si="7"/>
        <v>0</v>
      </c>
    </row>
    <row r="11" spans="1:27" ht="13.5" customHeight="1">
      <c r="A11" s="390"/>
      <c r="B11" s="393"/>
      <c r="C11" s="273">
        <v>2209</v>
      </c>
      <c r="D11" s="267"/>
      <c r="E11" s="267"/>
      <c r="F11" s="267"/>
      <c r="G11" s="267"/>
      <c r="H11" s="267"/>
      <c r="I11" s="267"/>
      <c r="J11" s="267"/>
      <c r="K11" s="267"/>
      <c r="L11" s="267"/>
      <c r="M11" s="267"/>
      <c r="N11" s="267"/>
      <c r="O11" s="271">
        <f t="shared" si="8"/>
        <v>0</v>
      </c>
      <c r="P11" s="152"/>
      <c r="Q11" s="272" t="s">
        <v>98</v>
      </c>
      <c r="R11" s="264">
        <f t="shared" ref="R11:R17" si="9">SUM(Q11*D11)</f>
        <v>0</v>
      </c>
      <c r="S11" s="264">
        <f>SUM(Q11*E11)</f>
        <v>0</v>
      </c>
      <c r="T11" s="264">
        <f t="shared" si="0"/>
        <v>0</v>
      </c>
      <c r="U11" s="264">
        <f t="shared" si="1"/>
        <v>0</v>
      </c>
      <c r="V11" s="264">
        <f t="shared" si="2"/>
        <v>0</v>
      </c>
      <c r="W11" s="264">
        <f t="shared" si="3"/>
        <v>0</v>
      </c>
      <c r="X11" s="264">
        <f t="shared" si="4"/>
        <v>0</v>
      </c>
      <c r="Y11" s="264">
        <f t="shared" si="5"/>
        <v>0</v>
      </c>
      <c r="Z11" s="264">
        <f t="shared" si="6"/>
        <v>0</v>
      </c>
      <c r="AA11" s="265">
        <f t="shared" si="7"/>
        <v>0</v>
      </c>
    </row>
    <row r="12" spans="1:27" ht="13.5" customHeight="1">
      <c r="A12" s="390"/>
      <c r="B12" s="393"/>
      <c r="C12" s="273">
        <v>1909</v>
      </c>
      <c r="D12" s="267"/>
      <c r="E12" s="267"/>
      <c r="F12" s="267"/>
      <c r="G12" s="267"/>
      <c r="H12" s="267"/>
      <c r="I12" s="267"/>
      <c r="J12" s="267"/>
      <c r="K12" s="267"/>
      <c r="L12" s="267"/>
      <c r="M12" s="267"/>
      <c r="N12" s="267"/>
      <c r="O12" s="271">
        <f t="shared" si="8"/>
        <v>0</v>
      </c>
      <c r="P12" s="152" t="s">
        <v>99</v>
      </c>
      <c r="Q12" s="272" t="s">
        <v>98</v>
      </c>
      <c r="R12" s="264">
        <f t="shared" si="9"/>
        <v>0</v>
      </c>
      <c r="S12" s="264">
        <f t="shared" ref="S12:S17" si="10">SUM(Q12*E12)</f>
        <v>0</v>
      </c>
      <c r="T12" s="264">
        <f t="shared" si="0"/>
        <v>0</v>
      </c>
      <c r="U12" s="264">
        <f t="shared" si="1"/>
        <v>0</v>
      </c>
      <c r="V12" s="264">
        <f t="shared" si="2"/>
        <v>0</v>
      </c>
      <c r="W12" s="264">
        <f t="shared" si="3"/>
        <v>0</v>
      </c>
      <c r="X12" s="264">
        <f t="shared" si="4"/>
        <v>0</v>
      </c>
      <c r="Y12" s="264">
        <f t="shared" si="5"/>
        <v>0</v>
      </c>
      <c r="Z12" s="264">
        <f t="shared" si="6"/>
        <v>0</v>
      </c>
      <c r="AA12" s="265">
        <f t="shared" si="7"/>
        <v>0</v>
      </c>
    </row>
    <row r="13" spans="1:27" ht="13.5" customHeight="1">
      <c r="A13" s="390"/>
      <c r="B13" s="393"/>
      <c r="C13" s="273">
        <v>1509</v>
      </c>
      <c r="D13" s="267"/>
      <c r="E13" s="267"/>
      <c r="F13" s="267"/>
      <c r="G13" s="267"/>
      <c r="H13" s="267"/>
      <c r="I13" s="267"/>
      <c r="J13" s="267"/>
      <c r="K13" s="267"/>
      <c r="L13" s="267"/>
      <c r="M13" s="267"/>
      <c r="N13" s="267"/>
      <c r="O13" s="271">
        <f t="shared" si="8"/>
        <v>0</v>
      </c>
      <c r="P13" s="152"/>
      <c r="Q13" s="272" t="s">
        <v>98</v>
      </c>
      <c r="R13" s="264">
        <f t="shared" si="9"/>
        <v>0</v>
      </c>
      <c r="S13" s="264">
        <f t="shared" si="10"/>
        <v>0</v>
      </c>
      <c r="T13" s="264">
        <f t="shared" si="0"/>
        <v>0</v>
      </c>
      <c r="U13" s="264">
        <f t="shared" si="1"/>
        <v>0</v>
      </c>
      <c r="V13" s="264">
        <f t="shared" si="2"/>
        <v>0</v>
      </c>
      <c r="W13" s="264">
        <f t="shared" si="3"/>
        <v>0</v>
      </c>
      <c r="X13" s="264">
        <f t="shared" si="4"/>
        <v>0</v>
      </c>
      <c r="Y13" s="264">
        <f t="shared" si="5"/>
        <v>0</v>
      </c>
      <c r="Z13" s="264">
        <f t="shared" si="6"/>
        <v>0</v>
      </c>
      <c r="AA13" s="265">
        <f t="shared" si="7"/>
        <v>0</v>
      </c>
    </row>
    <row r="14" spans="1:27" ht="13.5" hidden="1" customHeight="1">
      <c r="A14" s="390"/>
      <c r="B14" s="393"/>
      <c r="C14" s="159">
        <v>0</v>
      </c>
      <c r="D14" s="268"/>
      <c r="E14" s="268"/>
      <c r="F14" s="268"/>
      <c r="G14" s="268"/>
      <c r="H14" s="268"/>
      <c r="I14" s="268"/>
      <c r="J14" s="268"/>
      <c r="K14" s="268"/>
      <c r="L14" s="268"/>
      <c r="M14" s="268"/>
      <c r="N14" s="268"/>
      <c r="O14" s="110">
        <f t="shared" si="8"/>
        <v>0</v>
      </c>
      <c r="P14" s="152"/>
      <c r="Q14" s="272"/>
      <c r="R14" s="264">
        <f t="shared" si="9"/>
        <v>0</v>
      </c>
      <c r="S14" s="264">
        <f t="shared" si="10"/>
        <v>0</v>
      </c>
      <c r="T14" s="264">
        <f t="shared" si="0"/>
        <v>0</v>
      </c>
      <c r="U14" s="264">
        <f t="shared" si="1"/>
        <v>0</v>
      </c>
      <c r="V14" s="264">
        <f t="shared" si="2"/>
        <v>0</v>
      </c>
      <c r="W14" s="264">
        <f t="shared" si="3"/>
        <v>0</v>
      </c>
      <c r="X14" s="264">
        <f t="shared" si="4"/>
        <v>0</v>
      </c>
      <c r="Y14" s="264">
        <f t="shared" si="5"/>
        <v>0</v>
      </c>
      <c r="Z14" s="264">
        <f t="shared" si="6"/>
        <v>0</v>
      </c>
      <c r="AA14" s="265">
        <f t="shared" si="7"/>
        <v>0</v>
      </c>
    </row>
    <row r="15" spans="1:27" ht="13.5" customHeight="1">
      <c r="A15" s="390"/>
      <c r="B15" s="392" t="s">
        <v>100</v>
      </c>
      <c r="C15" s="108">
        <v>1509</v>
      </c>
      <c r="D15" s="269"/>
      <c r="E15" s="269"/>
      <c r="F15" s="269"/>
      <c r="G15" s="269"/>
      <c r="H15" s="269"/>
      <c r="I15" s="269"/>
      <c r="J15" s="269"/>
      <c r="K15" s="269"/>
      <c r="L15" s="269"/>
      <c r="M15" s="269"/>
      <c r="N15" s="269"/>
      <c r="O15" s="109">
        <f t="shared" si="8"/>
        <v>0</v>
      </c>
      <c r="P15" s="152"/>
      <c r="Q15" s="272" t="s">
        <v>98</v>
      </c>
      <c r="R15" s="264">
        <f t="shared" si="9"/>
        <v>0</v>
      </c>
      <c r="S15" s="264">
        <f t="shared" si="10"/>
        <v>0</v>
      </c>
      <c r="T15" s="264">
        <f t="shared" si="0"/>
        <v>0</v>
      </c>
      <c r="U15" s="264">
        <f t="shared" si="1"/>
        <v>0</v>
      </c>
      <c r="V15" s="264">
        <f t="shared" si="2"/>
        <v>0</v>
      </c>
      <c r="W15" s="264">
        <f t="shared" si="3"/>
        <v>0</v>
      </c>
      <c r="X15" s="264">
        <f t="shared" si="4"/>
        <v>0</v>
      </c>
      <c r="Y15" s="264">
        <f t="shared" si="5"/>
        <v>0</v>
      </c>
      <c r="Z15" s="264">
        <f t="shared" si="6"/>
        <v>0</v>
      </c>
      <c r="AA15" s="265">
        <f t="shared" si="7"/>
        <v>0</v>
      </c>
    </row>
    <row r="16" spans="1:27" ht="13.5" customHeight="1">
      <c r="A16" s="390"/>
      <c r="B16" s="393"/>
      <c r="C16" s="267">
        <v>1206</v>
      </c>
      <c r="D16" s="267"/>
      <c r="E16" s="267"/>
      <c r="F16" s="267"/>
      <c r="G16" s="267"/>
      <c r="H16" s="267"/>
      <c r="I16" s="267"/>
      <c r="J16" s="267"/>
      <c r="K16" s="267"/>
      <c r="L16" s="267"/>
      <c r="M16" s="267"/>
      <c r="N16" s="267"/>
      <c r="O16" s="271">
        <f t="shared" si="8"/>
        <v>0</v>
      </c>
      <c r="P16" s="152"/>
      <c r="Q16" s="272" t="s">
        <v>101</v>
      </c>
      <c r="R16" s="264">
        <f t="shared" si="9"/>
        <v>0</v>
      </c>
      <c r="S16" s="264">
        <f t="shared" si="10"/>
        <v>0</v>
      </c>
      <c r="T16" s="264">
        <f t="shared" si="0"/>
        <v>0</v>
      </c>
      <c r="U16" s="264">
        <f t="shared" si="1"/>
        <v>0</v>
      </c>
      <c r="V16" s="264">
        <f t="shared" si="2"/>
        <v>0</v>
      </c>
      <c r="W16" s="264">
        <f t="shared" si="3"/>
        <v>0</v>
      </c>
      <c r="X16" s="264">
        <f t="shared" si="4"/>
        <v>0</v>
      </c>
      <c r="Y16" s="264">
        <f t="shared" si="5"/>
        <v>0</v>
      </c>
      <c r="Z16" s="264">
        <f t="shared" si="6"/>
        <v>0</v>
      </c>
      <c r="AA16" s="265">
        <f t="shared" si="7"/>
        <v>0</v>
      </c>
    </row>
    <row r="17" spans="1:27" ht="13.5" customHeight="1">
      <c r="A17" s="390"/>
      <c r="B17" s="406"/>
      <c r="C17" s="111" t="s">
        <v>102</v>
      </c>
      <c r="D17" s="270"/>
      <c r="E17" s="270"/>
      <c r="F17" s="270"/>
      <c r="G17" s="270"/>
      <c r="H17" s="270"/>
      <c r="I17" s="270"/>
      <c r="J17" s="270"/>
      <c r="K17" s="270"/>
      <c r="L17" s="270"/>
      <c r="M17" s="270"/>
      <c r="N17" s="270"/>
      <c r="O17" s="112">
        <f t="shared" si="8"/>
        <v>0</v>
      </c>
      <c r="P17" s="153"/>
      <c r="Q17" s="94" t="s">
        <v>101</v>
      </c>
      <c r="R17" s="113">
        <f t="shared" si="9"/>
        <v>0</v>
      </c>
      <c r="S17" s="113">
        <f t="shared" si="10"/>
        <v>0</v>
      </c>
      <c r="T17" s="113">
        <f t="shared" si="0"/>
        <v>0</v>
      </c>
      <c r="U17" s="113">
        <f t="shared" si="1"/>
        <v>0</v>
      </c>
      <c r="V17" s="113">
        <f t="shared" si="2"/>
        <v>0</v>
      </c>
      <c r="W17" s="113">
        <f t="shared" si="3"/>
        <v>0</v>
      </c>
      <c r="X17" s="113">
        <f t="shared" si="4"/>
        <v>0</v>
      </c>
      <c r="Y17" s="113">
        <f t="shared" si="5"/>
        <v>0</v>
      </c>
      <c r="Z17" s="113">
        <f t="shared" si="6"/>
        <v>0</v>
      </c>
      <c r="AA17" s="160">
        <f t="shared" si="7"/>
        <v>0</v>
      </c>
    </row>
    <row r="18" spans="1:27" ht="21" customHeight="1" thickBot="1">
      <c r="A18" s="391"/>
      <c r="B18" s="407" t="s">
        <v>92</v>
      </c>
      <c r="C18" s="408"/>
      <c r="D18" s="408"/>
      <c r="E18" s="408"/>
      <c r="F18" s="408"/>
      <c r="G18" s="408"/>
      <c r="H18" s="408"/>
      <c r="I18" s="408"/>
      <c r="J18" s="408"/>
      <c r="K18" s="408"/>
      <c r="L18" s="408"/>
      <c r="M18" s="408"/>
      <c r="N18" s="408"/>
      <c r="O18" s="409"/>
      <c r="P18" s="410" t="s">
        <v>103</v>
      </c>
      <c r="Q18" s="411"/>
      <c r="R18" s="114">
        <f>SUM(R5:R17)</f>
        <v>0</v>
      </c>
      <c r="S18" s="114">
        <f>SUM(S5:S17)</f>
        <v>0</v>
      </c>
      <c r="T18" s="114">
        <f t="shared" ref="T18:AA18" si="11">SUM(T5:T17)</f>
        <v>0</v>
      </c>
      <c r="U18" s="114">
        <f t="shared" si="11"/>
        <v>0</v>
      </c>
      <c r="V18" s="114">
        <f t="shared" si="11"/>
        <v>0</v>
      </c>
      <c r="W18" s="114">
        <f t="shared" si="11"/>
        <v>0</v>
      </c>
      <c r="X18" s="114">
        <f t="shared" si="11"/>
        <v>0</v>
      </c>
      <c r="Y18" s="114">
        <f t="shared" si="11"/>
        <v>0</v>
      </c>
      <c r="Z18" s="114">
        <f t="shared" si="11"/>
        <v>0</v>
      </c>
      <c r="AA18" s="115">
        <f t="shared" si="11"/>
        <v>0</v>
      </c>
    </row>
    <row r="19" spans="1:27" ht="13.5" customHeight="1">
      <c r="A19" s="412" t="s">
        <v>104</v>
      </c>
      <c r="B19" s="413" t="s">
        <v>105</v>
      </c>
      <c r="C19" s="116" t="s">
        <v>41</v>
      </c>
      <c r="D19" s="266"/>
      <c r="E19" s="266"/>
      <c r="F19" s="266"/>
      <c r="G19" s="266"/>
      <c r="H19" s="266"/>
      <c r="I19" s="266"/>
      <c r="J19" s="266"/>
      <c r="K19" s="266"/>
      <c r="L19" s="266"/>
      <c r="M19" s="266"/>
      <c r="N19" s="266"/>
      <c r="O19" s="161"/>
      <c r="P19" s="117"/>
      <c r="Q19" s="95" t="s">
        <v>106</v>
      </c>
      <c r="R19" s="116">
        <f>SUM(Q19*D19)</f>
        <v>0</v>
      </c>
      <c r="S19" s="116">
        <f>SUM(Q19*E19)</f>
        <v>0</v>
      </c>
      <c r="T19" s="116">
        <f>SUM(S19*F19)</f>
        <v>0</v>
      </c>
      <c r="U19" s="116">
        <f>SUM(S19*G19)</f>
        <v>0</v>
      </c>
      <c r="V19" s="116">
        <f>SUM(U19*H19)</f>
        <v>0</v>
      </c>
      <c r="W19" s="116">
        <f>SUM(U19*I19)</f>
        <v>0</v>
      </c>
      <c r="X19" s="116">
        <f>SUM(W19*J19)</f>
        <v>0</v>
      </c>
      <c r="Y19" s="116">
        <f>SUM(W19*K19)</f>
        <v>0</v>
      </c>
      <c r="Z19" s="116">
        <f>SUM(Y19*L19)</f>
        <v>0</v>
      </c>
      <c r="AA19" s="118">
        <f>SUM(Y19*M19)</f>
        <v>0</v>
      </c>
    </row>
    <row r="20" spans="1:27" ht="13.5" customHeight="1">
      <c r="A20" s="379"/>
      <c r="B20" s="389"/>
      <c r="C20" s="264" t="s">
        <v>42</v>
      </c>
      <c r="D20" s="267"/>
      <c r="E20" s="267"/>
      <c r="F20" s="267"/>
      <c r="G20" s="267"/>
      <c r="H20" s="267"/>
      <c r="I20" s="267"/>
      <c r="J20" s="267"/>
      <c r="K20" s="267"/>
      <c r="L20" s="267"/>
      <c r="M20" s="267"/>
      <c r="N20" s="267"/>
      <c r="O20" s="162"/>
      <c r="P20" s="152"/>
      <c r="Q20" s="96" t="s">
        <v>106</v>
      </c>
      <c r="R20" s="264">
        <f t="shared" ref="R20:R36" si="12">SUM(Q20*D20)</f>
        <v>0</v>
      </c>
      <c r="S20" s="264">
        <f t="shared" ref="S20:S36" si="13">SUM(Q20*E20)</f>
        <v>0</v>
      </c>
      <c r="T20" s="264">
        <f t="shared" ref="T20:T36" si="14">SUM(S20*F20)</f>
        <v>0</v>
      </c>
      <c r="U20" s="264">
        <f t="shared" ref="U20:U36" si="15">SUM(S20*G20)</f>
        <v>0</v>
      </c>
      <c r="V20" s="264">
        <f t="shared" ref="V20:V36" si="16">SUM(U20*H20)</f>
        <v>0</v>
      </c>
      <c r="W20" s="264">
        <f t="shared" ref="W20:W36" si="17">SUM(U20*I20)</f>
        <v>0</v>
      </c>
      <c r="X20" s="264">
        <f t="shared" ref="X20:X36" si="18">SUM(W20*J20)</f>
        <v>0</v>
      </c>
      <c r="Y20" s="264">
        <f t="shared" ref="Y20:Y36" si="19">SUM(W20*K20)</f>
        <v>0</v>
      </c>
      <c r="Z20" s="264">
        <f t="shared" ref="Z20:Z36" si="20">SUM(Y20*L20)</f>
        <v>0</v>
      </c>
      <c r="AA20" s="265">
        <f t="shared" ref="AA20:AA36" si="21">SUM(Y20*M20)</f>
        <v>0</v>
      </c>
    </row>
    <row r="21" spans="1:27" ht="13.5" customHeight="1">
      <c r="A21" s="379"/>
      <c r="B21" s="389"/>
      <c r="C21" s="264" t="s">
        <v>43</v>
      </c>
      <c r="D21" s="267"/>
      <c r="E21" s="267"/>
      <c r="F21" s="267"/>
      <c r="G21" s="267"/>
      <c r="H21" s="267"/>
      <c r="I21" s="267"/>
      <c r="J21" s="267"/>
      <c r="K21" s="267"/>
      <c r="L21" s="267"/>
      <c r="M21" s="267"/>
      <c r="N21" s="267"/>
      <c r="O21" s="162"/>
      <c r="P21" s="152"/>
      <c r="Q21" s="96" t="s">
        <v>107</v>
      </c>
      <c r="R21" s="264">
        <f t="shared" si="12"/>
        <v>0</v>
      </c>
      <c r="S21" s="264">
        <f t="shared" si="13"/>
        <v>0</v>
      </c>
      <c r="T21" s="264">
        <f t="shared" si="14"/>
        <v>0</v>
      </c>
      <c r="U21" s="264">
        <f t="shared" si="15"/>
        <v>0</v>
      </c>
      <c r="V21" s="264">
        <f t="shared" si="16"/>
        <v>0</v>
      </c>
      <c r="W21" s="264">
        <f t="shared" si="17"/>
        <v>0</v>
      </c>
      <c r="X21" s="264">
        <f t="shared" si="18"/>
        <v>0</v>
      </c>
      <c r="Y21" s="264">
        <f t="shared" si="19"/>
        <v>0</v>
      </c>
      <c r="Z21" s="264">
        <f t="shared" si="20"/>
        <v>0</v>
      </c>
      <c r="AA21" s="265">
        <f t="shared" si="21"/>
        <v>0</v>
      </c>
    </row>
    <row r="22" spans="1:27" ht="13.5" customHeight="1">
      <c r="A22" s="379"/>
      <c r="B22" s="389"/>
      <c r="C22" s="264" t="s">
        <v>44</v>
      </c>
      <c r="D22" s="267"/>
      <c r="E22" s="267"/>
      <c r="F22" s="267"/>
      <c r="G22" s="267"/>
      <c r="H22" s="267"/>
      <c r="I22" s="267"/>
      <c r="J22" s="267"/>
      <c r="K22" s="267"/>
      <c r="L22" s="267"/>
      <c r="M22" s="267"/>
      <c r="N22" s="267"/>
      <c r="O22" s="162"/>
      <c r="P22" s="152"/>
      <c r="Q22" s="96" t="s">
        <v>107</v>
      </c>
      <c r="R22" s="264">
        <f t="shared" si="12"/>
        <v>0</v>
      </c>
      <c r="S22" s="264">
        <f t="shared" si="13"/>
        <v>0</v>
      </c>
      <c r="T22" s="264">
        <f t="shared" si="14"/>
        <v>0</v>
      </c>
      <c r="U22" s="264">
        <f t="shared" si="15"/>
        <v>0</v>
      </c>
      <c r="V22" s="264">
        <f t="shared" si="16"/>
        <v>0</v>
      </c>
      <c r="W22" s="264">
        <f t="shared" si="17"/>
        <v>0</v>
      </c>
      <c r="X22" s="264">
        <f t="shared" si="18"/>
        <v>0</v>
      </c>
      <c r="Y22" s="264">
        <f t="shared" si="19"/>
        <v>0</v>
      </c>
      <c r="Z22" s="264">
        <f t="shared" si="20"/>
        <v>0</v>
      </c>
      <c r="AA22" s="265">
        <f t="shared" si="21"/>
        <v>0</v>
      </c>
    </row>
    <row r="23" spans="1:27" ht="13.5" customHeight="1">
      <c r="A23" s="379"/>
      <c r="B23" s="389"/>
      <c r="C23" s="264" t="s">
        <v>45</v>
      </c>
      <c r="D23" s="267"/>
      <c r="E23" s="267"/>
      <c r="F23" s="267"/>
      <c r="G23" s="267"/>
      <c r="H23" s="267"/>
      <c r="I23" s="267"/>
      <c r="J23" s="267"/>
      <c r="K23" s="267"/>
      <c r="L23" s="267"/>
      <c r="M23" s="267"/>
      <c r="N23" s="267"/>
      <c r="O23" s="162">
        <f>SUM(D23:N23)</f>
        <v>0</v>
      </c>
      <c r="P23" s="152"/>
      <c r="Q23" s="96" t="s">
        <v>108</v>
      </c>
      <c r="R23" s="264">
        <f t="shared" si="12"/>
        <v>0</v>
      </c>
      <c r="S23" s="264">
        <f t="shared" si="13"/>
        <v>0</v>
      </c>
      <c r="T23" s="264">
        <f t="shared" si="14"/>
        <v>0</v>
      </c>
      <c r="U23" s="264">
        <f t="shared" si="15"/>
        <v>0</v>
      </c>
      <c r="V23" s="264">
        <f t="shared" si="16"/>
        <v>0</v>
      </c>
      <c r="W23" s="264">
        <f t="shared" si="17"/>
        <v>0</v>
      </c>
      <c r="X23" s="264">
        <f t="shared" si="18"/>
        <v>0</v>
      </c>
      <c r="Y23" s="264">
        <f t="shared" si="19"/>
        <v>0</v>
      </c>
      <c r="Z23" s="264">
        <f t="shared" si="20"/>
        <v>0</v>
      </c>
      <c r="AA23" s="265">
        <f t="shared" si="21"/>
        <v>0</v>
      </c>
    </row>
    <row r="24" spans="1:27" ht="13.5" customHeight="1">
      <c r="A24" s="379"/>
      <c r="B24" s="389"/>
      <c r="C24" s="264" t="s">
        <v>46</v>
      </c>
      <c r="D24" s="267"/>
      <c r="E24" s="267"/>
      <c r="F24" s="267"/>
      <c r="G24" s="267"/>
      <c r="H24" s="267"/>
      <c r="I24" s="267"/>
      <c r="J24" s="267"/>
      <c r="K24" s="267"/>
      <c r="L24" s="267"/>
      <c r="M24" s="267"/>
      <c r="N24" s="267"/>
      <c r="O24" s="162"/>
      <c r="P24" s="152" t="s">
        <v>109</v>
      </c>
      <c r="Q24" s="96" t="s">
        <v>108</v>
      </c>
      <c r="R24" s="264">
        <f t="shared" si="12"/>
        <v>0</v>
      </c>
      <c r="S24" s="264">
        <f t="shared" si="13"/>
        <v>0</v>
      </c>
      <c r="T24" s="264">
        <f t="shared" si="14"/>
        <v>0</v>
      </c>
      <c r="U24" s="264">
        <f t="shared" si="15"/>
        <v>0</v>
      </c>
      <c r="V24" s="264">
        <f t="shared" si="16"/>
        <v>0</v>
      </c>
      <c r="W24" s="264">
        <f t="shared" si="17"/>
        <v>0</v>
      </c>
      <c r="X24" s="264">
        <f t="shared" si="18"/>
        <v>0</v>
      </c>
      <c r="Y24" s="264">
        <f t="shared" si="19"/>
        <v>0</v>
      </c>
      <c r="Z24" s="264">
        <f t="shared" si="20"/>
        <v>0</v>
      </c>
      <c r="AA24" s="265">
        <f t="shared" si="21"/>
        <v>0</v>
      </c>
    </row>
    <row r="25" spans="1:27" ht="13.5" customHeight="1">
      <c r="A25" s="379"/>
      <c r="B25" s="414"/>
      <c r="C25" s="113" t="s">
        <v>47</v>
      </c>
      <c r="D25" s="268"/>
      <c r="E25" s="268"/>
      <c r="F25" s="268"/>
      <c r="G25" s="268"/>
      <c r="H25" s="268"/>
      <c r="I25" s="268"/>
      <c r="J25" s="268"/>
      <c r="K25" s="268"/>
      <c r="L25" s="268"/>
      <c r="M25" s="268"/>
      <c r="N25" s="268"/>
      <c r="O25" s="163">
        <f>SUM(D25:N25)</f>
        <v>0</v>
      </c>
      <c r="P25" s="152"/>
      <c r="Q25" s="96" t="s">
        <v>110</v>
      </c>
      <c r="R25" s="264">
        <f t="shared" si="12"/>
        <v>0</v>
      </c>
      <c r="S25" s="264">
        <f t="shared" si="13"/>
        <v>0</v>
      </c>
      <c r="T25" s="264">
        <f t="shared" si="14"/>
        <v>0</v>
      </c>
      <c r="U25" s="264">
        <f t="shared" si="15"/>
        <v>0</v>
      </c>
      <c r="V25" s="264">
        <f t="shared" si="16"/>
        <v>0</v>
      </c>
      <c r="W25" s="264">
        <f t="shared" si="17"/>
        <v>0</v>
      </c>
      <c r="X25" s="264">
        <f t="shared" si="18"/>
        <v>0</v>
      </c>
      <c r="Y25" s="264">
        <f t="shared" si="19"/>
        <v>0</v>
      </c>
      <c r="Z25" s="264">
        <f t="shared" si="20"/>
        <v>0</v>
      </c>
      <c r="AA25" s="265">
        <f t="shared" si="21"/>
        <v>0</v>
      </c>
    </row>
    <row r="26" spans="1:27" ht="13.5" customHeight="1">
      <c r="A26" s="379"/>
      <c r="B26" s="415" t="s">
        <v>111</v>
      </c>
      <c r="C26" s="119" t="s">
        <v>45</v>
      </c>
      <c r="D26" s="269"/>
      <c r="E26" s="269"/>
      <c r="F26" s="269"/>
      <c r="G26" s="269"/>
      <c r="H26" s="269"/>
      <c r="I26" s="269"/>
      <c r="J26" s="269"/>
      <c r="K26" s="269"/>
      <c r="L26" s="269"/>
      <c r="M26" s="269"/>
      <c r="N26" s="269"/>
      <c r="O26" s="109"/>
      <c r="P26" s="152" t="s">
        <v>112</v>
      </c>
      <c r="Q26" s="96" t="s">
        <v>113</v>
      </c>
      <c r="R26" s="264">
        <f t="shared" si="12"/>
        <v>0</v>
      </c>
      <c r="S26" s="264">
        <f t="shared" si="13"/>
        <v>0</v>
      </c>
      <c r="T26" s="264">
        <f t="shared" si="14"/>
        <v>0</v>
      </c>
      <c r="U26" s="264">
        <f t="shared" si="15"/>
        <v>0</v>
      </c>
      <c r="V26" s="264">
        <f t="shared" si="16"/>
        <v>0</v>
      </c>
      <c r="W26" s="264">
        <f t="shared" si="17"/>
        <v>0</v>
      </c>
      <c r="X26" s="264">
        <f t="shared" si="18"/>
        <v>0</v>
      </c>
      <c r="Y26" s="264">
        <f t="shared" si="19"/>
        <v>0</v>
      </c>
      <c r="Z26" s="264">
        <f t="shared" si="20"/>
        <v>0</v>
      </c>
      <c r="AA26" s="265">
        <f t="shared" si="21"/>
        <v>0</v>
      </c>
    </row>
    <row r="27" spans="1:27" ht="13.5" customHeight="1">
      <c r="A27" s="379"/>
      <c r="B27" s="389"/>
      <c r="C27" s="264" t="s">
        <v>46</v>
      </c>
      <c r="D27" s="267"/>
      <c r="E27" s="267"/>
      <c r="F27" s="267"/>
      <c r="G27" s="267"/>
      <c r="H27" s="267"/>
      <c r="I27" s="267"/>
      <c r="J27" s="267"/>
      <c r="K27" s="267"/>
      <c r="L27" s="267"/>
      <c r="M27" s="267"/>
      <c r="N27" s="267"/>
      <c r="O27" s="271"/>
      <c r="P27" s="152"/>
      <c r="Q27" s="96" t="s">
        <v>113</v>
      </c>
      <c r="R27" s="264">
        <f t="shared" si="12"/>
        <v>0</v>
      </c>
      <c r="S27" s="264">
        <f t="shared" si="13"/>
        <v>0</v>
      </c>
      <c r="T27" s="264">
        <f t="shared" si="14"/>
        <v>0</v>
      </c>
      <c r="U27" s="264">
        <f t="shared" si="15"/>
        <v>0</v>
      </c>
      <c r="V27" s="264">
        <f t="shared" si="16"/>
        <v>0</v>
      </c>
      <c r="W27" s="264">
        <f t="shared" si="17"/>
        <v>0</v>
      </c>
      <c r="X27" s="264">
        <f t="shared" si="18"/>
        <v>0</v>
      </c>
      <c r="Y27" s="264">
        <f t="shared" si="19"/>
        <v>0</v>
      </c>
      <c r="Z27" s="264">
        <f t="shared" si="20"/>
        <v>0</v>
      </c>
      <c r="AA27" s="265">
        <f t="shared" si="21"/>
        <v>0</v>
      </c>
    </row>
    <row r="28" spans="1:27" ht="13.5" customHeight="1">
      <c r="A28" s="379"/>
      <c r="B28" s="416"/>
      <c r="C28" s="111" t="s">
        <v>47</v>
      </c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112"/>
      <c r="P28" s="152" t="s">
        <v>99</v>
      </c>
      <c r="Q28" s="96" t="s">
        <v>114</v>
      </c>
      <c r="R28" s="264">
        <f t="shared" si="12"/>
        <v>0</v>
      </c>
      <c r="S28" s="264">
        <f t="shared" si="13"/>
        <v>0</v>
      </c>
      <c r="T28" s="264">
        <f t="shared" si="14"/>
        <v>0</v>
      </c>
      <c r="U28" s="264">
        <f t="shared" si="15"/>
        <v>0</v>
      </c>
      <c r="V28" s="264">
        <f t="shared" si="16"/>
        <v>0</v>
      </c>
      <c r="W28" s="264">
        <f t="shared" si="17"/>
        <v>0</v>
      </c>
      <c r="X28" s="264">
        <f t="shared" si="18"/>
        <v>0</v>
      </c>
      <c r="Y28" s="264">
        <f t="shared" si="19"/>
        <v>0</v>
      </c>
      <c r="Z28" s="264">
        <f t="shared" si="20"/>
        <v>0</v>
      </c>
      <c r="AA28" s="265">
        <f t="shared" si="21"/>
        <v>0</v>
      </c>
    </row>
    <row r="29" spans="1:27" ht="13.5" customHeight="1">
      <c r="A29" s="379"/>
      <c r="B29" s="415" t="s">
        <v>115</v>
      </c>
      <c r="C29" s="119" t="s">
        <v>116</v>
      </c>
      <c r="D29" s="269"/>
      <c r="E29" s="269"/>
      <c r="F29" s="269"/>
      <c r="G29" s="269"/>
      <c r="H29" s="269"/>
      <c r="I29" s="269"/>
      <c r="J29" s="269"/>
      <c r="K29" s="269"/>
      <c r="L29" s="269"/>
      <c r="M29" s="269"/>
      <c r="N29" s="269"/>
      <c r="O29" s="109">
        <f t="shared" ref="O29:O36" si="22">SUM(D29:N29)</f>
        <v>0</v>
      </c>
      <c r="P29" s="152"/>
      <c r="Q29" s="272" t="s">
        <v>117</v>
      </c>
      <c r="R29" s="264">
        <f t="shared" si="12"/>
        <v>0</v>
      </c>
      <c r="S29" s="264">
        <f t="shared" si="13"/>
        <v>0</v>
      </c>
      <c r="T29" s="264">
        <f t="shared" si="14"/>
        <v>0</v>
      </c>
      <c r="U29" s="264">
        <f t="shared" si="15"/>
        <v>0</v>
      </c>
      <c r="V29" s="264">
        <f t="shared" si="16"/>
        <v>0</v>
      </c>
      <c r="W29" s="264">
        <f t="shared" si="17"/>
        <v>0</v>
      </c>
      <c r="X29" s="264">
        <f t="shared" si="18"/>
        <v>0</v>
      </c>
      <c r="Y29" s="264">
        <f t="shared" si="19"/>
        <v>0</v>
      </c>
      <c r="Z29" s="264">
        <f t="shared" si="20"/>
        <v>0</v>
      </c>
      <c r="AA29" s="265">
        <f t="shared" si="21"/>
        <v>0</v>
      </c>
    </row>
    <row r="30" spans="1:27" ht="13.5" customHeight="1">
      <c r="A30" s="379"/>
      <c r="B30" s="389"/>
      <c r="C30" s="264" t="s">
        <v>118</v>
      </c>
      <c r="D30" s="267"/>
      <c r="E30" s="267"/>
      <c r="F30" s="267"/>
      <c r="G30" s="267"/>
      <c r="H30" s="267"/>
      <c r="I30" s="267"/>
      <c r="J30" s="267"/>
      <c r="K30" s="267"/>
      <c r="L30" s="267"/>
      <c r="M30" s="267"/>
      <c r="N30" s="267"/>
      <c r="O30" s="271">
        <f t="shared" si="22"/>
        <v>0</v>
      </c>
      <c r="P30" s="152"/>
      <c r="Q30" s="272" t="s">
        <v>117</v>
      </c>
      <c r="R30" s="264">
        <f t="shared" si="12"/>
        <v>0</v>
      </c>
      <c r="S30" s="264">
        <f t="shared" si="13"/>
        <v>0</v>
      </c>
      <c r="T30" s="264">
        <f t="shared" si="14"/>
        <v>0</v>
      </c>
      <c r="U30" s="264">
        <f t="shared" si="15"/>
        <v>0</v>
      </c>
      <c r="V30" s="264">
        <f t="shared" si="16"/>
        <v>0</v>
      </c>
      <c r="W30" s="264">
        <f t="shared" si="17"/>
        <v>0</v>
      </c>
      <c r="X30" s="264">
        <f t="shared" si="18"/>
        <v>0</v>
      </c>
      <c r="Y30" s="264">
        <f t="shared" si="19"/>
        <v>0</v>
      </c>
      <c r="Z30" s="264">
        <f t="shared" si="20"/>
        <v>0</v>
      </c>
      <c r="AA30" s="265">
        <f t="shared" si="21"/>
        <v>0</v>
      </c>
    </row>
    <row r="31" spans="1:27" ht="13.5" customHeight="1">
      <c r="A31" s="379"/>
      <c r="B31" s="389"/>
      <c r="C31" s="264" t="s">
        <v>119</v>
      </c>
      <c r="D31" s="267"/>
      <c r="E31" s="267"/>
      <c r="F31" s="267"/>
      <c r="G31" s="267"/>
      <c r="H31" s="267"/>
      <c r="I31" s="267"/>
      <c r="J31" s="267"/>
      <c r="K31" s="267"/>
      <c r="L31" s="267"/>
      <c r="M31" s="267"/>
      <c r="N31" s="267"/>
      <c r="O31" s="271">
        <f t="shared" si="22"/>
        <v>0</v>
      </c>
      <c r="P31" s="152"/>
      <c r="Q31" s="272" t="s">
        <v>120</v>
      </c>
      <c r="R31" s="264">
        <f t="shared" si="12"/>
        <v>0</v>
      </c>
      <c r="S31" s="264">
        <f t="shared" si="13"/>
        <v>0</v>
      </c>
      <c r="T31" s="264">
        <f t="shared" si="14"/>
        <v>0</v>
      </c>
      <c r="U31" s="264">
        <f t="shared" si="15"/>
        <v>0</v>
      </c>
      <c r="V31" s="264">
        <f t="shared" si="16"/>
        <v>0</v>
      </c>
      <c r="W31" s="264">
        <f t="shared" si="17"/>
        <v>0</v>
      </c>
      <c r="X31" s="264">
        <f t="shared" si="18"/>
        <v>0</v>
      </c>
      <c r="Y31" s="264">
        <f t="shared" si="19"/>
        <v>0</v>
      </c>
      <c r="Z31" s="264">
        <f t="shared" si="20"/>
        <v>0</v>
      </c>
      <c r="AA31" s="265">
        <f t="shared" si="21"/>
        <v>0</v>
      </c>
    </row>
    <row r="32" spans="1:27" ht="13.5" customHeight="1">
      <c r="A32" s="379"/>
      <c r="B32" s="389"/>
      <c r="C32" s="264" t="s">
        <v>121</v>
      </c>
      <c r="D32" s="267"/>
      <c r="E32" s="267"/>
      <c r="F32" s="267"/>
      <c r="G32" s="267"/>
      <c r="H32" s="267"/>
      <c r="I32" s="267"/>
      <c r="J32" s="267"/>
      <c r="K32" s="267"/>
      <c r="L32" s="267"/>
      <c r="M32" s="267"/>
      <c r="N32" s="267"/>
      <c r="O32" s="271">
        <f t="shared" si="22"/>
        <v>0</v>
      </c>
      <c r="P32" s="152"/>
      <c r="Q32" s="272" t="s">
        <v>120</v>
      </c>
      <c r="R32" s="264">
        <f t="shared" si="12"/>
        <v>0</v>
      </c>
      <c r="S32" s="264">
        <f t="shared" si="13"/>
        <v>0</v>
      </c>
      <c r="T32" s="264">
        <f t="shared" si="14"/>
        <v>0</v>
      </c>
      <c r="U32" s="264">
        <f t="shared" si="15"/>
        <v>0</v>
      </c>
      <c r="V32" s="264">
        <f t="shared" si="16"/>
        <v>0</v>
      </c>
      <c r="W32" s="264">
        <f t="shared" si="17"/>
        <v>0</v>
      </c>
      <c r="X32" s="264">
        <f t="shared" si="18"/>
        <v>0</v>
      </c>
      <c r="Y32" s="264">
        <f t="shared" si="19"/>
        <v>0</v>
      </c>
      <c r="Z32" s="264">
        <f t="shared" si="20"/>
        <v>0</v>
      </c>
      <c r="AA32" s="265">
        <f t="shared" si="21"/>
        <v>0</v>
      </c>
    </row>
    <row r="33" spans="1:27" ht="13.5" customHeight="1">
      <c r="A33" s="379"/>
      <c r="B33" s="389"/>
      <c r="C33" s="264" t="s">
        <v>49</v>
      </c>
      <c r="D33" s="267"/>
      <c r="E33" s="267"/>
      <c r="F33" s="267"/>
      <c r="G33" s="267"/>
      <c r="H33" s="267"/>
      <c r="I33" s="267"/>
      <c r="J33" s="267"/>
      <c r="K33" s="267"/>
      <c r="L33" s="267"/>
      <c r="M33" s="267"/>
      <c r="N33" s="267"/>
      <c r="O33" s="271">
        <f t="shared" si="22"/>
        <v>0</v>
      </c>
      <c r="P33" s="152"/>
      <c r="Q33" s="272" t="s">
        <v>120</v>
      </c>
      <c r="R33" s="264">
        <f t="shared" si="12"/>
        <v>0</v>
      </c>
      <c r="S33" s="264">
        <f t="shared" si="13"/>
        <v>0</v>
      </c>
      <c r="T33" s="264">
        <f t="shared" si="14"/>
        <v>0</v>
      </c>
      <c r="U33" s="264">
        <f t="shared" si="15"/>
        <v>0</v>
      </c>
      <c r="V33" s="264">
        <f t="shared" si="16"/>
        <v>0</v>
      </c>
      <c r="W33" s="264">
        <f t="shared" si="17"/>
        <v>0</v>
      </c>
      <c r="X33" s="264">
        <f t="shared" si="18"/>
        <v>0</v>
      </c>
      <c r="Y33" s="264">
        <f t="shared" si="19"/>
        <v>0</v>
      </c>
      <c r="Z33" s="264">
        <f t="shared" si="20"/>
        <v>0</v>
      </c>
      <c r="AA33" s="265">
        <f t="shared" si="21"/>
        <v>0</v>
      </c>
    </row>
    <row r="34" spans="1:27" ht="13.5" customHeight="1">
      <c r="A34" s="379"/>
      <c r="B34" s="389"/>
      <c r="C34" s="264" t="s">
        <v>50</v>
      </c>
      <c r="D34" s="267"/>
      <c r="E34" s="267"/>
      <c r="F34" s="267"/>
      <c r="G34" s="267"/>
      <c r="H34" s="267"/>
      <c r="I34" s="267"/>
      <c r="J34" s="267"/>
      <c r="K34" s="267"/>
      <c r="L34" s="267"/>
      <c r="M34" s="267"/>
      <c r="N34" s="267"/>
      <c r="O34" s="271">
        <f t="shared" si="22"/>
        <v>0</v>
      </c>
      <c r="P34" s="152"/>
      <c r="Q34" s="272" t="s">
        <v>122</v>
      </c>
      <c r="R34" s="264">
        <f t="shared" si="12"/>
        <v>0</v>
      </c>
      <c r="S34" s="264">
        <f t="shared" si="13"/>
        <v>0</v>
      </c>
      <c r="T34" s="264">
        <f t="shared" si="14"/>
        <v>0</v>
      </c>
      <c r="U34" s="264">
        <f t="shared" si="15"/>
        <v>0</v>
      </c>
      <c r="V34" s="264">
        <f t="shared" si="16"/>
        <v>0</v>
      </c>
      <c r="W34" s="264">
        <f t="shared" si="17"/>
        <v>0</v>
      </c>
      <c r="X34" s="264">
        <f t="shared" si="18"/>
        <v>0</v>
      </c>
      <c r="Y34" s="264">
        <f t="shared" si="19"/>
        <v>0</v>
      </c>
      <c r="Z34" s="264">
        <f t="shared" si="20"/>
        <v>0</v>
      </c>
      <c r="AA34" s="265">
        <f t="shared" si="21"/>
        <v>0</v>
      </c>
    </row>
    <row r="35" spans="1:27" ht="13.5" customHeight="1">
      <c r="A35" s="379"/>
      <c r="B35" s="389"/>
      <c r="C35" s="264" t="s">
        <v>51</v>
      </c>
      <c r="D35" s="267"/>
      <c r="E35" s="267"/>
      <c r="F35" s="267"/>
      <c r="G35" s="267"/>
      <c r="H35" s="267"/>
      <c r="I35" s="267"/>
      <c r="J35" s="267"/>
      <c r="K35" s="267"/>
      <c r="L35" s="267"/>
      <c r="M35" s="267"/>
      <c r="N35" s="267"/>
      <c r="O35" s="271">
        <f t="shared" si="22"/>
        <v>0</v>
      </c>
      <c r="P35" s="152"/>
      <c r="Q35" s="272" t="s">
        <v>123</v>
      </c>
      <c r="R35" s="264">
        <f t="shared" si="12"/>
        <v>0</v>
      </c>
      <c r="S35" s="264">
        <f t="shared" si="13"/>
        <v>0</v>
      </c>
      <c r="T35" s="264">
        <f t="shared" si="14"/>
        <v>0</v>
      </c>
      <c r="U35" s="264">
        <f t="shared" si="15"/>
        <v>0</v>
      </c>
      <c r="V35" s="264">
        <f t="shared" si="16"/>
        <v>0</v>
      </c>
      <c r="W35" s="264">
        <f t="shared" si="17"/>
        <v>0</v>
      </c>
      <c r="X35" s="264">
        <f t="shared" si="18"/>
        <v>0</v>
      </c>
      <c r="Y35" s="264">
        <f t="shared" si="19"/>
        <v>0</v>
      </c>
      <c r="Z35" s="264">
        <f t="shared" si="20"/>
        <v>0</v>
      </c>
      <c r="AA35" s="265">
        <f t="shared" si="21"/>
        <v>0</v>
      </c>
    </row>
    <row r="36" spans="1:27" ht="13.5" customHeight="1">
      <c r="A36" s="379"/>
      <c r="B36" s="416"/>
      <c r="C36" s="111" t="s">
        <v>52</v>
      </c>
      <c r="D36" s="270"/>
      <c r="E36" s="270"/>
      <c r="F36" s="270"/>
      <c r="G36" s="270"/>
      <c r="H36" s="270"/>
      <c r="I36" s="270"/>
      <c r="J36" s="270"/>
      <c r="K36" s="270"/>
      <c r="L36" s="270"/>
      <c r="M36" s="270"/>
      <c r="N36" s="270"/>
      <c r="O36" s="112">
        <f t="shared" si="22"/>
        <v>0</v>
      </c>
      <c r="P36" s="153"/>
      <c r="Q36" s="272" t="s">
        <v>123</v>
      </c>
      <c r="R36" s="264">
        <f t="shared" si="12"/>
        <v>0</v>
      </c>
      <c r="S36" s="264">
        <f t="shared" si="13"/>
        <v>0</v>
      </c>
      <c r="T36" s="264">
        <f t="shared" si="14"/>
        <v>0</v>
      </c>
      <c r="U36" s="264">
        <f t="shared" si="15"/>
        <v>0</v>
      </c>
      <c r="V36" s="264">
        <f t="shared" si="16"/>
        <v>0</v>
      </c>
      <c r="W36" s="264">
        <f t="shared" si="17"/>
        <v>0</v>
      </c>
      <c r="X36" s="264">
        <f t="shared" si="18"/>
        <v>0</v>
      </c>
      <c r="Y36" s="264">
        <f t="shared" si="19"/>
        <v>0</v>
      </c>
      <c r="Z36" s="264">
        <f t="shared" si="20"/>
        <v>0</v>
      </c>
      <c r="AA36" s="265">
        <f t="shared" si="21"/>
        <v>0</v>
      </c>
    </row>
    <row r="37" spans="1:27" ht="18.75" customHeight="1" thickBot="1">
      <c r="A37" s="391"/>
      <c r="B37" s="417" t="s">
        <v>124</v>
      </c>
      <c r="C37" s="417"/>
      <c r="D37" s="417"/>
      <c r="E37" s="417"/>
      <c r="F37" s="417"/>
      <c r="G37" s="417"/>
      <c r="H37" s="417"/>
      <c r="I37" s="417"/>
      <c r="J37" s="417"/>
      <c r="K37" s="417"/>
      <c r="L37" s="417"/>
      <c r="M37" s="417"/>
      <c r="N37" s="417"/>
      <c r="O37" s="97">
        <f>SUM(O19:O36)</f>
        <v>0</v>
      </c>
      <c r="P37" s="418" t="s">
        <v>125</v>
      </c>
      <c r="Q37" s="419"/>
      <c r="R37" s="120">
        <f>SUM(R19:R36)</f>
        <v>0</v>
      </c>
      <c r="S37" s="120">
        <f t="shared" ref="S37:AA37" si="23">SUM(S19:S36)</f>
        <v>0</v>
      </c>
      <c r="T37" s="120">
        <f t="shared" si="23"/>
        <v>0</v>
      </c>
      <c r="U37" s="120">
        <f t="shared" si="23"/>
        <v>0</v>
      </c>
      <c r="V37" s="120">
        <f t="shared" si="23"/>
        <v>0</v>
      </c>
      <c r="W37" s="120">
        <f t="shared" si="23"/>
        <v>0</v>
      </c>
      <c r="X37" s="120">
        <f t="shared" si="23"/>
        <v>0</v>
      </c>
      <c r="Y37" s="120">
        <f t="shared" si="23"/>
        <v>0</v>
      </c>
      <c r="Z37" s="120">
        <f t="shared" si="23"/>
        <v>0</v>
      </c>
      <c r="AA37" s="121">
        <f t="shared" si="23"/>
        <v>0</v>
      </c>
    </row>
    <row r="38" spans="1:27" ht="18.75" customHeight="1">
      <c r="A38" s="401"/>
      <c r="B38" s="382"/>
      <c r="C38" s="382"/>
      <c r="D38" s="382"/>
      <c r="E38" s="382"/>
      <c r="F38" s="382"/>
      <c r="G38" s="382"/>
      <c r="H38" s="382"/>
      <c r="I38" s="382"/>
      <c r="J38" s="382"/>
      <c r="K38" s="382"/>
      <c r="L38" s="382"/>
      <c r="M38" s="382"/>
      <c r="N38" s="382"/>
      <c r="O38" s="382"/>
      <c r="P38" s="420" t="s">
        <v>126</v>
      </c>
      <c r="Q38" s="421"/>
      <c r="R38" s="164">
        <f>SUM(R37+R18)</f>
        <v>0</v>
      </c>
      <c r="S38" s="164">
        <f t="shared" ref="S38:AA38" si="24">SUM(S37+S18)</f>
        <v>0</v>
      </c>
      <c r="T38" s="164">
        <f t="shared" si="24"/>
        <v>0</v>
      </c>
      <c r="U38" s="164">
        <f t="shared" si="24"/>
        <v>0</v>
      </c>
      <c r="V38" s="164">
        <f t="shared" si="24"/>
        <v>0</v>
      </c>
      <c r="W38" s="164">
        <f t="shared" si="24"/>
        <v>0</v>
      </c>
      <c r="X38" s="164">
        <f t="shared" si="24"/>
        <v>0</v>
      </c>
      <c r="Y38" s="164">
        <f t="shared" si="24"/>
        <v>0</v>
      </c>
      <c r="Z38" s="164">
        <f t="shared" si="24"/>
        <v>0</v>
      </c>
      <c r="AA38" s="164">
        <f t="shared" si="24"/>
        <v>0</v>
      </c>
    </row>
    <row r="39" spans="1:27" ht="13.5" customHeight="1">
      <c r="A39" s="398" t="s">
        <v>127</v>
      </c>
      <c r="B39" s="399"/>
      <c r="C39" s="103" t="s">
        <v>128</v>
      </c>
      <c r="D39" s="103" t="s">
        <v>38</v>
      </c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22">
        <f>SUM(O19:O25)</f>
        <v>0</v>
      </c>
      <c r="P39" s="123"/>
      <c r="Q39" s="124"/>
    </row>
    <row r="40" spans="1:27" ht="13.5" customHeight="1">
      <c r="A40" s="400"/>
      <c r="B40" s="380"/>
      <c r="C40" s="103" t="s">
        <v>129</v>
      </c>
      <c r="D40" s="103" t="s">
        <v>38</v>
      </c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22">
        <f>SUM(O26:O28)</f>
        <v>0</v>
      </c>
      <c r="P40" s="123"/>
      <c r="Q40" s="124"/>
    </row>
    <row r="41" spans="1:27" ht="13.5" customHeight="1">
      <c r="A41" s="400"/>
      <c r="B41" s="380"/>
      <c r="C41" s="103" t="s">
        <v>130</v>
      </c>
      <c r="D41" s="103" t="s">
        <v>38</v>
      </c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22">
        <f>SUM(O29:O36)</f>
        <v>0</v>
      </c>
      <c r="P41" s="123"/>
      <c r="Q41" s="124"/>
    </row>
    <row r="42" spans="1:27" ht="23.25" customHeight="1">
      <c r="A42" s="401"/>
      <c r="B42" s="382"/>
      <c r="C42" s="402" t="s">
        <v>124</v>
      </c>
      <c r="D42" s="403"/>
      <c r="E42" s="403"/>
      <c r="F42" s="403"/>
      <c r="G42" s="403"/>
      <c r="H42" s="403"/>
      <c r="I42" s="403"/>
      <c r="J42" s="403"/>
      <c r="K42" s="403"/>
      <c r="L42" s="403"/>
      <c r="M42" s="403"/>
      <c r="N42" s="104"/>
      <c r="O42" s="98">
        <f>SUM(O39:O41)</f>
        <v>0</v>
      </c>
      <c r="P42" s="99"/>
      <c r="Q42" s="100"/>
    </row>
    <row r="43" spans="1:27" ht="13.5" customHeight="1">
      <c r="A43" s="398" t="s">
        <v>28</v>
      </c>
      <c r="B43" s="399"/>
      <c r="C43" s="103">
        <v>4422</v>
      </c>
      <c r="D43" s="103" t="s">
        <v>38</v>
      </c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22">
        <f t="shared" ref="O43:O49" si="25">SUM(D43:N43)</f>
        <v>0</v>
      </c>
      <c r="P43" s="123"/>
      <c r="Q43" s="124"/>
    </row>
    <row r="44" spans="1:27" ht="13.5" customHeight="1">
      <c r="A44" s="400"/>
      <c r="B44" s="380"/>
      <c r="C44" s="103">
        <v>3819</v>
      </c>
      <c r="D44" s="103" t="s">
        <v>38</v>
      </c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22">
        <f t="shared" si="25"/>
        <v>0</v>
      </c>
      <c r="P44" s="123"/>
      <c r="Q44" s="124"/>
    </row>
    <row r="45" spans="1:27" ht="13.5" customHeight="1">
      <c r="A45" s="400"/>
      <c r="B45" s="380"/>
      <c r="C45" s="103">
        <v>3119</v>
      </c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22">
        <f t="shared" si="25"/>
        <v>0</v>
      </c>
      <c r="P45" s="123"/>
      <c r="Q45" s="124"/>
    </row>
    <row r="46" spans="1:27" ht="13.5" customHeight="1">
      <c r="A46" s="400"/>
      <c r="B46" s="380"/>
      <c r="C46" s="103">
        <v>2815</v>
      </c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22">
        <f t="shared" si="25"/>
        <v>0</v>
      </c>
      <c r="P46" s="123"/>
      <c r="Q46" s="124"/>
    </row>
    <row r="47" spans="1:27" ht="13.5" customHeight="1">
      <c r="A47" s="400"/>
      <c r="B47" s="380"/>
      <c r="C47" s="103">
        <v>2812</v>
      </c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22">
        <f t="shared" si="25"/>
        <v>0</v>
      </c>
      <c r="P47" s="123"/>
      <c r="Q47" s="124"/>
    </row>
    <row r="48" spans="1:27" ht="13.5" customHeight="1">
      <c r="A48" s="400"/>
      <c r="B48" s="380"/>
      <c r="C48" s="103">
        <v>2512</v>
      </c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22">
        <f t="shared" si="25"/>
        <v>0</v>
      </c>
      <c r="P48" s="123"/>
      <c r="Q48" s="124"/>
    </row>
    <row r="49" spans="1:17" ht="13.5" customHeight="1">
      <c r="A49" s="400"/>
      <c r="B49" s="380"/>
      <c r="C49" s="103">
        <v>1509</v>
      </c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22">
        <f t="shared" si="25"/>
        <v>0</v>
      </c>
      <c r="P49" s="123"/>
      <c r="Q49" s="124"/>
    </row>
    <row r="50" spans="1:17" ht="21.75" customHeight="1">
      <c r="A50" s="401"/>
      <c r="B50" s="382"/>
      <c r="C50" s="402" t="s">
        <v>131</v>
      </c>
      <c r="D50" s="403"/>
      <c r="E50" s="403"/>
      <c r="F50" s="403"/>
      <c r="G50" s="403"/>
      <c r="H50" s="403"/>
      <c r="I50" s="403"/>
      <c r="J50" s="403"/>
      <c r="K50" s="403"/>
      <c r="L50" s="403"/>
      <c r="M50" s="404"/>
      <c r="N50" s="104"/>
      <c r="O50" s="98">
        <f>SUM(O43:O49)</f>
        <v>0</v>
      </c>
      <c r="P50" s="99"/>
      <c r="Q50" s="100"/>
    </row>
  </sheetData>
  <mergeCells count="49">
    <mergeCell ref="P37:Q37"/>
    <mergeCell ref="A38:O38"/>
    <mergeCell ref="P38:Q38"/>
    <mergeCell ref="A39:B42"/>
    <mergeCell ref="C42:M42"/>
    <mergeCell ref="A43:B50"/>
    <mergeCell ref="C50:M50"/>
    <mergeCell ref="Z8:Z9"/>
    <mergeCell ref="AA8:AA9"/>
    <mergeCell ref="B15:B17"/>
    <mergeCell ref="B18:O18"/>
    <mergeCell ref="P18:Q18"/>
    <mergeCell ref="A19:A37"/>
    <mergeCell ref="B19:B25"/>
    <mergeCell ref="B26:B28"/>
    <mergeCell ref="B29:B36"/>
    <mergeCell ref="B37:N37"/>
    <mergeCell ref="T8:T9"/>
    <mergeCell ref="U8:U9"/>
    <mergeCell ref="V8:V9"/>
    <mergeCell ref="W8:W9"/>
    <mergeCell ref="X8:X9"/>
    <mergeCell ref="Y8:Y9"/>
    <mergeCell ref="M8:M9"/>
    <mergeCell ref="N8:N9"/>
    <mergeCell ref="O8:O9"/>
    <mergeCell ref="Q8:Q9"/>
    <mergeCell ref="R8:R9"/>
    <mergeCell ref="S8:S9"/>
    <mergeCell ref="L8:L9"/>
    <mergeCell ref="A5:A18"/>
    <mergeCell ref="B5:B14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A1:AA1"/>
    <mergeCell ref="A2:B4"/>
    <mergeCell ref="C2:C4"/>
    <mergeCell ref="D2:M2"/>
    <mergeCell ref="P2:AA2"/>
    <mergeCell ref="O3:O4"/>
    <mergeCell ref="P3:P4"/>
    <mergeCell ref="Q3:Q4"/>
  </mergeCells>
  <phoneticPr fontId="2" type="noConversion"/>
  <pageMargins left="0.79" right="0.70866141732283472" top="0.44" bottom="0.74803149606299213" header="0.31496062992125984" footer="0.31496062992125984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zoomScale="115" zoomScaleNormal="115" workbookViewId="0">
      <selection activeCell="C14" sqref="C14"/>
    </sheetView>
  </sheetViews>
  <sheetFormatPr defaultRowHeight="15" customHeight="1"/>
  <cols>
    <col min="1" max="1" width="7.75" style="155" customWidth="1"/>
    <col min="2" max="2" width="5.25" style="155" customWidth="1"/>
    <col min="3" max="3" width="11.25" style="155" customWidth="1"/>
    <col min="4" max="4" width="7.375" style="155" customWidth="1"/>
    <col min="5" max="5" width="7.125" style="133" customWidth="1"/>
    <col min="6" max="6" width="11.375" style="155" customWidth="1"/>
    <col min="7" max="7" width="3" style="155" customWidth="1"/>
    <col min="8" max="8" width="11.375" style="155" customWidth="1"/>
    <col min="9" max="9" width="6.875" style="155" customWidth="1"/>
    <col min="10" max="10" width="11.125" style="155" customWidth="1"/>
    <col min="11" max="11" width="11.625" style="155" customWidth="1"/>
    <col min="12" max="12" width="9.25" style="155" customWidth="1"/>
    <col min="13" max="13" width="13.25" style="155" customWidth="1"/>
    <col min="14" max="14" width="1.75" style="154" customWidth="1"/>
    <col min="15" max="15" width="15.875" style="155" customWidth="1"/>
    <col min="16" max="16" width="6.375" style="155" customWidth="1"/>
    <col min="17" max="17" width="10.625" style="155" customWidth="1"/>
    <col min="18" max="18" width="12.625" style="155" customWidth="1"/>
    <col min="19" max="19" width="6.75" style="155" customWidth="1"/>
    <col min="20" max="20" width="10.625" style="155" customWidth="1"/>
    <col min="21" max="256" width="9" style="155"/>
    <col min="257" max="257" width="7.75" style="155" customWidth="1"/>
    <col min="258" max="258" width="5.25" style="155" customWidth="1"/>
    <col min="259" max="259" width="11.25" style="155" customWidth="1"/>
    <col min="260" max="260" width="7.375" style="155" customWidth="1"/>
    <col min="261" max="261" width="7.125" style="155" customWidth="1"/>
    <col min="262" max="262" width="11.375" style="155" customWidth="1"/>
    <col min="263" max="263" width="3" style="155" customWidth="1"/>
    <col min="264" max="264" width="11.375" style="155" customWidth="1"/>
    <col min="265" max="265" width="6.875" style="155" customWidth="1"/>
    <col min="266" max="266" width="11.125" style="155" customWidth="1"/>
    <col min="267" max="267" width="11.625" style="155" customWidth="1"/>
    <col min="268" max="268" width="9.25" style="155" customWidth="1"/>
    <col min="269" max="269" width="13.25" style="155" customWidth="1"/>
    <col min="270" max="270" width="2.5" style="155" customWidth="1"/>
    <col min="271" max="271" width="17.625" style="155" customWidth="1"/>
    <col min="272" max="272" width="6.375" style="155" customWidth="1"/>
    <col min="273" max="273" width="11.875" style="155" customWidth="1"/>
    <col min="274" max="274" width="9" style="155"/>
    <col min="275" max="275" width="6.75" style="155" customWidth="1"/>
    <col min="276" max="276" width="13.375" style="155" customWidth="1"/>
    <col min="277" max="512" width="9" style="155"/>
    <col min="513" max="513" width="7.75" style="155" customWidth="1"/>
    <col min="514" max="514" width="5.25" style="155" customWidth="1"/>
    <col min="515" max="515" width="11.25" style="155" customWidth="1"/>
    <col min="516" max="516" width="7.375" style="155" customWidth="1"/>
    <col min="517" max="517" width="7.125" style="155" customWidth="1"/>
    <col min="518" max="518" width="11.375" style="155" customWidth="1"/>
    <col min="519" max="519" width="3" style="155" customWidth="1"/>
    <col min="520" max="520" width="11.375" style="155" customWidth="1"/>
    <col min="521" max="521" width="6.875" style="155" customWidth="1"/>
    <col min="522" max="522" width="11.125" style="155" customWidth="1"/>
    <col min="523" max="523" width="11.625" style="155" customWidth="1"/>
    <col min="524" max="524" width="9.25" style="155" customWidth="1"/>
    <col min="525" max="525" width="13.25" style="155" customWidth="1"/>
    <col min="526" max="526" width="2.5" style="155" customWidth="1"/>
    <col min="527" max="527" width="17.625" style="155" customWidth="1"/>
    <col min="528" max="528" width="6.375" style="155" customWidth="1"/>
    <col min="529" max="529" width="11.875" style="155" customWidth="1"/>
    <col min="530" max="530" width="9" style="155"/>
    <col min="531" max="531" width="6.75" style="155" customWidth="1"/>
    <col min="532" max="532" width="13.375" style="155" customWidth="1"/>
    <col min="533" max="768" width="9" style="155"/>
    <col min="769" max="769" width="7.75" style="155" customWidth="1"/>
    <col min="770" max="770" width="5.25" style="155" customWidth="1"/>
    <col min="771" max="771" width="11.25" style="155" customWidth="1"/>
    <col min="772" max="772" width="7.375" style="155" customWidth="1"/>
    <col min="773" max="773" width="7.125" style="155" customWidth="1"/>
    <col min="774" max="774" width="11.375" style="155" customWidth="1"/>
    <col min="775" max="775" width="3" style="155" customWidth="1"/>
    <col min="776" max="776" width="11.375" style="155" customWidth="1"/>
    <col min="777" max="777" width="6.875" style="155" customWidth="1"/>
    <col min="778" max="778" width="11.125" style="155" customWidth="1"/>
    <col min="779" max="779" width="11.625" style="155" customWidth="1"/>
    <col min="780" max="780" width="9.25" style="155" customWidth="1"/>
    <col min="781" max="781" width="13.25" style="155" customWidth="1"/>
    <col min="782" max="782" width="2.5" style="155" customWidth="1"/>
    <col min="783" max="783" width="17.625" style="155" customWidth="1"/>
    <col min="784" max="784" width="6.375" style="155" customWidth="1"/>
    <col min="785" max="785" width="11.875" style="155" customWidth="1"/>
    <col min="786" max="786" width="9" style="155"/>
    <col min="787" max="787" width="6.75" style="155" customWidth="1"/>
    <col min="788" max="788" width="13.375" style="155" customWidth="1"/>
    <col min="789" max="1024" width="9" style="155"/>
    <col min="1025" max="1025" width="7.75" style="155" customWidth="1"/>
    <col min="1026" max="1026" width="5.25" style="155" customWidth="1"/>
    <col min="1027" max="1027" width="11.25" style="155" customWidth="1"/>
    <col min="1028" max="1028" width="7.375" style="155" customWidth="1"/>
    <col min="1029" max="1029" width="7.125" style="155" customWidth="1"/>
    <col min="1030" max="1030" width="11.375" style="155" customWidth="1"/>
    <col min="1031" max="1031" width="3" style="155" customWidth="1"/>
    <col min="1032" max="1032" width="11.375" style="155" customWidth="1"/>
    <col min="1033" max="1033" width="6.875" style="155" customWidth="1"/>
    <col min="1034" max="1034" width="11.125" style="155" customWidth="1"/>
    <col min="1035" max="1035" width="11.625" style="155" customWidth="1"/>
    <col min="1036" max="1036" width="9.25" style="155" customWidth="1"/>
    <col min="1037" max="1037" width="13.25" style="155" customWidth="1"/>
    <col min="1038" max="1038" width="2.5" style="155" customWidth="1"/>
    <col min="1039" max="1039" width="17.625" style="155" customWidth="1"/>
    <col min="1040" max="1040" width="6.375" style="155" customWidth="1"/>
    <col min="1041" max="1041" width="11.875" style="155" customWidth="1"/>
    <col min="1042" max="1042" width="9" style="155"/>
    <col min="1043" max="1043" width="6.75" style="155" customWidth="1"/>
    <col min="1044" max="1044" width="13.375" style="155" customWidth="1"/>
    <col min="1045" max="1280" width="9" style="155"/>
    <col min="1281" max="1281" width="7.75" style="155" customWidth="1"/>
    <col min="1282" max="1282" width="5.25" style="155" customWidth="1"/>
    <col min="1283" max="1283" width="11.25" style="155" customWidth="1"/>
    <col min="1284" max="1284" width="7.375" style="155" customWidth="1"/>
    <col min="1285" max="1285" width="7.125" style="155" customWidth="1"/>
    <col min="1286" max="1286" width="11.375" style="155" customWidth="1"/>
    <col min="1287" max="1287" width="3" style="155" customWidth="1"/>
    <col min="1288" max="1288" width="11.375" style="155" customWidth="1"/>
    <col min="1289" max="1289" width="6.875" style="155" customWidth="1"/>
    <col min="1290" max="1290" width="11.125" style="155" customWidth="1"/>
    <col min="1291" max="1291" width="11.625" style="155" customWidth="1"/>
    <col min="1292" max="1292" width="9.25" style="155" customWidth="1"/>
    <col min="1293" max="1293" width="13.25" style="155" customWidth="1"/>
    <col min="1294" max="1294" width="2.5" style="155" customWidth="1"/>
    <col min="1295" max="1295" width="17.625" style="155" customWidth="1"/>
    <col min="1296" max="1296" width="6.375" style="155" customWidth="1"/>
    <col min="1297" max="1297" width="11.875" style="155" customWidth="1"/>
    <col min="1298" max="1298" width="9" style="155"/>
    <col min="1299" max="1299" width="6.75" style="155" customWidth="1"/>
    <col min="1300" max="1300" width="13.375" style="155" customWidth="1"/>
    <col min="1301" max="1536" width="9" style="155"/>
    <col min="1537" max="1537" width="7.75" style="155" customWidth="1"/>
    <col min="1538" max="1538" width="5.25" style="155" customWidth="1"/>
    <col min="1539" max="1539" width="11.25" style="155" customWidth="1"/>
    <col min="1540" max="1540" width="7.375" style="155" customWidth="1"/>
    <col min="1541" max="1541" width="7.125" style="155" customWidth="1"/>
    <col min="1542" max="1542" width="11.375" style="155" customWidth="1"/>
    <col min="1543" max="1543" width="3" style="155" customWidth="1"/>
    <col min="1544" max="1544" width="11.375" style="155" customWidth="1"/>
    <col min="1545" max="1545" width="6.875" style="155" customWidth="1"/>
    <col min="1546" max="1546" width="11.125" style="155" customWidth="1"/>
    <col min="1547" max="1547" width="11.625" style="155" customWidth="1"/>
    <col min="1548" max="1548" width="9.25" style="155" customWidth="1"/>
    <col min="1549" max="1549" width="13.25" style="155" customWidth="1"/>
    <col min="1550" max="1550" width="2.5" style="155" customWidth="1"/>
    <col min="1551" max="1551" width="17.625" style="155" customWidth="1"/>
    <col min="1552" max="1552" width="6.375" style="155" customWidth="1"/>
    <col min="1553" max="1553" width="11.875" style="155" customWidth="1"/>
    <col min="1554" max="1554" width="9" style="155"/>
    <col min="1555" max="1555" width="6.75" style="155" customWidth="1"/>
    <col min="1556" max="1556" width="13.375" style="155" customWidth="1"/>
    <col min="1557" max="1792" width="9" style="155"/>
    <col min="1793" max="1793" width="7.75" style="155" customWidth="1"/>
    <col min="1794" max="1794" width="5.25" style="155" customWidth="1"/>
    <col min="1795" max="1795" width="11.25" style="155" customWidth="1"/>
    <col min="1796" max="1796" width="7.375" style="155" customWidth="1"/>
    <col min="1797" max="1797" width="7.125" style="155" customWidth="1"/>
    <col min="1798" max="1798" width="11.375" style="155" customWidth="1"/>
    <col min="1799" max="1799" width="3" style="155" customWidth="1"/>
    <col min="1800" max="1800" width="11.375" style="155" customWidth="1"/>
    <col min="1801" max="1801" width="6.875" style="155" customWidth="1"/>
    <col min="1802" max="1802" width="11.125" style="155" customWidth="1"/>
    <col min="1803" max="1803" width="11.625" style="155" customWidth="1"/>
    <col min="1804" max="1804" width="9.25" style="155" customWidth="1"/>
    <col min="1805" max="1805" width="13.25" style="155" customWidth="1"/>
    <col min="1806" max="1806" width="2.5" style="155" customWidth="1"/>
    <col min="1807" max="1807" width="17.625" style="155" customWidth="1"/>
    <col min="1808" max="1808" width="6.375" style="155" customWidth="1"/>
    <col min="1809" max="1809" width="11.875" style="155" customWidth="1"/>
    <col min="1810" max="1810" width="9" style="155"/>
    <col min="1811" max="1811" width="6.75" style="155" customWidth="1"/>
    <col min="1812" max="1812" width="13.375" style="155" customWidth="1"/>
    <col min="1813" max="2048" width="9" style="155"/>
    <col min="2049" max="2049" width="7.75" style="155" customWidth="1"/>
    <col min="2050" max="2050" width="5.25" style="155" customWidth="1"/>
    <col min="2051" max="2051" width="11.25" style="155" customWidth="1"/>
    <col min="2052" max="2052" width="7.375" style="155" customWidth="1"/>
    <col min="2053" max="2053" width="7.125" style="155" customWidth="1"/>
    <col min="2054" max="2054" width="11.375" style="155" customWidth="1"/>
    <col min="2055" max="2055" width="3" style="155" customWidth="1"/>
    <col min="2056" max="2056" width="11.375" style="155" customWidth="1"/>
    <col min="2057" max="2057" width="6.875" style="155" customWidth="1"/>
    <col min="2058" max="2058" width="11.125" style="155" customWidth="1"/>
    <col min="2059" max="2059" width="11.625" style="155" customWidth="1"/>
    <col min="2060" max="2060" width="9.25" style="155" customWidth="1"/>
    <col min="2061" max="2061" width="13.25" style="155" customWidth="1"/>
    <col min="2062" max="2062" width="2.5" style="155" customWidth="1"/>
    <col min="2063" max="2063" width="17.625" style="155" customWidth="1"/>
    <col min="2064" max="2064" width="6.375" style="155" customWidth="1"/>
    <col min="2065" max="2065" width="11.875" style="155" customWidth="1"/>
    <col min="2066" max="2066" width="9" style="155"/>
    <col min="2067" max="2067" width="6.75" style="155" customWidth="1"/>
    <col min="2068" max="2068" width="13.375" style="155" customWidth="1"/>
    <col min="2069" max="2304" width="9" style="155"/>
    <col min="2305" max="2305" width="7.75" style="155" customWidth="1"/>
    <col min="2306" max="2306" width="5.25" style="155" customWidth="1"/>
    <col min="2307" max="2307" width="11.25" style="155" customWidth="1"/>
    <col min="2308" max="2308" width="7.375" style="155" customWidth="1"/>
    <col min="2309" max="2309" width="7.125" style="155" customWidth="1"/>
    <col min="2310" max="2310" width="11.375" style="155" customWidth="1"/>
    <col min="2311" max="2311" width="3" style="155" customWidth="1"/>
    <col min="2312" max="2312" width="11.375" style="155" customWidth="1"/>
    <col min="2313" max="2313" width="6.875" style="155" customWidth="1"/>
    <col min="2314" max="2314" width="11.125" style="155" customWidth="1"/>
    <col min="2315" max="2315" width="11.625" style="155" customWidth="1"/>
    <col min="2316" max="2316" width="9.25" style="155" customWidth="1"/>
    <col min="2317" max="2317" width="13.25" style="155" customWidth="1"/>
    <col min="2318" max="2318" width="2.5" style="155" customWidth="1"/>
    <col min="2319" max="2319" width="17.625" style="155" customWidth="1"/>
    <col min="2320" max="2320" width="6.375" style="155" customWidth="1"/>
    <col min="2321" max="2321" width="11.875" style="155" customWidth="1"/>
    <col min="2322" max="2322" width="9" style="155"/>
    <col min="2323" max="2323" width="6.75" style="155" customWidth="1"/>
    <col min="2324" max="2324" width="13.375" style="155" customWidth="1"/>
    <col min="2325" max="2560" width="9" style="155"/>
    <col min="2561" max="2561" width="7.75" style="155" customWidth="1"/>
    <col min="2562" max="2562" width="5.25" style="155" customWidth="1"/>
    <col min="2563" max="2563" width="11.25" style="155" customWidth="1"/>
    <col min="2564" max="2564" width="7.375" style="155" customWidth="1"/>
    <col min="2565" max="2565" width="7.125" style="155" customWidth="1"/>
    <col min="2566" max="2566" width="11.375" style="155" customWidth="1"/>
    <col min="2567" max="2567" width="3" style="155" customWidth="1"/>
    <col min="2568" max="2568" width="11.375" style="155" customWidth="1"/>
    <col min="2569" max="2569" width="6.875" style="155" customWidth="1"/>
    <col min="2570" max="2570" width="11.125" style="155" customWidth="1"/>
    <col min="2571" max="2571" width="11.625" style="155" customWidth="1"/>
    <col min="2572" max="2572" width="9.25" style="155" customWidth="1"/>
    <col min="2573" max="2573" width="13.25" style="155" customWidth="1"/>
    <col min="2574" max="2574" width="2.5" style="155" customWidth="1"/>
    <col min="2575" max="2575" width="17.625" style="155" customWidth="1"/>
    <col min="2576" max="2576" width="6.375" style="155" customWidth="1"/>
    <col min="2577" max="2577" width="11.875" style="155" customWidth="1"/>
    <col min="2578" max="2578" width="9" style="155"/>
    <col min="2579" max="2579" width="6.75" style="155" customWidth="1"/>
    <col min="2580" max="2580" width="13.375" style="155" customWidth="1"/>
    <col min="2581" max="2816" width="9" style="155"/>
    <col min="2817" max="2817" width="7.75" style="155" customWidth="1"/>
    <col min="2818" max="2818" width="5.25" style="155" customWidth="1"/>
    <col min="2819" max="2819" width="11.25" style="155" customWidth="1"/>
    <col min="2820" max="2820" width="7.375" style="155" customWidth="1"/>
    <col min="2821" max="2821" width="7.125" style="155" customWidth="1"/>
    <col min="2822" max="2822" width="11.375" style="155" customWidth="1"/>
    <col min="2823" max="2823" width="3" style="155" customWidth="1"/>
    <col min="2824" max="2824" width="11.375" style="155" customWidth="1"/>
    <col min="2825" max="2825" width="6.875" style="155" customWidth="1"/>
    <col min="2826" max="2826" width="11.125" style="155" customWidth="1"/>
    <col min="2827" max="2827" width="11.625" style="155" customWidth="1"/>
    <col min="2828" max="2828" width="9.25" style="155" customWidth="1"/>
    <col min="2829" max="2829" width="13.25" style="155" customWidth="1"/>
    <col min="2830" max="2830" width="2.5" style="155" customWidth="1"/>
    <col min="2831" max="2831" width="17.625" style="155" customWidth="1"/>
    <col min="2832" max="2832" width="6.375" style="155" customWidth="1"/>
    <col min="2833" max="2833" width="11.875" style="155" customWidth="1"/>
    <col min="2834" max="2834" width="9" style="155"/>
    <col min="2835" max="2835" width="6.75" style="155" customWidth="1"/>
    <col min="2836" max="2836" width="13.375" style="155" customWidth="1"/>
    <col min="2837" max="3072" width="9" style="155"/>
    <col min="3073" max="3073" width="7.75" style="155" customWidth="1"/>
    <col min="3074" max="3074" width="5.25" style="155" customWidth="1"/>
    <col min="3075" max="3075" width="11.25" style="155" customWidth="1"/>
    <col min="3076" max="3076" width="7.375" style="155" customWidth="1"/>
    <col min="3077" max="3077" width="7.125" style="155" customWidth="1"/>
    <col min="3078" max="3078" width="11.375" style="155" customWidth="1"/>
    <col min="3079" max="3079" width="3" style="155" customWidth="1"/>
    <col min="3080" max="3080" width="11.375" style="155" customWidth="1"/>
    <col min="3081" max="3081" width="6.875" style="155" customWidth="1"/>
    <col min="3082" max="3082" width="11.125" style="155" customWidth="1"/>
    <col min="3083" max="3083" width="11.625" style="155" customWidth="1"/>
    <col min="3084" max="3084" width="9.25" style="155" customWidth="1"/>
    <col min="3085" max="3085" width="13.25" style="155" customWidth="1"/>
    <col min="3086" max="3086" width="2.5" style="155" customWidth="1"/>
    <col min="3087" max="3087" width="17.625" style="155" customWidth="1"/>
    <col min="3088" max="3088" width="6.375" style="155" customWidth="1"/>
    <col min="3089" max="3089" width="11.875" style="155" customWidth="1"/>
    <col min="3090" max="3090" width="9" style="155"/>
    <col min="3091" max="3091" width="6.75" style="155" customWidth="1"/>
    <col min="3092" max="3092" width="13.375" style="155" customWidth="1"/>
    <col min="3093" max="3328" width="9" style="155"/>
    <col min="3329" max="3329" width="7.75" style="155" customWidth="1"/>
    <col min="3330" max="3330" width="5.25" style="155" customWidth="1"/>
    <col min="3331" max="3331" width="11.25" style="155" customWidth="1"/>
    <col min="3332" max="3332" width="7.375" style="155" customWidth="1"/>
    <col min="3333" max="3333" width="7.125" style="155" customWidth="1"/>
    <col min="3334" max="3334" width="11.375" style="155" customWidth="1"/>
    <col min="3335" max="3335" width="3" style="155" customWidth="1"/>
    <col min="3336" max="3336" width="11.375" style="155" customWidth="1"/>
    <col min="3337" max="3337" width="6.875" style="155" customWidth="1"/>
    <col min="3338" max="3338" width="11.125" style="155" customWidth="1"/>
    <col min="3339" max="3339" width="11.625" style="155" customWidth="1"/>
    <col min="3340" max="3340" width="9.25" style="155" customWidth="1"/>
    <col min="3341" max="3341" width="13.25" style="155" customWidth="1"/>
    <col min="3342" max="3342" width="2.5" style="155" customWidth="1"/>
    <col min="3343" max="3343" width="17.625" style="155" customWidth="1"/>
    <col min="3344" max="3344" width="6.375" style="155" customWidth="1"/>
    <col min="3345" max="3345" width="11.875" style="155" customWidth="1"/>
    <col min="3346" max="3346" width="9" style="155"/>
    <col min="3347" max="3347" width="6.75" style="155" customWidth="1"/>
    <col min="3348" max="3348" width="13.375" style="155" customWidth="1"/>
    <col min="3349" max="3584" width="9" style="155"/>
    <col min="3585" max="3585" width="7.75" style="155" customWidth="1"/>
    <col min="3586" max="3586" width="5.25" style="155" customWidth="1"/>
    <col min="3587" max="3587" width="11.25" style="155" customWidth="1"/>
    <col min="3588" max="3588" width="7.375" style="155" customWidth="1"/>
    <col min="3589" max="3589" width="7.125" style="155" customWidth="1"/>
    <col min="3590" max="3590" width="11.375" style="155" customWidth="1"/>
    <col min="3591" max="3591" width="3" style="155" customWidth="1"/>
    <col min="3592" max="3592" width="11.375" style="155" customWidth="1"/>
    <col min="3593" max="3593" width="6.875" style="155" customWidth="1"/>
    <col min="3594" max="3594" width="11.125" style="155" customWidth="1"/>
    <col min="3595" max="3595" width="11.625" style="155" customWidth="1"/>
    <col min="3596" max="3596" width="9.25" style="155" customWidth="1"/>
    <col min="3597" max="3597" width="13.25" style="155" customWidth="1"/>
    <col min="3598" max="3598" width="2.5" style="155" customWidth="1"/>
    <col min="3599" max="3599" width="17.625" style="155" customWidth="1"/>
    <col min="3600" max="3600" width="6.375" style="155" customWidth="1"/>
    <col min="3601" max="3601" width="11.875" style="155" customWidth="1"/>
    <col min="3602" max="3602" width="9" style="155"/>
    <col min="3603" max="3603" width="6.75" style="155" customWidth="1"/>
    <col min="3604" max="3604" width="13.375" style="155" customWidth="1"/>
    <col min="3605" max="3840" width="9" style="155"/>
    <col min="3841" max="3841" width="7.75" style="155" customWidth="1"/>
    <col min="3842" max="3842" width="5.25" style="155" customWidth="1"/>
    <col min="3843" max="3843" width="11.25" style="155" customWidth="1"/>
    <col min="3844" max="3844" width="7.375" style="155" customWidth="1"/>
    <col min="3845" max="3845" width="7.125" style="155" customWidth="1"/>
    <col min="3846" max="3846" width="11.375" style="155" customWidth="1"/>
    <col min="3847" max="3847" width="3" style="155" customWidth="1"/>
    <col min="3848" max="3848" width="11.375" style="155" customWidth="1"/>
    <col min="3849" max="3849" width="6.875" style="155" customWidth="1"/>
    <col min="3850" max="3850" width="11.125" style="155" customWidth="1"/>
    <col min="3851" max="3851" width="11.625" style="155" customWidth="1"/>
    <col min="3852" max="3852" width="9.25" style="155" customWidth="1"/>
    <col min="3853" max="3853" width="13.25" style="155" customWidth="1"/>
    <col min="3854" max="3854" width="2.5" style="155" customWidth="1"/>
    <col min="3855" max="3855" width="17.625" style="155" customWidth="1"/>
    <col min="3856" max="3856" width="6.375" style="155" customWidth="1"/>
    <col min="3857" max="3857" width="11.875" style="155" customWidth="1"/>
    <col min="3858" max="3858" width="9" style="155"/>
    <col min="3859" max="3859" width="6.75" style="155" customWidth="1"/>
    <col min="3860" max="3860" width="13.375" style="155" customWidth="1"/>
    <col min="3861" max="4096" width="9" style="155"/>
    <col min="4097" max="4097" width="7.75" style="155" customWidth="1"/>
    <col min="4098" max="4098" width="5.25" style="155" customWidth="1"/>
    <col min="4099" max="4099" width="11.25" style="155" customWidth="1"/>
    <col min="4100" max="4100" width="7.375" style="155" customWidth="1"/>
    <col min="4101" max="4101" width="7.125" style="155" customWidth="1"/>
    <col min="4102" max="4102" width="11.375" style="155" customWidth="1"/>
    <col min="4103" max="4103" width="3" style="155" customWidth="1"/>
    <col min="4104" max="4104" width="11.375" style="155" customWidth="1"/>
    <col min="4105" max="4105" width="6.875" style="155" customWidth="1"/>
    <col min="4106" max="4106" width="11.125" style="155" customWidth="1"/>
    <col min="4107" max="4107" width="11.625" style="155" customWidth="1"/>
    <col min="4108" max="4108" width="9.25" style="155" customWidth="1"/>
    <col min="4109" max="4109" width="13.25" style="155" customWidth="1"/>
    <col min="4110" max="4110" width="2.5" style="155" customWidth="1"/>
    <col min="4111" max="4111" width="17.625" style="155" customWidth="1"/>
    <col min="4112" max="4112" width="6.375" style="155" customWidth="1"/>
    <col min="4113" max="4113" width="11.875" style="155" customWidth="1"/>
    <col min="4114" max="4114" width="9" style="155"/>
    <col min="4115" max="4115" width="6.75" style="155" customWidth="1"/>
    <col min="4116" max="4116" width="13.375" style="155" customWidth="1"/>
    <col min="4117" max="4352" width="9" style="155"/>
    <col min="4353" max="4353" width="7.75" style="155" customWidth="1"/>
    <col min="4354" max="4354" width="5.25" style="155" customWidth="1"/>
    <col min="4355" max="4355" width="11.25" style="155" customWidth="1"/>
    <col min="4356" max="4356" width="7.375" style="155" customWidth="1"/>
    <col min="4357" max="4357" width="7.125" style="155" customWidth="1"/>
    <col min="4358" max="4358" width="11.375" style="155" customWidth="1"/>
    <col min="4359" max="4359" width="3" style="155" customWidth="1"/>
    <col min="4360" max="4360" width="11.375" style="155" customWidth="1"/>
    <col min="4361" max="4361" width="6.875" style="155" customWidth="1"/>
    <col min="4362" max="4362" width="11.125" style="155" customWidth="1"/>
    <col min="4363" max="4363" width="11.625" style="155" customWidth="1"/>
    <col min="4364" max="4364" width="9.25" style="155" customWidth="1"/>
    <col min="4365" max="4365" width="13.25" style="155" customWidth="1"/>
    <col min="4366" max="4366" width="2.5" style="155" customWidth="1"/>
    <col min="4367" max="4367" width="17.625" style="155" customWidth="1"/>
    <col min="4368" max="4368" width="6.375" style="155" customWidth="1"/>
    <col min="4369" max="4369" width="11.875" style="155" customWidth="1"/>
    <col min="4370" max="4370" width="9" style="155"/>
    <col min="4371" max="4371" width="6.75" style="155" customWidth="1"/>
    <col min="4372" max="4372" width="13.375" style="155" customWidth="1"/>
    <col min="4373" max="4608" width="9" style="155"/>
    <col min="4609" max="4609" width="7.75" style="155" customWidth="1"/>
    <col min="4610" max="4610" width="5.25" style="155" customWidth="1"/>
    <col min="4611" max="4611" width="11.25" style="155" customWidth="1"/>
    <col min="4612" max="4612" width="7.375" style="155" customWidth="1"/>
    <col min="4613" max="4613" width="7.125" style="155" customWidth="1"/>
    <col min="4614" max="4614" width="11.375" style="155" customWidth="1"/>
    <col min="4615" max="4615" width="3" style="155" customWidth="1"/>
    <col min="4616" max="4616" width="11.375" style="155" customWidth="1"/>
    <col min="4617" max="4617" width="6.875" style="155" customWidth="1"/>
    <col min="4618" max="4618" width="11.125" style="155" customWidth="1"/>
    <col min="4619" max="4619" width="11.625" style="155" customWidth="1"/>
    <col min="4620" max="4620" width="9.25" style="155" customWidth="1"/>
    <col min="4621" max="4621" width="13.25" style="155" customWidth="1"/>
    <col min="4622" max="4622" width="2.5" style="155" customWidth="1"/>
    <col min="4623" max="4623" width="17.625" style="155" customWidth="1"/>
    <col min="4624" max="4624" width="6.375" style="155" customWidth="1"/>
    <col min="4625" max="4625" width="11.875" style="155" customWidth="1"/>
    <col min="4626" max="4626" width="9" style="155"/>
    <col min="4627" max="4627" width="6.75" style="155" customWidth="1"/>
    <col min="4628" max="4628" width="13.375" style="155" customWidth="1"/>
    <col min="4629" max="4864" width="9" style="155"/>
    <col min="4865" max="4865" width="7.75" style="155" customWidth="1"/>
    <col min="4866" max="4866" width="5.25" style="155" customWidth="1"/>
    <col min="4867" max="4867" width="11.25" style="155" customWidth="1"/>
    <col min="4868" max="4868" width="7.375" style="155" customWidth="1"/>
    <col min="4869" max="4869" width="7.125" style="155" customWidth="1"/>
    <col min="4870" max="4870" width="11.375" style="155" customWidth="1"/>
    <col min="4871" max="4871" width="3" style="155" customWidth="1"/>
    <col min="4872" max="4872" width="11.375" style="155" customWidth="1"/>
    <col min="4873" max="4873" width="6.875" style="155" customWidth="1"/>
    <col min="4874" max="4874" width="11.125" style="155" customWidth="1"/>
    <col min="4875" max="4875" width="11.625" style="155" customWidth="1"/>
    <col min="4876" max="4876" width="9.25" style="155" customWidth="1"/>
    <col min="4877" max="4877" width="13.25" style="155" customWidth="1"/>
    <col min="4878" max="4878" width="2.5" style="155" customWidth="1"/>
    <col min="4879" max="4879" width="17.625" style="155" customWidth="1"/>
    <col min="4880" max="4880" width="6.375" style="155" customWidth="1"/>
    <col min="4881" max="4881" width="11.875" style="155" customWidth="1"/>
    <col min="4882" max="4882" width="9" style="155"/>
    <col min="4883" max="4883" width="6.75" style="155" customWidth="1"/>
    <col min="4884" max="4884" width="13.375" style="155" customWidth="1"/>
    <col min="4885" max="5120" width="9" style="155"/>
    <col min="5121" max="5121" width="7.75" style="155" customWidth="1"/>
    <col min="5122" max="5122" width="5.25" style="155" customWidth="1"/>
    <col min="5123" max="5123" width="11.25" style="155" customWidth="1"/>
    <col min="5124" max="5124" width="7.375" style="155" customWidth="1"/>
    <col min="5125" max="5125" width="7.125" style="155" customWidth="1"/>
    <col min="5126" max="5126" width="11.375" style="155" customWidth="1"/>
    <col min="5127" max="5127" width="3" style="155" customWidth="1"/>
    <col min="5128" max="5128" width="11.375" style="155" customWidth="1"/>
    <col min="5129" max="5129" width="6.875" style="155" customWidth="1"/>
    <col min="5130" max="5130" width="11.125" style="155" customWidth="1"/>
    <col min="5131" max="5131" width="11.625" style="155" customWidth="1"/>
    <col min="5132" max="5132" width="9.25" style="155" customWidth="1"/>
    <col min="5133" max="5133" width="13.25" style="155" customWidth="1"/>
    <col min="5134" max="5134" width="2.5" style="155" customWidth="1"/>
    <col min="5135" max="5135" width="17.625" style="155" customWidth="1"/>
    <col min="5136" max="5136" width="6.375" style="155" customWidth="1"/>
    <col min="5137" max="5137" width="11.875" style="155" customWidth="1"/>
    <col min="5138" max="5138" width="9" style="155"/>
    <col min="5139" max="5139" width="6.75" style="155" customWidth="1"/>
    <col min="5140" max="5140" width="13.375" style="155" customWidth="1"/>
    <col min="5141" max="5376" width="9" style="155"/>
    <col min="5377" max="5377" width="7.75" style="155" customWidth="1"/>
    <col min="5378" max="5378" width="5.25" style="155" customWidth="1"/>
    <col min="5379" max="5379" width="11.25" style="155" customWidth="1"/>
    <col min="5380" max="5380" width="7.375" style="155" customWidth="1"/>
    <col min="5381" max="5381" width="7.125" style="155" customWidth="1"/>
    <col min="5382" max="5382" width="11.375" style="155" customWidth="1"/>
    <col min="5383" max="5383" width="3" style="155" customWidth="1"/>
    <col min="5384" max="5384" width="11.375" style="155" customWidth="1"/>
    <col min="5385" max="5385" width="6.875" style="155" customWidth="1"/>
    <col min="5386" max="5386" width="11.125" style="155" customWidth="1"/>
    <col min="5387" max="5387" width="11.625" style="155" customWidth="1"/>
    <col min="5388" max="5388" width="9.25" style="155" customWidth="1"/>
    <col min="5389" max="5389" width="13.25" style="155" customWidth="1"/>
    <col min="5390" max="5390" width="2.5" style="155" customWidth="1"/>
    <col min="5391" max="5391" width="17.625" style="155" customWidth="1"/>
    <col min="5392" max="5392" width="6.375" style="155" customWidth="1"/>
    <col min="5393" max="5393" width="11.875" style="155" customWidth="1"/>
    <col min="5394" max="5394" width="9" style="155"/>
    <col min="5395" max="5395" width="6.75" style="155" customWidth="1"/>
    <col min="5396" max="5396" width="13.375" style="155" customWidth="1"/>
    <col min="5397" max="5632" width="9" style="155"/>
    <col min="5633" max="5633" width="7.75" style="155" customWidth="1"/>
    <col min="5634" max="5634" width="5.25" style="155" customWidth="1"/>
    <col min="5635" max="5635" width="11.25" style="155" customWidth="1"/>
    <col min="5636" max="5636" width="7.375" style="155" customWidth="1"/>
    <col min="5637" max="5637" width="7.125" style="155" customWidth="1"/>
    <col min="5638" max="5638" width="11.375" style="155" customWidth="1"/>
    <col min="5639" max="5639" width="3" style="155" customWidth="1"/>
    <col min="5640" max="5640" width="11.375" style="155" customWidth="1"/>
    <col min="5641" max="5641" width="6.875" style="155" customWidth="1"/>
    <col min="5642" max="5642" width="11.125" style="155" customWidth="1"/>
    <col min="5643" max="5643" width="11.625" style="155" customWidth="1"/>
    <col min="5644" max="5644" width="9.25" style="155" customWidth="1"/>
    <col min="5645" max="5645" width="13.25" style="155" customWidth="1"/>
    <col min="5646" max="5646" width="2.5" style="155" customWidth="1"/>
    <col min="5647" max="5647" width="17.625" style="155" customWidth="1"/>
    <col min="5648" max="5648" width="6.375" style="155" customWidth="1"/>
    <col min="5649" max="5649" width="11.875" style="155" customWidth="1"/>
    <col min="5650" max="5650" width="9" style="155"/>
    <col min="5651" max="5651" width="6.75" style="155" customWidth="1"/>
    <col min="5652" max="5652" width="13.375" style="155" customWidth="1"/>
    <col min="5653" max="5888" width="9" style="155"/>
    <col min="5889" max="5889" width="7.75" style="155" customWidth="1"/>
    <col min="5890" max="5890" width="5.25" style="155" customWidth="1"/>
    <col min="5891" max="5891" width="11.25" style="155" customWidth="1"/>
    <col min="5892" max="5892" width="7.375" style="155" customWidth="1"/>
    <col min="5893" max="5893" width="7.125" style="155" customWidth="1"/>
    <col min="5894" max="5894" width="11.375" style="155" customWidth="1"/>
    <col min="5895" max="5895" width="3" style="155" customWidth="1"/>
    <col min="5896" max="5896" width="11.375" style="155" customWidth="1"/>
    <col min="5897" max="5897" width="6.875" style="155" customWidth="1"/>
    <col min="5898" max="5898" width="11.125" style="155" customWidth="1"/>
    <col min="5899" max="5899" width="11.625" style="155" customWidth="1"/>
    <col min="5900" max="5900" width="9.25" style="155" customWidth="1"/>
    <col min="5901" max="5901" width="13.25" style="155" customWidth="1"/>
    <col min="5902" max="5902" width="2.5" style="155" customWidth="1"/>
    <col min="5903" max="5903" width="17.625" style="155" customWidth="1"/>
    <col min="5904" max="5904" width="6.375" style="155" customWidth="1"/>
    <col min="5905" max="5905" width="11.875" style="155" customWidth="1"/>
    <col min="5906" max="5906" width="9" style="155"/>
    <col min="5907" max="5907" width="6.75" style="155" customWidth="1"/>
    <col min="5908" max="5908" width="13.375" style="155" customWidth="1"/>
    <col min="5909" max="6144" width="9" style="155"/>
    <col min="6145" max="6145" width="7.75" style="155" customWidth="1"/>
    <col min="6146" max="6146" width="5.25" style="155" customWidth="1"/>
    <col min="6147" max="6147" width="11.25" style="155" customWidth="1"/>
    <col min="6148" max="6148" width="7.375" style="155" customWidth="1"/>
    <col min="6149" max="6149" width="7.125" style="155" customWidth="1"/>
    <col min="6150" max="6150" width="11.375" style="155" customWidth="1"/>
    <col min="6151" max="6151" width="3" style="155" customWidth="1"/>
    <col min="6152" max="6152" width="11.375" style="155" customWidth="1"/>
    <col min="6153" max="6153" width="6.875" style="155" customWidth="1"/>
    <col min="6154" max="6154" width="11.125" style="155" customWidth="1"/>
    <col min="6155" max="6155" width="11.625" style="155" customWidth="1"/>
    <col min="6156" max="6156" width="9.25" style="155" customWidth="1"/>
    <col min="6157" max="6157" width="13.25" style="155" customWidth="1"/>
    <col min="6158" max="6158" width="2.5" style="155" customWidth="1"/>
    <col min="6159" max="6159" width="17.625" style="155" customWidth="1"/>
    <col min="6160" max="6160" width="6.375" style="155" customWidth="1"/>
    <col min="6161" max="6161" width="11.875" style="155" customWidth="1"/>
    <col min="6162" max="6162" width="9" style="155"/>
    <col min="6163" max="6163" width="6.75" style="155" customWidth="1"/>
    <col min="6164" max="6164" width="13.375" style="155" customWidth="1"/>
    <col min="6165" max="6400" width="9" style="155"/>
    <col min="6401" max="6401" width="7.75" style="155" customWidth="1"/>
    <col min="6402" max="6402" width="5.25" style="155" customWidth="1"/>
    <col min="6403" max="6403" width="11.25" style="155" customWidth="1"/>
    <col min="6404" max="6404" width="7.375" style="155" customWidth="1"/>
    <col min="6405" max="6405" width="7.125" style="155" customWidth="1"/>
    <col min="6406" max="6406" width="11.375" style="155" customWidth="1"/>
    <col min="6407" max="6407" width="3" style="155" customWidth="1"/>
    <col min="6408" max="6408" width="11.375" style="155" customWidth="1"/>
    <col min="6409" max="6409" width="6.875" style="155" customWidth="1"/>
    <col min="6410" max="6410" width="11.125" style="155" customWidth="1"/>
    <col min="6411" max="6411" width="11.625" style="155" customWidth="1"/>
    <col min="6412" max="6412" width="9.25" style="155" customWidth="1"/>
    <col min="6413" max="6413" width="13.25" style="155" customWidth="1"/>
    <col min="6414" max="6414" width="2.5" style="155" customWidth="1"/>
    <col min="6415" max="6415" width="17.625" style="155" customWidth="1"/>
    <col min="6416" max="6416" width="6.375" style="155" customWidth="1"/>
    <col min="6417" max="6417" width="11.875" style="155" customWidth="1"/>
    <col min="6418" max="6418" width="9" style="155"/>
    <col min="6419" max="6419" width="6.75" style="155" customWidth="1"/>
    <col min="6420" max="6420" width="13.375" style="155" customWidth="1"/>
    <col min="6421" max="6656" width="9" style="155"/>
    <col min="6657" max="6657" width="7.75" style="155" customWidth="1"/>
    <col min="6658" max="6658" width="5.25" style="155" customWidth="1"/>
    <col min="6659" max="6659" width="11.25" style="155" customWidth="1"/>
    <col min="6660" max="6660" width="7.375" style="155" customWidth="1"/>
    <col min="6661" max="6661" width="7.125" style="155" customWidth="1"/>
    <col min="6662" max="6662" width="11.375" style="155" customWidth="1"/>
    <col min="6663" max="6663" width="3" style="155" customWidth="1"/>
    <col min="6664" max="6664" width="11.375" style="155" customWidth="1"/>
    <col min="6665" max="6665" width="6.875" style="155" customWidth="1"/>
    <col min="6666" max="6666" width="11.125" style="155" customWidth="1"/>
    <col min="6667" max="6667" width="11.625" style="155" customWidth="1"/>
    <col min="6668" max="6668" width="9.25" style="155" customWidth="1"/>
    <col min="6669" max="6669" width="13.25" style="155" customWidth="1"/>
    <col min="6670" max="6670" width="2.5" style="155" customWidth="1"/>
    <col min="6671" max="6671" width="17.625" style="155" customWidth="1"/>
    <col min="6672" max="6672" width="6.375" style="155" customWidth="1"/>
    <col min="6673" max="6673" width="11.875" style="155" customWidth="1"/>
    <col min="6674" max="6674" width="9" style="155"/>
    <col min="6675" max="6675" width="6.75" style="155" customWidth="1"/>
    <col min="6676" max="6676" width="13.375" style="155" customWidth="1"/>
    <col min="6677" max="6912" width="9" style="155"/>
    <col min="6913" max="6913" width="7.75" style="155" customWidth="1"/>
    <col min="6914" max="6914" width="5.25" style="155" customWidth="1"/>
    <col min="6915" max="6915" width="11.25" style="155" customWidth="1"/>
    <col min="6916" max="6916" width="7.375" style="155" customWidth="1"/>
    <col min="6917" max="6917" width="7.125" style="155" customWidth="1"/>
    <col min="6918" max="6918" width="11.375" style="155" customWidth="1"/>
    <col min="6919" max="6919" width="3" style="155" customWidth="1"/>
    <col min="6920" max="6920" width="11.375" style="155" customWidth="1"/>
    <col min="6921" max="6921" width="6.875" style="155" customWidth="1"/>
    <col min="6922" max="6922" width="11.125" style="155" customWidth="1"/>
    <col min="6923" max="6923" width="11.625" style="155" customWidth="1"/>
    <col min="6924" max="6924" width="9.25" style="155" customWidth="1"/>
    <col min="6925" max="6925" width="13.25" style="155" customWidth="1"/>
    <col min="6926" max="6926" width="2.5" style="155" customWidth="1"/>
    <col min="6927" max="6927" width="17.625" style="155" customWidth="1"/>
    <col min="6928" max="6928" width="6.375" style="155" customWidth="1"/>
    <col min="6929" max="6929" width="11.875" style="155" customWidth="1"/>
    <col min="6930" max="6930" width="9" style="155"/>
    <col min="6931" max="6931" width="6.75" style="155" customWidth="1"/>
    <col min="6932" max="6932" width="13.375" style="155" customWidth="1"/>
    <col min="6933" max="7168" width="9" style="155"/>
    <col min="7169" max="7169" width="7.75" style="155" customWidth="1"/>
    <col min="7170" max="7170" width="5.25" style="155" customWidth="1"/>
    <col min="7171" max="7171" width="11.25" style="155" customWidth="1"/>
    <col min="7172" max="7172" width="7.375" style="155" customWidth="1"/>
    <col min="7173" max="7173" width="7.125" style="155" customWidth="1"/>
    <col min="7174" max="7174" width="11.375" style="155" customWidth="1"/>
    <col min="7175" max="7175" width="3" style="155" customWidth="1"/>
    <col min="7176" max="7176" width="11.375" style="155" customWidth="1"/>
    <col min="7177" max="7177" width="6.875" style="155" customWidth="1"/>
    <col min="7178" max="7178" width="11.125" style="155" customWidth="1"/>
    <col min="7179" max="7179" width="11.625" style="155" customWidth="1"/>
    <col min="7180" max="7180" width="9.25" style="155" customWidth="1"/>
    <col min="7181" max="7181" width="13.25" style="155" customWidth="1"/>
    <col min="7182" max="7182" width="2.5" style="155" customWidth="1"/>
    <col min="7183" max="7183" width="17.625" style="155" customWidth="1"/>
    <col min="7184" max="7184" width="6.375" style="155" customWidth="1"/>
    <col min="7185" max="7185" width="11.875" style="155" customWidth="1"/>
    <col min="7186" max="7186" width="9" style="155"/>
    <col min="7187" max="7187" width="6.75" style="155" customWidth="1"/>
    <col min="7188" max="7188" width="13.375" style="155" customWidth="1"/>
    <col min="7189" max="7424" width="9" style="155"/>
    <col min="7425" max="7425" width="7.75" style="155" customWidth="1"/>
    <col min="7426" max="7426" width="5.25" style="155" customWidth="1"/>
    <col min="7427" max="7427" width="11.25" style="155" customWidth="1"/>
    <col min="7428" max="7428" width="7.375" style="155" customWidth="1"/>
    <col min="7429" max="7429" width="7.125" style="155" customWidth="1"/>
    <col min="7430" max="7430" width="11.375" style="155" customWidth="1"/>
    <col min="7431" max="7431" width="3" style="155" customWidth="1"/>
    <col min="7432" max="7432" width="11.375" style="155" customWidth="1"/>
    <col min="7433" max="7433" width="6.875" style="155" customWidth="1"/>
    <col min="7434" max="7434" width="11.125" style="155" customWidth="1"/>
    <col min="7435" max="7435" width="11.625" style="155" customWidth="1"/>
    <col min="7436" max="7436" width="9.25" style="155" customWidth="1"/>
    <col min="7437" max="7437" width="13.25" style="155" customWidth="1"/>
    <col min="7438" max="7438" width="2.5" style="155" customWidth="1"/>
    <col min="7439" max="7439" width="17.625" style="155" customWidth="1"/>
    <col min="7440" max="7440" width="6.375" style="155" customWidth="1"/>
    <col min="7441" max="7441" width="11.875" style="155" customWidth="1"/>
    <col min="7442" max="7442" width="9" style="155"/>
    <col min="7443" max="7443" width="6.75" style="155" customWidth="1"/>
    <col min="7444" max="7444" width="13.375" style="155" customWidth="1"/>
    <col min="7445" max="7680" width="9" style="155"/>
    <col min="7681" max="7681" width="7.75" style="155" customWidth="1"/>
    <col min="7682" max="7682" width="5.25" style="155" customWidth="1"/>
    <col min="7683" max="7683" width="11.25" style="155" customWidth="1"/>
    <col min="7684" max="7684" width="7.375" style="155" customWidth="1"/>
    <col min="7685" max="7685" width="7.125" style="155" customWidth="1"/>
    <col min="7686" max="7686" width="11.375" style="155" customWidth="1"/>
    <col min="7687" max="7687" width="3" style="155" customWidth="1"/>
    <col min="7688" max="7688" width="11.375" style="155" customWidth="1"/>
    <col min="7689" max="7689" width="6.875" style="155" customWidth="1"/>
    <col min="7690" max="7690" width="11.125" style="155" customWidth="1"/>
    <col min="7691" max="7691" width="11.625" style="155" customWidth="1"/>
    <col min="7692" max="7692" width="9.25" style="155" customWidth="1"/>
    <col min="7693" max="7693" width="13.25" style="155" customWidth="1"/>
    <col min="7694" max="7694" width="2.5" style="155" customWidth="1"/>
    <col min="7695" max="7695" width="17.625" style="155" customWidth="1"/>
    <col min="7696" max="7696" width="6.375" style="155" customWidth="1"/>
    <col min="7697" max="7697" width="11.875" style="155" customWidth="1"/>
    <col min="7698" max="7698" width="9" style="155"/>
    <col min="7699" max="7699" width="6.75" style="155" customWidth="1"/>
    <col min="7700" max="7700" width="13.375" style="155" customWidth="1"/>
    <col min="7701" max="7936" width="9" style="155"/>
    <col min="7937" max="7937" width="7.75" style="155" customWidth="1"/>
    <col min="7938" max="7938" width="5.25" style="155" customWidth="1"/>
    <col min="7939" max="7939" width="11.25" style="155" customWidth="1"/>
    <col min="7940" max="7940" width="7.375" style="155" customWidth="1"/>
    <col min="7941" max="7941" width="7.125" style="155" customWidth="1"/>
    <col min="7942" max="7942" width="11.375" style="155" customWidth="1"/>
    <col min="7943" max="7943" width="3" style="155" customWidth="1"/>
    <col min="7944" max="7944" width="11.375" style="155" customWidth="1"/>
    <col min="7945" max="7945" width="6.875" style="155" customWidth="1"/>
    <col min="7946" max="7946" width="11.125" style="155" customWidth="1"/>
    <col min="7947" max="7947" width="11.625" style="155" customWidth="1"/>
    <col min="7948" max="7948" width="9.25" style="155" customWidth="1"/>
    <col min="7949" max="7949" width="13.25" style="155" customWidth="1"/>
    <col min="7950" max="7950" width="2.5" style="155" customWidth="1"/>
    <col min="7951" max="7951" width="17.625" style="155" customWidth="1"/>
    <col min="7952" max="7952" width="6.375" style="155" customWidth="1"/>
    <col min="7953" max="7953" width="11.875" style="155" customWidth="1"/>
    <col min="7954" max="7954" width="9" style="155"/>
    <col min="7955" max="7955" width="6.75" style="155" customWidth="1"/>
    <col min="7956" max="7956" width="13.375" style="155" customWidth="1"/>
    <col min="7957" max="8192" width="9" style="155"/>
    <col min="8193" max="8193" width="7.75" style="155" customWidth="1"/>
    <col min="8194" max="8194" width="5.25" style="155" customWidth="1"/>
    <col min="8195" max="8195" width="11.25" style="155" customWidth="1"/>
    <col min="8196" max="8196" width="7.375" style="155" customWidth="1"/>
    <col min="8197" max="8197" width="7.125" style="155" customWidth="1"/>
    <col min="8198" max="8198" width="11.375" style="155" customWidth="1"/>
    <col min="8199" max="8199" width="3" style="155" customWidth="1"/>
    <col min="8200" max="8200" width="11.375" style="155" customWidth="1"/>
    <col min="8201" max="8201" width="6.875" style="155" customWidth="1"/>
    <col min="8202" max="8202" width="11.125" style="155" customWidth="1"/>
    <col min="8203" max="8203" width="11.625" style="155" customWidth="1"/>
    <col min="8204" max="8204" width="9.25" style="155" customWidth="1"/>
    <col min="8205" max="8205" width="13.25" style="155" customWidth="1"/>
    <col min="8206" max="8206" width="2.5" style="155" customWidth="1"/>
    <col min="8207" max="8207" width="17.625" style="155" customWidth="1"/>
    <col min="8208" max="8208" width="6.375" style="155" customWidth="1"/>
    <col min="8209" max="8209" width="11.875" style="155" customWidth="1"/>
    <col min="8210" max="8210" width="9" style="155"/>
    <col min="8211" max="8211" width="6.75" style="155" customWidth="1"/>
    <col min="8212" max="8212" width="13.375" style="155" customWidth="1"/>
    <col min="8213" max="8448" width="9" style="155"/>
    <col min="8449" max="8449" width="7.75" style="155" customWidth="1"/>
    <col min="8450" max="8450" width="5.25" style="155" customWidth="1"/>
    <col min="8451" max="8451" width="11.25" style="155" customWidth="1"/>
    <col min="8452" max="8452" width="7.375" style="155" customWidth="1"/>
    <col min="8453" max="8453" width="7.125" style="155" customWidth="1"/>
    <col min="8454" max="8454" width="11.375" style="155" customWidth="1"/>
    <col min="8455" max="8455" width="3" style="155" customWidth="1"/>
    <col min="8456" max="8456" width="11.375" style="155" customWidth="1"/>
    <col min="8457" max="8457" width="6.875" style="155" customWidth="1"/>
    <col min="8458" max="8458" width="11.125" style="155" customWidth="1"/>
    <col min="8459" max="8459" width="11.625" style="155" customWidth="1"/>
    <col min="8460" max="8460" width="9.25" style="155" customWidth="1"/>
    <col min="8461" max="8461" width="13.25" style="155" customWidth="1"/>
    <col min="8462" max="8462" width="2.5" style="155" customWidth="1"/>
    <col min="8463" max="8463" width="17.625" style="155" customWidth="1"/>
    <col min="8464" max="8464" width="6.375" style="155" customWidth="1"/>
    <col min="8465" max="8465" width="11.875" style="155" customWidth="1"/>
    <col min="8466" max="8466" width="9" style="155"/>
    <col min="8467" max="8467" width="6.75" style="155" customWidth="1"/>
    <col min="8468" max="8468" width="13.375" style="155" customWidth="1"/>
    <col min="8469" max="8704" width="9" style="155"/>
    <col min="8705" max="8705" width="7.75" style="155" customWidth="1"/>
    <col min="8706" max="8706" width="5.25" style="155" customWidth="1"/>
    <col min="8707" max="8707" width="11.25" style="155" customWidth="1"/>
    <col min="8708" max="8708" width="7.375" style="155" customWidth="1"/>
    <col min="8709" max="8709" width="7.125" style="155" customWidth="1"/>
    <col min="8710" max="8710" width="11.375" style="155" customWidth="1"/>
    <col min="8711" max="8711" width="3" style="155" customWidth="1"/>
    <col min="8712" max="8712" width="11.375" style="155" customWidth="1"/>
    <col min="8713" max="8713" width="6.875" style="155" customWidth="1"/>
    <col min="8714" max="8714" width="11.125" style="155" customWidth="1"/>
    <col min="8715" max="8715" width="11.625" style="155" customWidth="1"/>
    <col min="8716" max="8716" width="9.25" style="155" customWidth="1"/>
    <col min="8717" max="8717" width="13.25" style="155" customWidth="1"/>
    <col min="8718" max="8718" width="2.5" style="155" customWidth="1"/>
    <col min="8719" max="8719" width="17.625" style="155" customWidth="1"/>
    <col min="8720" max="8720" width="6.375" style="155" customWidth="1"/>
    <col min="8721" max="8721" width="11.875" style="155" customWidth="1"/>
    <col min="8722" max="8722" width="9" style="155"/>
    <col min="8723" max="8723" width="6.75" style="155" customWidth="1"/>
    <col min="8724" max="8724" width="13.375" style="155" customWidth="1"/>
    <col min="8725" max="8960" width="9" style="155"/>
    <col min="8961" max="8961" width="7.75" style="155" customWidth="1"/>
    <col min="8962" max="8962" width="5.25" style="155" customWidth="1"/>
    <col min="8963" max="8963" width="11.25" style="155" customWidth="1"/>
    <col min="8964" max="8964" width="7.375" style="155" customWidth="1"/>
    <col min="8965" max="8965" width="7.125" style="155" customWidth="1"/>
    <col min="8966" max="8966" width="11.375" style="155" customWidth="1"/>
    <col min="8967" max="8967" width="3" style="155" customWidth="1"/>
    <col min="8968" max="8968" width="11.375" style="155" customWidth="1"/>
    <col min="8969" max="8969" width="6.875" style="155" customWidth="1"/>
    <col min="8970" max="8970" width="11.125" style="155" customWidth="1"/>
    <col min="8971" max="8971" width="11.625" style="155" customWidth="1"/>
    <col min="8972" max="8972" width="9.25" style="155" customWidth="1"/>
    <col min="8973" max="8973" width="13.25" style="155" customWidth="1"/>
    <col min="8974" max="8974" width="2.5" style="155" customWidth="1"/>
    <col min="8975" max="8975" width="17.625" style="155" customWidth="1"/>
    <col min="8976" max="8976" width="6.375" style="155" customWidth="1"/>
    <col min="8977" max="8977" width="11.875" style="155" customWidth="1"/>
    <col min="8978" max="8978" width="9" style="155"/>
    <col min="8979" max="8979" width="6.75" style="155" customWidth="1"/>
    <col min="8980" max="8980" width="13.375" style="155" customWidth="1"/>
    <col min="8981" max="9216" width="9" style="155"/>
    <col min="9217" max="9217" width="7.75" style="155" customWidth="1"/>
    <col min="9218" max="9218" width="5.25" style="155" customWidth="1"/>
    <col min="9219" max="9219" width="11.25" style="155" customWidth="1"/>
    <col min="9220" max="9220" width="7.375" style="155" customWidth="1"/>
    <col min="9221" max="9221" width="7.125" style="155" customWidth="1"/>
    <col min="9222" max="9222" width="11.375" style="155" customWidth="1"/>
    <col min="9223" max="9223" width="3" style="155" customWidth="1"/>
    <col min="9224" max="9224" width="11.375" style="155" customWidth="1"/>
    <col min="9225" max="9225" width="6.875" style="155" customWidth="1"/>
    <col min="9226" max="9226" width="11.125" style="155" customWidth="1"/>
    <col min="9227" max="9227" width="11.625" style="155" customWidth="1"/>
    <col min="9228" max="9228" width="9.25" style="155" customWidth="1"/>
    <col min="9229" max="9229" width="13.25" style="155" customWidth="1"/>
    <col min="9230" max="9230" width="2.5" style="155" customWidth="1"/>
    <col min="9231" max="9231" width="17.625" style="155" customWidth="1"/>
    <col min="9232" max="9232" width="6.375" style="155" customWidth="1"/>
    <col min="9233" max="9233" width="11.875" style="155" customWidth="1"/>
    <col min="9234" max="9234" width="9" style="155"/>
    <col min="9235" max="9235" width="6.75" style="155" customWidth="1"/>
    <col min="9236" max="9236" width="13.375" style="155" customWidth="1"/>
    <col min="9237" max="9472" width="9" style="155"/>
    <col min="9473" max="9473" width="7.75" style="155" customWidth="1"/>
    <col min="9474" max="9474" width="5.25" style="155" customWidth="1"/>
    <col min="9475" max="9475" width="11.25" style="155" customWidth="1"/>
    <col min="9476" max="9476" width="7.375" style="155" customWidth="1"/>
    <col min="9477" max="9477" width="7.125" style="155" customWidth="1"/>
    <col min="9478" max="9478" width="11.375" style="155" customWidth="1"/>
    <col min="9479" max="9479" width="3" style="155" customWidth="1"/>
    <col min="9480" max="9480" width="11.375" style="155" customWidth="1"/>
    <col min="9481" max="9481" width="6.875" style="155" customWidth="1"/>
    <col min="9482" max="9482" width="11.125" style="155" customWidth="1"/>
    <col min="9483" max="9483" width="11.625" style="155" customWidth="1"/>
    <col min="9484" max="9484" width="9.25" style="155" customWidth="1"/>
    <col min="9485" max="9485" width="13.25" style="155" customWidth="1"/>
    <col min="9486" max="9486" width="2.5" style="155" customWidth="1"/>
    <col min="9487" max="9487" width="17.625" style="155" customWidth="1"/>
    <col min="9488" max="9488" width="6.375" style="155" customWidth="1"/>
    <col min="9489" max="9489" width="11.875" style="155" customWidth="1"/>
    <col min="9490" max="9490" width="9" style="155"/>
    <col min="9491" max="9491" width="6.75" style="155" customWidth="1"/>
    <col min="9492" max="9492" width="13.375" style="155" customWidth="1"/>
    <col min="9493" max="9728" width="9" style="155"/>
    <col min="9729" max="9729" width="7.75" style="155" customWidth="1"/>
    <col min="9730" max="9730" width="5.25" style="155" customWidth="1"/>
    <col min="9731" max="9731" width="11.25" style="155" customWidth="1"/>
    <col min="9732" max="9732" width="7.375" style="155" customWidth="1"/>
    <col min="9733" max="9733" width="7.125" style="155" customWidth="1"/>
    <col min="9734" max="9734" width="11.375" style="155" customWidth="1"/>
    <col min="9735" max="9735" width="3" style="155" customWidth="1"/>
    <col min="9736" max="9736" width="11.375" style="155" customWidth="1"/>
    <col min="9737" max="9737" width="6.875" style="155" customWidth="1"/>
    <col min="9738" max="9738" width="11.125" style="155" customWidth="1"/>
    <col min="9739" max="9739" width="11.625" style="155" customWidth="1"/>
    <col min="9740" max="9740" width="9.25" style="155" customWidth="1"/>
    <col min="9741" max="9741" width="13.25" style="155" customWidth="1"/>
    <col min="9742" max="9742" width="2.5" style="155" customWidth="1"/>
    <col min="9743" max="9743" width="17.625" style="155" customWidth="1"/>
    <col min="9744" max="9744" width="6.375" style="155" customWidth="1"/>
    <col min="9745" max="9745" width="11.875" style="155" customWidth="1"/>
    <col min="9746" max="9746" width="9" style="155"/>
    <col min="9747" max="9747" width="6.75" style="155" customWidth="1"/>
    <col min="9748" max="9748" width="13.375" style="155" customWidth="1"/>
    <col min="9749" max="9984" width="9" style="155"/>
    <col min="9985" max="9985" width="7.75" style="155" customWidth="1"/>
    <col min="9986" max="9986" width="5.25" style="155" customWidth="1"/>
    <col min="9987" max="9987" width="11.25" style="155" customWidth="1"/>
    <col min="9988" max="9988" width="7.375" style="155" customWidth="1"/>
    <col min="9989" max="9989" width="7.125" style="155" customWidth="1"/>
    <col min="9990" max="9990" width="11.375" style="155" customWidth="1"/>
    <col min="9991" max="9991" width="3" style="155" customWidth="1"/>
    <col min="9992" max="9992" width="11.375" style="155" customWidth="1"/>
    <col min="9993" max="9993" width="6.875" style="155" customWidth="1"/>
    <col min="9994" max="9994" width="11.125" style="155" customWidth="1"/>
    <col min="9995" max="9995" width="11.625" style="155" customWidth="1"/>
    <col min="9996" max="9996" width="9.25" style="155" customWidth="1"/>
    <col min="9997" max="9997" width="13.25" style="155" customWidth="1"/>
    <col min="9998" max="9998" width="2.5" style="155" customWidth="1"/>
    <col min="9999" max="9999" width="17.625" style="155" customWidth="1"/>
    <col min="10000" max="10000" width="6.375" style="155" customWidth="1"/>
    <col min="10001" max="10001" width="11.875" style="155" customWidth="1"/>
    <col min="10002" max="10002" width="9" style="155"/>
    <col min="10003" max="10003" width="6.75" style="155" customWidth="1"/>
    <col min="10004" max="10004" width="13.375" style="155" customWidth="1"/>
    <col min="10005" max="10240" width="9" style="155"/>
    <col min="10241" max="10241" width="7.75" style="155" customWidth="1"/>
    <col min="10242" max="10242" width="5.25" style="155" customWidth="1"/>
    <col min="10243" max="10243" width="11.25" style="155" customWidth="1"/>
    <col min="10244" max="10244" width="7.375" style="155" customWidth="1"/>
    <col min="10245" max="10245" width="7.125" style="155" customWidth="1"/>
    <col min="10246" max="10246" width="11.375" style="155" customWidth="1"/>
    <col min="10247" max="10247" width="3" style="155" customWidth="1"/>
    <col min="10248" max="10248" width="11.375" style="155" customWidth="1"/>
    <col min="10249" max="10249" width="6.875" style="155" customWidth="1"/>
    <col min="10250" max="10250" width="11.125" style="155" customWidth="1"/>
    <col min="10251" max="10251" width="11.625" style="155" customWidth="1"/>
    <col min="10252" max="10252" width="9.25" style="155" customWidth="1"/>
    <col min="10253" max="10253" width="13.25" style="155" customWidth="1"/>
    <col min="10254" max="10254" width="2.5" style="155" customWidth="1"/>
    <col min="10255" max="10255" width="17.625" style="155" customWidth="1"/>
    <col min="10256" max="10256" width="6.375" style="155" customWidth="1"/>
    <col min="10257" max="10257" width="11.875" style="155" customWidth="1"/>
    <col min="10258" max="10258" width="9" style="155"/>
    <col min="10259" max="10259" width="6.75" style="155" customWidth="1"/>
    <col min="10260" max="10260" width="13.375" style="155" customWidth="1"/>
    <col min="10261" max="10496" width="9" style="155"/>
    <col min="10497" max="10497" width="7.75" style="155" customWidth="1"/>
    <col min="10498" max="10498" width="5.25" style="155" customWidth="1"/>
    <col min="10499" max="10499" width="11.25" style="155" customWidth="1"/>
    <col min="10500" max="10500" width="7.375" style="155" customWidth="1"/>
    <col min="10501" max="10501" width="7.125" style="155" customWidth="1"/>
    <col min="10502" max="10502" width="11.375" style="155" customWidth="1"/>
    <col min="10503" max="10503" width="3" style="155" customWidth="1"/>
    <col min="10504" max="10504" width="11.375" style="155" customWidth="1"/>
    <col min="10505" max="10505" width="6.875" style="155" customWidth="1"/>
    <col min="10506" max="10506" width="11.125" style="155" customWidth="1"/>
    <col min="10507" max="10507" width="11.625" style="155" customWidth="1"/>
    <col min="10508" max="10508" width="9.25" style="155" customWidth="1"/>
    <col min="10509" max="10509" width="13.25" style="155" customWidth="1"/>
    <col min="10510" max="10510" width="2.5" style="155" customWidth="1"/>
    <col min="10511" max="10511" width="17.625" style="155" customWidth="1"/>
    <col min="10512" max="10512" width="6.375" style="155" customWidth="1"/>
    <col min="10513" max="10513" width="11.875" style="155" customWidth="1"/>
    <col min="10514" max="10514" width="9" style="155"/>
    <col min="10515" max="10515" width="6.75" style="155" customWidth="1"/>
    <col min="10516" max="10516" width="13.375" style="155" customWidth="1"/>
    <col min="10517" max="10752" width="9" style="155"/>
    <col min="10753" max="10753" width="7.75" style="155" customWidth="1"/>
    <col min="10754" max="10754" width="5.25" style="155" customWidth="1"/>
    <col min="10755" max="10755" width="11.25" style="155" customWidth="1"/>
    <col min="10756" max="10756" width="7.375" style="155" customWidth="1"/>
    <col min="10757" max="10757" width="7.125" style="155" customWidth="1"/>
    <col min="10758" max="10758" width="11.375" style="155" customWidth="1"/>
    <col min="10759" max="10759" width="3" style="155" customWidth="1"/>
    <col min="10760" max="10760" width="11.375" style="155" customWidth="1"/>
    <col min="10761" max="10761" width="6.875" style="155" customWidth="1"/>
    <col min="10762" max="10762" width="11.125" style="155" customWidth="1"/>
    <col min="10763" max="10763" width="11.625" style="155" customWidth="1"/>
    <col min="10764" max="10764" width="9.25" style="155" customWidth="1"/>
    <col min="10765" max="10765" width="13.25" style="155" customWidth="1"/>
    <col min="10766" max="10766" width="2.5" style="155" customWidth="1"/>
    <col min="10767" max="10767" width="17.625" style="155" customWidth="1"/>
    <col min="10768" max="10768" width="6.375" style="155" customWidth="1"/>
    <col min="10769" max="10769" width="11.875" style="155" customWidth="1"/>
    <col min="10770" max="10770" width="9" style="155"/>
    <col min="10771" max="10771" width="6.75" style="155" customWidth="1"/>
    <col min="10772" max="10772" width="13.375" style="155" customWidth="1"/>
    <col min="10773" max="11008" width="9" style="155"/>
    <col min="11009" max="11009" width="7.75" style="155" customWidth="1"/>
    <col min="11010" max="11010" width="5.25" style="155" customWidth="1"/>
    <col min="11011" max="11011" width="11.25" style="155" customWidth="1"/>
    <col min="11012" max="11012" width="7.375" style="155" customWidth="1"/>
    <col min="11013" max="11013" width="7.125" style="155" customWidth="1"/>
    <col min="11014" max="11014" width="11.375" style="155" customWidth="1"/>
    <col min="11015" max="11015" width="3" style="155" customWidth="1"/>
    <col min="11016" max="11016" width="11.375" style="155" customWidth="1"/>
    <col min="11017" max="11017" width="6.875" style="155" customWidth="1"/>
    <col min="11018" max="11018" width="11.125" style="155" customWidth="1"/>
    <col min="11019" max="11019" width="11.625" style="155" customWidth="1"/>
    <col min="11020" max="11020" width="9.25" style="155" customWidth="1"/>
    <col min="11021" max="11021" width="13.25" style="155" customWidth="1"/>
    <col min="11022" max="11022" width="2.5" style="155" customWidth="1"/>
    <col min="11023" max="11023" width="17.625" style="155" customWidth="1"/>
    <col min="11024" max="11024" width="6.375" style="155" customWidth="1"/>
    <col min="11025" max="11025" width="11.875" style="155" customWidth="1"/>
    <col min="11026" max="11026" width="9" style="155"/>
    <col min="11027" max="11027" width="6.75" style="155" customWidth="1"/>
    <col min="11028" max="11028" width="13.375" style="155" customWidth="1"/>
    <col min="11029" max="11264" width="9" style="155"/>
    <col min="11265" max="11265" width="7.75" style="155" customWidth="1"/>
    <col min="11266" max="11266" width="5.25" style="155" customWidth="1"/>
    <col min="11267" max="11267" width="11.25" style="155" customWidth="1"/>
    <col min="11268" max="11268" width="7.375" style="155" customWidth="1"/>
    <col min="11269" max="11269" width="7.125" style="155" customWidth="1"/>
    <col min="11270" max="11270" width="11.375" style="155" customWidth="1"/>
    <col min="11271" max="11271" width="3" style="155" customWidth="1"/>
    <col min="11272" max="11272" width="11.375" style="155" customWidth="1"/>
    <col min="11273" max="11273" width="6.875" style="155" customWidth="1"/>
    <col min="11274" max="11274" width="11.125" style="155" customWidth="1"/>
    <col min="11275" max="11275" width="11.625" style="155" customWidth="1"/>
    <col min="11276" max="11276" width="9.25" style="155" customWidth="1"/>
    <col min="11277" max="11277" width="13.25" style="155" customWidth="1"/>
    <col min="11278" max="11278" width="2.5" style="155" customWidth="1"/>
    <col min="11279" max="11279" width="17.625" style="155" customWidth="1"/>
    <col min="11280" max="11280" width="6.375" style="155" customWidth="1"/>
    <col min="11281" max="11281" width="11.875" style="155" customWidth="1"/>
    <col min="11282" max="11282" width="9" style="155"/>
    <col min="11283" max="11283" width="6.75" style="155" customWidth="1"/>
    <col min="11284" max="11284" width="13.375" style="155" customWidth="1"/>
    <col min="11285" max="11520" width="9" style="155"/>
    <col min="11521" max="11521" width="7.75" style="155" customWidth="1"/>
    <col min="11522" max="11522" width="5.25" style="155" customWidth="1"/>
    <col min="11523" max="11523" width="11.25" style="155" customWidth="1"/>
    <col min="11524" max="11524" width="7.375" style="155" customWidth="1"/>
    <col min="11525" max="11525" width="7.125" style="155" customWidth="1"/>
    <col min="11526" max="11526" width="11.375" style="155" customWidth="1"/>
    <col min="11527" max="11527" width="3" style="155" customWidth="1"/>
    <col min="11528" max="11528" width="11.375" style="155" customWidth="1"/>
    <col min="11529" max="11529" width="6.875" style="155" customWidth="1"/>
    <col min="11530" max="11530" width="11.125" style="155" customWidth="1"/>
    <col min="11531" max="11531" width="11.625" style="155" customWidth="1"/>
    <col min="11532" max="11532" width="9.25" style="155" customWidth="1"/>
    <col min="11533" max="11533" width="13.25" style="155" customWidth="1"/>
    <col min="11534" max="11534" width="2.5" style="155" customWidth="1"/>
    <col min="11535" max="11535" width="17.625" style="155" customWidth="1"/>
    <col min="11536" max="11536" width="6.375" style="155" customWidth="1"/>
    <col min="11537" max="11537" width="11.875" style="155" customWidth="1"/>
    <col min="11538" max="11538" width="9" style="155"/>
    <col min="11539" max="11539" width="6.75" style="155" customWidth="1"/>
    <col min="11540" max="11540" width="13.375" style="155" customWidth="1"/>
    <col min="11541" max="11776" width="9" style="155"/>
    <col min="11777" max="11777" width="7.75" style="155" customWidth="1"/>
    <col min="11778" max="11778" width="5.25" style="155" customWidth="1"/>
    <col min="11779" max="11779" width="11.25" style="155" customWidth="1"/>
    <col min="11780" max="11780" width="7.375" style="155" customWidth="1"/>
    <col min="11781" max="11781" width="7.125" style="155" customWidth="1"/>
    <col min="11782" max="11782" width="11.375" style="155" customWidth="1"/>
    <col min="11783" max="11783" width="3" style="155" customWidth="1"/>
    <col min="11784" max="11784" width="11.375" style="155" customWidth="1"/>
    <col min="11785" max="11785" width="6.875" style="155" customWidth="1"/>
    <col min="11786" max="11786" width="11.125" style="155" customWidth="1"/>
    <col min="11787" max="11787" width="11.625" style="155" customWidth="1"/>
    <col min="11788" max="11788" width="9.25" style="155" customWidth="1"/>
    <col min="11789" max="11789" width="13.25" style="155" customWidth="1"/>
    <col min="11790" max="11790" width="2.5" style="155" customWidth="1"/>
    <col min="11791" max="11791" width="17.625" style="155" customWidth="1"/>
    <col min="11792" max="11792" width="6.375" style="155" customWidth="1"/>
    <col min="11793" max="11793" width="11.875" style="155" customWidth="1"/>
    <col min="11794" max="11794" width="9" style="155"/>
    <col min="11795" max="11795" width="6.75" style="155" customWidth="1"/>
    <col min="11796" max="11796" width="13.375" style="155" customWidth="1"/>
    <col min="11797" max="12032" width="9" style="155"/>
    <col min="12033" max="12033" width="7.75" style="155" customWidth="1"/>
    <col min="12034" max="12034" width="5.25" style="155" customWidth="1"/>
    <col min="12035" max="12035" width="11.25" style="155" customWidth="1"/>
    <col min="12036" max="12036" width="7.375" style="155" customWidth="1"/>
    <col min="12037" max="12037" width="7.125" style="155" customWidth="1"/>
    <col min="12038" max="12038" width="11.375" style="155" customWidth="1"/>
    <col min="12039" max="12039" width="3" style="155" customWidth="1"/>
    <col min="12040" max="12040" width="11.375" style="155" customWidth="1"/>
    <col min="12041" max="12041" width="6.875" style="155" customWidth="1"/>
    <col min="12042" max="12042" width="11.125" style="155" customWidth="1"/>
    <col min="12043" max="12043" width="11.625" style="155" customWidth="1"/>
    <col min="12044" max="12044" width="9.25" style="155" customWidth="1"/>
    <col min="12045" max="12045" width="13.25" style="155" customWidth="1"/>
    <col min="12046" max="12046" width="2.5" style="155" customWidth="1"/>
    <col min="12047" max="12047" width="17.625" style="155" customWidth="1"/>
    <col min="12048" max="12048" width="6.375" style="155" customWidth="1"/>
    <col min="12049" max="12049" width="11.875" style="155" customWidth="1"/>
    <col min="12050" max="12050" width="9" style="155"/>
    <col min="12051" max="12051" width="6.75" style="155" customWidth="1"/>
    <col min="12052" max="12052" width="13.375" style="155" customWidth="1"/>
    <col min="12053" max="12288" width="9" style="155"/>
    <col min="12289" max="12289" width="7.75" style="155" customWidth="1"/>
    <col min="12290" max="12290" width="5.25" style="155" customWidth="1"/>
    <col min="12291" max="12291" width="11.25" style="155" customWidth="1"/>
    <col min="12292" max="12292" width="7.375" style="155" customWidth="1"/>
    <col min="12293" max="12293" width="7.125" style="155" customWidth="1"/>
    <col min="12294" max="12294" width="11.375" style="155" customWidth="1"/>
    <col min="12295" max="12295" width="3" style="155" customWidth="1"/>
    <col min="12296" max="12296" width="11.375" style="155" customWidth="1"/>
    <col min="12297" max="12297" width="6.875" style="155" customWidth="1"/>
    <col min="12298" max="12298" width="11.125" style="155" customWidth="1"/>
    <col min="12299" max="12299" width="11.625" style="155" customWidth="1"/>
    <col min="12300" max="12300" width="9.25" style="155" customWidth="1"/>
    <col min="12301" max="12301" width="13.25" style="155" customWidth="1"/>
    <col min="12302" max="12302" width="2.5" style="155" customWidth="1"/>
    <col min="12303" max="12303" width="17.625" style="155" customWidth="1"/>
    <col min="12304" max="12304" width="6.375" style="155" customWidth="1"/>
    <col min="12305" max="12305" width="11.875" style="155" customWidth="1"/>
    <col min="12306" max="12306" width="9" style="155"/>
    <col min="12307" max="12307" width="6.75" style="155" customWidth="1"/>
    <col min="12308" max="12308" width="13.375" style="155" customWidth="1"/>
    <col min="12309" max="12544" width="9" style="155"/>
    <col min="12545" max="12545" width="7.75" style="155" customWidth="1"/>
    <col min="12546" max="12546" width="5.25" style="155" customWidth="1"/>
    <col min="12547" max="12547" width="11.25" style="155" customWidth="1"/>
    <col min="12548" max="12548" width="7.375" style="155" customWidth="1"/>
    <col min="12549" max="12549" width="7.125" style="155" customWidth="1"/>
    <col min="12550" max="12550" width="11.375" style="155" customWidth="1"/>
    <col min="12551" max="12551" width="3" style="155" customWidth="1"/>
    <col min="12552" max="12552" width="11.375" style="155" customWidth="1"/>
    <col min="12553" max="12553" width="6.875" style="155" customWidth="1"/>
    <col min="12554" max="12554" width="11.125" style="155" customWidth="1"/>
    <col min="12555" max="12555" width="11.625" style="155" customWidth="1"/>
    <col min="12556" max="12556" width="9.25" style="155" customWidth="1"/>
    <col min="12557" max="12557" width="13.25" style="155" customWidth="1"/>
    <col min="12558" max="12558" width="2.5" style="155" customWidth="1"/>
    <col min="12559" max="12559" width="17.625" style="155" customWidth="1"/>
    <col min="12560" max="12560" width="6.375" style="155" customWidth="1"/>
    <col min="12561" max="12561" width="11.875" style="155" customWidth="1"/>
    <col min="12562" max="12562" width="9" style="155"/>
    <col min="12563" max="12563" width="6.75" style="155" customWidth="1"/>
    <col min="12564" max="12564" width="13.375" style="155" customWidth="1"/>
    <col min="12565" max="12800" width="9" style="155"/>
    <col min="12801" max="12801" width="7.75" style="155" customWidth="1"/>
    <col min="12802" max="12802" width="5.25" style="155" customWidth="1"/>
    <col min="12803" max="12803" width="11.25" style="155" customWidth="1"/>
    <col min="12804" max="12804" width="7.375" style="155" customWidth="1"/>
    <col min="12805" max="12805" width="7.125" style="155" customWidth="1"/>
    <col min="12806" max="12806" width="11.375" style="155" customWidth="1"/>
    <col min="12807" max="12807" width="3" style="155" customWidth="1"/>
    <col min="12808" max="12808" width="11.375" style="155" customWidth="1"/>
    <col min="12809" max="12809" width="6.875" style="155" customWidth="1"/>
    <col min="12810" max="12810" width="11.125" style="155" customWidth="1"/>
    <col min="12811" max="12811" width="11.625" style="155" customWidth="1"/>
    <col min="12812" max="12812" width="9.25" style="155" customWidth="1"/>
    <col min="12813" max="12813" width="13.25" style="155" customWidth="1"/>
    <col min="12814" max="12814" width="2.5" style="155" customWidth="1"/>
    <col min="12815" max="12815" width="17.625" style="155" customWidth="1"/>
    <col min="12816" max="12816" width="6.375" style="155" customWidth="1"/>
    <col min="12817" max="12817" width="11.875" style="155" customWidth="1"/>
    <col min="12818" max="12818" width="9" style="155"/>
    <col min="12819" max="12819" width="6.75" style="155" customWidth="1"/>
    <col min="12820" max="12820" width="13.375" style="155" customWidth="1"/>
    <col min="12821" max="13056" width="9" style="155"/>
    <col min="13057" max="13057" width="7.75" style="155" customWidth="1"/>
    <col min="13058" max="13058" width="5.25" style="155" customWidth="1"/>
    <col min="13059" max="13059" width="11.25" style="155" customWidth="1"/>
    <col min="13060" max="13060" width="7.375" style="155" customWidth="1"/>
    <col min="13061" max="13061" width="7.125" style="155" customWidth="1"/>
    <col min="13062" max="13062" width="11.375" style="155" customWidth="1"/>
    <col min="13063" max="13063" width="3" style="155" customWidth="1"/>
    <col min="13064" max="13064" width="11.375" style="155" customWidth="1"/>
    <col min="13065" max="13065" width="6.875" style="155" customWidth="1"/>
    <col min="13066" max="13066" width="11.125" style="155" customWidth="1"/>
    <col min="13067" max="13067" width="11.625" style="155" customWidth="1"/>
    <col min="13068" max="13068" width="9.25" style="155" customWidth="1"/>
    <col min="13069" max="13069" width="13.25" style="155" customWidth="1"/>
    <col min="13070" max="13070" width="2.5" style="155" customWidth="1"/>
    <col min="13071" max="13071" width="17.625" style="155" customWidth="1"/>
    <col min="13072" max="13072" width="6.375" style="155" customWidth="1"/>
    <col min="13073" max="13073" width="11.875" style="155" customWidth="1"/>
    <col min="13074" max="13074" width="9" style="155"/>
    <col min="13075" max="13075" width="6.75" style="155" customWidth="1"/>
    <col min="13076" max="13076" width="13.375" style="155" customWidth="1"/>
    <col min="13077" max="13312" width="9" style="155"/>
    <col min="13313" max="13313" width="7.75" style="155" customWidth="1"/>
    <col min="13314" max="13314" width="5.25" style="155" customWidth="1"/>
    <col min="13315" max="13315" width="11.25" style="155" customWidth="1"/>
    <col min="13316" max="13316" width="7.375" style="155" customWidth="1"/>
    <col min="13317" max="13317" width="7.125" style="155" customWidth="1"/>
    <col min="13318" max="13318" width="11.375" style="155" customWidth="1"/>
    <col min="13319" max="13319" width="3" style="155" customWidth="1"/>
    <col min="13320" max="13320" width="11.375" style="155" customWidth="1"/>
    <col min="13321" max="13321" width="6.875" style="155" customWidth="1"/>
    <col min="13322" max="13322" width="11.125" style="155" customWidth="1"/>
    <col min="13323" max="13323" width="11.625" style="155" customWidth="1"/>
    <col min="13324" max="13324" width="9.25" style="155" customWidth="1"/>
    <col min="13325" max="13325" width="13.25" style="155" customWidth="1"/>
    <col min="13326" max="13326" width="2.5" style="155" customWidth="1"/>
    <col min="13327" max="13327" width="17.625" style="155" customWidth="1"/>
    <col min="13328" max="13328" width="6.375" style="155" customWidth="1"/>
    <col min="13329" max="13329" width="11.875" style="155" customWidth="1"/>
    <col min="13330" max="13330" width="9" style="155"/>
    <col min="13331" max="13331" width="6.75" style="155" customWidth="1"/>
    <col min="13332" max="13332" width="13.375" style="155" customWidth="1"/>
    <col min="13333" max="13568" width="9" style="155"/>
    <col min="13569" max="13569" width="7.75" style="155" customWidth="1"/>
    <col min="13570" max="13570" width="5.25" style="155" customWidth="1"/>
    <col min="13571" max="13571" width="11.25" style="155" customWidth="1"/>
    <col min="13572" max="13572" width="7.375" style="155" customWidth="1"/>
    <col min="13573" max="13573" width="7.125" style="155" customWidth="1"/>
    <col min="13574" max="13574" width="11.375" style="155" customWidth="1"/>
    <col min="13575" max="13575" width="3" style="155" customWidth="1"/>
    <col min="13576" max="13576" width="11.375" style="155" customWidth="1"/>
    <col min="13577" max="13577" width="6.875" style="155" customWidth="1"/>
    <col min="13578" max="13578" width="11.125" style="155" customWidth="1"/>
    <col min="13579" max="13579" width="11.625" style="155" customWidth="1"/>
    <col min="13580" max="13580" width="9.25" style="155" customWidth="1"/>
    <col min="13581" max="13581" width="13.25" style="155" customWidth="1"/>
    <col min="13582" max="13582" width="2.5" style="155" customWidth="1"/>
    <col min="13583" max="13583" width="17.625" style="155" customWidth="1"/>
    <col min="13584" max="13584" width="6.375" style="155" customWidth="1"/>
    <col min="13585" max="13585" width="11.875" style="155" customWidth="1"/>
    <col min="13586" max="13586" width="9" style="155"/>
    <col min="13587" max="13587" width="6.75" style="155" customWidth="1"/>
    <col min="13588" max="13588" width="13.375" style="155" customWidth="1"/>
    <col min="13589" max="13824" width="9" style="155"/>
    <col min="13825" max="13825" width="7.75" style="155" customWidth="1"/>
    <col min="13826" max="13826" width="5.25" style="155" customWidth="1"/>
    <col min="13827" max="13827" width="11.25" style="155" customWidth="1"/>
    <col min="13828" max="13828" width="7.375" style="155" customWidth="1"/>
    <col min="13829" max="13829" width="7.125" style="155" customWidth="1"/>
    <col min="13830" max="13830" width="11.375" style="155" customWidth="1"/>
    <col min="13831" max="13831" width="3" style="155" customWidth="1"/>
    <col min="13832" max="13832" width="11.375" style="155" customWidth="1"/>
    <col min="13833" max="13833" width="6.875" style="155" customWidth="1"/>
    <col min="13834" max="13834" width="11.125" style="155" customWidth="1"/>
    <col min="13835" max="13835" width="11.625" style="155" customWidth="1"/>
    <col min="13836" max="13836" width="9.25" style="155" customWidth="1"/>
    <col min="13837" max="13837" width="13.25" style="155" customWidth="1"/>
    <col min="13838" max="13838" width="2.5" style="155" customWidth="1"/>
    <col min="13839" max="13839" width="17.625" style="155" customWidth="1"/>
    <col min="13840" max="13840" width="6.375" style="155" customWidth="1"/>
    <col min="13841" max="13841" width="11.875" style="155" customWidth="1"/>
    <col min="13842" max="13842" width="9" style="155"/>
    <col min="13843" max="13843" width="6.75" style="155" customWidth="1"/>
    <col min="13844" max="13844" width="13.375" style="155" customWidth="1"/>
    <col min="13845" max="14080" width="9" style="155"/>
    <col min="14081" max="14081" width="7.75" style="155" customWidth="1"/>
    <col min="14082" max="14082" width="5.25" style="155" customWidth="1"/>
    <col min="14083" max="14083" width="11.25" style="155" customWidth="1"/>
    <col min="14084" max="14084" width="7.375" style="155" customWidth="1"/>
    <col min="14085" max="14085" width="7.125" style="155" customWidth="1"/>
    <col min="14086" max="14086" width="11.375" style="155" customWidth="1"/>
    <col min="14087" max="14087" width="3" style="155" customWidth="1"/>
    <col min="14088" max="14088" width="11.375" style="155" customWidth="1"/>
    <col min="14089" max="14089" width="6.875" style="155" customWidth="1"/>
    <col min="14090" max="14090" width="11.125" style="155" customWidth="1"/>
    <col min="14091" max="14091" width="11.625" style="155" customWidth="1"/>
    <col min="14092" max="14092" width="9.25" style="155" customWidth="1"/>
    <col min="14093" max="14093" width="13.25" style="155" customWidth="1"/>
    <col min="14094" max="14094" width="2.5" style="155" customWidth="1"/>
    <col min="14095" max="14095" width="17.625" style="155" customWidth="1"/>
    <col min="14096" max="14096" width="6.375" style="155" customWidth="1"/>
    <col min="14097" max="14097" width="11.875" style="155" customWidth="1"/>
    <col min="14098" max="14098" width="9" style="155"/>
    <col min="14099" max="14099" width="6.75" style="155" customWidth="1"/>
    <col min="14100" max="14100" width="13.375" style="155" customWidth="1"/>
    <col min="14101" max="14336" width="9" style="155"/>
    <col min="14337" max="14337" width="7.75" style="155" customWidth="1"/>
    <col min="14338" max="14338" width="5.25" style="155" customWidth="1"/>
    <col min="14339" max="14339" width="11.25" style="155" customWidth="1"/>
    <col min="14340" max="14340" width="7.375" style="155" customWidth="1"/>
    <col min="14341" max="14341" width="7.125" style="155" customWidth="1"/>
    <col min="14342" max="14342" width="11.375" style="155" customWidth="1"/>
    <col min="14343" max="14343" width="3" style="155" customWidth="1"/>
    <col min="14344" max="14344" width="11.375" style="155" customWidth="1"/>
    <col min="14345" max="14345" width="6.875" style="155" customWidth="1"/>
    <col min="14346" max="14346" width="11.125" style="155" customWidth="1"/>
    <col min="14347" max="14347" width="11.625" style="155" customWidth="1"/>
    <col min="14348" max="14348" width="9.25" style="155" customWidth="1"/>
    <col min="14349" max="14349" width="13.25" style="155" customWidth="1"/>
    <col min="14350" max="14350" width="2.5" style="155" customWidth="1"/>
    <col min="14351" max="14351" width="17.625" style="155" customWidth="1"/>
    <col min="14352" max="14352" width="6.375" style="155" customWidth="1"/>
    <col min="14353" max="14353" width="11.875" style="155" customWidth="1"/>
    <col min="14354" max="14354" width="9" style="155"/>
    <col min="14355" max="14355" width="6.75" style="155" customWidth="1"/>
    <col min="14356" max="14356" width="13.375" style="155" customWidth="1"/>
    <col min="14357" max="14592" width="9" style="155"/>
    <col min="14593" max="14593" width="7.75" style="155" customWidth="1"/>
    <col min="14594" max="14594" width="5.25" style="155" customWidth="1"/>
    <col min="14595" max="14595" width="11.25" style="155" customWidth="1"/>
    <col min="14596" max="14596" width="7.375" style="155" customWidth="1"/>
    <col min="14597" max="14597" width="7.125" style="155" customWidth="1"/>
    <col min="14598" max="14598" width="11.375" style="155" customWidth="1"/>
    <col min="14599" max="14599" width="3" style="155" customWidth="1"/>
    <col min="14600" max="14600" width="11.375" style="155" customWidth="1"/>
    <col min="14601" max="14601" width="6.875" style="155" customWidth="1"/>
    <col min="14602" max="14602" width="11.125" style="155" customWidth="1"/>
    <col min="14603" max="14603" width="11.625" style="155" customWidth="1"/>
    <col min="14604" max="14604" width="9.25" style="155" customWidth="1"/>
    <col min="14605" max="14605" width="13.25" style="155" customWidth="1"/>
    <col min="14606" max="14606" width="2.5" style="155" customWidth="1"/>
    <col min="14607" max="14607" width="17.625" style="155" customWidth="1"/>
    <col min="14608" max="14608" width="6.375" style="155" customWidth="1"/>
    <col min="14609" max="14609" width="11.875" style="155" customWidth="1"/>
    <col min="14610" max="14610" width="9" style="155"/>
    <col min="14611" max="14611" width="6.75" style="155" customWidth="1"/>
    <col min="14612" max="14612" width="13.375" style="155" customWidth="1"/>
    <col min="14613" max="14848" width="9" style="155"/>
    <col min="14849" max="14849" width="7.75" style="155" customWidth="1"/>
    <col min="14850" max="14850" width="5.25" style="155" customWidth="1"/>
    <col min="14851" max="14851" width="11.25" style="155" customWidth="1"/>
    <col min="14852" max="14852" width="7.375" style="155" customWidth="1"/>
    <col min="14853" max="14853" width="7.125" style="155" customWidth="1"/>
    <col min="14854" max="14854" width="11.375" style="155" customWidth="1"/>
    <col min="14855" max="14855" width="3" style="155" customWidth="1"/>
    <col min="14856" max="14856" width="11.375" style="155" customWidth="1"/>
    <col min="14857" max="14857" width="6.875" style="155" customWidth="1"/>
    <col min="14858" max="14858" width="11.125" style="155" customWidth="1"/>
    <col min="14859" max="14859" width="11.625" style="155" customWidth="1"/>
    <col min="14860" max="14860" width="9.25" style="155" customWidth="1"/>
    <col min="14861" max="14861" width="13.25" style="155" customWidth="1"/>
    <col min="14862" max="14862" width="2.5" style="155" customWidth="1"/>
    <col min="14863" max="14863" width="17.625" style="155" customWidth="1"/>
    <col min="14864" max="14864" width="6.375" style="155" customWidth="1"/>
    <col min="14865" max="14865" width="11.875" style="155" customWidth="1"/>
    <col min="14866" max="14866" width="9" style="155"/>
    <col min="14867" max="14867" width="6.75" style="155" customWidth="1"/>
    <col min="14868" max="14868" width="13.375" style="155" customWidth="1"/>
    <col min="14869" max="15104" width="9" style="155"/>
    <col min="15105" max="15105" width="7.75" style="155" customWidth="1"/>
    <col min="15106" max="15106" width="5.25" style="155" customWidth="1"/>
    <col min="15107" max="15107" width="11.25" style="155" customWidth="1"/>
    <col min="15108" max="15108" width="7.375" style="155" customWidth="1"/>
    <col min="15109" max="15109" width="7.125" style="155" customWidth="1"/>
    <col min="15110" max="15110" width="11.375" style="155" customWidth="1"/>
    <col min="15111" max="15111" width="3" style="155" customWidth="1"/>
    <col min="15112" max="15112" width="11.375" style="155" customWidth="1"/>
    <col min="15113" max="15113" width="6.875" style="155" customWidth="1"/>
    <col min="15114" max="15114" width="11.125" style="155" customWidth="1"/>
    <col min="15115" max="15115" width="11.625" style="155" customWidth="1"/>
    <col min="15116" max="15116" width="9.25" style="155" customWidth="1"/>
    <col min="15117" max="15117" width="13.25" style="155" customWidth="1"/>
    <col min="15118" max="15118" width="2.5" style="155" customWidth="1"/>
    <col min="15119" max="15119" width="17.625" style="155" customWidth="1"/>
    <col min="15120" max="15120" width="6.375" style="155" customWidth="1"/>
    <col min="15121" max="15121" width="11.875" style="155" customWidth="1"/>
    <col min="15122" max="15122" width="9" style="155"/>
    <col min="15123" max="15123" width="6.75" style="155" customWidth="1"/>
    <col min="15124" max="15124" width="13.375" style="155" customWidth="1"/>
    <col min="15125" max="15360" width="9" style="155"/>
    <col min="15361" max="15361" width="7.75" style="155" customWidth="1"/>
    <col min="15362" max="15362" width="5.25" style="155" customWidth="1"/>
    <col min="15363" max="15363" width="11.25" style="155" customWidth="1"/>
    <col min="15364" max="15364" width="7.375" style="155" customWidth="1"/>
    <col min="15365" max="15365" width="7.125" style="155" customWidth="1"/>
    <col min="15366" max="15366" width="11.375" style="155" customWidth="1"/>
    <col min="15367" max="15367" width="3" style="155" customWidth="1"/>
    <col min="15368" max="15368" width="11.375" style="155" customWidth="1"/>
    <col min="15369" max="15369" width="6.875" style="155" customWidth="1"/>
    <col min="15370" max="15370" width="11.125" style="155" customWidth="1"/>
    <col min="15371" max="15371" width="11.625" style="155" customWidth="1"/>
    <col min="15372" max="15372" width="9.25" style="155" customWidth="1"/>
    <col min="15373" max="15373" width="13.25" style="155" customWidth="1"/>
    <col min="15374" max="15374" width="2.5" style="155" customWidth="1"/>
    <col min="15375" max="15375" width="17.625" style="155" customWidth="1"/>
    <col min="15376" max="15376" width="6.375" style="155" customWidth="1"/>
    <col min="15377" max="15377" width="11.875" style="155" customWidth="1"/>
    <col min="15378" max="15378" width="9" style="155"/>
    <col min="15379" max="15379" width="6.75" style="155" customWidth="1"/>
    <col min="15380" max="15380" width="13.375" style="155" customWidth="1"/>
    <col min="15381" max="15616" width="9" style="155"/>
    <col min="15617" max="15617" width="7.75" style="155" customWidth="1"/>
    <col min="15618" max="15618" width="5.25" style="155" customWidth="1"/>
    <col min="15619" max="15619" width="11.25" style="155" customWidth="1"/>
    <col min="15620" max="15620" width="7.375" style="155" customWidth="1"/>
    <col min="15621" max="15621" width="7.125" style="155" customWidth="1"/>
    <col min="15622" max="15622" width="11.375" style="155" customWidth="1"/>
    <col min="15623" max="15623" width="3" style="155" customWidth="1"/>
    <col min="15624" max="15624" width="11.375" style="155" customWidth="1"/>
    <col min="15625" max="15625" width="6.875" style="155" customWidth="1"/>
    <col min="15626" max="15626" width="11.125" style="155" customWidth="1"/>
    <col min="15627" max="15627" width="11.625" style="155" customWidth="1"/>
    <col min="15628" max="15628" width="9.25" style="155" customWidth="1"/>
    <col min="15629" max="15629" width="13.25" style="155" customWidth="1"/>
    <col min="15630" max="15630" width="2.5" style="155" customWidth="1"/>
    <col min="15631" max="15631" width="17.625" style="155" customWidth="1"/>
    <col min="15632" max="15632" width="6.375" style="155" customWidth="1"/>
    <col min="15633" max="15633" width="11.875" style="155" customWidth="1"/>
    <col min="15634" max="15634" width="9" style="155"/>
    <col min="15635" max="15635" width="6.75" style="155" customWidth="1"/>
    <col min="15636" max="15636" width="13.375" style="155" customWidth="1"/>
    <col min="15637" max="15872" width="9" style="155"/>
    <col min="15873" max="15873" width="7.75" style="155" customWidth="1"/>
    <col min="15874" max="15874" width="5.25" style="155" customWidth="1"/>
    <col min="15875" max="15875" width="11.25" style="155" customWidth="1"/>
    <col min="15876" max="15876" width="7.375" style="155" customWidth="1"/>
    <col min="15877" max="15877" width="7.125" style="155" customWidth="1"/>
    <col min="15878" max="15878" width="11.375" style="155" customWidth="1"/>
    <col min="15879" max="15879" width="3" style="155" customWidth="1"/>
    <col min="15880" max="15880" width="11.375" style="155" customWidth="1"/>
    <col min="15881" max="15881" width="6.875" style="155" customWidth="1"/>
    <col min="15882" max="15882" width="11.125" style="155" customWidth="1"/>
    <col min="15883" max="15883" width="11.625" style="155" customWidth="1"/>
    <col min="15884" max="15884" width="9.25" style="155" customWidth="1"/>
    <col min="15885" max="15885" width="13.25" style="155" customWidth="1"/>
    <col min="15886" max="15886" width="2.5" style="155" customWidth="1"/>
    <col min="15887" max="15887" width="17.625" style="155" customWidth="1"/>
    <col min="15888" max="15888" width="6.375" style="155" customWidth="1"/>
    <col min="15889" max="15889" width="11.875" style="155" customWidth="1"/>
    <col min="15890" max="15890" width="9" style="155"/>
    <col min="15891" max="15891" width="6.75" style="155" customWidth="1"/>
    <col min="15892" max="15892" width="13.375" style="155" customWidth="1"/>
    <col min="15893" max="16128" width="9" style="155"/>
    <col min="16129" max="16129" width="7.75" style="155" customWidth="1"/>
    <col min="16130" max="16130" width="5.25" style="155" customWidth="1"/>
    <col min="16131" max="16131" width="11.25" style="155" customWidth="1"/>
    <col min="16132" max="16132" width="7.375" style="155" customWidth="1"/>
    <col min="16133" max="16133" width="7.125" style="155" customWidth="1"/>
    <col min="16134" max="16134" width="11.375" style="155" customWidth="1"/>
    <col min="16135" max="16135" width="3" style="155" customWidth="1"/>
    <col min="16136" max="16136" width="11.375" style="155" customWidth="1"/>
    <col min="16137" max="16137" width="6.875" style="155" customWidth="1"/>
    <col min="16138" max="16138" width="11.125" style="155" customWidth="1"/>
    <col min="16139" max="16139" width="11.625" style="155" customWidth="1"/>
    <col min="16140" max="16140" width="9.25" style="155" customWidth="1"/>
    <col min="16141" max="16141" width="13.25" style="155" customWidth="1"/>
    <col min="16142" max="16142" width="2.5" style="155" customWidth="1"/>
    <col min="16143" max="16143" width="17.625" style="155" customWidth="1"/>
    <col min="16144" max="16144" width="6.375" style="155" customWidth="1"/>
    <col min="16145" max="16145" width="11.875" style="155" customWidth="1"/>
    <col min="16146" max="16146" width="9" style="155"/>
    <col min="16147" max="16147" width="6.75" style="155" customWidth="1"/>
    <col min="16148" max="16148" width="13.375" style="155" customWidth="1"/>
    <col min="16149" max="16384" width="9" style="155"/>
  </cols>
  <sheetData>
    <row r="1" spans="1:20" s="58" customFormat="1" ht="23.25" customHeight="1" thickTop="1" thickBot="1">
      <c r="A1" s="57" t="s">
        <v>132</v>
      </c>
      <c r="B1" s="432" t="s">
        <v>133</v>
      </c>
      <c r="C1" s="433"/>
      <c r="D1" s="433"/>
      <c r="E1" s="433"/>
      <c r="F1" s="434"/>
      <c r="H1" s="435" t="s">
        <v>134</v>
      </c>
      <c r="I1" s="436"/>
      <c r="J1" s="436"/>
      <c r="K1" s="437">
        <f>SUM(F15+F31+F39+F44+F50+K50+K48+M46+M38+M31+M24+M15+T22+T38)</f>
        <v>524847</v>
      </c>
      <c r="L1" s="437"/>
      <c r="M1" s="438"/>
      <c r="N1" s="59"/>
      <c r="O1" s="422" t="s">
        <v>135</v>
      </c>
      <c r="P1" s="423"/>
      <c r="Q1" s="423"/>
      <c r="R1" s="423"/>
      <c r="S1" s="423"/>
      <c r="T1" s="424"/>
    </row>
    <row r="2" spans="1:20" ht="10.5" customHeight="1" thickTop="1" thickBot="1">
      <c r="A2" s="274"/>
      <c r="B2" s="274"/>
      <c r="C2" s="274"/>
      <c r="D2" s="274"/>
      <c r="F2" s="274"/>
      <c r="G2" s="274"/>
      <c r="H2" s="274"/>
      <c r="I2" s="274"/>
      <c r="J2" s="274"/>
      <c r="K2" s="274"/>
      <c r="L2" s="274"/>
      <c r="M2" s="274"/>
      <c r="N2" s="282"/>
      <c r="O2" s="65" t="s">
        <v>136</v>
      </c>
      <c r="P2" s="66" t="s">
        <v>137</v>
      </c>
      <c r="Q2" s="166" t="s">
        <v>138</v>
      </c>
      <c r="R2" s="200" t="s">
        <v>136</v>
      </c>
      <c r="S2" s="63" t="s">
        <v>137</v>
      </c>
      <c r="T2" s="64" t="s">
        <v>138</v>
      </c>
    </row>
    <row r="3" spans="1:20" ht="15" customHeight="1" thickTop="1" thickBot="1">
      <c r="A3" s="429" t="s">
        <v>90</v>
      </c>
      <c r="B3" s="430"/>
      <c r="C3" s="430"/>
      <c r="D3" s="430"/>
      <c r="E3" s="430"/>
      <c r="F3" s="431"/>
      <c r="G3" s="60"/>
      <c r="H3" s="429" t="s">
        <v>139</v>
      </c>
      <c r="I3" s="430"/>
      <c r="J3" s="430"/>
      <c r="K3" s="430"/>
      <c r="L3" s="430"/>
      <c r="M3" s="431"/>
      <c r="N3" s="282"/>
      <c r="O3" s="280" t="s">
        <v>140</v>
      </c>
      <c r="P3" s="286">
        <v>1</v>
      </c>
      <c r="Q3" s="276">
        <f>SUM(P3*650)</f>
        <v>650</v>
      </c>
      <c r="R3" s="201" t="s">
        <v>141</v>
      </c>
      <c r="S3" s="286">
        <v>0</v>
      </c>
      <c r="T3" s="72">
        <f>SUM(S3*0)</f>
        <v>0</v>
      </c>
    </row>
    <row r="4" spans="1:20" ht="15" customHeight="1" thickTop="1">
      <c r="A4" s="61" t="s">
        <v>142</v>
      </c>
      <c r="B4" s="62" t="s">
        <v>143</v>
      </c>
      <c r="C4" s="83" t="s">
        <v>138</v>
      </c>
      <c r="D4" s="200" t="s">
        <v>144</v>
      </c>
      <c r="E4" s="134" t="s">
        <v>143</v>
      </c>
      <c r="F4" s="64" t="s">
        <v>138</v>
      </c>
      <c r="G4" s="60"/>
      <c r="H4" s="61" t="s">
        <v>57</v>
      </c>
      <c r="I4" s="62" t="s">
        <v>143</v>
      </c>
      <c r="J4" s="83" t="s">
        <v>138</v>
      </c>
      <c r="K4" s="200" t="s">
        <v>58</v>
      </c>
      <c r="L4" s="63" t="s">
        <v>143</v>
      </c>
      <c r="M4" s="64" t="s">
        <v>138</v>
      </c>
      <c r="N4" s="282"/>
      <c r="O4" s="280" t="s">
        <v>145</v>
      </c>
      <c r="P4" s="286">
        <v>0</v>
      </c>
      <c r="Q4" s="276">
        <f>SUM(P4*6000)</f>
        <v>0</v>
      </c>
      <c r="R4" s="201" t="s">
        <v>146</v>
      </c>
      <c r="S4" s="286">
        <v>0</v>
      </c>
      <c r="T4" s="72">
        <f>SUM(S4*0)</f>
        <v>0</v>
      </c>
    </row>
    <row r="5" spans="1:20" ht="15" customHeight="1">
      <c r="A5" s="280">
        <v>44</v>
      </c>
      <c r="B5" s="67">
        <f>SUM(입력!O5)</f>
        <v>0</v>
      </c>
      <c r="C5" s="89">
        <f>SUM(B5*16270)</f>
        <v>0</v>
      </c>
      <c r="D5" s="201">
        <v>19</v>
      </c>
      <c r="E5" s="135">
        <v>0</v>
      </c>
      <c r="F5" s="72">
        <f>SUM(E5*4390)</f>
        <v>0</v>
      </c>
      <c r="G5" s="60"/>
      <c r="H5" s="280">
        <v>44</v>
      </c>
      <c r="I5" s="70"/>
      <c r="J5" s="89">
        <f>SUM(I5*3210)</f>
        <v>0</v>
      </c>
      <c r="K5" s="201">
        <v>22</v>
      </c>
      <c r="L5" s="70">
        <f>SUM(입력!O5)</f>
        <v>0</v>
      </c>
      <c r="M5" s="71">
        <f>SUM(L5*930)</f>
        <v>0</v>
      </c>
      <c r="N5" s="282"/>
      <c r="O5" s="280" t="s">
        <v>147</v>
      </c>
      <c r="P5" s="286">
        <v>0</v>
      </c>
      <c r="Q5" s="276">
        <f>SUM(P5*6500)</f>
        <v>0</v>
      </c>
      <c r="R5" s="201" t="s">
        <v>148</v>
      </c>
      <c r="S5" s="286">
        <v>0</v>
      </c>
      <c r="T5" s="72">
        <f>SUM(S5*0)</f>
        <v>0</v>
      </c>
    </row>
    <row r="6" spans="1:20" ht="15" customHeight="1">
      <c r="A6" s="280">
        <v>41</v>
      </c>
      <c r="B6" s="67">
        <f>SUM(입력!O6)</f>
        <v>0</v>
      </c>
      <c r="C6" s="89">
        <f>SUM(B6*13770)</f>
        <v>0</v>
      </c>
      <c r="D6" s="201">
        <v>15</v>
      </c>
      <c r="E6" s="135">
        <v>0</v>
      </c>
      <c r="F6" s="186">
        <f>SUM(E6*3420)</f>
        <v>0</v>
      </c>
      <c r="G6" s="60"/>
      <c r="H6" s="280">
        <v>41</v>
      </c>
      <c r="I6" s="70">
        <f>SUM(입력!O5:O6)</f>
        <v>0</v>
      </c>
      <c r="J6" s="89">
        <f>SUM(I6*2810)</f>
        <v>0</v>
      </c>
      <c r="K6" s="201">
        <v>19</v>
      </c>
      <c r="L6" s="70">
        <f>SUM(입력!O6:O7)</f>
        <v>0</v>
      </c>
      <c r="M6" s="71">
        <f>SUM(L6*895)</f>
        <v>0</v>
      </c>
      <c r="N6" s="282"/>
      <c r="O6" s="280" t="s">
        <v>149</v>
      </c>
      <c r="P6" s="286">
        <v>0</v>
      </c>
      <c r="Q6" s="276">
        <f>SUM(P6*11000)</f>
        <v>0</v>
      </c>
      <c r="R6" s="201" t="s">
        <v>150</v>
      </c>
      <c r="S6" s="286">
        <v>1</v>
      </c>
      <c r="T6" s="72">
        <f>SUM(S6*25000)</f>
        <v>25000</v>
      </c>
    </row>
    <row r="7" spans="1:20" ht="15" customHeight="1">
      <c r="A7" s="280">
        <v>34</v>
      </c>
      <c r="B7" s="67">
        <f>SUM(입력!O7)</f>
        <v>0</v>
      </c>
      <c r="C7" s="89">
        <f>SUM(B7*8860)</f>
        <v>0</v>
      </c>
      <c r="D7" s="201">
        <v>12</v>
      </c>
      <c r="E7" s="135">
        <v>0</v>
      </c>
      <c r="F7" s="186">
        <f>SUM(E7*2210)</f>
        <v>0</v>
      </c>
      <c r="G7" s="60"/>
      <c r="H7" s="280">
        <v>34</v>
      </c>
      <c r="I7" s="70"/>
      <c r="J7" s="89">
        <f>SUM(I7*2492)</f>
        <v>0</v>
      </c>
      <c r="K7" s="201">
        <v>15</v>
      </c>
      <c r="L7" s="70">
        <f>SUM(입력!O8+입력!O13)</f>
        <v>0</v>
      </c>
      <c r="M7" s="71">
        <f>SUM(L7*710)</f>
        <v>0</v>
      </c>
      <c r="N7" s="282"/>
      <c r="O7" s="280" t="s">
        <v>151</v>
      </c>
      <c r="P7" s="286">
        <v>0</v>
      </c>
      <c r="Q7" s="276">
        <f>SUM(P7*200)</f>
        <v>0</v>
      </c>
      <c r="R7" s="201" t="s">
        <v>152</v>
      </c>
      <c r="S7" s="286">
        <v>0</v>
      </c>
      <c r="T7" s="72">
        <v>0</v>
      </c>
    </row>
    <row r="8" spans="1:20" ht="15" customHeight="1">
      <c r="A8" s="280">
        <v>28</v>
      </c>
      <c r="B8" s="67">
        <f>SUM(입력!O8)</f>
        <v>0</v>
      </c>
      <c r="C8" s="89">
        <f>SUM(B8*6560)</f>
        <v>0</v>
      </c>
      <c r="D8" s="201">
        <v>9</v>
      </c>
      <c r="E8" s="135">
        <v>0</v>
      </c>
      <c r="F8" s="186">
        <f>SUM(E8*1720)</f>
        <v>0</v>
      </c>
      <c r="G8" s="60"/>
      <c r="H8" s="280">
        <v>28</v>
      </c>
      <c r="I8" s="70">
        <f>SUM(입력!O7:O9)</f>
        <v>0</v>
      </c>
      <c r="J8" s="89">
        <f>SUM(I8*1899)</f>
        <v>0</v>
      </c>
      <c r="K8" s="201">
        <v>12</v>
      </c>
      <c r="L8" s="70">
        <f>SUM(입력!O10)</f>
        <v>0</v>
      </c>
      <c r="M8" s="71">
        <f>SUM(L8*662)</f>
        <v>0</v>
      </c>
      <c r="N8" s="282"/>
      <c r="O8" s="280" t="s">
        <v>153</v>
      </c>
      <c r="P8" s="286">
        <v>0</v>
      </c>
      <c r="Q8" s="276">
        <f>SUM(P8*110)</f>
        <v>0</v>
      </c>
      <c r="R8" s="201" t="s">
        <v>154</v>
      </c>
      <c r="S8" s="286">
        <v>1</v>
      </c>
      <c r="T8" s="72">
        <f>SUM(S8*1000)</f>
        <v>1000</v>
      </c>
    </row>
    <row r="9" spans="1:20" ht="15" customHeight="1">
      <c r="A9" s="280">
        <v>25</v>
      </c>
      <c r="B9" s="67">
        <f>SUM(입력!O10)</f>
        <v>0</v>
      </c>
      <c r="C9" s="89">
        <f>SUM(B9*6180)</f>
        <v>0</v>
      </c>
      <c r="D9" s="214">
        <v>6</v>
      </c>
      <c r="E9" s="190">
        <v>0</v>
      </c>
      <c r="F9" s="88">
        <f>SUM(E9*1200)</f>
        <v>0</v>
      </c>
      <c r="G9" s="60"/>
      <c r="H9" s="280">
        <v>25</v>
      </c>
      <c r="I9" s="70"/>
      <c r="J9" s="89">
        <f>SUM(I9*1789)</f>
        <v>0</v>
      </c>
      <c r="K9" s="201">
        <v>9</v>
      </c>
      <c r="L9" s="70">
        <f>SUM(입력!O11:O13)</f>
        <v>0</v>
      </c>
      <c r="M9" s="71">
        <f>SUM(L9*630)</f>
        <v>0</v>
      </c>
      <c r="N9" s="282"/>
      <c r="O9" s="280" t="s">
        <v>155</v>
      </c>
      <c r="P9" s="286">
        <v>0</v>
      </c>
      <c r="Q9" s="276">
        <f>SUM(P9*65000)</f>
        <v>0</v>
      </c>
      <c r="R9" s="201" t="s">
        <v>156</v>
      </c>
      <c r="S9" s="286">
        <v>1</v>
      </c>
      <c r="T9" s="72">
        <f>SUM(S9*5500)</f>
        <v>5500</v>
      </c>
    </row>
    <row r="10" spans="1:20" ht="15" customHeight="1">
      <c r="A10" s="280">
        <v>22</v>
      </c>
      <c r="B10" s="67">
        <f>SUM(입력!O11+입력!O5)</f>
        <v>0</v>
      </c>
      <c r="C10" s="89">
        <f>SUM(B10*4780)</f>
        <v>0</v>
      </c>
      <c r="D10" s="215" t="s">
        <v>157</v>
      </c>
      <c r="E10" s="191" t="s">
        <v>143</v>
      </c>
      <c r="F10" s="192" t="s">
        <v>138</v>
      </c>
      <c r="G10" s="60"/>
      <c r="H10" s="280">
        <v>22</v>
      </c>
      <c r="I10" s="70"/>
      <c r="J10" s="89">
        <f>SUM(I10*1623)</f>
        <v>0</v>
      </c>
      <c r="K10" s="201">
        <v>6</v>
      </c>
      <c r="L10" s="70"/>
      <c r="M10" s="71">
        <f>SUM(L10*576)</f>
        <v>0</v>
      </c>
      <c r="N10" s="282"/>
      <c r="O10" s="280" t="s">
        <v>158</v>
      </c>
      <c r="P10" s="286">
        <v>0</v>
      </c>
      <c r="Q10" s="276">
        <f>SUM(P10*1100)</f>
        <v>0</v>
      </c>
      <c r="R10" s="201" t="s">
        <v>159</v>
      </c>
      <c r="S10" s="286">
        <v>0</v>
      </c>
      <c r="T10" s="72">
        <v>0</v>
      </c>
    </row>
    <row r="11" spans="1:20" ht="15" customHeight="1">
      <c r="A11" s="280">
        <v>19</v>
      </c>
      <c r="B11" s="67">
        <f>SUM(입력!O12+입력!O7+입력!O6)</f>
        <v>0</v>
      </c>
      <c r="C11" s="89">
        <f>SUM(B11*4100)</f>
        <v>0</v>
      </c>
      <c r="D11" s="201">
        <v>1509</v>
      </c>
      <c r="E11" s="135">
        <f>SUM(입력!O15)</f>
        <v>0</v>
      </c>
      <c r="F11" s="186">
        <f>SUM(E11*11000)</f>
        <v>0</v>
      </c>
      <c r="G11" s="60"/>
      <c r="H11" s="280">
        <v>19</v>
      </c>
      <c r="I11" s="70">
        <f>SUM(입력!O11:O12)</f>
        <v>0</v>
      </c>
      <c r="J11" s="89">
        <f>SUM(I11*1500)</f>
        <v>0</v>
      </c>
      <c r="K11" s="201"/>
      <c r="L11" s="286"/>
      <c r="M11" s="69"/>
      <c r="N11" s="282"/>
      <c r="O11" s="280" t="s">
        <v>160</v>
      </c>
      <c r="P11" s="286">
        <v>0</v>
      </c>
      <c r="Q11" s="276">
        <f>SUM(P11*1100)</f>
        <v>0</v>
      </c>
      <c r="R11" s="201" t="s">
        <v>161</v>
      </c>
      <c r="S11" s="286">
        <v>0</v>
      </c>
      <c r="T11" s="72">
        <f>SUM(S11*15000)</f>
        <v>0</v>
      </c>
    </row>
    <row r="12" spans="1:20" ht="15" customHeight="1">
      <c r="A12" s="280">
        <v>15</v>
      </c>
      <c r="B12" s="67">
        <f>SUM(입력!O13+입력!O8)</f>
        <v>0</v>
      </c>
      <c r="C12" s="89">
        <f>SUM(B12*3310)</f>
        <v>0</v>
      </c>
      <c r="D12" s="201">
        <v>1206</v>
      </c>
      <c r="E12" s="135">
        <f>SUM(입력!O16)</f>
        <v>0</v>
      </c>
      <c r="F12" s="186">
        <f>SUM(E12*6500)</f>
        <v>0</v>
      </c>
      <c r="G12" s="60"/>
      <c r="H12" s="280">
        <v>15</v>
      </c>
      <c r="I12" s="70"/>
      <c r="J12" s="89">
        <f>SUM(I12*1290)</f>
        <v>0</v>
      </c>
      <c r="K12" s="201"/>
      <c r="L12" s="286"/>
      <c r="M12" s="69"/>
      <c r="N12" s="282"/>
      <c r="O12" s="280" t="s">
        <v>162</v>
      </c>
      <c r="P12" s="286">
        <v>0</v>
      </c>
      <c r="Q12" s="276">
        <f>SUM(P12*1100)</f>
        <v>0</v>
      </c>
      <c r="R12" s="201" t="s">
        <v>163</v>
      </c>
      <c r="S12" s="286">
        <v>0</v>
      </c>
      <c r="T12" s="72">
        <f>SUM(S12*45000)</f>
        <v>0</v>
      </c>
    </row>
    <row r="13" spans="1:20" ht="15" customHeight="1">
      <c r="A13" s="280">
        <v>12</v>
      </c>
      <c r="B13" s="67">
        <f>SUM(입력!O10)</f>
        <v>0</v>
      </c>
      <c r="C13" s="89">
        <f>SUM(B13*2210)</f>
        <v>0</v>
      </c>
      <c r="D13" s="216" t="s">
        <v>164</v>
      </c>
      <c r="E13" s="135">
        <f>SUM(입력!O17)</f>
        <v>0</v>
      </c>
      <c r="F13" s="186">
        <f>SUM(E13*5200)</f>
        <v>0</v>
      </c>
      <c r="G13" s="60"/>
      <c r="H13" s="280">
        <v>12</v>
      </c>
      <c r="I13" s="70"/>
      <c r="J13" s="89">
        <f>SUM(I13*1150)</f>
        <v>0</v>
      </c>
      <c r="K13" s="201"/>
      <c r="L13" s="286"/>
      <c r="M13" s="69"/>
      <c r="N13" s="282"/>
      <c r="O13" s="280" t="s">
        <v>165</v>
      </c>
      <c r="P13" s="286">
        <v>0</v>
      </c>
      <c r="Q13" s="276">
        <f>SUM(P13*230)</f>
        <v>0</v>
      </c>
      <c r="R13" s="201" t="s">
        <v>166</v>
      </c>
      <c r="S13" s="286">
        <v>1</v>
      </c>
      <c r="T13" s="72">
        <f>SUM(S13*15000)</f>
        <v>15000</v>
      </c>
    </row>
    <row r="14" spans="1:20" ht="15" customHeight="1" thickBot="1">
      <c r="A14" s="289">
        <v>9</v>
      </c>
      <c r="B14" s="74">
        <f>SUM(입력!O13+입력!O12+입력!O11)</f>
        <v>0</v>
      </c>
      <c r="C14" s="90">
        <f>SUM(B14*1580)</f>
        <v>0</v>
      </c>
      <c r="D14" s="291"/>
      <c r="E14" s="136"/>
      <c r="F14" s="76"/>
      <c r="G14" s="60"/>
      <c r="H14" s="289" t="s">
        <v>38</v>
      </c>
      <c r="I14" s="290"/>
      <c r="J14" s="212">
        <f>SUM(I14*1061)</f>
        <v>0</v>
      </c>
      <c r="K14" s="291"/>
      <c r="L14" s="290"/>
      <c r="M14" s="76"/>
      <c r="N14" s="282"/>
      <c r="O14" s="280" t="s">
        <v>167</v>
      </c>
      <c r="P14" s="286">
        <v>0</v>
      </c>
      <c r="Q14" s="276">
        <f>SUM(P14*25000)</f>
        <v>0</v>
      </c>
      <c r="R14" s="201" t="s">
        <v>168</v>
      </c>
      <c r="S14" s="286">
        <v>1</v>
      </c>
      <c r="T14" s="72">
        <v>0</v>
      </c>
    </row>
    <row r="15" spans="1:20" ht="15" customHeight="1" thickTop="1" thickBot="1">
      <c r="A15" s="442" t="s">
        <v>169</v>
      </c>
      <c r="B15" s="443"/>
      <c r="C15" s="443"/>
      <c r="D15" s="443"/>
      <c r="E15" s="444"/>
      <c r="F15" s="177">
        <f>SUM(C5+C6+C7+C8+C9+C10+C11+C12+C13+C14+F5+F6+F7+F8+F9+F11+F12+F13)</f>
        <v>0</v>
      </c>
      <c r="G15" s="274"/>
      <c r="H15" s="442" t="s">
        <v>169</v>
      </c>
      <c r="I15" s="443"/>
      <c r="J15" s="443"/>
      <c r="K15" s="443"/>
      <c r="L15" s="444"/>
      <c r="M15" s="177">
        <f>SUM(J5+J6+J7+J8+J9+J10+J11+J12+J13+J14+M5+M6+M7+M8+M9+M10+M11+M12+M13+M14)</f>
        <v>0</v>
      </c>
      <c r="N15" s="282"/>
      <c r="O15" s="280" t="s">
        <v>170</v>
      </c>
      <c r="P15" s="286">
        <v>0</v>
      </c>
      <c r="Q15" s="276">
        <f>SUM(P15*180)</f>
        <v>0</v>
      </c>
      <c r="R15" s="201" t="s">
        <v>171</v>
      </c>
      <c r="S15" s="286">
        <v>0</v>
      </c>
      <c r="T15" s="72">
        <f>SUM(S15*1000)</f>
        <v>0</v>
      </c>
    </row>
    <row r="16" spans="1:20" ht="15" customHeight="1" thickTop="1" thickBot="1">
      <c r="A16" s="422" t="s">
        <v>172</v>
      </c>
      <c r="B16" s="423"/>
      <c r="C16" s="423"/>
      <c r="D16" s="423"/>
      <c r="E16" s="423"/>
      <c r="F16" s="424"/>
      <c r="G16" s="274"/>
      <c r="H16" s="447" t="s">
        <v>173</v>
      </c>
      <c r="I16" s="448"/>
      <c r="J16" s="448"/>
      <c r="K16" s="448"/>
      <c r="L16" s="448"/>
      <c r="M16" s="449"/>
      <c r="N16" s="282"/>
      <c r="O16" s="280" t="s">
        <v>174</v>
      </c>
      <c r="P16" s="286">
        <v>0</v>
      </c>
      <c r="Q16" s="276">
        <f>SUM(P16*280)</f>
        <v>0</v>
      </c>
      <c r="R16" s="201" t="s">
        <v>175</v>
      </c>
      <c r="S16" s="286">
        <v>0</v>
      </c>
      <c r="T16" s="72">
        <v>0</v>
      </c>
    </row>
    <row r="17" spans="1:20" ht="15" customHeight="1" thickTop="1">
      <c r="A17" s="65" t="s">
        <v>176</v>
      </c>
      <c r="B17" s="66" t="s">
        <v>137</v>
      </c>
      <c r="C17" s="166" t="s">
        <v>138</v>
      </c>
      <c r="D17" s="200" t="s">
        <v>177</v>
      </c>
      <c r="E17" s="63" t="s">
        <v>137</v>
      </c>
      <c r="F17" s="64" t="s">
        <v>138</v>
      </c>
      <c r="G17" s="274"/>
      <c r="H17" s="61" t="s">
        <v>178</v>
      </c>
      <c r="I17" s="62" t="s">
        <v>143</v>
      </c>
      <c r="J17" s="83" t="s">
        <v>138</v>
      </c>
      <c r="K17" s="200" t="s">
        <v>55</v>
      </c>
      <c r="L17" s="63" t="s">
        <v>143</v>
      </c>
      <c r="M17" s="64" t="s">
        <v>138</v>
      </c>
      <c r="N17" s="282"/>
      <c r="O17" s="280" t="s">
        <v>179</v>
      </c>
      <c r="P17" s="286">
        <v>0</v>
      </c>
      <c r="Q17" s="276">
        <f>SUM(P17*15000)</f>
        <v>0</v>
      </c>
      <c r="R17" s="201" t="s">
        <v>180</v>
      </c>
      <c r="S17" s="286">
        <v>0</v>
      </c>
      <c r="T17" s="72">
        <v>0</v>
      </c>
    </row>
    <row r="18" spans="1:20" ht="15" customHeight="1">
      <c r="A18" s="275">
        <v>44</v>
      </c>
      <c r="B18" s="150"/>
      <c r="C18" s="210">
        <f>SUM(B18*6050)</f>
        <v>0</v>
      </c>
      <c r="D18" s="213">
        <v>44</v>
      </c>
      <c r="E18" s="150"/>
      <c r="F18" s="205">
        <f>SUM(E18*2100)</f>
        <v>0</v>
      </c>
      <c r="G18" s="274"/>
      <c r="H18" s="280">
        <v>50</v>
      </c>
      <c r="I18" s="150"/>
      <c r="J18" s="211">
        <f>SUM(I18*2290)</f>
        <v>0</v>
      </c>
      <c r="K18" s="201">
        <v>50</v>
      </c>
      <c r="L18" s="286"/>
      <c r="M18" s="156">
        <f>SUM(L18*740)</f>
        <v>0</v>
      </c>
      <c r="N18" s="282"/>
      <c r="O18" s="280" t="s">
        <v>181</v>
      </c>
      <c r="P18" s="286">
        <v>0</v>
      </c>
      <c r="Q18" s="276">
        <f>SUM(P18*45000)</f>
        <v>0</v>
      </c>
      <c r="R18" s="201" t="s">
        <v>182</v>
      </c>
      <c r="S18" s="286">
        <v>0</v>
      </c>
      <c r="T18" s="72">
        <f>SUM(S18*100)</f>
        <v>0</v>
      </c>
    </row>
    <row r="19" spans="1:20" ht="15" customHeight="1">
      <c r="A19" s="280">
        <v>38</v>
      </c>
      <c r="B19" s="286"/>
      <c r="C19" s="211">
        <f>SUM(B19*3170)</f>
        <v>0</v>
      </c>
      <c r="D19" s="201">
        <v>38</v>
      </c>
      <c r="E19" s="286"/>
      <c r="F19" s="206">
        <f>SUM(E19*1500)</f>
        <v>0</v>
      </c>
      <c r="G19" s="274"/>
      <c r="H19" s="280">
        <v>40</v>
      </c>
      <c r="I19" s="73">
        <v>20</v>
      </c>
      <c r="J19" s="89">
        <f>SUM(I19*1964)</f>
        <v>39280</v>
      </c>
      <c r="K19" s="201">
        <v>40</v>
      </c>
      <c r="L19" s="70">
        <f>SUM(I19*1.1)</f>
        <v>22</v>
      </c>
      <c r="M19" s="68">
        <f>SUM(L19*640)</f>
        <v>14080</v>
      </c>
      <c r="N19" s="282"/>
      <c r="O19" s="280" t="s">
        <v>183</v>
      </c>
      <c r="P19" s="286">
        <v>0</v>
      </c>
      <c r="Q19" s="276">
        <f>SUM(P19*35000)</f>
        <v>0</v>
      </c>
      <c r="R19" s="201" t="s">
        <v>184</v>
      </c>
      <c r="S19" s="286">
        <v>0</v>
      </c>
      <c r="T19" s="72">
        <f>SUM(S19*50)</f>
        <v>0</v>
      </c>
    </row>
    <row r="20" spans="1:20" ht="15" customHeight="1">
      <c r="A20" s="280">
        <v>34</v>
      </c>
      <c r="B20" s="286">
        <v>0</v>
      </c>
      <c r="C20" s="211">
        <f>SUM(B20*2130)</f>
        <v>0</v>
      </c>
      <c r="D20" s="201">
        <v>34</v>
      </c>
      <c r="E20" s="286">
        <v>5</v>
      </c>
      <c r="F20" s="206">
        <f>SUM(E20*1120)</f>
        <v>5600</v>
      </c>
      <c r="G20" s="274"/>
      <c r="H20" s="280">
        <v>25</v>
      </c>
      <c r="I20" s="73">
        <v>20</v>
      </c>
      <c r="J20" s="89">
        <f>SUM(I20*1165)</f>
        <v>23300</v>
      </c>
      <c r="K20" s="201">
        <v>25</v>
      </c>
      <c r="L20" s="70">
        <f>SUM(I20*1.1)</f>
        <v>22</v>
      </c>
      <c r="M20" s="68">
        <f>SUM(L20*450)</f>
        <v>9900</v>
      </c>
      <c r="N20" s="282"/>
      <c r="O20" s="183" t="s">
        <v>185</v>
      </c>
      <c r="P20" s="184">
        <v>0</v>
      </c>
      <c r="Q20" s="202">
        <f>SUM(P20*28000)</f>
        <v>0</v>
      </c>
      <c r="R20" s="217" t="s">
        <v>186</v>
      </c>
      <c r="S20" s="287">
        <v>0</v>
      </c>
      <c r="T20" s="218">
        <f>SUM(S20*3500)</f>
        <v>0</v>
      </c>
    </row>
    <row r="21" spans="1:20" ht="15" customHeight="1" thickBot="1">
      <c r="A21" s="280">
        <v>31</v>
      </c>
      <c r="B21" s="286">
        <v>0</v>
      </c>
      <c r="C21" s="211">
        <f>SUM(B21*2110)</f>
        <v>0</v>
      </c>
      <c r="D21" s="201">
        <v>31</v>
      </c>
      <c r="E21" s="286">
        <v>0</v>
      </c>
      <c r="F21" s="206">
        <f>SUM(E21*1050)</f>
        <v>0</v>
      </c>
      <c r="G21" s="274"/>
      <c r="H21" s="280"/>
      <c r="I21" s="150"/>
      <c r="J21" s="89"/>
      <c r="K21" s="201"/>
      <c r="L21" s="286"/>
      <c r="M21" s="156"/>
      <c r="N21" s="282"/>
      <c r="O21" s="450" t="s">
        <v>187</v>
      </c>
      <c r="P21" s="451"/>
      <c r="Q21" s="203">
        <f>SUM(Q3:Q20)</f>
        <v>650</v>
      </c>
      <c r="R21" s="452" t="s">
        <v>187</v>
      </c>
      <c r="S21" s="451"/>
      <c r="T21" s="204">
        <f>SUM(T3:T20)</f>
        <v>46500</v>
      </c>
    </row>
    <row r="22" spans="1:20" ht="15" customHeight="1" thickTop="1" thickBot="1">
      <c r="A22" s="280">
        <v>28</v>
      </c>
      <c r="B22" s="286">
        <v>0</v>
      </c>
      <c r="C22" s="211">
        <f>SUM(B22*1385)</f>
        <v>0</v>
      </c>
      <c r="D22" s="201">
        <v>28</v>
      </c>
      <c r="E22" s="286">
        <v>5</v>
      </c>
      <c r="F22" s="206">
        <f>E22*688</f>
        <v>3440</v>
      </c>
      <c r="G22" s="274"/>
      <c r="H22" s="280"/>
      <c r="I22" s="150"/>
      <c r="J22" s="89"/>
      <c r="K22" s="201"/>
      <c r="L22" s="286"/>
      <c r="M22" s="156"/>
      <c r="N22" s="282"/>
      <c r="O22" s="442" t="s">
        <v>169</v>
      </c>
      <c r="P22" s="443"/>
      <c r="Q22" s="443"/>
      <c r="R22" s="443"/>
      <c r="S22" s="443"/>
      <c r="T22" s="182">
        <f>SUM(Q21+T21)</f>
        <v>47150</v>
      </c>
    </row>
    <row r="23" spans="1:20" ht="15" customHeight="1" thickTop="1" thickBot="1">
      <c r="A23" s="280">
        <v>25</v>
      </c>
      <c r="B23" s="286">
        <v>0</v>
      </c>
      <c r="C23" s="211">
        <f>SUM(B23*1366)</f>
        <v>0</v>
      </c>
      <c r="D23" s="201">
        <v>25</v>
      </c>
      <c r="E23" s="286">
        <v>0</v>
      </c>
      <c r="F23" s="206">
        <f>E23*602</f>
        <v>0</v>
      </c>
      <c r="G23" s="274"/>
      <c r="H23" s="453" t="s">
        <v>187</v>
      </c>
      <c r="I23" s="454"/>
      <c r="J23" s="90">
        <f>SUM(J18:J22)</f>
        <v>62580</v>
      </c>
      <c r="K23" s="455" t="s">
        <v>187</v>
      </c>
      <c r="L23" s="454"/>
      <c r="M23" s="189">
        <f>SUM(M18:M22)</f>
        <v>23980</v>
      </c>
      <c r="N23" s="282"/>
      <c r="O23" s="422" t="s">
        <v>188</v>
      </c>
      <c r="P23" s="423"/>
      <c r="Q23" s="423"/>
      <c r="R23" s="423"/>
      <c r="S23" s="423"/>
      <c r="T23" s="424"/>
    </row>
    <row r="24" spans="1:20" ht="15" customHeight="1" thickTop="1" thickBot="1">
      <c r="A24" s="280">
        <v>22</v>
      </c>
      <c r="B24" s="286">
        <v>0</v>
      </c>
      <c r="C24" s="211">
        <f>SUM(B24*1040)</f>
        <v>0</v>
      </c>
      <c r="D24" s="201">
        <v>22</v>
      </c>
      <c r="E24" s="286">
        <v>5</v>
      </c>
      <c r="F24" s="206">
        <f>E24*400</f>
        <v>2000</v>
      </c>
      <c r="G24" s="274"/>
      <c r="H24" s="442" t="s">
        <v>169</v>
      </c>
      <c r="I24" s="443"/>
      <c r="J24" s="443"/>
      <c r="K24" s="443"/>
      <c r="L24" s="444"/>
      <c r="M24" s="181">
        <f>SUM(J23+M23)</f>
        <v>86560</v>
      </c>
      <c r="N24" s="82"/>
      <c r="O24" s="456" t="s">
        <v>189</v>
      </c>
      <c r="P24" s="457"/>
      <c r="Q24" s="197" t="s">
        <v>137</v>
      </c>
      <c r="R24" s="458" t="s">
        <v>38</v>
      </c>
      <c r="S24" s="458"/>
      <c r="T24" s="198" t="s">
        <v>138</v>
      </c>
    </row>
    <row r="25" spans="1:20" ht="15" customHeight="1" thickTop="1" thickBot="1">
      <c r="A25" s="280">
        <v>19</v>
      </c>
      <c r="B25" s="286">
        <v>0</v>
      </c>
      <c r="C25" s="211">
        <f>SUM(B25*580)</f>
        <v>0</v>
      </c>
      <c r="D25" s="201">
        <v>19</v>
      </c>
      <c r="E25" s="286">
        <v>5</v>
      </c>
      <c r="F25" s="206">
        <f>E25*340</f>
        <v>1700</v>
      </c>
      <c r="G25" s="274"/>
      <c r="H25" s="447" t="s">
        <v>190</v>
      </c>
      <c r="I25" s="448"/>
      <c r="J25" s="448"/>
      <c r="K25" s="448"/>
      <c r="L25" s="448"/>
      <c r="M25" s="449"/>
      <c r="N25" s="84"/>
      <c r="O25" s="425" t="s">
        <v>191</v>
      </c>
      <c r="P25" s="426"/>
      <c r="Q25" s="284">
        <v>4</v>
      </c>
      <c r="R25" s="426"/>
      <c r="S25" s="426"/>
      <c r="T25" s="194">
        <f>SUM(Q25*25000)</f>
        <v>100000</v>
      </c>
    </row>
    <row r="26" spans="1:20" ht="15" customHeight="1" thickTop="1">
      <c r="A26" s="280">
        <v>15</v>
      </c>
      <c r="B26" s="70">
        <v>0</v>
      </c>
      <c r="C26" s="89">
        <f>SUM(B26*510)</f>
        <v>0</v>
      </c>
      <c r="D26" s="201">
        <v>15</v>
      </c>
      <c r="E26" s="70">
        <v>30</v>
      </c>
      <c r="F26" s="206">
        <f>E26*270</f>
        <v>8100</v>
      </c>
      <c r="G26" s="274"/>
      <c r="H26" s="61" t="s">
        <v>176</v>
      </c>
      <c r="I26" s="62" t="s">
        <v>137</v>
      </c>
      <c r="J26" s="83" t="s">
        <v>138</v>
      </c>
      <c r="K26" s="200" t="s">
        <v>177</v>
      </c>
      <c r="L26" s="134" t="s">
        <v>192</v>
      </c>
      <c r="M26" s="64" t="s">
        <v>138</v>
      </c>
      <c r="N26" s="84"/>
      <c r="O26" s="427" t="s">
        <v>193</v>
      </c>
      <c r="P26" s="428"/>
      <c r="Q26" s="286">
        <v>0</v>
      </c>
      <c r="R26" s="428"/>
      <c r="S26" s="428"/>
      <c r="T26" s="186">
        <f>SUM(Q26*25000)</f>
        <v>0</v>
      </c>
    </row>
    <row r="27" spans="1:20" ht="15" customHeight="1">
      <c r="A27" s="280">
        <v>12</v>
      </c>
      <c r="B27" s="70">
        <v>0</v>
      </c>
      <c r="C27" s="89">
        <f>SUM(B27*360)</f>
        <v>0</v>
      </c>
      <c r="D27" s="201">
        <v>12</v>
      </c>
      <c r="E27" s="70">
        <v>30</v>
      </c>
      <c r="F27" s="206">
        <f>E27*240</f>
        <v>7200</v>
      </c>
      <c r="G27" s="274"/>
      <c r="H27" s="280">
        <v>50</v>
      </c>
      <c r="I27" s="286">
        <v>0</v>
      </c>
      <c r="J27" s="211">
        <f>I27*975</f>
        <v>0</v>
      </c>
      <c r="K27" s="201">
        <v>50</v>
      </c>
      <c r="L27" s="185">
        <v>0</v>
      </c>
      <c r="M27" s="69">
        <f>L27*766</f>
        <v>0</v>
      </c>
      <c r="N27" s="86"/>
      <c r="O27" s="427" t="s">
        <v>194</v>
      </c>
      <c r="P27" s="428"/>
      <c r="Q27" s="286">
        <v>5</v>
      </c>
      <c r="R27" s="428"/>
      <c r="S27" s="428"/>
      <c r="T27" s="186">
        <f>SUM(Q27*6500)</f>
        <v>32500</v>
      </c>
    </row>
    <row r="28" spans="1:20" ht="15" customHeight="1">
      <c r="A28" s="280">
        <v>9</v>
      </c>
      <c r="B28" s="70">
        <v>0</v>
      </c>
      <c r="C28" s="89">
        <f>SUM(B28*310)</f>
        <v>0</v>
      </c>
      <c r="D28" s="201">
        <v>9</v>
      </c>
      <c r="E28" s="70">
        <v>30</v>
      </c>
      <c r="F28" s="206">
        <f>E28*230</f>
        <v>6900</v>
      </c>
      <c r="G28" s="274"/>
      <c r="H28" s="280">
        <v>40</v>
      </c>
      <c r="I28" s="286">
        <v>5</v>
      </c>
      <c r="J28" s="211">
        <f>I28*530</f>
        <v>2650</v>
      </c>
      <c r="K28" s="201">
        <v>40</v>
      </c>
      <c r="L28" s="185">
        <v>3</v>
      </c>
      <c r="M28" s="71">
        <f>L28*419</f>
        <v>1257</v>
      </c>
      <c r="N28" s="86"/>
      <c r="O28" s="445" t="s">
        <v>195</v>
      </c>
      <c r="P28" s="446"/>
      <c r="Q28" s="287">
        <v>1</v>
      </c>
      <c r="R28" s="446"/>
      <c r="S28" s="446"/>
      <c r="T28" s="195">
        <f>SUM(Q28*3500)</f>
        <v>3500</v>
      </c>
    </row>
    <row r="29" spans="1:20" ht="15" customHeight="1">
      <c r="A29" s="183"/>
      <c r="B29" s="184">
        <v>0</v>
      </c>
      <c r="C29" s="168"/>
      <c r="D29" s="214">
        <v>6</v>
      </c>
      <c r="E29" s="169">
        <v>30</v>
      </c>
      <c r="F29" s="207">
        <f>E29*230</f>
        <v>6900</v>
      </c>
      <c r="G29" s="274"/>
      <c r="H29" s="170">
        <v>25</v>
      </c>
      <c r="I29" s="185">
        <v>20</v>
      </c>
      <c r="J29" s="276">
        <f>I29*245</f>
        <v>4900</v>
      </c>
      <c r="K29" s="201">
        <v>25</v>
      </c>
      <c r="L29" s="185">
        <v>5</v>
      </c>
      <c r="M29" s="69">
        <f>L29*203</f>
        <v>1015</v>
      </c>
      <c r="N29" s="86"/>
      <c r="O29" s="459" t="s">
        <v>196</v>
      </c>
      <c r="P29" s="460"/>
      <c r="Q29" s="288">
        <v>0</v>
      </c>
      <c r="R29" s="460"/>
      <c r="S29" s="460"/>
      <c r="T29" s="196">
        <f>SUM(Q29*25000)</f>
        <v>0</v>
      </c>
    </row>
    <row r="30" spans="1:20" ht="15" customHeight="1" thickBot="1">
      <c r="A30" s="439" t="s">
        <v>187</v>
      </c>
      <c r="B30" s="440"/>
      <c r="C30" s="212">
        <f>SUM(C18:C29)</f>
        <v>0</v>
      </c>
      <c r="D30" s="441" t="s">
        <v>187</v>
      </c>
      <c r="E30" s="440"/>
      <c r="F30" s="75">
        <f>SUM(F18:F29)</f>
        <v>41840</v>
      </c>
      <c r="G30" s="274"/>
      <c r="H30" s="289"/>
      <c r="I30" s="290"/>
      <c r="J30" s="212"/>
      <c r="K30" s="291"/>
      <c r="L30" s="188"/>
      <c r="M30" s="76"/>
      <c r="N30" s="282"/>
      <c r="O30" s="427" t="s">
        <v>197</v>
      </c>
      <c r="P30" s="428"/>
      <c r="Q30" s="286">
        <v>0</v>
      </c>
      <c r="R30" s="428"/>
      <c r="S30" s="428"/>
      <c r="T30" s="186">
        <f>SUM(Q30*25000)</f>
        <v>0</v>
      </c>
    </row>
    <row r="31" spans="1:20" ht="15" customHeight="1" thickTop="1" thickBot="1">
      <c r="A31" s="442" t="s">
        <v>169</v>
      </c>
      <c r="B31" s="443"/>
      <c r="C31" s="443"/>
      <c r="D31" s="443"/>
      <c r="E31" s="443"/>
      <c r="F31" s="178">
        <f>SUM(C30+F30)</f>
        <v>41840</v>
      </c>
      <c r="G31" s="274"/>
      <c r="H31" s="442" t="s">
        <v>169</v>
      </c>
      <c r="I31" s="443"/>
      <c r="J31" s="443"/>
      <c r="K31" s="443"/>
      <c r="L31" s="444"/>
      <c r="M31" s="177">
        <f>SUM(J27+J28+J29+M27+M28+M29)</f>
        <v>9822</v>
      </c>
      <c r="N31" s="282"/>
      <c r="O31" s="427" t="s">
        <v>198</v>
      </c>
      <c r="P31" s="428"/>
      <c r="Q31" s="286">
        <v>0</v>
      </c>
      <c r="R31" s="428"/>
      <c r="S31" s="428"/>
      <c r="T31" s="186">
        <f>SUM(Q31*6500)</f>
        <v>0</v>
      </c>
    </row>
    <row r="32" spans="1:20" ht="15" customHeight="1" thickTop="1" thickBot="1">
      <c r="A32" s="429" t="s">
        <v>199</v>
      </c>
      <c r="B32" s="430"/>
      <c r="C32" s="430"/>
      <c r="D32" s="430"/>
      <c r="E32" s="430"/>
      <c r="F32" s="431"/>
      <c r="G32" s="274"/>
      <c r="H32" s="429" t="s">
        <v>190</v>
      </c>
      <c r="I32" s="430"/>
      <c r="J32" s="430"/>
      <c r="K32" s="430"/>
      <c r="L32" s="430"/>
      <c r="M32" s="431"/>
      <c r="N32" s="282"/>
      <c r="O32" s="427" t="s">
        <v>200</v>
      </c>
      <c r="P32" s="428"/>
      <c r="Q32" s="286">
        <v>0</v>
      </c>
      <c r="R32" s="428"/>
      <c r="S32" s="428"/>
      <c r="T32" s="186">
        <f>SUM(Q32*3500)</f>
        <v>0</v>
      </c>
    </row>
    <row r="33" spans="1:20" ht="15" customHeight="1" thickTop="1">
      <c r="A33" s="61" t="s">
        <v>201</v>
      </c>
      <c r="B33" s="62" t="s">
        <v>137</v>
      </c>
      <c r="C33" s="83" t="s">
        <v>138</v>
      </c>
      <c r="D33" s="200" t="s">
        <v>202</v>
      </c>
      <c r="E33" s="63" t="s">
        <v>137</v>
      </c>
      <c r="F33" s="64" t="s">
        <v>138</v>
      </c>
      <c r="G33" s="274"/>
      <c r="H33" s="61" t="s">
        <v>203</v>
      </c>
      <c r="I33" s="62" t="s">
        <v>137</v>
      </c>
      <c r="J33" s="83" t="s">
        <v>138</v>
      </c>
      <c r="K33" s="200" t="s">
        <v>204</v>
      </c>
      <c r="L33" s="134" t="s">
        <v>192</v>
      </c>
      <c r="M33" s="64" t="s">
        <v>138</v>
      </c>
      <c r="N33" s="282"/>
      <c r="O33" s="445" t="s">
        <v>205</v>
      </c>
      <c r="P33" s="446"/>
      <c r="Q33" s="287">
        <v>0</v>
      </c>
      <c r="R33" s="446"/>
      <c r="S33" s="446"/>
      <c r="T33" s="195"/>
    </row>
    <row r="34" spans="1:20" ht="15" customHeight="1">
      <c r="A34" s="280" t="s">
        <v>206</v>
      </c>
      <c r="B34" s="70">
        <v>0</v>
      </c>
      <c r="C34" s="208">
        <f>B34*1600</f>
        <v>0</v>
      </c>
      <c r="D34" s="201">
        <v>100</v>
      </c>
      <c r="E34" s="77">
        <v>0</v>
      </c>
      <c r="F34" s="71">
        <f>E34*1600</f>
        <v>0</v>
      </c>
      <c r="G34" s="274"/>
      <c r="H34" s="280">
        <v>50</v>
      </c>
      <c r="I34" s="286">
        <v>0</v>
      </c>
      <c r="J34" s="211">
        <f>I34*1300</f>
        <v>0</v>
      </c>
      <c r="K34" s="201" t="s">
        <v>207</v>
      </c>
      <c r="L34" s="185">
        <v>0</v>
      </c>
      <c r="M34" s="69">
        <f>L34*1040</f>
        <v>0</v>
      </c>
      <c r="N34" s="282"/>
      <c r="O34" s="425" t="s">
        <v>208</v>
      </c>
      <c r="P34" s="426"/>
      <c r="Q34" s="284"/>
      <c r="R34" s="426"/>
      <c r="S34" s="426"/>
      <c r="T34" s="194"/>
    </row>
    <row r="35" spans="1:20" ht="15" customHeight="1">
      <c r="A35" s="280">
        <v>100</v>
      </c>
      <c r="B35" s="70">
        <v>0</v>
      </c>
      <c r="C35" s="208">
        <f>B35*1200</f>
        <v>0</v>
      </c>
      <c r="D35" s="201">
        <v>80</v>
      </c>
      <c r="E35" s="77">
        <v>0</v>
      </c>
      <c r="F35" s="71">
        <f>E35*1200</f>
        <v>0</v>
      </c>
      <c r="G35" s="274"/>
      <c r="H35" s="280">
        <v>40</v>
      </c>
      <c r="I35" s="286">
        <v>2</v>
      </c>
      <c r="J35" s="211">
        <f>I35*705</f>
        <v>1410</v>
      </c>
      <c r="K35" s="201" t="s">
        <v>209</v>
      </c>
      <c r="L35" s="185">
        <v>5</v>
      </c>
      <c r="M35" s="85">
        <f>L35*783</f>
        <v>3915</v>
      </c>
      <c r="N35" s="282"/>
      <c r="O35" s="427" t="s">
        <v>198</v>
      </c>
      <c r="P35" s="428"/>
      <c r="Q35" s="286">
        <v>0</v>
      </c>
      <c r="R35" s="428"/>
      <c r="S35" s="428"/>
      <c r="T35" s="186">
        <f>SUM(Q35*6500)</f>
        <v>0</v>
      </c>
    </row>
    <row r="36" spans="1:20" ht="15" customHeight="1">
      <c r="A36" s="280">
        <v>80</v>
      </c>
      <c r="B36" s="70">
        <v>10</v>
      </c>
      <c r="C36" s="208">
        <f>B36*950</f>
        <v>9500</v>
      </c>
      <c r="D36" s="201">
        <v>65</v>
      </c>
      <c r="E36" s="77">
        <v>0</v>
      </c>
      <c r="F36" s="71">
        <f>E36*950</f>
        <v>0</v>
      </c>
      <c r="G36" s="274"/>
      <c r="H36" s="280">
        <v>25</v>
      </c>
      <c r="I36" s="286">
        <v>2</v>
      </c>
      <c r="J36" s="211">
        <f>I36*335</f>
        <v>670</v>
      </c>
      <c r="K36" s="201" t="s">
        <v>38</v>
      </c>
      <c r="L36" s="185"/>
      <c r="M36" s="69"/>
      <c r="N36" s="282"/>
      <c r="O36" s="427" t="s">
        <v>200</v>
      </c>
      <c r="P36" s="428"/>
      <c r="Q36" s="286">
        <v>0</v>
      </c>
      <c r="R36" s="428"/>
      <c r="S36" s="428"/>
      <c r="T36" s="186">
        <f>SUM(Q36*3500)</f>
        <v>0</v>
      </c>
    </row>
    <row r="37" spans="1:20" ht="15" customHeight="1" thickBot="1">
      <c r="A37" s="280">
        <v>65</v>
      </c>
      <c r="B37" s="70">
        <v>10</v>
      </c>
      <c r="C37" s="208">
        <f>B37*850</f>
        <v>8500</v>
      </c>
      <c r="D37" s="201">
        <v>50</v>
      </c>
      <c r="E37" s="77">
        <v>30</v>
      </c>
      <c r="F37" s="71">
        <f>E37*850</f>
        <v>25500</v>
      </c>
      <c r="G37" s="274"/>
      <c r="H37" s="289"/>
      <c r="I37" s="290"/>
      <c r="J37" s="212"/>
      <c r="K37" s="291"/>
      <c r="L37" s="188"/>
      <c r="M37" s="76"/>
      <c r="N37" s="282"/>
      <c r="O37" s="453" t="s">
        <v>210</v>
      </c>
      <c r="P37" s="461"/>
      <c r="Q37" s="281">
        <v>0</v>
      </c>
      <c r="R37" s="461">
        <v>0</v>
      </c>
      <c r="S37" s="461"/>
      <c r="T37" s="279">
        <f>SUM(Q37*30000)</f>
        <v>0</v>
      </c>
    </row>
    <row r="38" spans="1:20" ht="15" customHeight="1" thickTop="1" thickBot="1">
      <c r="A38" s="289">
        <v>50</v>
      </c>
      <c r="B38" s="78">
        <v>20</v>
      </c>
      <c r="C38" s="209">
        <f>B38*750</f>
        <v>15000</v>
      </c>
      <c r="D38" s="291">
        <v>40</v>
      </c>
      <c r="E38" s="80">
        <v>0</v>
      </c>
      <c r="F38" s="79">
        <f>E38*750</f>
        <v>0</v>
      </c>
      <c r="G38" s="274"/>
      <c r="H38" s="442" t="s">
        <v>169</v>
      </c>
      <c r="I38" s="443"/>
      <c r="J38" s="443"/>
      <c r="K38" s="443"/>
      <c r="L38" s="444"/>
      <c r="M38" s="177">
        <f>SUM(J34+J35+J36+M34+M35)</f>
        <v>5995</v>
      </c>
      <c r="N38" s="282"/>
      <c r="O38" s="442" t="s">
        <v>169</v>
      </c>
      <c r="P38" s="443"/>
      <c r="Q38" s="443"/>
      <c r="R38" s="443"/>
      <c r="S38" s="443"/>
      <c r="T38" s="179">
        <f>SUM(T29:T37)</f>
        <v>0</v>
      </c>
    </row>
    <row r="39" spans="1:20" ht="15" customHeight="1" thickTop="1" thickBot="1">
      <c r="A39" s="463" t="s">
        <v>169</v>
      </c>
      <c r="B39" s="464"/>
      <c r="C39" s="464"/>
      <c r="D39" s="464"/>
      <c r="E39" s="464"/>
      <c r="F39" s="81">
        <f>SUM(C34+C35+C36+C37+C38+F34+F35+F36+F37+F38)</f>
        <v>58500</v>
      </c>
      <c r="G39" s="274"/>
      <c r="H39" s="429" t="s">
        <v>190</v>
      </c>
      <c r="I39" s="430"/>
      <c r="J39" s="430"/>
      <c r="K39" s="430"/>
      <c r="L39" s="430"/>
      <c r="M39" s="431"/>
      <c r="N39" s="282"/>
      <c r="O39" s="447" t="s">
        <v>28</v>
      </c>
      <c r="P39" s="448"/>
      <c r="Q39" s="448"/>
      <c r="R39" s="448"/>
      <c r="S39" s="448"/>
      <c r="T39" s="448"/>
    </row>
    <row r="40" spans="1:20" ht="15" customHeight="1" thickTop="1" thickBot="1">
      <c r="A40" s="422" t="s">
        <v>211</v>
      </c>
      <c r="B40" s="423"/>
      <c r="C40" s="423"/>
      <c r="D40" s="423"/>
      <c r="E40" s="423"/>
      <c r="F40" s="424"/>
      <c r="G40" s="274"/>
      <c r="H40" s="61" t="s">
        <v>212</v>
      </c>
      <c r="I40" s="62" t="s">
        <v>137</v>
      </c>
      <c r="J40" s="83" t="s">
        <v>138</v>
      </c>
      <c r="K40" s="200" t="s">
        <v>213</v>
      </c>
      <c r="L40" s="134" t="s">
        <v>137</v>
      </c>
      <c r="M40" s="64" t="s">
        <v>138</v>
      </c>
      <c r="N40" s="282"/>
      <c r="O40" s="87" t="s">
        <v>66</v>
      </c>
      <c r="P40" s="283" t="s">
        <v>214</v>
      </c>
      <c r="Q40" s="283" t="s">
        <v>215</v>
      </c>
      <c r="R40" s="484" t="s">
        <v>216</v>
      </c>
      <c r="S40" s="485"/>
      <c r="T40" s="486"/>
    </row>
    <row r="41" spans="1:20" ht="15" customHeight="1" thickTop="1">
      <c r="A41" s="165" t="s">
        <v>189</v>
      </c>
      <c r="B41" s="166" t="s">
        <v>137</v>
      </c>
      <c r="C41" s="166" t="s">
        <v>138</v>
      </c>
      <c r="D41" s="465" t="s">
        <v>38</v>
      </c>
      <c r="E41" s="466"/>
      <c r="F41" s="467"/>
      <c r="G41" s="274"/>
      <c r="H41" s="280" t="s">
        <v>217</v>
      </c>
      <c r="I41" s="286"/>
      <c r="J41" s="276">
        <f>I41*810</f>
        <v>0</v>
      </c>
      <c r="K41" s="201">
        <v>50</v>
      </c>
      <c r="L41" s="185">
        <v>0</v>
      </c>
      <c r="M41" s="69">
        <v>0</v>
      </c>
      <c r="N41" s="282"/>
      <c r="O41" s="427" t="s">
        <v>218</v>
      </c>
      <c r="P41" s="286">
        <v>0</v>
      </c>
      <c r="Q41" s="286">
        <v>3419</v>
      </c>
      <c r="R41" s="487">
        <f>SUM(170000*P41)</f>
        <v>0</v>
      </c>
      <c r="S41" s="488"/>
      <c r="T41" s="489"/>
    </row>
    <row r="42" spans="1:20" ht="15" customHeight="1">
      <c r="A42" s="167" t="s">
        <v>219</v>
      </c>
      <c r="B42" s="89">
        <v>3</v>
      </c>
      <c r="C42" s="276">
        <f>SUM(B42*11000)</f>
        <v>33000</v>
      </c>
      <c r="D42" s="468"/>
      <c r="E42" s="469"/>
      <c r="F42" s="470"/>
      <c r="G42" s="274"/>
      <c r="H42" s="280" t="s">
        <v>207</v>
      </c>
      <c r="I42" s="286"/>
      <c r="J42" s="276">
        <f>I42*680</f>
        <v>0</v>
      </c>
      <c r="K42" s="201">
        <v>40</v>
      </c>
      <c r="L42" s="185">
        <v>0</v>
      </c>
      <c r="M42" s="69">
        <v>0</v>
      </c>
      <c r="N42" s="282"/>
      <c r="O42" s="427"/>
      <c r="P42" s="286">
        <v>0</v>
      </c>
      <c r="Q42" s="286">
        <v>4122</v>
      </c>
      <c r="R42" s="487">
        <f>SUM(180000*P42)</f>
        <v>0</v>
      </c>
      <c r="S42" s="488"/>
      <c r="T42" s="489"/>
    </row>
    <row r="43" spans="1:20" ht="15" customHeight="1" thickBot="1">
      <c r="A43" s="289" t="s">
        <v>220</v>
      </c>
      <c r="B43" s="90">
        <v>2</v>
      </c>
      <c r="C43" s="277">
        <f>SUM(B43*9500)</f>
        <v>19000</v>
      </c>
      <c r="D43" s="471"/>
      <c r="E43" s="472"/>
      <c r="F43" s="473"/>
      <c r="G43" s="274"/>
      <c r="H43" s="280" t="s">
        <v>209</v>
      </c>
      <c r="I43" s="286">
        <v>1</v>
      </c>
      <c r="J43" s="276">
        <f>I43*480</f>
        <v>480</v>
      </c>
      <c r="K43" s="201">
        <v>30</v>
      </c>
      <c r="L43" s="185">
        <v>0</v>
      </c>
      <c r="M43" s="69">
        <v>0</v>
      </c>
      <c r="N43" s="282"/>
      <c r="O43" s="497" t="s">
        <v>221</v>
      </c>
      <c r="P43" s="286">
        <v>0</v>
      </c>
      <c r="Q43" s="138">
        <v>1509</v>
      </c>
      <c r="R43" s="487">
        <f>SUM(41000*P43)</f>
        <v>0</v>
      </c>
      <c r="S43" s="488"/>
      <c r="T43" s="489"/>
    </row>
    <row r="44" spans="1:20" ht="15" customHeight="1" thickTop="1" thickBot="1">
      <c r="A44" s="463" t="s">
        <v>169</v>
      </c>
      <c r="B44" s="464"/>
      <c r="C44" s="464"/>
      <c r="D44" s="464"/>
      <c r="E44" s="464"/>
      <c r="F44" s="91">
        <f>SUM(C42+C43)</f>
        <v>52000</v>
      </c>
      <c r="G44" s="274"/>
      <c r="H44" s="280" t="s">
        <v>38</v>
      </c>
      <c r="I44" s="286"/>
      <c r="J44" s="211"/>
      <c r="K44" s="201">
        <v>25</v>
      </c>
      <c r="L44" s="185">
        <v>0</v>
      </c>
      <c r="M44" s="69">
        <v>0</v>
      </c>
      <c r="N44" s="282"/>
      <c r="O44" s="497"/>
      <c r="P44" s="286">
        <v>4</v>
      </c>
      <c r="Q44" s="138">
        <v>2512</v>
      </c>
      <c r="R44" s="487">
        <f>SUM(48000*P44)</f>
        <v>192000</v>
      </c>
      <c r="S44" s="488"/>
      <c r="T44" s="489"/>
    </row>
    <row r="45" spans="1:20" ht="15" customHeight="1" thickTop="1" thickBot="1">
      <c r="A45" s="429" t="s">
        <v>222</v>
      </c>
      <c r="B45" s="430"/>
      <c r="C45" s="430"/>
      <c r="D45" s="430"/>
      <c r="E45" s="430"/>
      <c r="F45" s="431"/>
      <c r="G45" s="274"/>
      <c r="H45" s="289"/>
      <c r="I45" s="290"/>
      <c r="J45" s="212"/>
      <c r="K45" s="291"/>
      <c r="L45" s="188"/>
      <c r="M45" s="76"/>
      <c r="N45" s="282"/>
      <c r="O45" s="497"/>
      <c r="P45" s="286">
        <v>0</v>
      </c>
      <c r="Q45" s="138">
        <v>2812</v>
      </c>
      <c r="R45" s="487">
        <f>SUM(76000*P45)</f>
        <v>0</v>
      </c>
      <c r="S45" s="488"/>
      <c r="T45" s="489"/>
    </row>
    <row r="46" spans="1:20" ht="15" customHeight="1" thickTop="1" thickBot="1">
      <c r="A46" s="87" t="s">
        <v>189</v>
      </c>
      <c r="B46" s="62" t="s">
        <v>137</v>
      </c>
      <c r="C46" s="83" t="s">
        <v>138</v>
      </c>
      <c r="D46" s="474" t="s">
        <v>223</v>
      </c>
      <c r="E46" s="475"/>
      <c r="F46" s="92" t="s">
        <v>38</v>
      </c>
      <c r="G46" s="274"/>
      <c r="H46" s="442" t="s">
        <v>169</v>
      </c>
      <c r="I46" s="443"/>
      <c r="J46" s="443"/>
      <c r="K46" s="443"/>
      <c r="L46" s="444"/>
      <c r="M46" s="180">
        <f>SUM(J41+J42+J43+M41+M42+M43+M44)</f>
        <v>480</v>
      </c>
      <c r="N46" s="282"/>
      <c r="O46" s="497"/>
      <c r="P46" s="286">
        <v>0</v>
      </c>
      <c r="Q46" s="138">
        <v>2815</v>
      </c>
      <c r="R46" s="487">
        <f>SUM(88000*P46)</f>
        <v>0</v>
      </c>
      <c r="S46" s="488"/>
      <c r="T46" s="489"/>
    </row>
    <row r="47" spans="1:20" ht="15" customHeight="1" thickTop="1" thickBot="1">
      <c r="A47" s="280" t="s">
        <v>224</v>
      </c>
      <c r="B47" s="286">
        <v>0</v>
      </c>
      <c r="C47" s="276">
        <f>SUM(B47*135000)</f>
        <v>0</v>
      </c>
      <c r="D47" s="476" t="s">
        <v>225</v>
      </c>
      <c r="E47" s="477"/>
      <c r="F47" s="478"/>
      <c r="G47" s="274"/>
      <c r="H47" s="447" t="s">
        <v>226</v>
      </c>
      <c r="I47" s="448"/>
      <c r="J47" s="448"/>
      <c r="K47" s="448"/>
      <c r="L47" s="448"/>
      <c r="M47" s="449"/>
      <c r="N47" s="282"/>
      <c r="O47" s="497"/>
      <c r="P47" s="286">
        <v>0</v>
      </c>
      <c r="Q47" s="138">
        <v>3419</v>
      </c>
      <c r="R47" s="487">
        <f>SUM(115000*P47)</f>
        <v>0</v>
      </c>
      <c r="S47" s="488"/>
      <c r="T47" s="489"/>
    </row>
    <row r="48" spans="1:20" ht="15" customHeight="1" thickTop="1">
      <c r="A48" s="183" t="s">
        <v>227</v>
      </c>
      <c r="B48" s="184">
        <v>1</v>
      </c>
      <c r="C48" s="202">
        <f>SUM(B48*110000)</f>
        <v>110000</v>
      </c>
      <c r="D48" s="479"/>
      <c r="E48" s="480"/>
      <c r="F48" s="481"/>
      <c r="G48" s="274"/>
      <c r="H48" s="171" t="s">
        <v>228</v>
      </c>
      <c r="I48" s="172" t="s">
        <v>229</v>
      </c>
      <c r="J48" s="172">
        <v>1</v>
      </c>
      <c r="K48" s="490">
        <v>80000</v>
      </c>
      <c r="L48" s="490"/>
      <c r="M48" s="199" t="s">
        <v>230</v>
      </c>
      <c r="N48" s="282"/>
      <c r="O48" s="497"/>
      <c r="P48" s="286">
        <v>0</v>
      </c>
      <c r="Q48" s="138">
        <v>4119</v>
      </c>
      <c r="R48" s="487">
        <f>SUM(155000*P48)</f>
        <v>0</v>
      </c>
      <c r="S48" s="488"/>
      <c r="T48" s="489"/>
    </row>
    <row r="49" spans="1:20" ht="15" customHeight="1" thickBot="1">
      <c r="A49" s="285" t="s">
        <v>231</v>
      </c>
      <c r="B49" s="281">
        <v>0</v>
      </c>
      <c r="C49" s="278">
        <f>B49*12000</f>
        <v>0</v>
      </c>
      <c r="D49" s="455" t="s">
        <v>232</v>
      </c>
      <c r="E49" s="461"/>
      <c r="F49" s="462"/>
      <c r="G49" s="274"/>
      <c r="H49" s="173" t="s">
        <v>233</v>
      </c>
      <c r="I49" s="174" t="s">
        <v>229</v>
      </c>
      <c r="J49" s="174">
        <v>0</v>
      </c>
      <c r="K49" s="491">
        <v>0</v>
      </c>
      <c r="L49" s="491"/>
      <c r="M49" s="482">
        <f>SUM(K48+K50)</f>
        <v>112500</v>
      </c>
      <c r="N49" s="282"/>
      <c r="O49" s="498"/>
      <c r="P49" s="290">
        <v>0</v>
      </c>
      <c r="Q49" s="187">
        <v>4422</v>
      </c>
      <c r="R49" s="499">
        <f>SUM(170000*P49)</f>
        <v>0</v>
      </c>
      <c r="S49" s="500"/>
      <c r="T49" s="501"/>
    </row>
    <row r="50" spans="1:20" ht="15" customHeight="1" thickTop="1" thickBot="1">
      <c r="A50" s="442" t="s">
        <v>169</v>
      </c>
      <c r="B50" s="443"/>
      <c r="C50" s="443"/>
      <c r="D50" s="443"/>
      <c r="E50" s="443"/>
      <c r="F50" s="179">
        <f>SUM(C47+C48+C49)</f>
        <v>110000</v>
      </c>
      <c r="G50" s="274"/>
      <c r="H50" s="175" t="s">
        <v>234</v>
      </c>
      <c r="I50" s="176" t="s">
        <v>235</v>
      </c>
      <c r="J50" s="176">
        <v>5</v>
      </c>
      <c r="K50" s="492">
        <f>SUM(J50*6500)</f>
        <v>32500</v>
      </c>
      <c r="L50" s="492"/>
      <c r="M50" s="483"/>
      <c r="N50" s="282"/>
      <c r="O50" s="193" t="s">
        <v>236</v>
      </c>
      <c r="P50" s="219"/>
      <c r="Q50" s="219"/>
      <c r="R50" s="494">
        <f>SUM(R41:S49)</f>
        <v>192000</v>
      </c>
      <c r="S50" s="495"/>
      <c r="T50" s="496"/>
    </row>
    <row r="51" spans="1:20" ht="15" customHeight="1" thickTop="1">
      <c r="A51" s="274"/>
      <c r="B51" s="274"/>
      <c r="C51" s="274"/>
      <c r="D51" s="274"/>
      <c r="F51" s="274"/>
      <c r="G51" s="274"/>
      <c r="H51" s="274"/>
      <c r="I51" s="274"/>
      <c r="J51" s="274"/>
      <c r="K51" s="274"/>
      <c r="L51" s="274"/>
      <c r="M51" s="274"/>
      <c r="N51" s="282"/>
      <c r="O51" s="274"/>
      <c r="P51" s="493"/>
      <c r="Q51" s="493"/>
      <c r="R51" s="493"/>
      <c r="S51" s="274"/>
      <c r="T51" s="274"/>
    </row>
    <row r="52" spans="1:20" ht="15" customHeight="1">
      <c r="A52" s="274"/>
      <c r="B52" s="274"/>
      <c r="C52" s="274"/>
      <c r="D52" s="274"/>
      <c r="F52" s="274"/>
      <c r="G52" s="274"/>
      <c r="H52" s="274"/>
      <c r="I52" s="274"/>
      <c r="J52" s="274"/>
      <c r="K52" s="274"/>
      <c r="L52" s="274"/>
      <c r="M52" s="274"/>
      <c r="N52" s="282"/>
      <c r="O52" s="274"/>
      <c r="P52" s="493"/>
      <c r="Q52" s="493"/>
      <c r="R52" s="493"/>
      <c r="S52" s="274"/>
      <c r="T52" s="274"/>
    </row>
  </sheetData>
  <mergeCells count="86">
    <mergeCell ref="P51:R51"/>
    <mergeCell ref="P52:R52"/>
    <mergeCell ref="R50:T50"/>
    <mergeCell ref="H38:L38"/>
    <mergeCell ref="H39:M39"/>
    <mergeCell ref="H46:L46"/>
    <mergeCell ref="O43:O49"/>
    <mergeCell ref="R42:T42"/>
    <mergeCell ref="R43:T43"/>
    <mergeCell ref="R44:T44"/>
    <mergeCell ref="R45:T45"/>
    <mergeCell ref="R46:T46"/>
    <mergeCell ref="R47:T47"/>
    <mergeCell ref="R48:T48"/>
    <mergeCell ref="R49:T49"/>
    <mergeCell ref="O41:O42"/>
    <mergeCell ref="H47:M47"/>
    <mergeCell ref="M49:M50"/>
    <mergeCell ref="O39:T39"/>
    <mergeCell ref="R40:T40"/>
    <mergeCell ref="R41:T41"/>
    <mergeCell ref="K48:L48"/>
    <mergeCell ref="K49:L49"/>
    <mergeCell ref="K50:L50"/>
    <mergeCell ref="D49:F49"/>
    <mergeCell ref="A50:E50"/>
    <mergeCell ref="A39:E39"/>
    <mergeCell ref="A40:F40"/>
    <mergeCell ref="D41:F43"/>
    <mergeCell ref="A44:E44"/>
    <mergeCell ref="A45:F45"/>
    <mergeCell ref="D46:E46"/>
    <mergeCell ref="D47:F48"/>
    <mergeCell ref="O34:P34"/>
    <mergeCell ref="R34:S34"/>
    <mergeCell ref="O37:P37"/>
    <mergeCell ref="R37:S37"/>
    <mergeCell ref="O38:S38"/>
    <mergeCell ref="O35:P35"/>
    <mergeCell ref="R35:S35"/>
    <mergeCell ref="O36:P36"/>
    <mergeCell ref="R36:S36"/>
    <mergeCell ref="O33:P33"/>
    <mergeCell ref="R33:S33"/>
    <mergeCell ref="H23:I23"/>
    <mergeCell ref="K23:L23"/>
    <mergeCell ref="H24:L24"/>
    <mergeCell ref="H25:M25"/>
    <mergeCell ref="O31:P31"/>
    <mergeCell ref="R31:S31"/>
    <mergeCell ref="O32:P32"/>
    <mergeCell ref="R32:S32"/>
    <mergeCell ref="O24:P24"/>
    <mergeCell ref="R24:S24"/>
    <mergeCell ref="O29:P29"/>
    <mergeCell ref="R29:S29"/>
    <mergeCell ref="O30:P30"/>
    <mergeCell ref="R30:S30"/>
    <mergeCell ref="O28:P28"/>
    <mergeCell ref="R28:S28"/>
    <mergeCell ref="H15:L15"/>
    <mergeCell ref="H16:M16"/>
    <mergeCell ref="A16:F16"/>
    <mergeCell ref="O21:P21"/>
    <mergeCell ref="R21:S21"/>
    <mergeCell ref="O22:S22"/>
    <mergeCell ref="O23:T23"/>
    <mergeCell ref="O27:P27"/>
    <mergeCell ref="R27:S27"/>
    <mergeCell ref="H32:M32"/>
    <mergeCell ref="B1:F1"/>
    <mergeCell ref="H1:J1"/>
    <mergeCell ref="K1:M1"/>
    <mergeCell ref="A3:F3"/>
    <mergeCell ref="H3:M3"/>
    <mergeCell ref="A30:B30"/>
    <mergeCell ref="D30:E30"/>
    <mergeCell ref="A31:E31"/>
    <mergeCell ref="A32:F32"/>
    <mergeCell ref="A15:E15"/>
    <mergeCell ref="H31:L31"/>
    <mergeCell ref="O1:T1"/>
    <mergeCell ref="O25:P25"/>
    <mergeCell ref="R25:S25"/>
    <mergeCell ref="O26:P26"/>
    <mergeCell ref="R26:S26"/>
  </mergeCells>
  <phoneticPr fontId="2" type="noConversion"/>
  <pageMargins left="0.48" right="0.34" top="0.55118110236220474" bottom="0.43307086614173229" header="0.35" footer="0.31496062992125984"/>
  <pageSetup paperSize="8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D15" sqref="D15:F15"/>
    </sheetView>
  </sheetViews>
  <sheetFormatPr defaultColWidth="11" defaultRowHeight="16.5" customHeight="1"/>
  <cols>
    <col min="1" max="3" width="11.375" style="126" customWidth="1"/>
    <col min="4" max="6" width="12.75" style="126" customWidth="1"/>
    <col min="7" max="8" width="9.125" style="126" customWidth="1"/>
    <col min="9" max="9" width="15" style="126" customWidth="1"/>
    <col min="10" max="11" width="10" style="126" customWidth="1"/>
    <col min="12" max="16384" width="11" style="1"/>
  </cols>
  <sheetData>
    <row r="1" spans="1:11" ht="35.25" customHeight="1" thickBot="1">
      <c r="A1" s="555" t="s">
        <v>237</v>
      </c>
      <c r="B1" s="555"/>
      <c r="C1" s="555"/>
      <c r="D1" s="555"/>
      <c r="E1" s="555"/>
      <c r="F1" s="555"/>
      <c r="G1" s="555"/>
      <c r="H1" s="555"/>
      <c r="I1" s="555"/>
      <c r="J1" s="555"/>
      <c r="K1" s="555"/>
    </row>
    <row r="2" spans="1:11" ht="16.5" customHeight="1">
      <c r="A2" s="137" t="s">
        <v>238</v>
      </c>
      <c r="B2" s="556"/>
      <c r="C2" s="556"/>
      <c r="D2" s="556"/>
      <c r="E2" s="556"/>
      <c r="F2" s="556"/>
      <c r="G2" s="556"/>
      <c r="H2" s="556"/>
      <c r="I2" s="557" t="s">
        <v>239</v>
      </c>
      <c r="J2" s="557" t="s">
        <v>240</v>
      </c>
      <c r="K2" s="558"/>
    </row>
    <row r="3" spans="1:11" ht="16.5" customHeight="1">
      <c r="A3" s="559" t="s">
        <v>241</v>
      </c>
      <c r="B3" s="560" t="str">
        <f>"金額: 일금" &amp;NUMBERSTRING(원가계산서!G31,1)&amp;"원정"</f>
        <v>金額: 일금영원정</v>
      </c>
      <c r="C3" s="513"/>
      <c r="D3" s="513"/>
      <c r="E3" s="513"/>
      <c r="F3" s="513"/>
      <c r="G3" s="515" t="s">
        <v>242</v>
      </c>
      <c r="H3" s="515"/>
      <c r="I3" s="515"/>
      <c r="J3" s="515"/>
      <c r="K3" s="516"/>
    </row>
    <row r="4" spans="1:11" ht="16.5" customHeight="1">
      <c r="A4" s="559"/>
      <c r="B4" s="561" t="s">
        <v>243</v>
      </c>
      <c r="C4" s="562"/>
      <c r="D4" s="562"/>
      <c r="E4" s="562"/>
      <c r="F4" s="563"/>
      <c r="G4" s="515" t="s">
        <v>242</v>
      </c>
      <c r="H4" s="515"/>
      <c r="I4" s="515"/>
      <c r="J4" s="515"/>
      <c r="K4" s="516"/>
    </row>
    <row r="5" spans="1:11" ht="15.75" customHeight="1">
      <c r="A5" s="552" t="s">
        <v>244</v>
      </c>
      <c r="B5" s="553"/>
      <c r="C5" s="553"/>
      <c r="D5" s="553"/>
      <c r="E5" s="553"/>
      <c r="F5" s="553"/>
      <c r="G5" s="553"/>
      <c r="H5" s="553"/>
      <c r="I5" s="553"/>
      <c r="J5" s="553"/>
      <c r="K5" s="554"/>
    </row>
    <row r="6" spans="1:11" ht="15.75" customHeight="1">
      <c r="A6" s="531" t="s">
        <v>245</v>
      </c>
      <c r="B6" s="505"/>
      <c r="C6" s="505"/>
      <c r="D6" s="505" t="s">
        <v>246</v>
      </c>
      <c r="E6" s="505"/>
      <c r="F6" s="505"/>
      <c r="G6" s="505" t="s">
        <v>247</v>
      </c>
      <c r="H6" s="505"/>
      <c r="I6" s="505"/>
      <c r="J6" s="505" t="s">
        <v>248</v>
      </c>
      <c r="K6" s="506"/>
    </row>
    <row r="7" spans="1:11" ht="15.75" customHeight="1">
      <c r="A7" s="512" t="s">
        <v>249</v>
      </c>
      <c r="B7" s="513"/>
      <c r="C7" s="513"/>
      <c r="D7" s="513" t="s">
        <v>250</v>
      </c>
      <c r="E7" s="513"/>
      <c r="F7" s="513"/>
      <c r="G7" s="514">
        <f>SUM(G8+G9+G13)</f>
        <v>0</v>
      </c>
      <c r="H7" s="514"/>
      <c r="I7" s="514"/>
      <c r="J7" s="515"/>
      <c r="K7" s="516"/>
    </row>
    <row r="8" spans="1:11" ht="15.75" customHeight="1">
      <c r="A8" s="544" t="s">
        <v>251</v>
      </c>
      <c r="B8" s="545"/>
      <c r="C8" s="545"/>
      <c r="D8" s="513"/>
      <c r="E8" s="513"/>
      <c r="F8" s="513"/>
      <c r="G8" s="514"/>
      <c r="H8" s="514"/>
      <c r="I8" s="514"/>
      <c r="J8" s="515"/>
      <c r="K8" s="516"/>
    </row>
    <row r="9" spans="1:11" ht="15.75" customHeight="1">
      <c r="A9" s="546" t="s">
        <v>252</v>
      </c>
      <c r="B9" s="547"/>
      <c r="C9" s="547"/>
      <c r="D9" s="548" t="s">
        <v>253</v>
      </c>
      <c r="E9" s="548"/>
      <c r="F9" s="548"/>
      <c r="G9" s="549">
        <f>SUM(G10:I11)</f>
        <v>0</v>
      </c>
      <c r="H9" s="549"/>
      <c r="I9" s="549"/>
      <c r="J9" s="550"/>
      <c r="K9" s="551"/>
    </row>
    <row r="10" spans="1:11" ht="15.75" customHeight="1">
      <c r="A10" s="538" t="s">
        <v>254</v>
      </c>
      <c r="B10" s="539"/>
      <c r="C10" s="539"/>
      <c r="D10" s="540"/>
      <c r="E10" s="540"/>
      <c r="F10" s="540"/>
      <c r="G10" s="541"/>
      <c r="H10" s="541"/>
      <c r="I10" s="541"/>
      <c r="J10" s="542"/>
      <c r="K10" s="543"/>
    </row>
    <row r="11" spans="1:11" ht="15.75" customHeight="1">
      <c r="A11" s="538" t="s">
        <v>255</v>
      </c>
      <c r="B11" s="539"/>
      <c r="C11" s="539"/>
      <c r="D11" s="540" t="s">
        <v>256</v>
      </c>
      <c r="E11" s="540"/>
      <c r="F11" s="540"/>
      <c r="G11" s="541">
        <f>G10*0.099</f>
        <v>0</v>
      </c>
      <c r="H11" s="541"/>
      <c r="I11" s="541"/>
      <c r="J11" s="542"/>
      <c r="K11" s="543"/>
    </row>
    <row r="12" spans="1:11" ht="15.75" customHeight="1">
      <c r="A12" s="531" t="s">
        <v>257</v>
      </c>
      <c r="B12" s="505"/>
      <c r="C12" s="505"/>
      <c r="D12" s="503" t="s">
        <v>258</v>
      </c>
      <c r="E12" s="503"/>
      <c r="F12" s="503"/>
      <c r="G12" s="504"/>
      <c r="H12" s="504"/>
      <c r="I12" s="504"/>
      <c r="J12" s="505"/>
      <c r="K12" s="506"/>
    </row>
    <row r="13" spans="1:11" ht="15.75" customHeight="1">
      <c r="A13" s="532" t="s">
        <v>259</v>
      </c>
      <c r="B13" s="533"/>
      <c r="C13" s="533"/>
      <c r="D13" s="534" t="s">
        <v>260</v>
      </c>
      <c r="E13" s="534"/>
      <c r="F13" s="534"/>
      <c r="G13" s="535">
        <f>SUM(G14:I25)</f>
        <v>0</v>
      </c>
      <c r="H13" s="535"/>
      <c r="I13" s="535"/>
      <c r="J13" s="536"/>
      <c r="K13" s="537"/>
    </row>
    <row r="14" spans="1:11" ht="15.75" customHeight="1">
      <c r="A14" s="517" t="s">
        <v>261</v>
      </c>
      <c r="B14" s="518"/>
      <c r="C14" s="518"/>
      <c r="D14" s="519"/>
      <c r="E14" s="519"/>
      <c r="F14" s="519"/>
      <c r="G14" s="520"/>
      <c r="H14" s="520"/>
      <c r="I14" s="520"/>
      <c r="J14" s="529"/>
      <c r="K14" s="530"/>
    </row>
    <row r="15" spans="1:11" ht="15.75" customHeight="1">
      <c r="A15" s="517" t="s">
        <v>262</v>
      </c>
      <c r="B15" s="518"/>
      <c r="C15" s="518"/>
      <c r="D15" s="519" t="s">
        <v>263</v>
      </c>
      <c r="E15" s="519"/>
      <c r="F15" s="519"/>
      <c r="G15" s="520">
        <f>G9*0.039</f>
        <v>0</v>
      </c>
      <c r="H15" s="520"/>
      <c r="I15" s="520"/>
      <c r="J15" s="521" t="s">
        <v>264</v>
      </c>
      <c r="K15" s="522"/>
    </row>
    <row r="16" spans="1:11" ht="15.75" customHeight="1">
      <c r="A16" s="517" t="s">
        <v>265</v>
      </c>
      <c r="B16" s="518"/>
      <c r="C16" s="518"/>
      <c r="D16" s="519" t="s">
        <v>266</v>
      </c>
      <c r="E16" s="519"/>
      <c r="F16" s="519"/>
      <c r="G16" s="520">
        <f>G9*0.0087</f>
        <v>0</v>
      </c>
      <c r="H16" s="520"/>
      <c r="I16" s="520"/>
      <c r="J16" s="521" t="s">
        <v>264</v>
      </c>
      <c r="K16" s="522"/>
    </row>
    <row r="17" spans="1:11" ht="15.75" customHeight="1">
      <c r="A17" s="517" t="s">
        <v>267</v>
      </c>
      <c r="B17" s="518"/>
      <c r="C17" s="518"/>
      <c r="D17" s="519" t="s">
        <v>268</v>
      </c>
      <c r="E17" s="519"/>
      <c r="F17" s="519"/>
      <c r="G17" s="520">
        <f>G10*0.017</f>
        <v>0</v>
      </c>
      <c r="H17" s="520"/>
      <c r="I17" s="520"/>
      <c r="J17" s="521" t="s">
        <v>264</v>
      </c>
      <c r="K17" s="522"/>
    </row>
    <row r="18" spans="1:11" ht="15.75" customHeight="1">
      <c r="A18" s="517" t="s">
        <v>269</v>
      </c>
      <c r="B18" s="518"/>
      <c r="C18" s="518"/>
      <c r="D18" s="519" t="s">
        <v>270</v>
      </c>
      <c r="E18" s="519"/>
      <c r="F18" s="519"/>
      <c r="G18" s="520">
        <f>G10*0.0249</f>
        <v>0</v>
      </c>
      <c r="H18" s="520"/>
      <c r="I18" s="520"/>
      <c r="J18" s="521" t="s">
        <v>264</v>
      </c>
      <c r="K18" s="522"/>
    </row>
    <row r="19" spans="1:11" ht="15.75" customHeight="1">
      <c r="A19" s="517" t="s">
        <v>271</v>
      </c>
      <c r="B19" s="518"/>
      <c r="C19" s="518"/>
      <c r="D19" s="519" t="s">
        <v>272</v>
      </c>
      <c r="E19" s="519"/>
      <c r="F19" s="519"/>
      <c r="G19" s="520">
        <f>G17*0.0655</f>
        <v>0</v>
      </c>
      <c r="H19" s="520"/>
      <c r="I19" s="520"/>
      <c r="J19" s="521" t="s">
        <v>264</v>
      </c>
      <c r="K19" s="522"/>
    </row>
    <row r="20" spans="1:11" ht="15.75" customHeight="1">
      <c r="A20" s="517" t="s">
        <v>273</v>
      </c>
      <c r="B20" s="518"/>
      <c r="C20" s="518"/>
      <c r="D20" s="519" t="s">
        <v>274</v>
      </c>
      <c r="E20" s="519"/>
      <c r="F20" s="519"/>
      <c r="G20" s="520">
        <f>G10*0.023</f>
        <v>0</v>
      </c>
      <c r="H20" s="520"/>
      <c r="I20" s="520"/>
      <c r="J20" s="521" t="s">
        <v>264</v>
      </c>
      <c r="K20" s="522"/>
    </row>
    <row r="21" spans="1:11" ht="15.75" customHeight="1">
      <c r="A21" s="517" t="s">
        <v>275</v>
      </c>
      <c r="B21" s="518"/>
      <c r="C21" s="518"/>
      <c r="D21" s="519" t="s">
        <v>276</v>
      </c>
      <c r="E21" s="519"/>
      <c r="F21" s="519"/>
      <c r="G21" s="520">
        <f>(G8+G10)*0.0309</f>
        <v>0</v>
      </c>
      <c r="H21" s="520"/>
      <c r="I21" s="520"/>
      <c r="J21" s="521" t="s">
        <v>264</v>
      </c>
      <c r="K21" s="522"/>
    </row>
    <row r="22" spans="1:11" ht="15.75" customHeight="1">
      <c r="A22" s="517" t="s">
        <v>277</v>
      </c>
      <c r="B22" s="518"/>
      <c r="C22" s="518"/>
      <c r="D22" s="519" t="s">
        <v>278</v>
      </c>
      <c r="E22" s="519"/>
      <c r="F22" s="519"/>
      <c r="G22" s="520">
        <f>(G8+G10+G14)*0.003</f>
        <v>0</v>
      </c>
      <c r="H22" s="520"/>
      <c r="I22" s="520"/>
      <c r="J22" s="521" t="s">
        <v>264</v>
      </c>
      <c r="K22" s="522"/>
    </row>
    <row r="23" spans="1:11" ht="15.75" customHeight="1">
      <c r="A23" s="517" t="s">
        <v>279</v>
      </c>
      <c r="B23" s="518"/>
      <c r="C23" s="518"/>
      <c r="D23" s="519" t="s">
        <v>280</v>
      </c>
      <c r="E23" s="519"/>
      <c r="F23" s="519"/>
      <c r="G23" s="520">
        <f>(G8+G9)*0.05</f>
        <v>0</v>
      </c>
      <c r="H23" s="520"/>
      <c r="I23" s="520"/>
      <c r="J23" s="521" t="s">
        <v>264</v>
      </c>
      <c r="K23" s="522"/>
    </row>
    <row r="24" spans="1:11" ht="15.75" customHeight="1">
      <c r="A24" s="517" t="s">
        <v>281</v>
      </c>
      <c r="B24" s="518"/>
      <c r="C24" s="518"/>
      <c r="D24" s="519" t="s">
        <v>282</v>
      </c>
      <c r="E24" s="519"/>
      <c r="F24" s="519"/>
      <c r="G24" s="520">
        <f>(G8+G10+G14)*0.00081</f>
        <v>0</v>
      </c>
      <c r="H24" s="520"/>
      <c r="I24" s="520"/>
      <c r="J24" s="521" t="s">
        <v>264</v>
      </c>
      <c r="K24" s="522"/>
    </row>
    <row r="25" spans="1:11" ht="15.75" customHeight="1">
      <c r="A25" s="523" t="s">
        <v>283</v>
      </c>
      <c r="B25" s="524"/>
      <c r="C25" s="524"/>
      <c r="D25" s="525" t="s">
        <v>284</v>
      </c>
      <c r="E25" s="525"/>
      <c r="F25" s="525"/>
      <c r="G25" s="526">
        <f>(G8+G10+G14)*0.0011</f>
        <v>0</v>
      </c>
      <c r="H25" s="526"/>
      <c r="I25" s="526"/>
      <c r="J25" s="527" t="s">
        <v>264</v>
      </c>
      <c r="K25" s="528"/>
    </row>
    <row r="26" spans="1:11" ht="15.75" customHeight="1">
      <c r="A26" s="512" t="s">
        <v>285</v>
      </c>
      <c r="B26" s="513"/>
      <c r="C26" s="513"/>
      <c r="D26" s="513" t="s">
        <v>286</v>
      </c>
      <c r="E26" s="513"/>
      <c r="F26" s="513"/>
      <c r="G26" s="514">
        <f>(G8+G9+G13)*0.06</f>
        <v>0</v>
      </c>
      <c r="H26" s="514"/>
      <c r="I26" s="514"/>
      <c r="J26" s="515"/>
      <c r="K26" s="516"/>
    </row>
    <row r="27" spans="1:11" ht="15.75" customHeight="1">
      <c r="A27" s="512" t="s">
        <v>287</v>
      </c>
      <c r="B27" s="513"/>
      <c r="C27" s="513"/>
      <c r="D27" s="513" t="s">
        <v>288</v>
      </c>
      <c r="E27" s="513"/>
      <c r="F27" s="513"/>
      <c r="G27" s="514">
        <f>(G9+G13+G26)*0.15</f>
        <v>0</v>
      </c>
      <c r="H27" s="514"/>
      <c r="I27" s="514"/>
      <c r="J27" s="515"/>
      <c r="K27" s="516"/>
    </row>
    <row r="28" spans="1:11" ht="15.75" customHeight="1">
      <c r="A28" s="502" t="s">
        <v>289</v>
      </c>
      <c r="B28" s="503"/>
      <c r="C28" s="503"/>
      <c r="D28" s="503" t="s">
        <v>290</v>
      </c>
      <c r="E28" s="503"/>
      <c r="F28" s="503"/>
      <c r="G28" s="504">
        <f>G7+G26+G27</f>
        <v>0</v>
      </c>
      <c r="H28" s="504"/>
      <c r="I28" s="504"/>
      <c r="J28" s="505"/>
      <c r="K28" s="506"/>
    </row>
    <row r="29" spans="1:11" ht="15.75" customHeight="1">
      <c r="A29" s="512" t="s">
        <v>291</v>
      </c>
      <c r="B29" s="513"/>
      <c r="C29" s="513"/>
      <c r="D29" s="513" t="s">
        <v>292</v>
      </c>
      <c r="E29" s="513"/>
      <c r="F29" s="513"/>
      <c r="G29" s="514">
        <f>G28*0.1</f>
        <v>0</v>
      </c>
      <c r="H29" s="514"/>
      <c r="I29" s="514"/>
      <c r="J29" s="515"/>
      <c r="K29" s="516"/>
    </row>
    <row r="30" spans="1:11" ht="15.75" customHeight="1">
      <c r="A30" s="502" t="s">
        <v>293</v>
      </c>
      <c r="B30" s="503"/>
      <c r="C30" s="503"/>
      <c r="D30" s="503" t="s">
        <v>294</v>
      </c>
      <c r="E30" s="503"/>
      <c r="F30" s="503"/>
      <c r="G30" s="504">
        <f>G28+G29</f>
        <v>0</v>
      </c>
      <c r="H30" s="504"/>
      <c r="I30" s="504"/>
      <c r="J30" s="505"/>
      <c r="K30" s="506"/>
    </row>
    <row r="31" spans="1:11" ht="15.75" customHeight="1" thickBot="1">
      <c r="A31" s="507" t="s">
        <v>295</v>
      </c>
      <c r="B31" s="508"/>
      <c r="C31" s="508"/>
      <c r="D31" s="508"/>
      <c r="E31" s="508"/>
      <c r="F31" s="508"/>
      <c r="G31" s="509">
        <f>G30</f>
        <v>0</v>
      </c>
      <c r="H31" s="509"/>
      <c r="I31" s="509"/>
      <c r="J31" s="510"/>
      <c r="K31" s="511"/>
    </row>
  </sheetData>
  <mergeCells count="114">
    <mergeCell ref="A1:K1"/>
    <mergeCell ref="B2:H2"/>
    <mergeCell ref="I2:I4"/>
    <mergeCell ref="J2:K4"/>
    <mergeCell ref="A3:A4"/>
    <mergeCell ref="B3:F3"/>
    <mergeCell ref="G3:H3"/>
    <mergeCell ref="B4:F4"/>
    <mergeCell ref="G4:H4"/>
    <mergeCell ref="A5:K5"/>
    <mergeCell ref="A6:C6"/>
    <mergeCell ref="D6:F6"/>
    <mergeCell ref="G6:I6"/>
    <mergeCell ref="J6:K6"/>
    <mergeCell ref="A7:C7"/>
    <mergeCell ref="D7:F7"/>
    <mergeCell ref="G7:I7"/>
    <mergeCell ref="J7:K7"/>
    <mergeCell ref="A10:C10"/>
    <mergeCell ref="D10:F10"/>
    <mergeCell ref="G10:I10"/>
    <mergeCell ref="J10:K10"/>
    <mergeCell ref="A11:C11"/>
    <mergeCell ref="D11:F11"/>
    <mergeCell ref="G11:I11"/>
    <mergeCell ref="J11:K11"/>
    <mergeCell ref="A8:C8"/>
    <mergeCell ref="D8:F8"/>
    <mergeCell ref="G8:I8"/>
    <mergeCell ref="J8:K8"/>
    <mergeCell ref="A9:C9"/>
    <mergeCell ref="D9:F9"/>
    <mergeCell ref="G9:I9"/>
    <mergeCell ref="J9:K9"/>
    <mergeCell ref="A14:C14"/>
    <mergeCell ref="D14:F14"/>
    <mergeCell ref="G14:I14"/>
    <mergeCell ref="J14:K14"/>
    <mergeCell ref="A15:C15"/>
    <mergeCell ref="D15:F15"/>
    <mergeCell ref="G15:I15"/>
    <mergeCell ref="J15:K15"/>
    <mergeCell ref="A12:C12"/>
    <mergeCell ref="D12:F12"/>
    <mergeCell ref="G12:I12"/>
    <mergeCell ref="J12:K12"/>
    <mergeCell ref="A13:C13"/>
    <mergeCell ref="D13:F13"/>
    <mergeCell ref="G13:I13"/>
    <mergeCell ref="J13:K13"/>
    <mergeCell ref="A18:C18"/>
    <mergeCell ref="D18:F18"/>
    <mergeCell ref="G18:I18"/>
    <mergeCell ref="J18:K18"/>
    <mergeCell ref="A19:C19"/>
    <mergeCell ref="D19:F19"/>
    <mergeCell ref="G19:I19"/>
    <mergeCell ref="J19:K19"/>
    <mergeCell ref="A16:C16"/>
    <mergeCell ref="D16:F16"/>
    <mergeCell ref="G16:I16"/>
    <mergeCell ref="J16:K16"/>
    <mergeCell ref="A17:C17"/>
    <mergeCell ref="D17:F17"/>
    <mergeCell ref="G17:I17"/>
    <mergeCell ref="J17:K17"/>
    <mergeCell ref="A22:C22"/>
    <mergeCell ref="D22:F22"/>
    <mergeCell ref="G22:I22"/>
    <mergeCell ref="J22:K22"/>
    <mergeCell ref="A23:C23"/>
    <mergeCell ref="D23:F23"/>
    <mergeCell ref="G23:I23"/>
    <mergeCell ref="J23:K23"/>
    <mergeCell ref="A20:C20"/>
    <mergeCell ref="D20:F20"/>
    <mergeCell ref="G20:I20"/>
    <mergeCell ref="J20:K20"/>
    <mergeCell ref="A21:C21"/>
    <mergeCell ref="D21:F21"/>
    <mergeCell ref="G21:I21"/>
    <mergeCell ref="J21:K21"/>
    <mergeCell ref="A26:C26"/>
    <mergeCell ref="D26:F26"/>
    <mergeCell ref="G26:I26"/>
    <mergeCell ref="J26:K26"/>
    <mergeCell ref="A27:C27"/>
    <mergeCell ref="D27:F27"/>
    <mergeCell ref="G27:I27"/>
    <mergeCell ref="J27:K27"/>
    <mergeCell ref="A24:C24"/>
    <mergeCell ref="D24:F24"/>
    <mergeCell ref="G24:I24"/>
    <mergeCell ref="J24:K24"/>
    <mergeCell ref="A25:C25"/>
    <mergeCell ref="D25:F25"/>
    <mergeCell ref="G25:I25"/>
    <mergeCell ref="J25:K25"/>
    <mergeCell ref="A30:C30"/>
    <mergeCell ref="D30:F30"/>
    <mergeCell ref="G30:I30"/>
    <mergeCell ref="J30:K30"/>
    <mergeCell ref="A31:C31"/>
    <mergeCell ref="D31:F31"/>
    <mergeCell ref="G31:I31"/>
    <mergeCell ref="J31:K31"/>
    <mergeCell ref="A28:C28"/>
    <mergeCell ref="D28:F28"/>
    <mergeCell ref="G28:I28"/>
    <mergeCell ref="J28:K28"/>
    <mergeCell ref="A29:C29"/>
    <mergeCell ref="D29:F29"/>
    <mergeCell ref="G29:I29"/>
    <mergeCell ref="J29:K29"/>
  </mergeCells>
  <phoneticPr fontId="2" type="noConversion"/>
  <printOptions horizontalCentered="1" verticalCentered="1"/>
  <pageMargins left="0.35433070866141736" right="0.43307086614173229" top="0.46" bottom="0.31496062992125984" header="0.31496062992125984" footer="0.31496062992125984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36"/>
  <sheetViews>
    <sheetView tabSelected="1" workbookViewId="0">
      <selection activeCell="J13" sqref="J13"/>
    </sheetView>
  </sheetViews>
  <sheetFormatPr defaultRowHeight="17.25"/>
  <cols>
    <col min="1" max="1" width="15.5" style="50" customWidth="1"/>
    <col min="2" max="2" width="16.625" style="50" customWidth="1"/>
    <col min="3" max="3" width="5.375" style="50" customWidth="1"/>
    <col min="4" max="4" width="5.5" style="50" customWidth="1"/>
    <col min="5" max="5" width="9.5" style="47" hidden="1" customWidth="1"/>
    <col min="6" max="6" width="11.125" style="50" customWidth="1"/>
    <col min="7" max="7" width="11.5" style="53" customWidth="1"/>
    <col min="8" max="8" width="16.375" style="47" customWidth="1"/>
    <col min="9" max="251" width="9" style="47"/>
    <col min="252" max="252" width="18.125" style="47" customWidth="1"/>
    <col min="253" max="253" width="17.375" style="47" customWidth="1"/>
    <col min="254" max="254" width="6.125" style="47" customWidth="1"/>
    <col min="255" max="255" width="7.25" style="47" customWidth="1"/>
    <col min="256" max="256" width="8.625" style="47" customWidth="1"/>
    <col min="257" max="257" width="7.875" style="47" customWidth="1"/>
    <col min="258" max="258" width="20.125" style="47" customWidth="1"/>
    <col min="259" max="259" width="17.5" style="47" customWidth="1"/>
    <col min="260" max="261" width="8" style="47" customWidth="1"/>
    <col min="262" max="262" width="14.875" style="47" bestFit="1" customWidth="1"/>
    <col min="263" max="263" width="15.875" style="47" bestFit="1" customWidth="1"/>
    <col min="264" max="507" width="9" style="47"/>
    <col min="508" max="508" width="18.125" style="47" customWidth="1"/>
    <col min="509" max="509" width="17.375" style="47" customWidth="1"/>
    <col min="510" max="510" width="6.125" style="47" customWidth="1"/>
    <col min="511" max="511" width="7.25" style="47" customWidth="1"/>
    <col min="512" max="512" width="8.625" style="47" customWidth="1"/>
    <col min="513" max="513" width="7.875" style="47" customWidth="1"/>
    <col min="514" max="514" width="20.125" style="47" customWidth="1"/>
    <col min="515" max="515" width="17.5" style="47" customWidth="1"/>
    <col min="516" max="517" width="8" style="47" customWidth="1"/>
    <col min="518" max="518" width="14.875" style="47" bestFit="1" customWidth="1"/>
    <col min="519" max="519" width="15.875" style="47" bestFit="1" customWidth="1"/>
    <col min="520" max="763" width="9" style="47"/>
    <col min="764" max="764" width="18.125" style="47" customWidth="1"/>
    <col min="765" max="765" width="17.375" style="47" customWidth="1"/>
    <col min="766" max="766" width="6.125" style="47" customWidth="1"/>
    <col min="767" max="767" width="7.25" style="47" customWidth="1"/>
    <col min="768" max="768" width="8.625" style="47" customWidth="1"/>
    <col min="769" max="769" width="7.875" style="47" customWidth="1"/>
    <col min="770" max="770" width="20.125" style="47" customWidth="1"/>
    <col min="771" max="771" width="17.5" style="47" customWidth="1"/>
    <col min="772" max="773" width="8" style="47" customWidth="1"/>
    <col min="774" max="774" width="14.875" style="47" bestFit="1" customWidth="1"/>
    <col min="775" max="775" width="15.875" style="47" bestFit="1" customWidth="1"/>
    <col min="776" max="1019" width="9" style="47"/>
    <col min="1020" max="1020" width="18.125" style="47" customWidth="1"/>
    <col min="1021" max="1021" width="17.375" style="47" customWidth="1"/>
    <col min="1022" max="1022" width="6.125" style="47" customWidth="1"/>
    <col min="1023" max="1023" width="7.25" style="47" customWidth="1"/>
    <col min="1024" max="1024" width="8.625" style="47" customWidth="1"/>
    <col min="1025" max="1025" width="7.875" style="47" customWidth="1"/>
    <col min="1026" max="1026" width="20.125" style="47" customWidth="1"/>
    <col min="1027" max="1027" width="17.5" style="47" customWidth="1"/>
    <col min="1028" max="1029" width="8" style="47" customWidth="1"/>
    <col min="1030" max="1030" width="14.875" style="47" bestFit="1" customWidth="1"/>
    <col min="1031" max="1031" width="15.875" style="47" bestFit="1" customWidth="1"/>
    <col min="1032" max="1275" width="9" style="47"/>
    <col min="1276" max="1276" width="18.125" style="47" customWidth="1"/>
    <col min="1277" max="1277" width="17.375" style="47" customWidth="1"/>
    <col min="1278" max="1278" width="6.125" style="47" customWidth="1"/>
    <col min="1279" max="1279" width="7.25" style="47" customWidth="1"/>
    <col min="1280" max="1280" width="8.625" style="47" customWidth="1"/>
    <col min="1281" max="1281" width="7.875" style="47" customWidth="1"/>
    <col min="1282" max="1282" width="20.125" style="47" customWidth="1"/>
    <col min="1283" max="1283" width="17.5" style="47" customWidth="1"/>
    <col min="1284" max="1285" width="8" style="47" customWidth="1"/>
    <col min="1286" max="1286" width="14.875" style="47" bestFit="1" customWidth="1"/>
    <col min="1287" max="1287" width="15.875" style="47" bestFit="1" customWidth="1"/>
    <col min="1288" max="1531" width="9" style="47"/>
    <col min="1532" max="1532" width="18.125" style="47" customWidth="1"/>
    <col min="1533" max="1533" width="17.375" style="47" customWidth="1"/>
    <col min="1534" max="1534" width="6.125" style="47" customWidth="1"/>
    <col min="1535" max="1535" width="7.25" style="47" customWidth="1"/>
    <col min="1536" max="1536" width="8.625" style="47" customWidth="1"/>
    <col min="1537" max="1537" width="7.875" style="47" customWidth="1"/>
    <col min="1538" max="1538" width="20.125" style="47" customWidth="1"/>
    <col min="1539" max="1539" width="17.5" style="47" customWidth="1"/>
    <col min="1540" max="1541" width="8" style="47" customWidth="1"/>
    <col min="1542" max="1542" width="14.875" style="47" bestFit="1" customWidth="1"/>
    <col min="1543" max="1543" width="15.875" style="47" bestFit="1" customWidth="1"/>
    <col min="1544" max="1787" width="9" style="47"/>
    <col min="1788" max="1788" width="18.125" style="47" customWidth="1"/>
    <col min="1789" max="1789" width="17.375" style="47" customWidth="1"/>
    <col min="1790" max="1790" width="6.125" style="47" customWidth="1"/>
    <col min="1791" max="1791" width="7.25" style="47" customWidth="1"/>
    <col min="1792" max="1792" width="8.625" style="47" customWidth="1"/>
    <col min="1793" max="1793" width="7.875" style="47" customWidth="1"/>
    <col min="1794" max="1794" width="20.125" style="47" customWidth="1"/>
    <col min="1795" max="1795" width="17.5" style="47" customWidth="1"/>
    <col min="1796" max="1797" width="8" style="47" customWidth="1"/>
    <col min="1798" max="1798" width="14.875" style="47" bestFit="1" customWidth="1"/>
    <col min="1799" max="1799" width="15.875" style="47" bestFit="1" customWidth="1"/>
    <col min="1800" max="2043" width="9" style="47"/>
    <col min="2044" max="2044" width="18.125" style="47" customWidth="1"/>
    <col min="2045" max="2045" width="17.375" style="47" customWidth="1"/>
    <col min="2046" max="2046" width="6.125" style="47" customWidth="1"/>
    <col min="2047" max="2047" width="7.25" style="47" customWidth="1"/>
    <col min="2048" max="2048" width="8.625" style="47" customWidth="1"/>
    <col min="2049" max="2049" width="7.875" style="47" customWidth="1"/>
    <col min="2050" max="2050" width="20.125" style="47" customWidth="1"/>
    <col min="2051" max="2051" width="17.5" style="47" customWidth="1"/>
    <col min="2052" max="2053" width="8" style="47" customWidth="1"/>
    <col min="2054" max="2054" width="14.875" style="47" bestFit="1" customWidth="1"/>
    <col min="2055" max="2055" width="15.875" style="47" bestFit="1" customWidth="1"/>
    <col min="2056" max="2299" width="9" style="47"/>
    <col min="2300" max="2300" width="18.125" style="47" customWidth="1"/>
    <col min="2301" max="2301" width="17.375" style="47" customWidth="1"/>
    <col min="2302" max="2302" width="6.125" style="47" customWidth="1"/>
    <col min="2303" max="2303" width="7.25" style="47" customWidth="1"/>
    <col min="2304" max="2304" width="8.625" style="47" customWidth="1"/>
    <col min="2305" max="2305" width="7.875" style="47" customWidth="1"/>
    <col min="2306" max="2306" width="20.125" style="47" customWidth="1"/>
    <col min="2307" max="2307" width="17.5" style="47" customWidth="1"/>
    <col min="2308" max="2309" width="8" style="47" customWidth="1"/>
    <col min="2310" max="2310" width="14.875" style="47" bestFit="1" customWidth="1"/>
    <col min="2311" max="2311" width="15.875" style="47" bestFit="1" customWidth="1"/>
    <col min="2312" max="2555" width="9" style="47"/>
    <col min="2556" max="2556" width="18.125" style="47" customWidth="1"/>
    <col min="2557" max="2557" width="17.375" style="47" customWidth="1"/>
    <col min="2558" max="2558" width="6.125" style="47" customWidth="1"/>
    <col min="2559" max="2559" width="7.25" style="47" customWidth="1"/>
    <col min="2560" max="2560" width="8.625" style="47" customWidth="1"/>
    <col min="2561" max="2561" width="7.875" style="47" customWidth="1"/>
    <col min="2562" max="2562" width="20.125" style="47" customWidth="1"/>
    <col min="2563" max="2563" width="17.5" style="47" customWidth="1"/>
    <col min="2564" max="2565" width="8" style="47" customWidth="1"/>
    <col min="2566" max="2566" width="14.875" style="47" bestFit="1" customWidth="1"/>
    <col min="2567" max="2567" width="15.875" style="47" bestFit="1" customWidth="1"/>
    <col min="2568" max="2811" width="9" style="47"/>
    <col min="2812" max="2812" width="18.125" style="47" customWidth="1"/>
    <col min="2813" max="2813" width="17.375" style="47" customWidth="1"/>
    <col min="2814" max="2814" width="6.125" style="47" customWidth="1"/>
    <col min="2815" max="2815" width="7.25" style="47" customWidth="1"/>
    <col min="2816" max="2816" width="8.625" style="47" customWidth="1"/>
    <col min="2817" max="2817" width="7.875" style="47" customWidth="1"/>
    <col min="2818" max="2818" width="20.125" style="47" customWidth="1"/>
    <col min="2819" max="2819" width="17.5" style="47" customWidth="1"/>
    <col min="2820" max="2821" width="8" style="47" customWidth="1"/>
    <col min="2822" max="2822" width="14.875" style="47" bestFit="1" customWidth="1"/>
    <col min="2823" max="2823" width="15.875" style="47" bestFit="1" customWidth="1"/>
    <col min="2824" max="3067" width="9" style="47"/>
    <col min="3068" max="3068" width="18.125" style="47" customWidth="1"/>
    <col min="3069" max="3069" width="17.375" style="47" customWidth="1"/>
    <col min="3070" max="3070" width="6.125" style="47" customWidth="1"/>
    <col min="3071" max="3071" width="7.25" style="47" customWidth="1"/>
    <col min="3072" max="3072" width="8.625" style="47" customWidth="1"/>
    <col min="3073" max="3073" width="7.875" style="47" customWidth="1"/>
    <col min="3074" max="3074" width="20.125" style="47" customWidth="1"/>
    <col min="3075" max="3075" width="17.5" style="47" customWidth="1"/>
    <col min="3076" max="3077" width="8" style="47" customWidth="1"/>
    <col min="3078" max="3078" width="14.875" style="47" bestFit="1" customWidth="1"/>
    <col min="3079" max="3079" width="15.875" style="47" bestFit="1" customWidth="1"/>
    <col min="3080" max="3323" width="9" style="47"/>
    <col min="3324" max="3324" width="18.125" style="47" customWidth="1"/>
    <col min="3325" max="3325" width="17.375" style="47" customWidth="1"/>
    <col min="3326" max="3326" width="6.125" style="47" customWidth="1"/>
    <col min="3327" max="3327" width="7.25" style="47" customWidth="1"/>
    <col min="3328" max="3328" width="8.625" style="47" customWidth="1"/>
    <col min="3329" max="3329" width="7.875" style="47" customWidth="1"/>
    <col min="3330" max="3330" width="20.125" style="47" customWidth="1"/>
    <col min="3331" max="3331" width="17.5" style="47" customWidth="1"/>
    <col min="3332" max="3333" width="8" style="47" customWidth="1"/>
    <col min="3334" max="3334" width="14.875" style="47" bestFit="1" customWidth="1"/>
    <col min="3335" max="3335" width="15.875" style="47" bestFit="1" customWidth="1"/>
    <col min="3336" max="3579" width="9" style="47"/>
    <col min="3580" max="3580" width="18.125" style="47" customWidth="1"/>
    <col min="3581" max="3581" width="17.375" style="47" customWidth="1"/>
    <col min="3582" max="3582" width="6.125" style="47" customWidth="1"/>
    <col min="3583" max="3583" width="7.25" style="47" customWidth="1"/>
    <col min="3584" max="3584" width="8.625" style="47" customWidth="1"/>
    <col min="3585" max="3585" width="7.875" style="47" customWidth="1"/>
    <col min="3586" max="3586" width="20.125" style="47" customWidth="1"/>
    <col min="3587" max="3587" width="17.5" style="47" customWidth="1"/>
    <col min="3588" max="3589" width="8" style="47" customWidth="1"/>
    <col min="3590" max="3590" width="14.875" style="47" bestFit="1" customWidth="1"/>
    <col min="3591" max="3591" width="15.875" style="47" bestFit="1" customWidth="1"/>
    <col min="3592" max="3835" width="9" style="47"/>
    <col min="3836" max="3836" width="18.125" style="47" customWidth="1"/>
    <col min="3837" max="3837" width="17.375" style="47" customWidth="1"/>
    <col min="3838" max="3838" width="6.125" style="47" customWidth="1"/>
    <col min="3839" max="3839" width="7.25" style="47" customWidth="1"/>
    <col min="3840" max="3840" width="8.625" style="47" customWidth="1"/>
    <col min="3841" max="3841" width="7.875" style="47" customWidth="1"/>
    <col min="3842" max="3842" width="20.125" style="47" customWidth="1"/>
    <col min="3843" max="3843" width="17.5" style="47" customWidth="1"/>
    <col min="3844" max="3845" width="8" style="47" customWidth="1"/>
    <col min="3846" max="3846" width="14.875" style="47" bestFit="1" customWidth="1"/>
    <col min="3847" max="3847" width="15.875" style="47" bestFit="1" customWidth="1"/>
    <col min="3848" max="4091" width="9" style="47"/>
    <col min="4092" max="4092" width="18.125" style="47" customWidth="1"/>
    <col min="4093" max="4093" width="17.375" style="47" customWidth="1"/>
    <col min="4094" max="4094" width="6.125" style="47" customWidth="1"/>
    <col min="4095" max="4095" width="7.25" style="47" customWidth="1"/>
    <col min="4096" max="4096" width="8.625" style="47" customWidth="1"/>
    <col min="4097" max="4097" width="7.875" style="47" customWidth="1"/>
    <col min="4098" max="4098" width="20.125" style="47" customWidth="1"/>
    <col min="4099" max="4099" width="17.5" style="47" customWidth="1"/>
    <col min="4100" max="4101" width="8" style="47" customWidth="1"/>
    <col min="4102" max="4102" width="14.875" style="47" bestFit="1" customWidth="1"/>
    <col min="4103" max="4103" width="15.875" style="47" bestFit="1" customWidth="1"/>
    <col min="4104" max="4347" width="9" style="47"/>
    <col min="4348" max="4348" width="18.125" style="47" customWidth="1"/>
    <col min="4349" max="4349" width="17.375" style="47" customWidth="1"/>
    <col min="4350" max="4350" width="6.125" style="47" customWidth="1"/>
    <col min="4351" max="4351" width="7.25" style="47" customWidth="1"/>
    <col min="4352" max="4352" width="8.625" style="47" customWidth="1"/>
    <col min="4353" max="4353" width="7.875" style="47" customWidth="1"/>
    <col min="4354" max="4354" width="20.125" style="47" customWidth="1"/>
    <col min="4355" max="4355" width="17.5" style="47" customWidth="1"/>
    <col min="4356" max="4357" width="8" style="47" customWidth="1"/>
    <col min="4358" max="4358" width="14.875" style="47" bestFit="1" customWidth="1"/>
    <col min="4359" max="4359" width="15.875" style="47" bestFit="1" customWidth="1"/>
    <col min="4360" max="4603" width="9" style="47"/>
    <col min="4604" max="4604" width="18.125" style="47" customWidth="1"/>
    <col min="4605" max="4605" width="17.375" style="47" customWidth="1"/>
    <col min="4606" max="4606" width="6.125" style="47" customWidth="1"/>
    <col min="4607" max="4607" width="7.25" style="47" customWidth="1"/>
    <col min="4608" max="4608" width="8.625" style="47" customWidth="1"/>
    <col min="4609" max="4609" width="7.875" style="47" customWidth="1"/>
    <col min="4610" max="4610" width="20.125" style="47" customWidth="1"/>
    <col min="4611" max="4611" width="17.5" style="47" customWidth="1"/>
    <col min="4612" max="4613" width="8" style="47" customWidth="1"/>
    <col min="4614" max="4614" width="14.875" style="47" bestFit="1" customWidth="1"/>
    <col min="4615" max="4615" width="15.875" style="47" bestFit="1" customWidth="1"/>
    <col min="4616" max="4859" width="9" style="47"/>
    <col min="4860" max="4860" width="18.125" style="47" customWidth="1"/>
    <col min="4861" max="4861" width="17.375" style="47" customWidth="1"/>
    <col min="4862" max="4862" width="6.125" style="47" customWidth="1"/>
    <col min="4863" max="4863" width="7.25" style="47" customWidth="1"/>
    <col min="4864" max="4864" width="8.625" style="47" customWidth="1"/>
    <col min="4865" max="4865" width="7.875" style="47" customWidth="1"/>
    <col min="4866" max="4866" width="20.125" style="47" customWidth="1"/>
    <col min="4867" max="4867" width="17.5" style="47" customWidth="1"/>
    <col min="4868" max="4869" width="8" style="47" customWidth="1"/>
    <col min="4870" max="4870" width="14.875" style="47" bestFit="1" customWidth="1"/>
    <col min="4871" max="4871" width="15.875" style="47" bestFit="1" customWidth="1"/>
    <col min="4872" max="5115" width="9" style="47"/>
    <col min="5116" max="5116" width="18.125" style="47" customWidth="1"/>
    <col min="5117" max="5117" width="17.375" style="47" customWidth="1"/>
    <col min="5118" max="5118" width="6.125" style="47" customWidth="1"/>
    <col min="5119" max="5119" width="7.25" style="47" customWidth="1"/>
    <col min="5120" max="5120" width="8.625" style="47" customWidth="1"/>
    <col min="5121" max="5121" width="7.875" style="47" customWidth="1"/>
    <col min="5122" max="5122" width="20.125" style="47" customWidth="1"/>
    <col min="5123" max="5123" width="17.5" style="47" customWidth="1"/>
    <col min="5124" max="5125" width="8" style="47" customWidth="1"/>
    <col min="5126" max="5126" width="14.875" style="47" bestFit="1" customWidth="1"/>
    <col min="5127" max="5127" width="15.875" style="47" bestFit="1" customWidth="1"/>
    <col min="5128" max="5371" width="9" style="47"/>
    <col min="5372" max="5372" width="18.125" style="47" customWidth="1"/>
    <col min="5373" max="5373" width="17.375" style="47" customWidth="1"/>
    <col min="5374" max="5374" width="6.125" style="47" customWidth="1"/>
    <col min="5375" max="5375" width="7.25" style="47" customWidth="1"/>
    <col min="5376" max="5376" width="8.625" style="47" customWidth="1"/>
    <col min="5377" max="5377" width="7.875" style="47" customWidth="1"/>
    <col min="5378" max="5378" width="20.125" style="47" customWidth="1"/>
    <col min="5379" max="5379" width="17.5" style="47" customWidth="1"/>
    <col min="5380" max="5381" width="8" style="47" customWidth="1"/>
    <col min="5382" max="5382" width="14.875" style="47" bestFit="1" customWidth="1"/>
    <col min="5383" max="5383" width="15.875" style="47" bestFit="1" customWidth="1"/>
    <col min="5384" max="5627" width="9" style="47"/>
    <col min="5628" max="5628" width="18.125" style="47" customWidth="1"/>
    <col min="5629" max="5629" width="17.375" style="47" customWidth="1"/>
    <col min="5630" max="5630" width="6.125" style="47" customWidth="1"/>
    <col min="5631" max="5631" width="7.25" style="47" customWidth="1"/>
    <col min="5632" max="5632" width="8.625" style="47" customWidth="1"/>
    <col min="5633" max="5633" width="7.875" style="47" customWidth="1"/>
    <col min="5634" max="5634" width="20.125" style="47" customWidth="1"/>
    <col min="5635" max="5635" width="17.5" style="47" customWidth="1"/>
    <col min="5636" max="5637" width="8" style="47" customWidth="1"/>
    <col min="5638" max="5638" width="14.875" style="47" bestFit="1" customWidth="1"/>
    <col min="5639" max="5639" width="15.875" style="47" bestFit="1" customWidth="1"/>
    <col min="5640" max="5883" width="9" style="47"/>
    <col min="5884" max="5884" width="18.125" style="47" customWidth="1"/>
    <col min="5885" max="5885" width="17.375" style="47" customWidth="1"/>
    <col min="5886" max="5886" width="6.125" style="47" customWidth="1"/>
    <col min="5887" max="5887" width="7.25" style="47" customWidth="1"/>
    <col min="5888" max="5888" width="8.625" style="47" customWidth="1"/>
    <col min="5889" max="5889" width="7.875" style="47" customWidth="1"/>
    <col min="5890" max="5890" width="20.125" style="47" customWidth="1"/>
    <col min="5891" max="5891" width="17.5" style="47" customWidth="1"/>
    <col min="5892" max="5893" width="8" style="47" customWidth="1"/>
    <col min="5894" max="5894" width="14.875" style="47" bestFit="1" customWidth="1"/>
    <col min="5895" max="5895" width="15.875" style="47" bestFit="1" customWidth="1"/>
    <col min="5896" max="6139" width="9" style="47"/>
    <col min="6140" max="6140" width="18.125" style="47" customWidth="1"/>
    <col min="6141" max="6141" width="17.375" style="47" customWidth="1"/>
    <col min="6142" max="6142" width="6.125" style="47" customWidth="1"/>
    <col min="6143" max="6143" width="7.25" style="47" customWidth="1"/>
    <col min="6144" max="6144" width="8.625" style="47" customWidth="1"/>
    <col min="6145" max="6145" width="7.875" style="47" customWidth="1"/>
    <col min="6146" max="6146" width="20.125" style="47" customWidth="1"/>
    <col min="6147" max="6147" width="17.5" style="47" customWidth="1"/>
    <col min="6148" max="6149" width="8" style="47" customWidth="1"/>
    <col min="6150" max="6150" width="14.875" style="47" bestFit="1" customWidth="1"/>
    <col min="6151" max="6151" width="15.875" style="47" bestFit="1" customWidth="1"/>
    <col min="6152" max="6395" width="9" style="47"/>
    <col min="6396" max="6396" width="18.125" style="47" customWidth="1"/>
    <col min="6397" max="6397" width="17.375" style="47" customWidth="1"/>
    <col min="6398" max="6398" width="6.125" style="47" customWidth="1"/>
    <col min="6399" max="6399" width="7.25" style="47" customWidth="1"/>
    <col min="6400" max="6400" width="8.625" style="47" customWidth="1"/>
    <col min="6401" max="6401" width="7.875" style="47" customWidth="1"/>
    <col min="6402" max="6402" width="20.125" style="47" customWidth="1"/>
    <col min="6403" max="6403" width="17.5" style="47" customWidth="1"/>
    <col min="6404" max="6405" width="8" style="47" customWidth="1"/>
    <col min="6406" max="6406" width="14.875" style="47" bestFit="1" customWidth="1"/>
    <col min="6407" max="6407" width="15.875" style="47" bestFit="1" customWidth="1"/>
    <col min="6408" max="6651" width="9" style="47"/>
    <col min="6652" max="6652" width="18.125" style="47" customWidth="1"/>
    <col min="6653" max="6653" width="17.375" style="47" customWidth="1"/>
    <col min="6654" max="6654" width="6.125" style="47" customWidth="1"/>
    <col min="6655" max="6655" width="7.25" style="47" customWidth="1"/>
    <col min="6656" max="6656" width="8.625" style="47" customWidth="1"/>
    <col min="6657" max="6657" width="7.875" style="47" customWidth="1"/>
    <col min="6658" max="6658" width="20.125" style="47" customWidth="1"/>
    <col min="6659" max="6659" width="17.5" style="47" customWidth="1"/>
    <col min="6660" max="6661" width="8" style="47" customWidth="1"/>
    <col min="6662" max="6662" width="14.875" style="47" bestFit="1" customWidth="1"/>
    <col min="6663" max="6663" width="15.875" style="47" bestFit="1" customWidth="1"/>
    <col min="6664" max="6907" width="9" style="47"/>
    <col min="6908" max="6908" width="18.125" style="47" customWidth="1"/>
    <col min="6909" max="6909" width="17.375" style="47" customWidth="1"/>
    <col min="6910" max="6910" width="6.125" style="47" customWidth="1"/>
    <col min="6911" max="6911" width="7.25" style="47" customWidth="1"/>
    <col min="6912" max="6912" width="8.625" style="47" customWidth="1"/>
    <col min="6913" max="6913" width="7.875" style="47" customWidth="1"/>
    <col min="6914" max="6914" width="20.125" style="47" customWidth="1"/>
    <col min="6915" max="6915" width="17.5" style="47" customWidth="1"/>
    <col min="6916" max="6917" width="8" style="47" customWidth="1"/>
    <col min="6918" max="6918" width="14.875" style="47" bestFit="1" customWidth="1"/>
    <col min="6919" max="6919" width="15.875" style="47" bestFit="1" customWidth="1"/>
    <col min="6920" max="7163" width="9" style="47"/>
    <col min="7164" max="7164" width="18.125" style="47" customWidth="1"/>
    <col min="7165" max="7165" width="17.375" style="47" customWidth="1"/>
    <col min="7166" max="7166" width="6.125" style="47" customWidth="1"/>
    <col min="7167" max="7167" width="7.25" style="47" customWidth="1"/>
    <col min="7168" max="7168" width="8.625" style="47" customWidth="1"/>
    <col min="7169" max="7169" width="7.875" style="47" customWidth="1"/>
    <col min="7170" max="7170" width="20.125" style="47" customWidth="1"/>
    <col min="7171" max="7171" width="17.5" style="47" customWidth="1"/>
    <col min="7172" max="7173" width="8" style="47" customWidth="1"/>
    <col min="7174" max="7174" width="14.875" style="47" bestFit="1" customWidth="1"/>
    <col min="7175" max="7175" width="15.875" style="47" bestFit="1" customWidth="1"/>
    <col min="7176" max="7419" width="9" style="47"/>
    <col min="7420" max="7420" width="18.125" style="47" customWidth="1"/>
    <col min="7421" max="7421" width="17.375" style="47" customWidth="1"/>
    <col min="7422" max="7422" width="6.125" style="47" customWidth="1"/>
    <col min="7423" max="7423" width="7.25" style="47" customWidth="1"/>
    <col min="7424" max="7424" width="8.625" style="47" customWidth="1"/>
    <col min="7425" max="7425" width="7.875" style="47" customWidth="1"/>
    <col min="7426" max="7426" width="20.125" style="47" customWidth="1"/>
    <col min="7427" max="7427" width="17.5" style="47" customWidth="1"/>
    <col min="7428" max="7429" width="8" style="47" customWidth="1"/>
    <col min="7430" max="7430" width="14.875" style="47" bestFit="1" customWidth="1"/>
    <col min="7431" max="7431" width="15.875" style="47" bestFit="1" customWidth="1"/>
    <col min="7432" max="7675" width="9" style="47"/>
    <col min="7676" max="7676" width="18.125" style="47" customWidth="1"/>
    <col min="7677" max="7677" width="17.375" style="47" customWidth="1"/>
    <col min="7678" max="7678" width="6.125" style="47" customWidth="1"/>
    <col min="7679" max="7679" width="7.25" style="47" customWidth="1"/>
    <col min="7680" max="7680" width="8.625" style="47" customWidth="1"/>
    <col min="7681" max="7681" width="7.875" style="47" customWidth="1"/>
    <col min="7682" max="7682" width="20.125" style="47" customWidth="1"/>
    <col min="7683" max="7683" width="17.5" style="47" customWidth="1"/>
    <col min="7684" max="7685" width="8" style="47" customWidth="1"/>
    <col min="7686" max="7686" width="14.875" style="47" bestFit="1" customWidth="1"/>
    <col min="7687" max="7687" width="15.875" style="47" bestFit="1" customWidth="1"/>
    <col min="7688" max="7931" width="9" style="47"/>
    <col min="7932" max="7932" width="18.125" style="47" customWidth="1"/>
    <col min="7933" max="7933" width="17.375" style="47" customWidth="1"/>
    <col min="7934" max="7934" width="6.125" style="47" customWidth="1"/>
    <col min="7935" max="7935" width="7.25" style="47" customWidth="1"/>
    <col min="7936" max="7936" width="8.625" style="47" customWidth="1"/>
    <col min="7937" max="7937" width="7.875" style="47" customWidth="1"/>
    <col min="7938" max="7938" width="20.125" style="47" customWidth="1"/>
    <col min="7939" max="7939" width="17.5" style="47" customWidth="1"/>
    <col min="7940" max="7941" width="8" style="47" customWidth="1"/>
    <col min="7942" max="7942" width="14.875" style="47" bestFit="1" customWidth="1"/>
    <col min="7943" max="7943" width="15.875" style="47" bestFit="1" customWidth="1"/>
    <col min="7944" max="8187" width="9" style="47"/>
    <col min="8188" max="8188" width="18.125" style="47" customWidth="1"/>
    <col min="8189" max="8189" width="17.375" style="47" customWidth="1"/>
    <col min="8190" max="8190" width="6.125" style="47" customWidth="1"/>
    <col min="8191" max="8191" width="7.25" style="47" customWidth="1"/>
    <col min="8192" max="8192" width="8.625" style="47" customWidth="1"/>
    <col min="8193" max="8193" width="7.875" style="47" customWidth="1"/>
    <col min="8194" max="8194" width="20.125" style="47" customWidth="1"/>
    <col min="8195" max="8195" width="17.5" style="47" customWidth="1"/>
    <col min="8196" max="8197" width="8" style="47" customWidth="1"/>
    <col min="8198" max="8198" width="14.875" style="47" bestFit="1" customWidth="1"/>
    <col min="8199" max="8199" width="15.875" style="47" bestFit="1" customWidth="1"/>
    <col min="8200" max="8443" width="9" style="47"/>
    <col min="8444" max="8444" width="18.125" style="47" customWidth="1"/>
    <col min="8445" max="8445" width="17.375" style="47" customWidth="1"/>
    <col min="8446" max="8446" width="6.125" style="47" customWidth="1"/>
    <col min="8447" max="8447" width="7.25" style="47" customWidth="1"/>
    <col min="8448" max="8448" width="8.625" style="47" customWidth="1"/>
    <col min="8449" max="8449" width="7.875" style="47" customWidth="1"/>
    <col min="8450" max="8450" width="20.125" style="47" customWidth="1"/>
    <col min="8451" max="8451" width="17.5" style="47" customWidth="1"/>
    <col min="8452" max="8453" width="8" style="47" customWidth="1"/>
    <col min="8454" max="8454" width="14.875" style="47" bestFit="1" customWidth="1"/>
    <col min="8455" max="8455" width="15.875" style="47" bestFit="1" customWidth="1"/>
    <col min="8456" max="8699" width="9" style="47"/>
    <col min="8700" max="8700" width="18.125" style="47" customWidth="1"/>
    <col min="8701" max="8701" width="17.375" style="47" customWidth="1"/>
    <col min="8702" max="8702" width="6.125" style="47" customWidth="1"/>
    <col min="8703" max="8703" width="7.25" style="47" customWidth="1"/>
    <col min="8704" max="8704" width="8.625" style="47" customWidth="1"/>
    <col min="8705" max="8705" width="7.875" style="47" customWidth="1"/>
    <col min="8706" max="8706" width="20.125" style="47" customWidth="1"/>
    <col min="8707" max="8707" width="17.5" style="47" customWidth="1"/>
    <col min="8708" max="8709" width="8" style="47" customWidth="1"/>
    <col min="8710" max="8710" width="14.875" style="47" bestFit="1" customWidth="1"/>
    <col min="8711" max="8711" width="15.875" style="47" bestFit="1" customWidth="1"/>
    <col min="8712" max="8955" width="9" style="47"/>
    <col min="8956" max="8956" width="18.125" style="47" customWidth="1"/>
    <col min="8957" max="8957" width="17.375" style="47" customWidth="1"/>
    <col min="8958" max="8958" width="6.125" style="47" customWidth="1"/>
    <col min="8959" max="8959" width="7.25" style="47" customWidth="1"/>
    <col min="8960" max="8960" width="8.625" style="47" customWidth="1"/>
    <col min="8961" max="8961" width="7.875" style="47" customWidth="1"/>
    <col min="8962" max="8962" width="20.125" style="47" customWidth="1"/>
    <col min="8963" max="8963" width="17.5" style="47" customWidth="1"/>
    <col min="8964" max="8965" width="8" style="47" customWidth="1"/>
    <col min="8966" max="8966" width="14.875" style="47" bestFit="1" customWidth="1"/>
    <col min="8967" max="8967" width="15.875" style="47" bestFit="1" customWidth="1"/>
    <col min="8968" max="9211" width="9" style="47"/>
    <col min="9212" max="9212" width="18.125" style="47" customWidth="1"/>
    <col min="9213" max="9213" width="17.375" style="47" customWidth="1"/>
    <col min="9214" max="9214" width="6.125" style="47" customWidth="1"/>
    <col min="9215" max="9215" width="7.25" style="47" customWidth="1"/>
    <col min="9216" max="9216" width="8.625" style="47" customWidth="1"/>
    <col min="9217" max="9217" width="7.875" style="47" customWidth="1"/>
    <col min="9218" max="9218" width="20.125" style="47" customWidth="1"/>
    <col min="9219" max="9219" width="17.5" style="47" customWidth="1"/>
    <col min="9220" max="9221" width="8" style="47" customWidth="1"/>
    <col min="9222" max="9222" width="14.875" style="47" bestFit="1" customWidth="1"/>
    <col min="9223" max="9223" width="15.875" style="47" bestFit="1" customWidth="1"/>
    <col min="9224" max="9467" width="9" style="47"/>
    <col min="9468" max="9468" width="18.125" style="47" customWidth="1"/>
    <col min="9469" max="9469" width="17.375" style="47" customWidth="1"/>
    <col min="9470" max="9470" width="6.125" style="47" customWidth="1"/>
    <col min="9471" max="9471" width="7.25" style="47" customWidth="1"/>
    <col min="9472" max="9472" width="8.625" style="47" customWidth="1"/>
    <col min="9473" max="9473" width="7.875" style="47" customWidth="1"/>
    <col min="9474" max="9474" width="20.125" style="47" customWidth="1"/>
    <col min="9475" max="9475" width="17.5" style="47" customWidth="1"/>
    <col min="9476" max="9477" width="8" style="47" customWidth="1"/>
    <col min="9478" max="9478" width="14.875" style="47" bestFit="1" customWidth="1"/>
    <col min="9479" max="9479" width="15.875" style="47" bestFit="1" customWidth="1"/>
    <col min="9480" max="9723" width="9" style="47"/>
    <col min="9724" max="9724" width="18.125" style="47" customWidth="1"/>
    <col min="9725" max="9725" width="17.375" style="47" customWidth="1"/>
    <col min="9726" max="9726" width="6.125" style="47" customWidth="1"/>
    <col min="9727" max="9727" width="7.25" style="47" customWidth="1"/>
    <col min="9728" max="9728" width="8.625" style="47" customWidth="1"/>
    <col min="9729" max="9729" width="7.875" style="47" customWidth="1"/>
    <col min="9730" max="9730" width="20.125" style="47" customWidth="1"/>
    <col min="9731" max="9731" width="17.5" style="47" customWidth="1"/>
    <col min="9732" max="9733" width="8" style="47" customWidth="1"/>
    <col min="9734" max="9734" width="14.875" style="47" bestFit="1" customWidth="1"/>
    <col min="9735" max="9735" width="15.875" style="47" bestFit="1" customWidth="1"/>
    <col min="9736" max="9979" width="9" style="47"/>
    <col min="9980" max="9980" width="18.125" style="47" customWidth="1"/>
    <col min="9981" max="9981" width="17.375" style="47" customWidth="1"/>
    <col min="9982" max="9982" width="6.125" style="47" customWidth="1"/>
    <col min="9983" max="9983" width="7.25" style="47" customWidth="1"/>
    <col min="9984" max="9984" width="8.625" style="47" customWidth="1"/>
    <col min="9985" max="9985" width="7.875" style="47" customWidth="1"/>
    <col min="9986" max="9986" width="20.125" style="47" customWidth="1"/>
    <col min="9987" max="9987" width="17.5" style="47" customWidth="1"/>
    <col min="9988" max="9989" width="8" style="47" customWidth="1"/>
    <col min="9990" max="9990" width="14.875" style="47" bestFit="1" customWidth="1"/>
    <col min="9991" max="9991" width="15.875" style="47" bestFit="1" customWidth="1"/>
    <col min="9992" max="10235" width="9" style="47"/>
    <col min="10236" max="10236" width="18.125" style="47" customWidth="1"/>
    <col min="10237" max="10237" width="17.375" style="47" customWidth="1"/>
    <col min="10238" max="10238" width="6.125" style="47" customWidth="1"/>
    <col min="10239" max="10239" width="7.25" style="47" customWidth="1"/>
    <col min="10240" max="10240" width="8.625" style="47" customWidth="1"/>
    <col min="10241" max="10241" width="7.875" style="47" customWidth="1"/>
    <col min="10242" max="10242" width="20.125" style="47" customWidth="1"/>
    <col min="10243" max="10243" width="17.5" style="47" customWidth="1"/>
    <col min="10244" max="10245" width="8" style="47" customWidth="1"/>
    <col min="10246" max="10246" width="14.875" style="47" bestFit="1" customWidth="1"/>
    <col min="10247" max="10247" width="15.875" style="47" bestFit="1" customWidth="1"/>
    <col min="10248" max="10491" width="9" style="47"/>
    <col min="10492" max="10492" width="18.125" style="47" customWidth="1"/>
    <col min="10493" max="10493" width="17.375" style="47" customWidth="1"/>
    <col min="10494" max="10494" width="6.125" style="47" customWidth="1"/>
    <col min="10495" max="10495" width="7.25" style="47" customWidth="1"/>
    <col min="10496" max="10496" width="8.625" style="47" customWidth="1"/>
    <col min="10497" max="10497" width="7.875" style="47" customWidth="1"/>
    <col min="10498" max="10498" width="20.125" style="47" customWidth="1"/>
    <col min="10499" max="10499" width="17.5" style="47" customWidth="1"/>
    <col min="10500" max="10501" width="8" style="47" customWidth="1"/>
    <col min="10502" max="10502" width="14.875" style="47" bestFit="1" customWidth="1"/>
    <col min="10503" max="10503" width="15.875" style="47" bestFit="1" customWidth="1"/>
    <col min="10504" max="10747" width="9" style="47"/>
    <col min="10748" max="10748" width="18.125" style="47" customWidth="1"/>
    <col min="10749" max="10749" width="17.375" style="47" customWidth="1"/>
    <col min="10750" max="10750" width="6.125" style="47" customWidth="1"/>
    <col min="10751" max="10751" width="7.25" style="47" customWidth="1"/>
    <col min="10752" max="10752" width="8.625" style="47" customWidth="1"/>
    <col min="10753" max="10753" width="7.875" style="47" customWidth="1"/>
    <col min="10754" max="10754" width="20.125" style="47" customWidth="1"/>
    <col min="10755" max="10755" width="17.5" style="47" customWidth="1"/>
    <col min="10756" max="10757" width="8" style="47" customWidth="1"/>
    <col min="10758" max="10758" width="14.875" style="47" bestFit="1" customWidth="1"/>
    <col min="10759" max="10759" width="15.875" style="47" bestFit="1" customWidth="1"/>
    <col min="10760" max="11003" width="9" style="47"/>
    <col min="11004" max="11004" width="18.125" style="47" customWidth="1"/>
    <col min="11005" max="11005" width="17.375" style="47" customWidth="1"/>
    <col min="11006" max="11006" width="6.125" style="47" customWidth="1"/>
    <col min="11007" max="11007" width="7.25" style="47" customWidth="1"/>
    <col min="11008" max="11008" width="8.625" style="47" customWidth="1"/>
    <col min="11009" max="11009" width="7.875" style="47" customWidth="1"/>
    <col min="11010" max="11010" width="20.125" style="47" customWidth="1"/>
    <col min="11011" max="11011" width="17.5" style="47" customWidth="1"/>
    <col min="11012" max="11013" width="8" style="47" customWidth="1"/>
    <col min="11014" max="11014" width="14.875" style="47" bestFit="1" customWidth="1"/>
    <col min="11015" max="11015" width="15.875" style="47" bestFit="1" customWidth="1"/>
    <col min="11016" max="11259" width="9" style="47"/>
    <col min="11260" max="11260" width="18.125" style="47" customWidth="1"/>
    <col min="11261" max="11261" width="17.375" style="47" customWidth="1"/>
    <col min="11262" max="11262" width="6.125" style="47" customWidth="1"/>
    <col min="11263" max="11263" width="7.25" style="47" customWidth="1"/>
    <col min="11264" max="11264" width="8.625" style="47" customWidth="1"/>
    <col min="11265" max="11265" width="7.875" style="47" customWidth="1"/>
    <col min="11266" max="11266" width="20.125" style="47" customWidth="1"/>
    <col min="11267" max="11267" width="17.5" style="47" customWidth="1"/>
    <col min="11268" max="11269" width="8" style="47" customWidth="1"/>
    <col min="11270" max="11270" width="14.875" style="47" bestFit="1" customWidth="1"/>
    <col min="11271" max="11271" width="15.875" style="47" bestFit="1" customWidth="1"/>
    <col min="11272" max="11515" width="9" style="47"/>
    <col min="11516" max="11516" width="18.125" style="47" customWidth="1"/>
    <col min="11517" max="11517" width="17.375" style="47" customWidth="1"/>
    <col min="11518" max="11518" width="6.125" style="47" customWidth="1"/>
    <col min="11519" max="11519" width="7.25" style="47" customWidth="1"/>
    <col min="11520" max="11520" width="8.625" style="47" customWidth="1"/>
    <col min="11521" max="11521" width="7.875" style="47" customWidth="1"/>
    <col min="11522" max="11522" width="20.125" style="47" customWidth="1"/>
    <col min="11523" max="11523" width="17.5" style="47" customWidth="1"/>
    <col min="11524" max="11525" width="8" style="47" customWidth="1"/>
    <col min="11526" max="11526" width="14.875" style="47" bestFit="1" customWidth="1"/>
    <col min="11527" max="11527" width="15.875" style="47" bestFit="1" customWidth="1"/>
    <col min="11528" max="11771" width="9" style="47"/>
    <col min="11772" max="11772" width="18.125" style="47" customWidth="1"/>
    <col min="11773" max="11773" width="17.375" style="47" customWidth="1"/>
    <col min="11774" max="11774" width="6.125" style="47" customWidth="1"/>
    <col min="11775" max="11775" width="7.25" style="47" customWidth="1"/>
    <col min="11776" max="11776" width="8.625" style="47" customWidth="1"/>
    <col min="11777" max="11777" width="7.875" style="47" customWidth="1"/>
    <col min="11778" max="11778" width="20.125" style="47" customWidth="1"/>
    <col min="11779" max="11779" width="17.5" style="47" customWidth="1"/>
    <col min="11780" max="11781" width="8" style="47" customWidth="1"/>
    <col min="11782" max="11782" width="14.875" style="47" bestFit="1" customWidth="1"/>
    <col min="11783" max="11783" width="15.875" style="47" bestFit="1" customWidth="1"/>
    <col min="11784" max="12027" width="9" style="47"/>
    <col min="12028" max="12028" width="18.125" style="47" customWidth="1"/>
    <col min="12029" max="12029" width="17.375" style="47" customWidth="1"/>
    <col min="12030" max="12030" width="6.125" style="47" customWidth="1"/>
    <col min="12031" max="12031" width="7.25" style="47" customWidth="1"/>
    <col min="12032" max="12032" width="8.625" style="47" customWidth="1"/>
    <col min="12033" max="12033" width="7.875" style="47" customWidth="1"/>
    <col min="12034" max="12034" width="20.125" style="47" customWidth="1"/>
    <col min="12035" max="12035" width="17.5" style="47" customWidth="1"/>
    <col min="12036" max="12037" width="8" style="47" customWidth="1"/>
    <col min="12038" max="12038" width="14.875" style="47" bestFit="1" customWidth="1"/>
    <col min="12039" max="12039" width="15.875" style="47" bestFit="1" customWidth="1"/>
    <col min="12040" max="12283" width="9" style="47"/>
    <col min="12284" max="12284" width="18.125" style="47" customWidth="1"/>
    <col min="12285" max="12285" width="17.375" style="47" customWidth="1"/>
    <col min="12286" max="12286" width="6.125" style="47" customWidth="1"/>
    <col min="12287" max="12287" width="7.25" style="47" customWidth="1"/>
    <col min="12288" max="12288" width="8.625" style="47" customWidth="1"/>
    <col min="12289" max="12289" width="7.875" style="47" customWidth="1"/>
    <col min="12290" max="12290" width="20.125" style="47" customWidth="1"/>
    <col min="12291" max="12291" width="17.5" style="47" customWidth="1"/>
    <col min="12292" max="12293" width="8" style="47" customWidth="1"/>
    <col min="12294" max="12294" width="14.875" style="47" bestFit="1" customWidth="1"/>
    <col min="12295" max="12295" width="15.875" style="47" bestFit="1" customWidth="1"/>
    <col min="12296" max="12539" width="9" style="47"/>
    <col min="12540" max="12540" width="18.125" style="47" customWidth="1"/>
    <col min="12541" max="12541" width="17.375" style="47" customWidth="1"/>
    <col min="12542" max="12542" width="6.125" style="47" customWidth="1"/>
    <col min="12543" max="12543" width="7.25" style="47" customWidth="1"/>
    <col min="12544" max="12544" width="8.625" style="47" customWidth="1"/>
    <col min="12545" max="12545" width="7.875" style="47" customWidth="1"/>
    <col min="12546" max="12546" width="20.125" style="47" customWidth="1"/>
    <col min="12547" max="12547" width="17.5" style="47" customWidth="1"/>
    <col min="12548" max="12549" width="8" style="47" customWidth="1"/>
    <col min="12550" max="12550" width="14.875" style="47" bestFit="1" customWidth="1"/>
    <col min="12551" max="12551" width="15.875" style="47" bestFit="1" customWidth="1"/>
    <col min="12552" max="12795" width="9" style="47"/>
    <col min="12796" max="12796" width="18.125" style="47" customWidth="1"/>
    <col min="12797" max="12797" width="17.375" style="47" customWidth="1"/>
    <col min="12798" max="12798" width="6.125" style="47" customWidth="1"/>
    <col min="12799" max="12799" width="7.25" style="47" customWidth="1"/>
    <col min="12800" max="12800" width="8.625" style="47" customWidth="1"/>
    <col min="12801" max="12801" width="7.875" style="47" customWidth="1"/>
    <col min="12802" max="12802" width="20.125" style="47" customWidth="1"/>
    <col min="12803" max="12803" width="17.5" style="47" customWidth="1"/>
    <col min="12804" max="12805" width="8" style="47" customWidth="1"/>
    <col min="12806" max="12806" width="14.875" style="47" bestFit="1" customWidth="1"/>
    <col min="12807" max="12807" width="15.875" style="47" bestFit="1" customWidth="1"/>
    <col min="12808" max="13051" width="9" style="47"/>
    <col min="13052" max="13052" width="18.125" style="47" customWidth="1"/>
    <col min="13053" max="13053" width="17.375" style="47" customWidth="1"/>
    <col min="13054" max="13054" width="6.125" style="47" customWidth="1"/>
    <col min="13055" max="13055" width="7.25" style="47" customWidth="1"/>
    <col min="13056" max="13056" width="8.625" style="47" customWidth="1"/>
    <col min="13057" max="13057" width="7.875" style="47" customWidth="1"/>
    <col min="13058" max="13058" width="20.125" style="47" customWidth="1"/>
    <col min="13059" max="13059" width="17.5" style="47" customWidth="1"/>
    <col min="13060" max="13061" width="8" style="47" customWidth="1"/>
    <col min="13062" max="13062" width="14.875" style="47" bestFit="1" customWidth="1"/>
    <col min="13063" max="13063" width="15.875" style="47" bestFit="1" customWidth="1"/>
    <col min="13064" max="13307" width="9" style="47"/>
    <col min="13308" max="13308" width="18.125" style="47" customWidth="1"/>
    <col min="13309" max="13309" width="17.375" style="47" customWidth="1"/>
    <col min="13310" max="13310" width="6.125" style="47" customWidth="1"/>
    <col min="13311" max="13311" width="7.25" style="47" customWidth="1"/>
    <col min="13312" max="13312" width="8.625" style="47" customWidth="1"/>
    <col min="13313" max="13313" width="7.875" style="47" customWidth="1"/>
    <col min="13314" max="13314" width="20.125" style="47" customWidth="1"/>
    <col min="13315" max="13315" width="17.5" style="47" customWidth="1"/>
    <col min="13316" max="13317" width="8" style="47" customWidth="1"/>
    <col min="13318" max="13318" width="14.875" style="47" bestFit="1" customWidth="1"/>
    <col min="13319" max="13319" width="15.875" style="47" bestFit="1" customWidth="1"/>
    <col min="13320" max="13563" width="9" style="47"/>
    <col min="13564" max="13564" width="18.125" style="47" customWidth="1"/>
    <col min="13565" max="13565" width="17.375" style="47" customWidth="1"/>
    <col min="13566" max="13566" width="6.125" style="47" customWidth="1"/>
    <col min="13567" max="13567" width="7.25" style="47" customWidth="1"/>
    <col min="13568" max="13568" width="8.625" style="47" customWidth="1"/>
    <col min="13569" max="13569" width="7.875" style="47" customWidth="1"/>
    <col min="13570" max="13570" width="20.125" style="47" customWidth="1"/>
    <col min="13571" max="13571" width="17.5" style="47" customWidth="1"/>
    <col min="13572" max="13573" width="8" style="47" customWidth="1"/>
    <col min="13574" max="13574" width="14.875" style="47" bestFit="1" customWidth="1"/>
    <col min="13575" max="13575" width="15.875" style="47" bestFit="1" customWidth="1"/>
    <col min="13576" max="13819" width="9" style="47"/>
    <col min="13820" max="13820" width="18.125" style="47" customWidth="1"/>
    <col min="13821" max="13821" width="17.375" style="47" customWidth="1"/>
    <col min="13822" max="13822" width="6.125" style="47" customWidth="1"/>
    <col min="13823" max="13823" width="7.25" style="47" customWidth="1"/>
    <col min="13824" max="13824" width="8.625" style="47" customWidth="1"/>
    <col min="13825" max="13825" width="7.875" style="47" customWidth="1"/>
    <col min="13826" max="13826" width="20.125" style="47" customWidth="1"/>
    <col min="13827" max="13827" width="17.5" style="47" customWidth="1"/>
    <col min="13828" max="13829" width="8" style="47" customWidth="1"/>
    <col min="13830" max="13830" width="14.875" style="47" bestFit="1" customWidth="1"/>
    <col min="13831" max="13831" width="15.875" style="47" bestFit="1" customWidth="1"/>
    <col min="13832" max="14075" width="9" style="47"/>
    <col min="14076" max="14076" width="18.125" style="47" customWidth="1"/>
    <col min="14077" max="14077" width="17.375" style="47" customWidth="1"/>
    <col min="14078" max="14078" width="6.125" style="47" customWidth="1"/>
    <col min="14079" max="14079" width="7.25" style="47" customWidth="1"/>
    <col min="14080" max="14080" width="8.625" style="47" customWidth="1"/>
    <col min="14081" max="14081" width="7.875" style="47" customWidth="1"/>
    <col min="14082" max="14082" width="20.125" style="47" customWidth="1"/>
    <col min="14083" max="14083" width="17.5" style="47" customWidth="1"/>
    <col min="14084" max="14085" width="8" style="47" customWidth="1"/>
    <col min="14086" max="14086" width="14.875" style="47" bestFit="1" customWidth="1"/>
    <col min="14087" max="14087" width="15.875" style="47" bestFit="1" customWidth="1"/>
    <col min="14088" max="14331" width="9" style="47"/>
    <col min="14332" max="14332" width="18.125" style="47" customWidth="1"/>
    <col min="14333" max="14333" width="17.375" style="47" customWidth="1"/>
    <col min="14334" max="14334" width="6.125" style="47" customWidth="1"/>
    <col min="14335" max="14335" width="7.25" style="47" customWidth="1"/>
    <col min="14336" max="14336" width="8.625" style="47" customWidth="1"/>
    <col min="14337" max="14337" width="7.875" style="47" customWidth="1"/>
    <col min="14338" max="14338" width="20.125" style="47" customWidth="1"/>
    <col min="14339" max="14339" width="17.5" style="47" customWidth="1"/>
    <col min="14340" max="14341" width="8" style="47" customWidth="1"/>
    <col min="14342" max="14342" width="14.875" style="47" bestFit="1" customWidth="1"/>
    <col min="14343" max="14343" width="15.875" style="47" bestFit="1" customWidth="1"/>
    <col min="14344" max="14587" width="9" style="47"/>
    <col min="14588" max="14588" width="18.125" style="47" customWidth="1"/>
    <col min="14589" max="14589" width="17.375" style="47" customWidth="1"/>
    <col min="14590" max="14590" width="6.125" style="47" customWidth="1"/>
    <col min="14591" max="14591" width="7.25" style="47" customWidth="1"/>
    <col min="14592" max="14592" width="8.625" style="47" customWidth="1"/>
    <col min="14593" max="14593" width="7.875" style="47" customWidth="1"/>
    <col min="14594" max="14594" width="20.125" style="47" customWidth="1"/>
    <col min="14595" max="14595" width="17.5" style="47" customWidth="1"/>
    <col min="14596" max="14597" width="8" style="47" customWidth="1"/>
    <col min="14598" max="14598" width="14.875" style="47" bestFit="1" customWidth="1"/>
    <col min="14599" max="14599" width="15.875" style="47" bestFit="1" customWidth="1"/>
    <col min="14600" max="14843" width="9" style="47"/>
    <col min="14844" max="14844" width="18.125" style="47" customWidth="1"/>
    <col min="14845" max="14845" width="17.375" style="47" customWidth="1"/>
    <col min="14846" max="14846" width="6.125" style="47" customWidth="1"/>
    <col min="14847" max="14847" width="7.25" style="47" customWidth="1"/>
    <col min="14848" max="14848" width="8.625" style="47" customWidth="1"/>
    <col min="14849" max="14849" width="7.875" style="47" customWidth="1"/>
    <col min="14850" max="14850" width="20.125" style="47" customWidth="1"/>
    <col min="14851" max="14851" width="17.5" style="47" customWidth="1"/>
    <col min="14852" max="14853" width="8" style="47" customWidth="1"/>
    <col min="14854" max="14854" width="14.875" style="47" bestFit="1" customWidth="1"/>
    <col min="14855" max="14855" width="15.875" style="47" bestFit="1" customWidth="1"/>
    <col min="14856" max="15099" width="9" style="47"/>
    <col min="15100" max="15100" width="18.125" style="47" customWidth="1"/>
    <col min="15101" max="15101" width="17.375" style="47" customWidth="1"/>
    <col min="15102" max="15102" width="6.125" style="47" customWidth="1"/>
    <col min="15103" max="15103" width="7.25" style="47" customWidth="1"/>
    <col min="15104" max="15104" width="8.625" style="47" customWidth="1"/>
    <col min="15105" max="15105" width="7.875" style="47" customWidth="1"/>
    <col min="15106" max="15106" width="20.125" style="47" customWidth="1"/>
    <col min="15107" max="15107" width="17.5" style="47" customWidth="1"/>
    <col min="15108" max="15109" width="8" style="47" customWidth="1"/>
    <col min="15110" max="15110" width="14.875" style="47" bestFit="1" customWidth="1"/>
    <col min="15111" max="15111" width="15.875" style="47" bestFit="1" customWidth="1"/>
    <col min="15112" max="15355" width="9" style="47"/>
    <col min="15356" max="15356" width="18.125" style="47" customWidth="1"/>
    <col min="15357" max="15357" width="17.375" style="47" customWidth="1"/>
    <col min="15358" max="15358" width="6.125" style="47" customWidth="1"/>
    <col min="15359" max="15359" width="7.25" style="47" customWidth="1"/>
    <col min="15360" max="15360" width="8.625" style="47" customWidth="1"/>
    <col min="15361" max="15361" width="7.875" style="47" customWidth="1"/>
    <col min="15362" max="15362" width="20.125" style="47" customWidth="1"/>
    <col min="15363" max="15363" width="17.5" style="47" customWidth="1"/>
    <col min="15364" max="15365" width="8" style="47" customWidth="1"/>
    <col min="15366" max="15366" width="14.875" style="47" bestFit="1" customWidth="1"/>
    <col min="15367" max="15367" width="15.875" style="47" bestFit="1" customWidth="1"/>
    <col min="15368" max="15611" width="9" style="47"/>
    <col min="15612" max="15612" width="18.125" style="47" customWidth="1"/>
    <col min="15613" max="15613" width="17.375" style="47" customWidth="1"/>
    <col min="15614" max="15614" width="6.125" style="47" customWidth="1"/>
    <col min="15615" max="15615" width="7.25" style="47" customWidth="1"/>
    <col min="15616" max="15616" width="8.625" style="47" customWidth="1"/>
    <col min="15617" max="15617" width="7.875" style="47" customWidth="1"/>
    <col min="15618" max="15618" width="20.125" style="47" customWidth="1"/>
    <col min="15619" max="15619" width="17.5" style="47" customWidth="1"/>
    <col min="15620" max="15621" width="8" style="47" customWidth="1"/>
    <col min="15622" max="15622" width="14.875" style="47" bestFit="1" customWidth="1"/>
    <col min="15623" max="15623" width="15.875" style="47" bestFit="1" customWidth="1"/>
    <col min="15624" max="15867" width="9" style="47"/>
    <col min="15868" max="15868" width="18.125" style="47" customWidth="1"/>
    <col min="15869" max="15869" width="17.375" style="47" customWidth="1"/>
    <col min="15870" max="15870" width="6.125" style="47" customWidth="1"/>
    <col min="15871" max="15871" width="7.25" style="47" customWidth="1"/>
    <col min="15872" max="15872" width="8.625" style="47" customWidth="1"/>
    <col min="15873" max="15873" width="7.875" style="47" customWidth="1"/>
    <col min="15874" max="15874" width="20.125" style="47" customWidth="1"/>
    <col min="15875" max="15875" width="17.5" style="47" customWidth="1"/>
    <col min="15876" max="15877" width="8" style="47" customWidth="1"/>
    <col min="15878" max="15878" width="14.875" style="47" bestFit="1" customWidth="1"/>
    <col min="15879" max="15879" width="15.875" style="47" bestFit="1" customWidth="1"/>
    <col min="15880" max="16123" width="9" style="47"/>
    <col min="16124" max="16124" width="18.125" style="47" customWidth="1"/>
    <col min="16125" max="16125" width="17.375" style="47" customWidth="1"/>
    <col min="16126" max="16126" width="6.125" style="47" customWidth="1"/>
    <col min="16127" max="16127" width="7.25" style="47" customWidth="1"/>
    <col min="16128" max="16128" width="8.625" style="47" customWidth="1"/>
    <col min="16129" max="16129" width="7.875" style="47" customWidth="1"/>
    <col min="16130" max="16130" width="20.125" style="47" customWidth="1"/>
    <col min="16131" max="16131" width="17.5" style="47" customWidth="1"/>
    <col min="16132" max="16133" width="8" style="47" customWidth="1"/>
    <col min="16134" max="16134" width="14.875" style="47" bestFit="1" customWidth="1"/>
    <col min="16135" max="16135" width="15.875" style="47" bestFit="1" customWidth="1"/>
    <col min="16136" max="16384" width="9" style="47"/>
  </cols>
  <sheetData>
    <row r="1" spans="1:8" ht="31.5">
      <c r="A1" s="46"/>
      <c r="B1" s="44"/>
      <c r="C1" s="44"/>
      <c r="D1" s="44"/>
      <c r="E1" s="44"/>
      <c r="F1" s="55"/>
      <c r="G1" s="44"/>
      <c r="H1" s="44"/>
    </row>
    <row r="2" spans="1:8">
      <c r="A2" s="44"/>
      <c r="B2" s="44"/>
      <c r="C2" s="44"/>
      <c r="D2" s="44"/>
      <c r="E2" s="44"/>
      <c r="F2" s="55"/>
      <c r="G2" s="44"/>
      <c r="H2" s="44"/>
    </row>
    <row r="3" spans="1:8" ht="15.75" customHeight="1">
      <c r="A3" s="48"/>
      <c r="B3" s="49"/>
      <c r="D3" s="51"/>
      <c r="E3" s="52"/>
      <c r="F3" s="51"/>
      <c r="H3" s="54"/>
    </row>
    <row r="4" spans="1:8" s="44" customFormat="1" ht="16.5">
      <c r="A4" s="564" t="s">
        <v>428</v>
      </c>
      <c r="B4" s="564"/>
      <c r="C4" s="238" t="s">
        <v>38</v>
      </c>
      <c r="D4" s="55"/>
      <c r="E4" s="239"/>
      <c r="F4" s="315"/>
      <c r="G4" s="570">
        <f ca="1">TODAY()</f>
        <v>44148</v>
      </c>
      <c r="H4" s="570"/>
    </row>
    <row r="5" spans="1:8" s="44" customFormat="1" ht="16.5">
      <c r="A5" s="310" t="s">
        <v>423</v>
      </c>
      <c r="B5" s="311" t="s">
        <v>92</v>
      </c>
      <c r="D5" s="571" t="s">
        <v>296</v>
      </c>
      <c r="E5" s="572"/>
      <c r="F5" s="573"/>
      <c r="G5" s="571" t="s">
        <v>435</v>
      </c>
      <c r="H5" s="573"/>
    </row>
    <row r="6" spans="1:8" s="44" customFormat="1" ht="16.5">
      <c r="A6" s="310" t="s">
        <v>424</v>
      </c>
      <c r="B6" s="311" t="s">
        <v>92</v>
      </c>
      <c r="C6" s="238"/>
      <c r="D6" s="571" t="s">
        <v>297</v>
      </c>
      <c r="E6" s="572"/>
      <c r="F6" s="573"/>
      <c r="G6" s="571" t="s">
        <v>436</v>
      </c>
      <c r="H6" s="573"/>
    </row>
    <row r="7" spans="1:8" s="44" customFormat="1" ht="16.5">
      <c r="A7" s="310" t="s">
        <v>425</v>
      </c>
      <c r="B7" s="311"/>
      <c r="C7" s="55"/>
      <c r="D7" s="574" t="s">
        <v>298</v>
      </c>
      <c r="E7" s="575"/>
      <c r="F7" s="576"/>
      <c r="G7" s="571" t="s">
        <v>437</v>
      </c>
      <c r="H7" s="573"/>
    </row>
    <row r="8" spans="1:8" s="44" customFormat="1" ht="16.5">
      <c r="A8" s="309" t="s">
        <v>426</v>
      </c>
      <c r="B8" s="311"/>
      <c r="D8" s="571" t="s">
        <v>299</v>
      </c>
      <c r="E8" s="572"/>
      <c r="F8" s="573"/>
      <c r="G8" s="571" t="s">
        <v>438</v>
      </c>
      <c r="H8" s="573"/>
    </row>
    <row r="9" spans="1:8" s="44" customFormat="1" ht="16.5">
      <c r="D9" s="565" t="s">
        <v>301</v>
      </c>
      <c r="E9" s="566"/>
      <c r="F9" s="567"/>
      <c r="G9" s="568" t="s">
        <v>422</v>
      </c>
      <c r="H9" s="569"/>
    </row>
    <row r="10" spans="1:8" s="44" customFormat="1" ht="16.5">
      <c r="A10" s="240" t="s">
        <v>216</v>
      </c>
      <c r="B10" s="308"/>
      <c r="C10" s="238"/>
      <c r="D10" s="220"/>
      <c r="E10" s="220"/>
      <c r="F10" s="220"/>
      <c r="G10" s="241"/>
      <c r="H10" s="241"/>
    </row>
    <row r="11" spans="1:8" s="44" customFormat="1" ht="16.5" customHeight="1">
      <c r="A11" s="240" t="s">
        <v>300</v>
      </c>
      <c r="B11" s="307"/>
      <c r="C11" s="238"/>
      <c r="D11" s="220"/>
      <c r="E11" s="220"/>
      <c r="F11" s="220"/>
      <c r="G11" s="241"/>
      <c r="H11" s="241"/>
    </row>
    <row r="12" spans="1:8" s="44" customFormat="1" ht="16.5">
      <c r="A12" s="238"/>
      <c r="B12" s="238"/>
      <c r="C12" s="238"/>
      <c r="D12" s="220"/>
      <c r="E12" s="220"/>
      <c r="F12" s="220"/>
      <c r="G12" s="241"/>
      <c r="H12" s="241"/>
    </row>
    <row r="13" spans="1:8" s="44" customFormat="1" ht="16.5">
      <c r="A13" s="44" t="s">
        <v>302</v>
      </c>
      <c r="E13" s="45"/>
      <c r="F13" s="316"/>
    </row>
    <row r="14" spans="1:8" s="44" customFormat="1" thickBot="1">
      <c r="A14" s="127"/>
      <c r="B14" s="128"/>
      <c r="C14" s="129"/>
      <c r="D14" s="129"/>
      <c r="F14" s="55"/>
      <c r="G14" s="45"/>
      <c r="H14" s="242" t="s">
        <v>303</v>
      </c>
    </row>
    <row r="15" spans="1:8" s="44" customFormat="1" thickTop="1">
      <c r="A15" s="301" t="s">
        <v>304</v>
      </c>
      <c r="B15" s="302" t="s">
        <v>305</v>
      </c>
      <c r="C15" s="250" t="s">
        <v>306</v>
      </c>
      <c r="D15" s="250" t="s">
        <v>307</v>
      </c>
      <c r="E15" s="292" t="s">
        <v>308</v>
      </c>
      <c r="F15" s="302" t="s">
        <v>308</v>
      </c>
      <c r="G15" s="251" t="s">
        <v>309</v>
      </c>
      <c r="H15" s="252" t="s">
        <v>310</v>
      </c>
    </row>
    <row r="16" spans="1:8" s="44" customFormat="1" thickBot="1">
      <c r="A16" s="303" t="s">
        <v>311</v>
      </c>
      <c r="B16" s="304" t="s">
        <v>312</v>
      </c>
      <c r="C16" s="253" t="s">
        <v>313</v>
      </c>
      <c r="D16" s="253" t="s">
        <v>314</v>
      </c>
      <c r="E16" s="293" t="s">
        <v>315</v>
      </c>
      <c r="F16" s="304" t="s">
        <v>315</v>
      </c>
      <c r="G16" s="254" t="s">
        <v>316</v>
      </c>
      <c r="H16" s="255" t="s">
        <v>317</v>
      </c>
    </row>
    <row r="17" spans="1:8" s="44" customFormat="1" ht="14.25" customHeight="1" thickTop="1">
      <c r="A17" s="305" t="s">
        <v>318</v>
      </c>
      <c r="B17" s="306"/>
      <c r="C17" s="243"/>
      <c r="D17" s="243"/>
      <c r="E17" s="244"/>
      <c r="F17" s="243"/>
      <c r="G17" s="221"/>
      <c r="H17" s="245"/>
    </row>
    <row r="18" spans="1:8" s="44" customFormat="1" ht="14.25" customHeight="1">
      <c r="A18" s="300" t="s">
        <v>427</v>
      </c>
      <c r="B18" s="329" t="s">
        <v>429</v>
      </c>
      <c r="C18" s="131" t="s">
        <v>214</v>
      </c>
      <c r="D18" s="132">
        <v>1</v>
      </c>
      <c r="E18" s="222">
        <v>6590000</v>
      </c>
      <c r="F18" s="317">
        <v>163000</v>
      </c>
      <c r="G18" s="132">
        <f>SUM(F18)</f>
        <v>163000</v>
      </c>
      <c r="H18" s="223" t="s">
        <v>38</v>
      </c>
    </row>
    <row r="19" spans="1:8" s="44" customFormat="1" ht="14.25" customHeight="1">
      <c r="A19" s="312"/>
      <c r="B19" s="295"/>
      <c r="C19" s="131"/>
      <c r="D19" s="132"/>
      <c r="E19" s="222"/>
      <c r="F19" s="317"/>
      <c r="G19" s="132"/>
      <c r="H19" s="224"/>
    </row>
    <row r="20" spans="1:8" s="44" customFormat="1" ht="14.25" customHeight="1">
      <c r="A20" s="313"/>
      <c r="B20" s="295"/>
      <c r="C20" s="131"/>
      <c r="D20" s="132"/>
      <c r="E20" s="222"/>
      <c r="F20" s="317"/>
      <c r="G20" s="132"/>
      <c r="H20" s="224"/>
    </row>
    <row r="21" spans="1:8" s="44" customFormat="1" ht="14.25" customHeight="1">
      <c r="A21" s="300"/>
      <c r="B21" s="295"/>
      <c r="C21" s="131"/>
      <c r="D21" s="132"/>
      <c r="E21" s="222"/>
      <c r="F21" s="317"/>
      <c r="G21" s="132"/>
      <c r="H21" s="224"/>
    </row>
    <row r="22" spans="1:8" s="247" customFormat="1" ht="14.25" customHeight="1">
      <c r="A22" s="296" t="s">
        <v>319</v>
      </c>
      <c r="B22" s="297"/>
      <c r="C22" s="225"/>
      <c r="D22" s="226"/>
      <c r="E22" s="227"/>
      <c r="F22" s="226"/>
      <c r="G22" s="226">
        <f>SUM(G18:G21)</f>
        <v>163000</v>
      </c>
      <c r="H22" s="228"/>
    </row>
    <row r="23" spans="1:8" s="247" customFormat="1" ht="14.25" customHeight="1">
      <c r="A23" s="294" t="s">
        <v>320</v>
      </c>
      <c r="B23" s="295"/>
      <c r="C23" s="231"/>
      <c r="D23" s="229"/>
      <c r="E23" s="230"/>
      <c r="F23" s="229"/>
      <c r="G23" s="229"/>
      <c r="H23" s="223"/>
    </row>
    <row r="24" spans="1:8" s="247" customFormat="1" ht="14.25" customHeight="1">
      <c r="A24" s="294" t="s">
        <v>430</v>
      </c>
      <c r="B24" s="295"/>
      <c r="C24" s="231" t="s">
        <v>321</v>
      </c>
      <c r="D24" s="229">
        <v>1</v>
      </c>
      <c r="E24" s="230"/>
      <c r="F24" s="229">
        <v>80000</v>
      </c>
      <c r="G24" s="229">
        <f>SUM(F24)</f>
        <v>80000</v>
      </c>
      <c r="H24" s="223"/>
    </row>
    <row r="25" spans="1:8" s="247" customFormat="1" ht="14.25" customHeight="1">
      <c r="A25" s="294" t="s">
        <v>433</v>
      </c>
      <c r="B25" s="295"/>
      <c r="C25" s="231" t="s">
        <v>434</v>
      </c>
      <c r="D25" s="229">
        <v>6</v>
      </c>
      <c r="E25" s="230"/>
      <c r="F25" s="229">
        <v>30000</v>
      </c>
      <c r="G25" s="229">
        <f>SUM(F25*D25)</f>
        <v>180000</v>
      </c>
      <c r="H25" s="223"/>
    </row>
    <row r="26" spans="1:8" s="247" customFormat="1" ht="14.25" customHeight="1">
      <c r="A26" s="294"/>
      <c r="B26" s="295"/>
      <c r="C26" s="231"/>
      <c r="D26" s="229"/>
      <c r="E26" s="230"/>
      <c r="F26" s="229"/>
      <c r="G26" s="229"/>
      <c r="H26" s="223"/>
    </row>
    <row r="27" spans="1:8" s="247" customFormat="1" ht="14.25" customHeight="1">
      <c r="A27" s="294"/>
      <c r="B27" s="295"/>
      <c r="C27" s="231"/>
      <c r="D27" s="229"/>
      <c r="E27" s="230"/>
      <c r="F27" s="229"/>
      <c r="G27" s="229"/>
      <c r="H27" s="223"/>
    </row>
    <row r="28" spans="1:8" s="246" customFormat="1" ht="14.25" customHeight="1">
      <c r="A28" s="296" t="s">
        <v>322</v>
      </c>
      <c r="B28" s="297"/>
      <c r="C28" s="225"/>
      <c r="D28" s="232"/>
      <c r="E28" s="233"/>
      <c r="F28" s="232"/>
      <c r="G28" s="226">
        <f>SUM(G24:G27)</f>
        <v>260000</v>
      </c>
      <c r="H28" s="228"/>
    </row>
    <row r="29" spans="1:8" s="246" customFormat="1" ht="14.25" customHeight="1">
      <c r="A29" s="298" t="s">
        <v>323</v>
      </c>
      <c r="B29" s="299"/>
      <c r="C29" s="234"/>
      <c r="D29" s="235"/>
      <c r="E29" s="236"/>
      <c r="F29" s="235"/>
      <c r="G29" s="314">
        <f>SUM(G22+G28)</f>
        <v>423000</v>
      </c>
      <c r="H29" s="237"/>
    </row>
    <row r="30" spans="1:8">
      <c r="A30" s="320" t="s">
        <v>431</v>
      </c>
      <c r="B30" s="321"/>
      <c r="C30" s="322"/>
      <c r="D30" s="322"/>
      <c r="E30" s="322"/>
      <c r="F30" s="322"/>
      <c r="G30" s="330">
        <f>SUM(G29*0.1)</f>
        <v>42300</v>
      </c>
      <c r="H30" s="323"/>
    </row>
    <row r="31" spans="1:8" ht="18" thickBot="1">
      <c r="A31" s="324" t="s">
        <v>432</v>
      </c>
      <c r="B31" s="325"/>
      <c r="C31" s="326"/>
      <c r="D31" s="326"/>
      <c r="E31" s="326"/>
      <c r="F31" s="326"/>
      <c r="G31" s="327">
        <f>SUM(G29:G30)</f>
        <v>465300</v>
      </c>
      <c r="H31" s="328"/>
    </row>
    <row r="32" spans="1:8" s="249" customFormat="1" ht="18" thickTop="1">
      <c r="A32" s="319"/>
      <c r="B32" s="319"/>
      <c r="C32" s="318"/>
      <c r="D32" s="318"/>
      <c r="E32" s="318"/>
      <c r="F32" s="318"/>
      <c r="G32" s="318"/>
      <c r="H32" s="318"/>
    </row>
    <row r="33" spans="1:8" s="249" customFormat="1">
      <c r="A33" s="319"/>
      <c r="B33" s="319"/>
      <c r="C33" s="318"/>
      <c r="D33" s="318"/>
      <c r="E33" s="318"/>
      <c r="F33" s="318"/>
      <c r="G33" s="318"/>
      <c r="H33" s="318"/>
    </row>
    <row r="34" spans="1:8" s="249" customFormat="1">
      <c r="A34" s="56"/>
      <c r="B34" s="56"/>
      <c r="F34" s="248"/>
    </row>
    <row r="35" spans="1:8" s="249" customFormat="1">
      <c r="A35" s="50"/>
      <c r="B35" s="50"/>
      <c r="C35" s="50"/>
      <c r="D35" s="50"/>
      <c r="E35" s="47"/>
      <c r="F35" s="50"/>
      <c r="G35" s="53"/>
      <c r="H35" s="47"/>
    </row>
    <row r="36" spans="1:8" s="249" customFormat="1">
      <c r="A36" s="50"/>
      <c r="B36" s="50"/>
      <c r="C36" s="50"/>
      <c r="D36" s="50"/>
      <c r="E36" s="47"/>
      <c r="F36" s="50"/>
      <c r="G36" s="53"/>
      <c r="H36" s="47"/>
    </row>
  </sheetData>
  <mergeCells count="12">
    <mergeCell ref="A4:B4"/>
    <mergeCell ref="D9:F9"/>
    <mergeCell ref="G9:H9"/>
    <mergeCell ref="G4:H4"/>
    <mergeCell ref="D5:F5"/>
    <mergeCell ref="G5:H5"/>
    <mergeCell ref="D6:F6"/>
    <mergeCell ref="G6:H6"/>
    <mergeCell ref="D7:F7"/>
    <mergeCell ref="G7:H7"/>
    <mergeCell ref="D8:F8"/>
    <mergeCell ref="G8:H8"/>
  </mergeCells>
  <phoneticPr fontId="2" type="noConversion"/>
  <pageMargins left="0.25" right="0.25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Z26"/>
  <sheetViews>
    <sheetView showGridLines="0" zoomScale="85" zoomScaleNormal="85" workbookViewId="0">
      <selection activeCell="J8" sqref="J8"/>
    </sheetView>
  </sheetViews>
  <sheetFormatPr defaultRowHeight="16.5"/>
  <cols>
    <col min="1" max="1" width="3.375" customWidth="1"/>
    <col min="2" max="11" width="8.625" customWidth="1"/>
    <col min="12" max="12" width="10.375" customWidth="1"/>
    <col min="13" max="20" width="8.625" customWidth="1"/>
    <col min="21" max="21" width="11" customWidth="1"/>
    <col min="22" max="26" width="8.625" customWidth="1"/>
  </cols>
  <sheetData>
    <row r="1" spans="2:26" ht="27" thickBot="1">
      <c r="B1" s="2" t="s">
        <v>327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2:26" ht="17.25">
      <c r="B2" s="586" t="s">
        <v>328</v>
      </c>
      <c r="C2" s="587"/>
      <c r="D2" s="588" t="s">
        <v>329</v>
      </c>
      <c r="E2" s="589"/>
      <c r="F2" s="588"/>
      <c r="G2" s="586" t="s">
        <v>330</v>
      </c>
      <c r="H2" s="587"/>
      <c r="I2" s="583" t="s">
        <v>331</v>
      </c>
      <c r="J2" s="584"/>
      <c r="K2" s="586" t="s">
        <v>332</v>
      </c>
      <c r="L2" s="588"/>
      <c r="M2" s="588"/>
      <c r="N2" s="588"/>
      <c r="O2" s="587"/>
      <c r="P2" s="588" t="s">
        <v>333</v>
      </c>
      <c r="Q2" s="588"/>
      <c r="R2" s="588"/>
      <c r="S2" s="588"/>
      <c r="T2" s="588"/>
      <c r="U2" s="581" t="s">
        <v>334</v>
      </c>
      <c r="V2" s="582"/>
      <c r="W2" s="583" t="s">
        <v>324</v>
      </c>
      <c r="X2" s="584"/>
      <c r="Y2" s="581" t="s">
        <v>335</v>
      </c>
      <c r="Z2" s="582"/>
    </row>
    <row r="3" spans="2:26" ht="26.25">
      <c r="B3" s="590" t="s">
        <v>336</v>
      </c>
      <c r="C3" s="591"/>
      <c r="D3" s="592" t="s">
        <v>337</v>
      </c>
      <c r="E3" s="592"/>
      <c r="F3" s="585"/>
      <c r="G3" s="590" t="s">
        <v>338</v>
      </c>
      <c r="H3" s="591"/>
      <c r="I3" s="577" t="s">
        <v>339</v>
      </c>
      <c r="J3" s="578"/>
      <c r="K3" s="590">
        <v>1</v>
      </c>
      <c r="L3" s="585"/>
      <c r="M3" s="585"/>
      <c r="N3" s="585"/>
      <c r="O3" s="591"/>
      <c r="P3" s="585" t="s">
        <v>340</v>
      </c>
      <c r="Q3" s="585"/>
      <c r="R3" s="585"/>
      <c r="S3" s="585"/>
      <c r="T3" s="585"/>
      <c r="U3" s="579" t="s">
        <v>341</v>
      </c>
      <c r="V3" s="580"/>
      <c r="W3" s="577" t="s">
        <v>342</v>
      </c>
      <c r="X3" s="578"/>
      <c r="Y3" s="579">
        <v>1</v>
      </c>
      <c r="Z3" s="580"/>
    </row>
    <row r="4" spans="2:26">
      <c r="B4" s="7" t="s">
        <v>343</v>
      </c>
      <c r="C4" s="8" t="s">
        <v>344</v>
      </c>
      <c r="D4" s="9" t="s">
        <v>345</v>
      </c>
      <c r="E4" s="10" t="s">
        <v>325</v>
      </c>
      <c r="F4" s="11" t="s">
        <v>344</v>
      </c>
      <c r="G4" s="12" t="s">
        <v>330</v>
      </c>
      <c r="H4" s="8" t="s">
        <v>344</v>
      </c>
      <c r="I4" s="9" t="s">
        <v>343</v>
      </c>
      <c r="J4" s="11" t="s">
        <v>344</v>
      </c>
      <c r="K4" s="7" t="s">
        <v>346</v>
      </c>
      <c r="L4" s="9"/>
      <c r="M4" s="11" t="s">
        <v>347</v>
      </c>
      <c r="N4" s="13"/>
      <c r="O4" s="14"/>
      <c r="P4" s="13" t="s">
        <v>346</v>
      </c>
      <c r="Q4" s="9"/>
      <c r="R4" s="11" t="s">
        <v>347</v>
      </c>
      <c r="S4" s="13"/>
      <c r="T4" s="13"/>
      <c r="U4" s="12" t="s">
        <v>334</v>
      </c>
      <c r="V4" s="8" t="s">
        <v>344</v>
      </c>
      <c r="W4" s="9" t="s">
        <v>343</v>
      </c>
      <c r="X4" s="11" t="s">
        <v>344</v>
      </c>
      <c r="Y4" s="12" t="s">
        <v>343</v>
      </c>
      <c r="Z4" s="8" t="s">
        <v>344</v>
      </c>
    </row>
    <row r="5" spans="2:26">
      <c r="B5" s="15" t="s">
        <v>348</v>
      </c>
      <c r="C5" s="8" t="s">
        <v>336</v>
      </c>
      <c r="D5" s="16" t="s">
        <v>349</v>
      </c>
      <c r="E5" s="17" t="s">
        <v>350</v>
      </c>
      <c r="F5" s="18">
        <v>20</v>
      </c>
      <c r="G5" s="15">
        <v>2012</v>
      </c>
      <c r="H5" s="8" t="s">
        <v>351</v>
      </c>
      <c r="I5" s="19"/>
      <c r="J5" s="19"/>
      <c r="K5" s="12">
        <v>1</v>
      </c>
      <c r="L5" s="20" t="s">
        <v>352</v>
      </c>
      <c r="M5" s="10" t="s">
        <v>353</v>
      </c>
      <c r="N5" s="21" t="s">
        <v>354</v>
      </c>
      <c r="O5" s="22"/>
      <c r="P5" s="9" t="s">
        <v>338</v>
      </c>
      <c r="Q5" s="17" t="s">
        <v>355</v>
      </c>
      <c r="R5" s="10" t="s">
        <v>353</v>
      </c>
      <c r="S5" s="20" t="s">
        <v>356</v>
      </c>
      <c r="T5" s="23" t="s">
        <v>357</v>
      </c>
      <c r="U5" s="15" t="s">
        <v>358</v>
      </c>
      <c r="V5" s="8" t="s">
        <v>341</v>
      </c>
      <c r="W5" s="16" t="s">
        <v>359</v>
      </c>
      <c r="X5" s="11" t="s">
        <v>360</v>
      </c>
      <c r="Y5" s="15" t="s">
        <v>335</v>
      </c>
      <c r="Z5" s="24" t="s">
        <v>361</v>
      </c>
    </row>
    <row r="6" spans="2:26">
      <c r="B6" s="15" t="s">
        <v>362</v>
      </c>
      <c r="C6" s="8" t="s">
        <v>363</v>
      </c>
      <c r="D6" s="16" t="s">
        <v>364</v>
      </c>
      <c r="E6" s="17" t="s">
        <v>365</v>
      </c>
      <c r="F6" s="18">
        <v>80</v>
      </c>
      <c r="G6" s="15">
        <v>2013</v>
      </c>
      <c r="H6" s="8" t="s">
        <v>338</v>
      </c>
      <c r="I6" s="19" t="s">
        <v>366</v>
      </c>
      <c r="J6" s="19"/>
      <c r="K6" s="12">
        <v>2</v>
      </c>
      <c r="L6" s="5" t="s">
        <v>367</v>
      </c>
      <c r="M6" s="10" t="s">
        <v>368</v>
      </c>
      <c r="N6" s="20" t="s">
        <v>369</v>
      </c>
      <c r="O6" s="25" t="s">
        <v>357</v>
      </c>
      <c r="P6" s="9" t="s">
        <v>370</v>
      </c>
      <c r="Q6" s="17" t="s">
        <v>371</v>
      </c>
      <c r="R6" s="10" t="s">
        <v>372</v>
      </c>
      <c r="S6" s="5" t="s">
        <v>373</v>
      </c>
      <c r="T6" s="26"/>
      <c r="U6" s="15" t="s">
        <v>374</v>
      </c>
      <c r="V6" s="8" t="s">
        <v>342</v>
      </c>
      <c r="W6" s="16" t="s">
        <v>375</v>
      </c>
      <c r="X6" s="11" t="s">
        <v>342</v>
      </c>
      <c r="Y6" s="27"/>
      <c r="Z6" s="28"/>
    </row>
    <row r="7" spans="2:26">
      <c r="B7" s="15" t="s">
        <v>354</v>
      </c>
      <c r="C7" s="8" t="s">
        <v>376</v>
      </c>
      <c r="D7" s="16" t="s">
        <v>377</v>
      </c>
      <c r="E7" s="17" t="s">
        <v>378</v>
      </c>
      <c r="F7" s="11">
        <v>250</v>
      </c>
      <c r="G7" s="15">
        <v>2014</v>
      </c>
      <c r="H7" s="8" t="s">
        <v>372</v>
      </c>
      <c r="I7" s="16" t="s">
        <v>349</v>
      </c>
      <c r="J7" s="11" t="s">
        <v>339</v>
      </c>
      <c r="K7" s="12" t="s">
        <v>339</v>
      </c>
      <c r="L7" s="5" t="s">
        <v>379</v>
      </c>
      <c r="M7" s="10" t="s">
        <v>380</v>
      </c>
      <c r="N7" s="5" t="s">
        <v>381</v>
      </c>
      <c r="O7" s="29"/>
      <c r="P7" s="9" t="s">
        <v>340</v>
      </c>
      <c r="Q7" s="17" t="s">
        <v>382</v>
      </c>
      <c r="R7" s="10" t="s">
        <v>383</v>
      </c>
      <c r="S7" s="5" t="s">
        <v>355</v>
      </c>
      <c r="T7" s="26"/>
      <c r="U7" s="15" t="s">
        <v>384</v>
      </c>
      <c r="V7" s="8" t="s">
        <v>385</v>
      </c>
      <c r="W7" s="16" t="s">
        <v>386</v>
      </c>
      <c r="X7" s="11" t="s">
        <v>387</v>
      </c>
      <c r="Y7" s="30"/>
      <c r="Z7" s="31"/>
    </row>
    <row r="8" spans="2:26">
      <c r="B8" s="15" t="s">
        <v>388</v>
      </c>
      <c r="C8" s="8" t="s">
        <v>389</v>
      </c>
      <c r="D8" s="32"/>
      <c r="E8" s="32"/>
      <c r="F8" s="32"/>
      <c r="G8" s="15">
        <v>2015</v>
      </c>
      <c r="H8" s="8" t="s">
        <v>342</v>
      </c>
      <c r="I8" s="16" t="s">
        <v>364</v>
      </c>
      <c r="J8" s="11" t="s">
        <v>390</v>
      </c>
      <c r="K8" s="12">
        <v>4</v>
      </c>
      <c r="L8" s="6" t="s">
        <v>391</v>
      </c>
      <c r="M8" s="10" t="s">
        <v>372</v>
      </c>
      <c r="N8" s="5" t="s">
        <v>392</v>
      </c>
      <c r="O8" s="29"/>
      <c r="P8" s="9" t="s">
        <v>383</v>
      </c>
      <c r="Q8" s="17" t="s">
        <v>356</v>
      </c>
      <c r="R8" s="10" t="s">
        <v>393</v>
      </c>
      <c r="S8" s="5" t="s">
        <v>371</v>
      </c>
      <c r="T8" s="26"/>
      <c r="U8" s="27"/>
      <c r="V8" s="28"/>
      <c r="W8" s="32"/>
      <c r="X8" s="32"/>
      <c r="Y8" s="30"/>
      <c r="Z8" s="31"/>
    </row>
    <row r="9" spans="2:26">
      <c r="B9" s="15" t="s">
        <v>377</v>
      </c>
      <c r="C9" s="8" t="s">
        <v>394</v>
      </c>
      <c r="D9" s="19"/>
      <c r="E9" s="19"/>
      <c r="F9" s="19"/>
      <c r="G9" s="15">
        <v>2016</v>
      </c>
      <c r="H9" s="8" t="s">
        <v>395</v>
      </c>
      <c r="I9" s="19"/>
      <c r="J9" s="19"/>
      <c r="K9" s="12" t="s">
        <v>342</v>
      </c>
      <c r="L9" s="20" t="s">
        <v>396</v>
      </c>
      <c r="M9" s="10" t="s">
        <v>326</v>
      </c>
      <c r="N9" s="5" t="s">
        <v>397</v>
      </c>
      <c r="O9" s="29"/>
      <c r="P9" s="32"/>
      <c r="Q9" s="33"/>
      <c r="R9" s="10" t="s">
        <v>387</v>
      </c>
      <c r="S9" s="5" t="s">
        <v>398</v>
      </c>
      <c r="T9" s="26"/>
      <c r="U9" s="30"/>
      <c r="V9" s="31"/>
      <c r="W9" s="19"/>
      <c r="X9" s="19"/>
      <c r="Y9" s="30"/>
      <c r="Z9" s="31"/>
    </row>
    <row r="10" spans="2:26">
      <c r="B10" s="27"/>
      <c r="C10" s="28"/>
      <c r="D10" s="19"/>
      <c r="E10" s="19"/>
      <c r="F10" s="19"/>
      <c r="G10" s="15">
        <v>2017</v>
      </c>
      <c r="H10" s="8" t="s">
        <v>385</v>
      </c>
      <c r="I10" s="19" t="s">
        <v>399</v>
      </c>
      <c r="J10" s="19"/>
      <c r="K10" s="12" t="s">
        <v>326</v>
      </c>
      <c r="L10" s="5" t="s">
        <v>400</v>
      </c>
      <c r="M10" s="10" t="s">
        <v>401</v>
      </c>
      <c r="N10" s="5" t="s">
        <v>402</v>
      </c>
      <c r="O10" s="29"/>
      <c r="P10" s="19"/>
      <c r="Q10" s="34"/>
      <c r="R10" s="10" t="s">
        <v>340</v>
      </c>
      <c r="S10" s="6" t="s">
        <v>403</v>
      </c>
      <c r="T10" s="35"/>
      <c r="U10" s="30"/>
      <c r="V10" s="31"/>
      <c r="W10" s="19"/>
      <c r="X10" s="19"/>
      <c r="Y10" s="30"/>
      <c r="Z10" s="31"/>
    </row>
    <row r="11" spans="2:26">
      <c r="B11" s="30"/>
      <c r="C11" s="31"/>
      <c r="D11" s="19"/>
      <c r="E11" s="19"/>
      <c r="F11" s="19"/>
      <c r="G11" s="27"/>
      <c r="H11" s="28"/>
      <c r="I11" s="16" t="s">
        <v>349</v>
      </c>
      <c r="J11" s="11" t="s">
        <v>341</v>
      </c>
      <c r="K11" s="12" t="s">
        <v>380</v>
      </c>
      <c r="L11" s="6" t="s">
        <v>404</v>
      </c>
      <c r="M11" s="10" t="s">
        <v>360</v>
      </c>
      <c r="N11" s="6" t="s">
        <v>405</v>
      </c>
      <c r="O11" s="36"/>
      <c r="P11" s="19"/>
      <c r="Q11" s="34"/>
      <c r="R11" s="10" t="s">
        <v>338</v>
      </c>
      <c r="S11" s="20" t="s">
        <v>355</v>
      </c>
      <c r="T11" s="23" t="s">
        <v>354</v>
      </c>
      <c r="U11" s="30"/>
      <c r="V11" s="31"/>
      <c r="W11" s="19"/>
      <c r="X11" s="19"/>
      <c r="Y11" s="30"/>
      <c r="Z11" s="31"/>
    </row>
    <row r="12" spans="2:26">
      <c r="B12" s="30"/>
      <c r="C12" s="31"/>
      <c r="D12" s="19"/>
      <c r="E12" s="19"/>
      <c r="F12" s="19"/>
      <c r="G12" s="30"/>
      <c r="H12" s="31"/>
      <c r="I12" s="16" t="s">
        <v>364</v>
      </c>
      <c r="J12" s="11" t="s">
        <v>360</v>
      </c>
      <c r="K12" s="12" t="s">
        <v>360</v>
      </c>
      <c r="L12" s="17" t="s">
        <v>406</v>
      </c>
      <c r="M12" s="10" t="s">
        <v>342</v>
      </c>
      <c r="N12" s="21" t="s">
        <v>362</v>
      </c>
      <c r="O12" s="22"/>
      <c r="P12" s="19"/>
      <c r="Q12" s="34"/>
      <c r="R12" s="10" t="s">
        <v>370</v>
      </c>
      <c r="S12" s="5" t="s">
        <v>371</v>
      </c>
      <c r="T12" s="26"/>
      <c r="U12" s="30"/>
      <c r="V12" s="31"/>
      <c r="W12" s="19"/>
      <c r="X12" s="19"/>
      <c r="Y12" s="30"/>
      <c r="Z12" s="31"/>
    </row>
    <row r="13" spans="2:26">
      <c r="B13" s="30"/>
      <c r="C13" s="31"/>
      <c r="D13" s="19"/>
      <c r="E13" s="19"/>
      <c r="F13" s="19"/>
      <c r="G13" s="30"/>
      <c r="H13" s="31"/>
      <c r="I13" s="19"/>
      <c r="J13" s="19"/>
      <c r="K13" s="12" t="s">
        <v>370</v>
      </c>
      <c r="L13" s="17" t="s">
        <v>407</v>
      </c>
      <c r="M13" s="10" t="s">
        <v>351</v>
      </c>
      <c r="N13" s="21" t="s">
        <v>388</v>
      </c>
      <c r="O13" s="22"/>
      <c r="P13" s="19"/>
      <c r="Q13" s="34"/>
      <c r="R13" s="10" t="s">
        <v>340</v>
      </c>
      <c r="S13" s="5" t="s">
        <v>382</v>
      </c>
      <c r="T13" s="26"/>
      <c r="U13" s="30"/>
      <c r="V13" s="31"/>
      <c r="W13" s="19"/>
      <c r="X13" s="19"/>
      <c r="Y13" s="30"/>
      <c r="Z13" s="31"/>
    </row>
    <row r="14" spans="2:26">
      <c r="B14" s="30"/>
      <c r="C14" s="31"/>
      <c r="D14" s="19"/>
      <c r="E14" s="19"/>
      <c r="F14" s="19"/>
      <c r="G14" s="30"/>
      <c r="H14" s="31"/>
      <c r="I14" s="19"/>
      <c r="J14" s="19"/>
      <c r="K14" s="12" t="s">
        <v>340</v>
      </c>
      <c r="L14" s="17" t="s">
        <v>408</v>
      </c>
      <c r="M14" s="23"/>
      <c r="N14" s="32"/>
      <c r="O14" s="28"/>
      <c r="P14" s="19"/>
      <c r="Q14" s="34"/>
      <c r="R14" s="10" t="s">
        <v>383</v>
      </c>
      <c r="S14" s="6" t="s">
        <v>356</v>
      </c>
      <c r="T14" s="35"/>
      <c r="U14" s="30"/>
      <c r="V14" s="31"/>
      <c r="W14" s="19"/>
      <c r="X14" s="19"/>
      <c r="Y14" s="30"/>
      <c r="Z14" s="31"/>
    </row>
    <row r="15" spans="2:26">
      <c r="B15" s="30"/>
      <c r="C15" s="31"/>
      <c r="D15" s="19"/>
      <c r="E15" s="19"/>
      <c r="F15" s="19"/>
      <c r="G15" s="30"/>
      <c r="H15" s="31"/>
      <c r="I15" s="19"/>
      <c r="J15" s="19"/>
      <c r="K15" s="12" t="s">
        <v>341</v>
      </c>
      <c r="L15" s="20" t="s">
        <v>409</v>
      </c>
      <c r="M15" s="26"/>
      <c r="N15" s="19"/>
      <c r="O15" s="31"/>
      <c r="P15" s="19"/>
      <c r="Q15" s="34"/>
      <c r="R15" s="10">
        <v>2</v>
      </c>
      <c r="S15" s="20" t="s">
        <v>410</v>
      </c>
      <c r="T15" s="23" t="s">
        <v>362</v>
      </c>
      <c r="U15" s="30"/>
      <c r="V15" s="31"/>
      <c r="W15" s="19"/>
      <c r="X15" s="19"/>
      <c r="Y15" s="30"/>
      <c r="Z15" s="31"/>
    </row>
    <row r="16" spans="2:26">
      <c r="B16" s="30"/>
      <c r="C16" s="31"/>
      <c r="D16" s="19"/>
      <c r="E16" s="19"/>
      <c r="F16" s="19"/>
      <c r="G16" s="30"/>
      <c r="H16" s="31"/>
      <c r="I16" s="19"/>
      <c r="J16" s="19"/>
      <c r="K16" s="12" t="s">
        <v>401</v>
      </c>
      <c r="L16" s="6" t="s">
        <v>411</v>
      </c>
      <c r="M16" s="26"/>
      <c r="N16" s="19"/>
      <c r="O16" s="31"/>
      <c r="P16" s="19"/>
      <c r="Q16" s="34"/>
      <c r="R16" s="10">
        <v>3</v>
      </c>
      <c r="S16" s="5" t="s">
        <v>412</v>
      </c>
      <c r="T16" s="26"/>
      <c r="U16" s="30"/>
      <c r="V16" s="31"/>
      <c r="W16" s="19"/>
      <c r="X16" s="19"/>
      <c r="Y16" s="30"/>
      <c r="Z16" s="31"/>
    </row>
    <row r="17" spans="2:26">
      <c r="B17" s="30"/>
      <c r="C17" s="31"/>
      <c r="D17" s="19"/>
      <c r="E17" s="19"/>
      <c r="F17" s="19"/>
      <c r="G17" s="30"/>
      <c r="H17" s="31"/>
      <c r="I17" s="19"/>
      <c r="J17" s="19"/>
      <c r="K17" s="12" t="s">
        <v>393</v>
      </c>
      <c r="L17" s="17" t="s">
        <v>413</v>
      </c>
      <c r="M17" s="26"/>
      <c r="N17" s="19"/>
      <c r="O17" s="31"/>
      <c r="P17" s="19"/>
      <c r="Q17" s="34"/>
      <c r="R17" s="10">
        <v>4</v>
      </c>
      <c r="S17" s="5" t="s">
        <v>414</v>
      </c>
      <c r="T17" s="26"/>
      <c r="U17" s="30"/>
      <c r="V17" s="31"/>
      <c r="W17" s="19"/>
      <c r="X17" s="19"/>
      <c r="Y17" s="30"/>
      <c r="Z17" s="31"/>
    </row>
    <row r="18" spans="2:26">
      <c r="B18" s="30"/>
      <c r="C18" s="31"/>
      <c r="D18" s="19"/>
      <c r="E18" s="19"/>
      <c r="F18" s="19"/>
      <c r="G18" s="30"/>
      <c r="H18" s="31"/>
      <c r="I18" s="19"/>
      <c r="J18" s="19"/>
      <c r="K18" s="12" t="s">
        <v>415</v>
      </c>
      <c r="L18" s="17" t="s">
        <v>377</v>
      </c>
      <c r="M18" s="26"/>
      <c r="N18" s="19"/>
      <c r="O18" s="31"/>
      <c r="P18" s="19"/>
      <c r="Q18" s="34"/>
      <c r="R18" s="10">
        <v>5</v>
      </c>
      <c r="S18" s="5" t="s">
        <v>416</v>
      </c>
      <c r="T18" s="26"/>
      <c r="U18" s="30"/>
      <c r="V18" s="31"/>
      <c r="W18" s="19"/>
      <c r="X18" s="19"/>
      <c r="Y18" s="30"/>
      <c r="Z18" s="31"/>
    </row>
    <row r="19" spans="2:26">
      <c r="B19" s="30"/>
      <c r="C19" s="31"/>
      <c r="D19" s="19"/>
      <c r="E19" s="19"/>
      <c r="F19" s="19"/>
      <c r="G19" s="30"/>
      <c r="H19" s="31"/>
      <c r="I19" s="19"/>
      <c r="J19" s="19"/>
      <c r="K19" s="27"/>
      <c r="L19" s="33"/>
      <c r="M19" s="26"/>
      <c r="N19" s="19"/>
      <c r="O19" s="31"/>
      <c r="P19" s="19"/>
      <c r="Q19" s="34"/>
      <c r="R19" s="10" t="s">
        <v>339</v>
      </c>
      <c r="S19" s="6" t="s">
        <v>417</v>
      </c>
      <c r="T19" s="35"/>
      <c r="U19" s="30"/>
      <c r="V19" s="31"/>
      <c r="W19" s="19"/>
      <c r="X19" s="19"/>
      <c r="Y19" s="30"/>
      <c r="Z19" s="31"/>
    </row>
    <row r="20" spans="2:26">
      <c r="B20" s="30"/>
      <c r="C20" s="31"/>
      <c r="D20" s="19"/>
      <c r="E20" s="19"/>
      <c r="F20" s="19"/>
      <c r="G20" s="30"/>
      <c r="H20" s="31"/>
      <c r="I20" s="19"/>
      <c r="J20" s="19"/>
      <c r="K20" s="30"/>
      <c r="L20" s="34"/>
      <c r="M20" s="26"/>
      <c r="N20" s="19"/>
      <c r="O20" s="31"/>
      <c r="P20" s="19"/>
      <c r="Q20" s="34"/>
      <c r="R20" s="10" t="s">
        <v>340</v>
      </c>
      <c r="S20" s="20" t="s">
        <v>382</v>
      </c>
      <c r="T20" s="23" t="s">
        <v>388</v>
      </c>
      <c r="U20" s="30"/>
      <c r="V20" s="31"/>
      <c r="W20" s="19"/>
      <c r="X20" s="19"/>
      <c r="Y20" s="30"/>
      <c r="Z20" s="31"/>
    </row>
    <row r="21" spans="2:26">
      <c r="B21" s="30"/>
      <c r="C21" s="31"/>
      <c r="D21" s="19"/>
      <c r="E21" s="19"/>
      <c r="F21" s="19"/>
      <c r="G21" s="30"/>
      <c r="H21" s="31"/>
      <c r="I21" s="19"/>
      <c r="J21" s="19"/>
      <c r="K21" s="30"/>
      <c r="L21" s="34"/>
      <c r="M21" s="26"/>
      <c r="N21" s="19"/>
      <c r="O21" s="31"/>
      <c r="P21" s="19"/>
      <c r="Q21" s="34"/>
      <c r="R21" s="10" t="s">
        <v>370</v>
      </c>
      <c r="S21" s="6" t="s">
        <v>418</v>
      </c>
      <c r="T21" s="35"/>
      <c r="U21" s="30"/>
      <c r="V21" s="31"/>
      <c r="W21" s="19"/>
      <c r="X21" s="19"/>
      <c r="Y21" s="30"/>
      <c r="Z21" s="31"/>
    </row>
    <row r="22" spans="2:26">
      <c r="B22" s="30"/>
      <c r="C22" s="31"/>
      <c r="D22" s="19"/>
      <c r="E22" s="19"/>
      <c r="F22" s="19"/>
      <c r="G22" s="30"/>
      <c r="H22" s="31"/>
      <c r="I22" s="19"/>
      <c r="J22" s="19"/>
      <c r="K22" s="30"/>
      <c r="L22" s="34"/>
      <c r="M22" s="26"/>
      <c r="N22" s="19"/>
      <c r="O22" s="31"/>
      <c r="P22" s="19"/>
      <c r="Q22" s="34"/>
      <c r="R22" s="10" t="s">
        <v>341</v>
      </c>
      <c r="S22" s="20" t="s">
        <v>419</v>
      </c>
      <c r="T22" s="23" t="s">
        <v>377</v>
      </c>
      <c r="U22" s="30"/>
      <c r="V22" s="31"/>
      <c r="W22" s="19"/>
      <c r="X22" s="19"/>
      <c r="Y22" s="30"/>
      <c r="Z22" s="31"/>
    </row>
    <row r="23" spans="2:26">
      <c r="B23" s="30"/>
      <c r="C23" s="31"/>
      <c r="D23" s="19"/>
      <c r="E23" s="19"/>
      <c r="F23" s="19"/>
      <c r="G23" s="30"/>
      <c r="H23" s="31"/>
      <c r="I23" s="19"/>
      <c r="J23" s="19"/>
      <c r="K23" s="30"/>
      <c r="L23" s="34"/>
      <c r="M23" s="26"/>
      <c r="N23" s="19"/>
      <c r="O23" s="31"/>
      <c r="P23" s="19"/>
      <c r="Q23" s="34"/>
      <c r="R23" s="10" t="s">
        <v>380</v>
      </c>
      <c r="S23" s="5" t="s">
        <v>420</v>
      </c>
      <c r="T23" s="26"/>
      <c r="U23" s="30"/>
      <c r="V23" s="31"/>
      <c r="W23" s="19"/>
      <c r="X23" s="19"/>
      <c r="Y23" s="30"/>
      <c r="Z23" s="31"/>
    </row>
    <row r="24" spans="2:26" ht="17.25" thickBot="1">
      <c r="B24" s="37"/>
      <c r="C24" s="38"/>
      <c r="D24" s="39"/>
      <c r="E24" s="39"/>
      <c r="F24" s="39"/>
      <c r="G24" s="37"/>
      <c r="H24" s="38"/>
      <c r="I24" s="39"/>
      <c r="J24" s="39"/>
      <c r="K24" s="37"/>
      <c r="L24" s="40"/>
      <c r="M24" s="41"/>
      <c r="N24" s="39"/>
      <c r="O24" s="38"/>
      <c r="P24" s="39"/>
      <c r="Q24" s="40"/>
      <c r="R24" s="42" t="s">
        <v>326</v>
      </c>
      <c r="S24" s="43" t="s">
        <v>421</v>
      </c>
      <c r="T24" s="41"/>
      <c r="U24" s="37"/>
      <c r="V24" s="38"/>
      <c r="W24" s="39"/>
      <c r="X24" s="39"/>
      <c r="Y24" s="37"/>
      <c r="Z24" s="38"/>
    </row>
    <row r="25" spans="2:26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4"/>
      <c r="S25" s="4"/>
      <c r="T25" s="4"/>
      <c r="U25" s="4"/>
      <c r="V25" s="4"/>
      <c r="W25" s="4"/>
      <c r="X25" s="4"/>
      <c r="Y25" s="4"/>
      <c r="Z25" s="4"/>
    </row>
    <row r="26" spans="2:26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4"/>
      <c r="S26" s="4"/>
      <c r="T26" s="4"/>
      <c r="U26" s="4"/>
      <c r="V26" s="4"/>
      <c r="W26" s="4"/>
      <c r="X26" s="4"/>
      <c r="Y26" s="4"/>
      <c r="Z26" s="4"/>
    </row>
  </sheetData>
  <mergeCells count="18">
    <mergeCell ref="P3:T3"/>
    <mergeCell ref="U3:V3"/>
    <mergeCell ref="B2:C2"/>
    <mergeCell ref="D2:F2"/>
    <mergeCell ref="G2:H2"/>
    <mergeCell ref="I2:J2"/>
    <mergeCell ref="K2:O2"/>
    <mergeCell ref="P2:T2"/>
    <mergeCell ref="B3:C3"/>
    <mergeCell ref="D3:F3"/>
    <mergeCell ref="G3:H3"/>
    <mergeCell ref="I3:J3"/>
    <mergeCell ref="K3:O3"/>
    <mergeCell ref="W3:X3"/>
    <mergeCell ref="Y3:Z3"/>
    <mergeCell ref="U2:V2"/>
    <mergeCell ref="W2:X2"/>
    <mergeCell ref="Y2:Z2"/>
  </mergeCells>
  <phoneticPr fontId="2" type="noConversion"/>
  <pageMargins left="0.70866141732283472" right="0.70866141732283472" top="0.74803149606299213" bottom="0.74803149606299213" header="0.31496062992125984" footer="0.31496062992125984"/>
  <pageSetup paperSize="8" scale="79" orientation="landscape" r:id="rId1"/>
  <ignoredErrors>
    <ignoredError sqref="D3:T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1</vt:i4>
      </vt:variant>
    </vt:vector>
  </HeadingPairs>
  <TitlesOfParts>
    <vt:vector size="7" baseType="lpstr">
      <vt:lpstr>배관선정기준</vt:lpstr>
      <vt:lpstr>입력</vt:lpstr>
      <vt:lpstr>출력시트</vt:lpstr>
      <vt:lpstr>원가계산서</vt:lpstr>
      <vt:lpstr>유림정보시스템</vt:lpstr>
      <vt:lpstr>☆ 신통신모델체계</vt:lpstr>
      <vt:lpstr>유림정보시스템!Print_Area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사용자</dc:creator>
  <cp:keywords/>
  <dc:description/>
  <cp:lastModifiedBy>조창근</cp:lastModifiedBy>
  <cp:revision/>
  <cp:lastPrinted>2020-11-13T04:56:34Z</cp:lastPrinted>
  <dcterms:created xsi:type="dcterms:W3CDTF">2013-03-28T05:30:47Z</dcterms:created>
  <dcterms:modified xsi:type="dcterms:W3CDTF">2020-11-13T05:34:17Z</dcterms:modified>
  <cp:category/>
  <cp:contentStatus/>
</cp:coreProperties>
</file>